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disonintl.sharepoint.com/teams/LIMS O365/CTWS/Shared Documents/Rule 20A OIR/Rule 20 DR Filing 4.17.20/"/>
    </mc:Choice>
  </mc:AlternateContent>
  <xr:revisionPtr revIDLastSave="0" documentId="8_{E663C028-6613-46E9-B6B7-CED50DB01289}" xr6:coauthVersionLast="45" xr6:coauthVersionMax="45" xr10:uidLastSave="{00000000-0000-0000-0000-000000000000}"/>
  <bookViews>
    <workbookView xWindow="-110" yWindow="-110" windowWidth="22780" windowHeight="14660" tabRatio="602" firstSheet="12" activeTab="12" xr2:uid="{00000000-000D-0000-FFFF-FFFF00000000}"/>
  </bookViews>
  <sheets>
    <sheet name="Detailed Project Information" sheetId="54" r:id="rId1"/>
    <sheet name="Dropdown Keys" sheetId="16" state="hidden" r:id="rId2"/>
    <sheet name="Care %" sheetId="34" state="hidden" r:id="rId3"/>
    <sheet name="Contractor Data" sheetId="42" r:id="rId4"/>
    <sheet name="Allocation Factor &amp;Meter Totals" sheetId="44" r:id="rId5"/>
    <sheet name="I d)" sheetId="6" state="hidden" r:id="rId6"/>
    <sheet name="I g)" sheetId="7" state="hidden" r:id="rId7"/>
    <sheet name="I h)" sheetId="8" state="hidden" r:id="rId8"/>
    <sheet name="2017 Alloc_Expend Sum" sheetId="29" state="hidden" r:id="rId9"/>
    <sheet name="Eligible&amp;Ineligible Communities" sheetId="46" r:id="rId10"/>
    <sheet name="Historical Project Level Data" sheetId="48" r:id="rId11"/>
    <sheet name="II a)-d)" sheetId="9" state="hidden" r:id="rId12"/>
    <sheet name="Historical Community Level" sheetId="49" r:id="rId13"/>
    <sheet name="Annual Spending Worksheet" sheetId="50" r:id="rId14"/>
    <sheet name="VI a)" sheetId="10" state="hidden" r:id="rId15"/>
    <sheet name="2016 Allocations and Borrowing" sheetId="37" r:id="rId16"/>
    <sheet name="2017 Allocations and Borrowing " sheetId="38" r:id="rId17"/>
    <sheet name="2018 Allocations and Borrowing " sheetId="40" r:id="rId18"/>
    <sheet name="2019 Allocations and Borrowing" sheetId="47" r:id="rId19"/>
    <sheet name="2020 Allocations and Borrowing" sheetId="52" r:id="rId20"/>
    <sheet name="Trading History" sheetId="21" r:id="rId21"/>
    <sheet name="Credits Redeemed" sheetId="51" r:id="rId22"/>
    <sheet name="dac ws" sheetId="28" state="hidden" r:id="rId23"/>
    <sheet name="Cost to Residential Customers " sheetId="53" r:id="rId24"/>
    <sheet name="High Priority" sheetId="4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_FilterDatabase" localSheetId="15" hidden="1">'2016 Allocations and Borrowing'!$B$5:$S$248</definedName>
    <definedName name="_xlnm._FilterDatabase" localSheetId="8" hidden="1">'2017 Alloc_Expend Sum'!$A$4:$AE$212</definedName>
    <definedName name="_xlnm._FilterDatabase" localSheetId="16" hidden="1">'2017 Allocations and Borrowing '!$B$5:$S$248</definedName>
    <definedName name="_xlnm._FilterDatabase" localSheetId="17" hidden="1">'2018 Allocations and Borrowing '!$B$5:$S$248</definedName>
    <definedName name="_xlnm._FilterDatabase" localSheetId="18" hidden="1">'2019 Allocations and Borrowing'!$B$5:$S$248</definedName>
    <definedName name="_xlnm._FilterDatabase" localSheetId="19" hidden="1">'2020 Allocations and Borrowing'!$A$5:$R$248</definedName>
    <definedName name="_xlnm._FilterDatabase" localSheetId="4" hidden="1">'Allocation Factor &amp;Meter Totals'!$A$4:$A$251</definedName>
    <definedName name="_xlnm._FilterDatabase" localSheetId="13" hidden="1">'Annual Spending Worksheet'!$C$4:$AG$247</definedName>
    <definedName name="_xlnm._FilterDatabase" localSheetId="2" hidden="1">'Care %'!$A$1:$D$207</definedName>
    <definedName name="_xlnm._FilterDatabase" localSheetId="21" hidden="1">'Credits Redeemed'!$A$4:$F$214</definedName>
    <definedName name="_xlnm._FilterDatabase" localSheetId="0" hidden="1">'Detailed Project Information'!$A$6:$CE$355</definedName>
    <definedName name="_xlnm._FilterDatabase" localSheetId="9" hidden="1">'Eligible&amp;Ineligible Communities'!$B$3:$Q$277</definedName>
    <definedName name="_xlnm._FilterDatabase" localSheetId="24" hidden="1">'High Priority'!$A$6:$G$255</definedName>
    <definedName name="_xlnm._FilterDatabase" localSheetId="12" hidden="1">'Historical Community Level'!$B$3:$N$2534</definedName>
    <definedName name="_xlnm._FilterDatabase" localSheetId="10" hidden="1">'Historical Project Level Data'!$B$4:$H$157</definedName>
    <definedName name="_xlnm._FilterDatabase" localSheetId="20" hidden="1">'Trading History'!$B$5:$H$61</definedName>
    <definedName name="_ftn1" localSheetId="0">'Detailed Project Information'!#REF!</definedName>
    <definedName name="_ftn2" localSheetId="0">'Detailed Project Information'!#REF!</definedName>
    <definedName name="_ftn3" localSheetId="0">'Detailed Project Information'!#REF!</definedName>
    <definedName name="Eligibility">'Dropdown Keys'!$G$3:$G$4</definedName>
    <definedName name="Num1through5" localSheetId="15">'[1]Dropdown Keys'!$B$3:$B$8</definedName>
    <definedName name="Num1through5" localSheetId="16">'[1]Dropdown Keys'!$B$3:$B$8</definedName>
    <definedName name="Num1through5" localSheetId="17">'[1]Dropdown Keys'!$B$3:$B$8</definedName>
    <definedName name="Num1through5" localSheetId="18">'[1]Dropdown Keys'!$B$3:$B$8</definedName>
    <definedName name="Num1through5" localSheetId="19">'[1]Dropdown Keys'!$B$3:$B$8</definedName>
    <definedName name="Num1through5" localSheetId="13">'[2]Dropdown Keys'!$B$3:$B$8</definedName>
    <definedName name="Num1through5" localSheetId="23">'[3]Dropdown Keys'!$B$3:$B$8</definedName>
    <definedName name="Num1through5" localSheetId="21">'[3]Dropdown Keys'!$B$3:$B$8</definedName>
    <definedName name="Num1through5" localSheetId="0">'[3]Dropdown Keys'!$B$3:$B$8</definedName>
    <definedName name="Num1through5" localSheetId="24">'[1]Dropdown Keys'!$B$3:$B$8</definedName>
    <definedName name="Num1through5" localSheetId="12">'[4]Dropdown Keys'!$B$3:$B$8</definedName>
    <definedName name="Num1through5" localSheetId="10">'[3]Dropdown Keys'!$B$3:$B$8</definedName>
    <definedName name="Num1through5">'Dropdown Keys'!$B$3:$B$8</definedName>
    <definedName name="_xlnm.Print_Area" localSheetId="8">'2017 Alloc_Expend Sum'!$A$2:$AB$229</definedName>
    <definedName name="_xlnm.Print_Titles" localSheetId="8">'2017 Alloc_Expend Sum'!$2:$4</definedName>
    <definedName name="Project_Work_Orders_for_Plan_New" localSheetId="15">#REF!</definedName>
    <definedName name="Project_Work_Orders_for_Plan_New" localSheetId="8">#REF!</definedName>
    <definedName name="Project_Work_Orders_for_Plan_New" localSheetId="16">#REF!</definedName>
    <definedName name="Project_Work_Orders_for_Plan_New" localSheetId="17">#REF!</definedName>
    <definedName name="Project_Work_Orders_for_Plan_New" localSheetId="18">#REF!</definedName>
    <definedName name="Project_Work_Orders_for_Plan_New" localSheetId="19">#REF!</definedName>
    <definedName name="Project_Work_Orders_for_Plan_New" localSheetId="13">#REF!</definedName>
    <definedName name="Project_Work_Orders_for_Plan_New" localSheetId="2">#REF!</definedName>
    <definedName name="Project_Work_Orders_for_Plan_New" localSheetId="23">#REF!</definedName>
    <definedName name="Project_Work_Orders_for_Plan_New" localSheetId="21">#REF!</definedName>
    <definedName name="Project_Work_Orders_for_Plan_New" localSheetId="0">#REF!</definedName>
    <definedName name="Project_Work_Orders_for_Plan_New" localSheetId="24">#REF!</definedName>
    <definedName name="Project_Work_Orders_for_Plan_New" localSheetId="12">#REF!</definedName>
    <definedName name="Project_Work_Orders_for_Plan_New" localSheetId="10">#REF!</definedName>
    <definedName name="Project_Work_Orders_for_Plan_New">#REF!</definedName>
    <definedName name="Res_Comm_Ind_etc" localSheetId="15">'[1]Dropdown Keys'!$D$3:$D$9</definedName>
    <definedName name="Res_Comm_Ind_etc" localSheetId="16">'[1]Dropdown Keys'!$D$3:$D$9</definedName>
    <definedName name="Res_Comm_Ind_etc" localSheetId="17">'[1]Dropdown Keys'!$D$3:$D$9</definedName>
    <definedName name="Res_Comm_Ind_etc" localSheetId="18">'[1]Dropdown Keys'!$D$3:$D$9</definedName>
    <definedName name="Res_Comm_Ind_etc" localSheetId="19">'[1]Dropdown Keys'!$D$3:$D$9</definedName>
    <definedName name="Res_Comm_Ind_etc" localSheetId="13">'[2]Dropdown Keys'!$D$3:$D$9</definedName>
    <definedName name="Res_Comm_Ind_etc" localSheetId="23">'[3]Dropdown Keys'!$D$3:$D$9</definedName>
    <definedName name="Res_Comm_Ind_etc" localSheetId="21">'[3]Dropdown Keys'!$D$3:$D$9</definedName>
    <definedName name="Res_Comm_Ind_etc" localSheetId="0">'[3]Dropdown Keys'!$D$3:$D$9</definedName>
    <definedName name="Res_Comm_Ind_etc" localSheetId="24">'[1]Dropdown Keys'!$D$3:$D$9</definedName>
    <definedName name="Res_Comm_Ind_etc" localSheetId="12">'[4]Dropdown Keys'!$D$3:$D$9</definedName>
    <definedName name="Res_Comm_Ind_etc" localSheetId="10">'[3]Dropdown Keys'!$D$3:$D$9</definedName>
    <definedName name="Res_Comm_Ind_etc">'Dropdown Keys'!$D$3:$D$9</definedName>
    <definedName name="Urban_etc." localSheetId="15">'[1]Dropdown Keys'!#REF!</definedName>
    <definedName name="Urban_etc." localSheetId="16">'[1]Dropdown Keys'!#REF!</definedName>
    <definedName name="Urban_etc." localSheetId="17">'[1]Dropdown Keys'!#REF!</definedName>
    <definedName name="Urban_etc." localSheetId="18">'[1]Dropdown Keys'!#REF!</definedName>
    <definedName name="Urban_etc." localSheetId="19">'[1]Dropdown Keys'!#REF!</definedName>
    <definedName name="Urban_etc." localSheetId="13">'[2]Dropdown Keys'!#REF!</definedName>
    <definedName name="Urban_etc." localSheetId="2">'Dropdown Keys'!#REF!</definedName>
    <definedName name="Urban_etc." localSheetId="23">'[3]Dropdown Keys'!#REF!</definedName>
    <definedName name="Urban_etc." localSheetId="21">'[3]Dropdown Keys'!#REF!</definedName>
    <definedName name="Urban_etc." localSheetId="0">'[3]Dropdown Keys'!#REF!</definedName>
    <definedName name="Urban_etc." localSheetId="24">'[1]Dropdown Keys'!#REF!</definedName>
    <definedName name="Urban_etc." localSheetId="12">'[4]Dropdown Keys'!#REF!</definedName>
    <definedName name="Urban_etc." localSheetId="10">'[3]Dropdown Keys'!#REF!</definedName>
    <definedName name="Urban_etc.">'Dropdown Keys'!#REF!</definedName>
    <definedName name="Urbanetc." localSheetId="15">'[1]Dropdown Keys'!$E$3:$E$8</definedName>
    <definedName name="Urbanetc." localSheetId="16">'[1]Dropdown Keys'!$E$3:$E$8</definedName>
    <definedName name="Urbanetc." localSheetId="17">'[1]Dropdown Keys'!$E$3:$E$8</definedName>
    <definedName name="Urbanetc." localSheetId="18">'[1]Dropdown Keys'!$E$3:$E$8</definedName>
    <definedName name="Urbanetc." localSheetId="19">'[1]Dropdown Keys'!$E$3:$E$8</definedName>
    <definedName name="Urbanetc." localSheetId="13">'[2]Dropdown Keys'!$E$3:$E$8</definedName>
    <definedName name="Urbanetc." localSheetId="23">'[3]Dropdown Keys'!$E$3:$E$8</definedName>
    <definedName name="Urbanetc." localSheetId="21">'[3]Dropdown Keys'!$E$3:$E$8</definedName>
    <definedName name="Urbanetc." localSheetId="0">'[3]Dropdown Keys'!$E$3:$E$8</definedName>
    <definedName name="Urbanetc." localSheetId="24">'[1]Dropdown Keys'!$E$3:$E$8</definedName>
    <definedName name="Urbanetc." localSheetId="12">'[4]Dropdown Keys'!$E$3:$E$8</definedName>
    <definedName name="Urbanetc." localSheetId="10">'[3]Dropdown Keys'!$E$3:$E$8</definedName>
    <definedName name="Urbanetc.">'Dropdown Keys'!$E$3:$E$8</definedName>
    <definedName name="Yes_No_Unsure" localSheetId="15">'[1]Dropdown Keys'!$C$3:$C$5</definedName>
    <definedName name="Yes_No_Unsure" localSheetId="16">'[1]Dropdown Keys'!$C$3:$C$5</definedName>
    <definedName name="Yes_No_Unsure" localSheetId="17">'[1]Dropdown Keys'!$C$3:$C$5</definedName>
    <definedName name="Yes_No_Unsure" localSheetId="18">'[1]Dropdown Keys'!$C$3:$C$5</definedName>
    <definedName name="Yes_No_Unsure" localSheetId="19">'[1]Dropdown Keys'!$C$3:$C$5</definedName>
    <definedName name="Yes_No_Unsure" localSheetId="13">'[2]Dropdown Keys'!$C$3:$C$5</definedName>
    <definedName name="Yes_No_Unsure" localSheetId="23">'[3]Dropdown Keys'!$C$3:$C$5</definedName>
    <definedName name="Yes_No_Unsure" localSheetId="21">'[3]Dropdown Keys'!$C$3:$C$5</definedName>
    <definedName name="Yes_No_Unsure" localSheetId="0">'[3]Dropdown Keys'!$C$3:$C$5</definedName>
    <definedName name="Yes_No_Unsure" localSheetId="24">'[1]Dropdown Keys'!$C$3:$C$5</definedName>
    <definedName name="Yes_No_Unsure" localSheetId="12">'[4]Dropdown Keys'!$C$3:$C$5</definedName>
    <definedName name="Yes_No_Unsure" localSheetId="10">'[3]Dropdown Keys'!$C$3:$C$5</definedName>
    <definedName name="Yes_No_Unsure">'Dropdown Keys'!$C$3:$C$5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23" i="43" l="1"/>
  <c r="BB351" i="54" l="1"/>
  <c r="BB350" i="54"/>
  <c r="BB349" i="54"/>
  <c r="BB347" i="54"/>
  <c r="BB346" i="54"/>
  <c r="BB345" i="54"/>
  <c r="BB344" i="54"/>
  <c r="BB343" i="54"/>
  <c r="BB342" i="54"/>
  <c r="BB341" i="54"/>
  <c r="BB340" i="54"/>
  <c r="BB339" i="54"/>
  <c r="AC336" i="54"/>
  <c r="BC335" i="54"/>
  <c r="BB335" i="54"/>
  <c r="BB329" i="54"/>
  <c r="BB325" i="54"/>
  <c r="BB320" i="54"/>
  <c r="BB317" i="54"/>
  <c r="BB315" i="54"/>
  <c r="BB306" i="54"/>
  <c r="BB305" i="54"/>
  <c r="BI302" i="54"/>
  <c r="AC302" i="54"/>
  <c r="I302" i="54"/>
  <c r="BB301" i="54"/>
  <c r="BI299" i="54"/>
  <c r="AC299" i="54"/>
  <c r="L299" i="54"/>
  <c r="AC297" i="54"/>
  <c r="I297" i="54"/>
  <c r="BB296" i="54"/>
  <c r="BB295" i="54"/>
  <c r="BB294" i="54"/>
  <c r="BB293" i="54"/>
  <c r="BB292" i="54"/>
  <c r="AC290" i="54"/>
  <c r="AC289" i="54"/>
  <c r="BB288" i="54"/>
  <c r="BB287" i="54"/>
  <c r="BB286" i="54"/>
  <c r="BB285" i="54"/>
  <c r="BC284" i="54"/>
  <c r="BB284" i="54"/>
  <c r="BB283" i="54"/>
  <c r="BB282" i="54"/>
  <c r="BB281" i="54"/>
  <c r="BB280" i="54"/>
  <c r="BB273" i="54"/>
  <c r="BB271" i="54"/>
  <c r="BB270" i="54"/>
  <c r="BB269" i="54"/>
  <c r="AC268" i="54"/>
  <c r="BB266" i="54"/>
  <c r="BB265" i="54"/>
  <c r="BB264" i="54"/>
  <c r="BB261" i="54"/>
  <c r="BB260" i="54"/>
  <c r="BB259" i="54"/>
  <c r="BB258" i="54"/>
  <c r="BB257" i="54"/>
  <c r="BB254" i="54"/>
  <c r="BB253" i="54"/>
  <c r="BB250" i="54"/>
  <c r="BB248" i="54"/>
  <c r="AC247" i="54"/>
  <c r="BB243" i="54"/>
  <c r="BB242" i="54"/>
  <c r="BB240" i="54"/>
  <c r="BB238" i="54"/>
  <c r="BB235" i="54"/>
  <c r="BC233" i="54"/>
  <c r="BB233" i="54"/>
  <c r="AC233" i="54"/>
  <c r="BB232" i="54"/>
  <c r="BB231" i="54"/>
  <c r="BB228" i="54"/>
  <c r="BB225" i="54"/>
  <c r="AC224" i="54"/>
  <c r="AC223" i="54"/>
  <c r="L222" i="54"/>
  <c r="I222" i="54"/>
  <c r="I221" i="54"/>
  <c r="BB220" i="54"/>
  <c r="BB219" i="54"/>
  <c r="AC217" i="54"/>
  <c r="BB216" i="54"/>
  <c r="AQ214" i="54"/>
  <c r="BB214" i="54" s="1"/>
  <c r="AC214" i="54"/>
  <c r="BI213" i="54"/>
  <c r="AC213" i="54"/>
  <c r="BB211" i="54"/>
  <c r="BB207" i="54"/>
  <c r="BI204" i="54"/>
  <c r="AC204" i="54"/>
  <c r="L204" i="54"/>
  <c r="I204" i="54"/>
  <c r="BB203" i="54"/>
  <c r="BB202" i="54"/>
  <c r="AC201" i="54"/>
  <c r="BB200" i="54"/>
  <c r="BB199" i="54"/>
  <c r="AC194" i="54"/>
  <c r="L194" i="54"/>
  <c r="I194" i="54"/>
  <c r="BB193" i="54"/>
  <c r="BB192" i="54"/>
  <c r="BB191" i="54"/>
  <c r="BB186" i="54"/>
  <c r="L185" i="54"/>
  <c r="I185" i="54"/>
  <c r="BB184" i="54"/>
  <c r="BB183" i="54"/>
  <c r="BB181" i="54"/>
  <c r="BB180" i="54"/>
  <c r="BB179" i="54"/>
  <c r="BB176" i="54"/>
  <c r="BJ175" i="54"/>
  <c r="BC175" i="54"/>
  <c r="BB175" i="54"/>
  <c r="BB170" i="54"/>
  <c r="BB169" i="54"/>
  <c r="BB163" i="54"/>
  <c r="BB162" i="54"/>
  <c r="BB161" i="54"/>
  <c r="BB160" i="54"/>
  <c r="BB159" i="54"/>
  <c r="BB158" i="54"/>
  <c r="AC157" i="54"/>
  <c r="BB156" i="54"/>
  <c r="BB155" i="54"/>
  <c r="AC155" i="54"/>
  <c r="BB154" i="54"/>
  <c r="BB153" i="54"/>
  <c r="AC152" i="54"/>
  <c r="BC151" i="54"/>
  <c r="BB151" i="54"/>
  <c r="AC150" i="54"/>
  <c r="AC149" i="54"/>
  <c r="AC147" i="54"/>
  <c r="BC146" i="54"/>
  <c r="BB146" i="54"/>
  <c r="AC146" i="54"/>
  <c r="BB144" i="54"/>
  <c r="AC143" i="54"/>
  <c r="AC142" i="54"/>
  <c r="BB141" i="54"/>
  <c r="BB140" i="54"/>
  <c r="AC139" i="54"/>
  <c r="BB138" i="54"/>
  <c r="AC134" i="54"/>
  <c r="BB131" i="54"/>
  <c r="BB130" i="54"/>
  <c r="BB129" i="54"/>
  <c r="AC126" i="54"/>
  <c r="BB125" i="54"/>
  <c r="BB124" i="54"/>
  <c r="AC121" i="54"/>
  <c r="BB120" i="54"/>
  <c r="AC118" i="54"/>
  <c r="AC117" i="54"/>
  <c r="AC116" i="54"/>
  <c r="L116" i="54"/>
  <c r="I116" i="54"/>
  <c r="AC115" i="54"/>
  <c r="L115" i="54"/>
  <c r="I115" i="54"/>
  <c r="AC114" i="54"/>
  <c r="BB113" i="54"/>
  <c r="BB112" i="54"/>
  <c r="BB111" i="54"/>
  <c r="AC106" i="54"/>
  <c r="AC105" i="54"/>
  <c r="BB104" i="54"/>
  <c r="BB103" i="54"/>
  <c r="AC102" i="54"/>
  <c r="BB101" i="54"/>
  <c r="BB100" i="54"/>
  <c r="BB98" i="54"/>
  <c r="BB96" i="54"/>
  <c r="BB94" i="54"/>
  <c r="BC93" i="54"/>
  <c r="BB93" i="54"/>
  <c r="AC93" i="54"/>
  <c r="BB92" i="54"/>
  <c r="BB90" i="54"/>
  <c r="AC89" i="54"/>
  <c r="BB88" i="54"/>
  <c r="BB87" i="54"/>
  <c r="BB86" i="54"/>
  <c r="AC85" i="54"/>
  <c r="BC84" i="54"/>
  <c r="BB84" i="54"/>
  <c r="BB82" i="54"/>
  <c r="BB79" i="54"/>
  <c r="AC77" i="54"/>
  <c r="BB76" i="54"/>
  <c r="BB73" i="54"/>
  <c r="BB72" i="54"/>
  <c r="BB70" i="54"/>
  <c r="BB69" i="54"/>
  <c r="AC67" i="54"/>
  <c r="BB65" i="54"/>
  <c r="BB60" i="54"/>
  <c r="BB59" i="54"/>
  <c r="BB56" i="54"/>
  <c r="AC55" i="54"/>
  <c r="AC54" i="54"/>
  <c r="BB52" i="54"/>
  <c r="AC49" i="54"/>
  <c r="BB48" i="54"/>
  <c r="BB47" i="54"/>
  <c r="BB46" i="54"/>
  <c r="BB43" i="54"/>
  <c r="BB42" i="54"/>
  <c r="BC41" i="54"/>
  <c r="BB41" i="54"/>
  <c r="AC41" i="54"/>
  <c r="BB40" i="54"/>
  <c r="BB39" i="54"/>
  <c r="AC38" i="54"/>
  <c r="BB34" i="54"/>
  <c r="BB33" i="54"/>
  <c r="BB32" i="54"/>
  <c r="BB24" i="54"/>
  <c r="BC214" i="54" l="1"/>
  <c r="E20" i="53"/>
  <c r="G20" i="53" s="1"/>
  <c r="H20" i="53" s="1"/>
  <c r="E19" i="53"/>
  <c r="G19" i="53" s="1"/>
  <c r="H19" i="53" s="1"/>
  <c r="E18" i="53"/>
  <c r="G18" i="53" s="1"/>
  <c r="H18" i="53" s="1"/>
  <c r="E17" i="53"/>
  <c r="G17" i="53" s="1"/>
  <c r="H17" i="53" s="1"/>
  <c r="E16" i="53"/>
  <c r="G16" i="53" s="1"/>
  <c r="H16" i="53" s="1"/>
  <c r="E15" i="53"/>
  <c r="G15" i="53" s="1"/>
  <c r="H15" i="53" s="1"/>
  <c r="E14" i="53"/>
  <c r="G14" i="53" s="1"/>
  <c r="H14" i="53" s="1"/>
  <c r="E13" i="53"/>
  <c r="G13" i="53" s="1"/>
  <c r="H13" i="53" s="1"/>
  <c r="E12" i="53"/>
  <c r="G12" i="53" s="1"/>
  <c r="H12" i="53" s="1"/>
  <c r="E11" i="53"/>
  <c r="G11" i="53" s="1"/>
  <c r="H11" i="53" s="1"/>
  <c r="E10" i="53"/>
  <c r="G10" i="53" s="1"/>
  <c r="H10" i="53" s="1"/>
  <c r="E9" i="53"/>
  <c r="G9" i="53" s="1"/>
  <c r="H9" i="53" s="1"/>
  <c r="E8" i="53"/>
  <c r="G8" i="53" s="1"/>
  <c r="H8" i="53" s="1"/>
  <c r="E7" i="53"/>
  <c r="G7" i="53" s="1"/>
  <c r="H7" i="53" s="1"/>
  <c r="E6" i="53"/>
  <c r="G6" i="53" s="1"/>
  <c r="H6" i="53" s="1"/>
  <c r="I247" i="52" l="1"/>
  <c r="D246" i="52"/>
  <c r="F245" i="52"/>
  <c r="I245" i="52" s="1"/>
  <c r="E245" i="52"/>
  <c r="F244" i="52"/>
  <c r="I244" i="52" s="1"/>
  <c r="E244" i="52"/>
  <c r="F243" i="52"/>
  <c r="I243" i="52" s="1"/>
  <c r="E243" i="52"/>
  <c r="F242" i="52"/>
  <c r="I242" i="52" s="1"/>
  <c r="E242" i="52"/>
  <c r="F241" i="52"/>
  <c r="I241" i="52" s="1"/>
  <c r="E241" i="52"/>
  <c r="F240" i="52"/>
  <c r="I240" i="52" s="1"/>
  <c r="E240" i="52"/>
  <c r="F239" i="52"/>
  <c r="I239" i="52" s="1"/>
  <c r="E239" i="52"/>
  <c r="F238" i="52"/>
  <c r="I238" i="52" s="1"/>
  <c r="E238" i="52"/>
  <c r="F237" i="52"/>
  <c r="I237" i="52" s="1"/>
  <c r="E237" i="52"/>
  <c r="F236" i="52"/>
  <c r="I236" i="52" s="1"/>
  <c r="E236" i="52"/>
  <c r="F235" i="52"/>
  <c r="E235" i="52"/>
  <c r="D233" i="52"/>
  <c r="F232" i="52"/>
  <c r="I232" i="52" s="1"/>
  <c r="E232" i="52"/>
  <c r="E233" i="52" s="1"/>
  <c r="D230" i="52"/>
  <c r="F229" i="52"/>
  <c r="I229" i="52" s="1"/>
  <c r="E229" i="52"/>
  <c r="F228" i="52"/>
  <c r="I228" i="52" s="1"/>
  <c r="E228" i="52"/>
  <c r="F227" i="52"/>
  <c r="I227" i="52" s="1"/>
  <c r="E227" i="52"/>
  <c r="F226" i="52"/>
  <c r="I226" i="52" s="1"/>
  <c r="E226" i="52"/>
  <c r="F225" i="52"/>
  <c r="I225" i="52" s="1"/>
  <c r="E225" i="52"/>
  <c r="F224" i="52"/>
  <c r="I224" i="52" s="1"/>
  <c r="E224" i="52"/>
  <c r="F223" i="52"/>
  <c r="I223" i="52" s="1"/>
  <c r="E223" i="52"/>
  <c r="F222" i="52"/>
  <c r="I222" i="52" s="1"/>
  <c r="E222" i="52"/>
  <c r="D220" i="52"/>
  <c r="F219" i="52"/>
  <c r="I219" i="52" s="1"/>
  <c r="E219" i="52"/>
  <c r="F218" i="52"/>
  <c r="I218" i="52" s="1"/>
  <c r="E218" i="52"/>
  <c r="F217" i="52"/>
  <c r="I217" i="52" s="1"/>
  <c r="E217" i="52"/>
  <c r="F216" i="52"/>
  <c r="E216" i="52"/>
  <c r="D214" i="52"/>
  <c r="F213" i="52"/>
  <c r="F214" i="52" s="1"/>
  <c r="I214" i="52" s="1"/>
  <c r="E213" i="52"/>
  <c r="E214" i="52" s="1"/>
  <c r="D211" i="52"/>
  <c r="F210" i="52"/>
  <c r="I210" i="52" s="1"/>
  <c r="E210" i="52"/>
  <c r="F209" i="52"/>
  <c r="I209" i="52" s="1"/>
  <c r="E209" i="52"/>
  <c r="F208" i="52"/>
  <c r="I208" i="52" s="1"/>
  <c r="E208" i="52"/>
  <c r="F207" i="52"/>
  <c r="I207" i="52" s="1"/>
  <c r="E207" i="52"/>
  <c r="F206" i="52"/>
  <c r="I206" i="52" s="1"/>
  <c r="E206" i="52"/>
  <c r="F205" i="52"/>
  <c r="I205" i="52" s="1"/>
  <c r="E205" i="52"/>
  <c r="F204" i="52"/>
  <c r="I204" i="52" s="1"/>
  <c r="E204" i="52"/>
  <c r="F203" i="52"/>
  <c r="I203" i="52" s="1"/>
  <c r="E203" i="52"/>
  <c r="F202" i="52"/>
  <c r="I202" i="52" s="1"/>
  <c r="E202" i="52"/>
  <c r="F201" i="52"/>
  <c r="I201" i="52" s="1"/>
  <c r="E201" i="52"/>
  <c r="F200" i="52"/>
  <c r="I200" i="52" s="1"/>
  <c r="E200" i="52"/>
  <c r="F199" i="52"/>
  <c r="I199" i="52" s="1"/>
  <c r="E199" i="52"/>
  <c r="F198" i="52"/>
  <c r="I198" i="52" s="1"/>
  <c r="E198" i="52"/>
  <c r="F197" i="52"/>
  <c r="I197" i="52" s="1"/>
  <c r="E197" i="52"/>
  <c r="F196" i="52"/>
  <c r="I196" i="52" s="1"/>
  <c r="E196" i="52"/>
  <c r="F195" i="52"/>
  <c r="I195" i="52" s="1"/>
  <c r="E195" i="52"/>
  <c r="F194" i="52"/>
  <c r="I194" i="52" s="1"/>
  <c r="E194" i="52"/>
  <c r="F193" i="52"/>
  <c r="I193" i="52" s="1"/>
  <c r="E193" i="52"/>
  <c r="F192" i="52"/>
  <c r="I192" i="52" s="1"/>
  <c r="E192" i="52"/>
  <c r="F191" i="52"/>
  <c r="I191" i="52" s="1"/>
  <c r="E191" i="52"/>
  <c r="F190" i="52"/>
  <c r="I190" i="52" s="1"/>
  <c r="E190" i="52"/>
  <c r="F189" i="52"/>
  <c r="I189" i="52" s="1"/>
  <c r="E189" i="52"/>
  <c r="F188" i="52"/>
  <c r="I188" i="52" s="1"/>
  <c r="E188" i="52"/>
  <c r="F187" i="52"/>
  <c r="I187" i="52" s="1"/>
  <c r="E187" i="52"/>
  <c r="D185" i="52"/>
  <c r="F184" i="52"/>
  <c r="I184" i="52" s="1"/>
  <c r="E184" i="52"/>
  <c r="F183" i="52"/>
  <c r="I183" i="52" s="1"/>
  <c r="E183" i="52"/>
  <c r="F182" i="52"/>
  <c r="I182" i="52" s="1"/>
  <c r="E182" i="52"/>
  <c r="F181" i="52"/>
  <c r="I181" i="52" s="1"/>
  <c r="E181" i="52"/>
  <c r="F180" i="52"/>
  <c r="I180" i="52" s="1"/>
  <c r="E180" i="52"/>
  <c r="F179" i="52"/>
  <c r="I179" i="52" s="1"/>
  <c r="E179" i="52"/>
  <c r="F178" i="52"/>
  <c r="I178" i="52" s="1"/>
  <c r="E178" i="52"/>
  <c r="F177" i="52"/>
  <c r="I177" i="52" s="1"/>
  <c r="E177" i="52"/>
  <c r="F176" i="52"/>
  <c r="I176" i="52" s="1"/>
  <c r="E176" i="52"/>
  <c r="F175" i="52"/>
  <c r="I175" i="52" s="1"/>
  <c r="E175" i="52"/>
  <c r="F174" i="52"/>
  <c r="I174" i="52" s="1"/>
  <c r="E174" i="52"/>
  <c r="F173" i="52"/>
  <c r="I173" i="52" s="1"/>
  <c r="E173" i="52"/>
  <c r="F172" i="52"/>
  <c r="I172" i="52" s="1"/>
  <c r="E172" i="52"/>
  <c r="F171" i="52"/>
  <c r="I171" i="52" s="1"/>
  <c r="E171" i="52"/>
  <c r="F170" i="52"/>
  <c r="I170" i="52" s="1"/>
  <c r="E170" i="52"/>
  <c r="F169" i="52"/>
  <c r="I169" i="52" s="1"/>
  <c r="E169" i="52"/>
  <c r="F168" i="52"/>
  <c r="I168" i="52" s="1"/>
  <c r="E168" i="52"/>
  <c r="F167" i="52"/>
  <c r="I167" i="52" s="1"/>
  <c r="E167" i="52"/>
  <c r="F166" i="52"/>
  <c r="I166" i="52" s="1"/>
  <c r="E166" i="52"/>
  <c r="F165" i="52"/>
  <c r="I165" i="52" s="1"/>
  <c r="E165" i="52"/>
  <c r="F164" i="52"/>
  <c r="I164" i="52" s="1"/>
  <c r="E164" i="52"/>
  <c r="F163" i="52"/>
  <c r="I163" i="52" s="1"/>
  <c r="E163" i="52"/>
  <c r="F162" i="52"/>
  <c r="I162" i="52" s="1"/>
  <c r="E162" i="52"/>
  <c r="F161" i="52"/>
  <c r="I161" i="52" s="1"/>
  <c r="E161" i="52"/>
  <c r="F160" i="52"/>
  <c r="E160" i="52"/>
  <c r="L158" i="52"/>
  <c r="D158" i="52"/>
  <c r="F157" i="52"/>
  <c r="I157" i="52" s="1"/>
  <c r="E157" i="52"/>
  <c r="F156" i="52"/>
  <c r="I156" i="52" s="1"/>
  <c r="E156" i="52"/>
  <c r="F155" i="52"/>
  <c r="I155" i="52" s="1"/>
  <c r="E155" i="52"/>
  <c r="F154" i="52"/>
  <c r="I154" i="52" s="1"/>
  <c r="E154" i="52"/>
  <c r="F153" i="52"/>
  <c r="I153" i="52" s="1"/>
  <c r="E153" i="52"/>
  <c r="F152" i="52"/>
  <c r="I152" i="52" s="1"/>
  <c r="E152" i="52"/>
  <c r="F151" i="52"/>
  <c r="I151" i="52" s="1"/>
  <c r="E151" i="52"/>
  <c r="F150" i="52"/>
  <c r="I150" i="52" s="1"/>
  <c r="E150" i="52"/>
  <c r="F149" i="52"/>
  <c r="I149" i="52" s="1"/>
  <c r="E149" i="52"/>
  <c r="F148" i="52"/>
  <c r="I148" i="52" s="1"/>
  <c r="E148" i="52"/>
  <c r="F147" i="52"/>
  <c r="I147" i="52" s="1"/>
  <c r="E147" i="52"/>
  <c r="F146" i="52"/>
  <c r="I146" i="52" s="1"/>
  <c r="E146" i="52"/>
  <c r="F145" i="52"/>
  <c r="I145" i="52" s="1"/>
  <c r="E145" i="52"/>
  <c r="F144" i="52"/>
  <c r="I144" i="52" s="1"/>
  <c r="E144" i="52"/>
  <c r="F143" i="52"/>
  <c r="I143" i="52" s="1"/>
  <c r="E143" i="52"/>
  <c r="F142" i="52"/>
  <c r="I142" i="52" s="1"/>
  <c r="E142" i="52"/>
  <c r="F141" i="52"/>
  <c r="I141" i="52" s="1"/>
  <c r="E141" i="52"/>
  <c r="F140" i="52"/>
  <c r="I140" i="52" s="1"/>
  <c r="E140" i="52"/>
  <c r="F139" i="52"/>
  <c r="I139" i="52" s="1"/>
  <c r="E139" i="52"/>
  <c r="F138" i="52"/>
  <c r="I138" i="52" s="1"/>
  <c r="E138" i="52"/>
  <c r="F137" i="52"/>
  <c r="I137" i="52" s="1"/>
  <c r="E137" i="52"/>
  <c r="F136" i="52"/>
  <c r="I136" i="52" s="1"/>
  <c r="E136" i="52"/>
  <c r="F135" i="52"/>
  <c r="I135" i="52" s="1"/>
  <c r="E135" i="52"/>
  <c r="F134" i="52"/>
  <c r="I134" i="52" s="1"/>
  <c r="E134" i="52"/>
  <c r="F133" i="52"/>
  <c r="I133" i="52" s="1"/>
  <c r="E133" i="52"/>
  <c r="F132" i="52"/>
  <c r="I132" i="52" s="1"/>
  <c r="E132" i="52"/>
  <c r="F131" i="52"/>
  <c r="I131" i="52" s="1"/>
  <c r="E131" i="52"/>
  <c r="F130" i="52"/>
  <c r="I130" i="52" s="1"/>
  <c r="E130" i="52"/>
  <c r="F129" i="52"/>
  <c r="I129" i="52" s="1"/>
  <c r="E129" i="52"/>
  <c r="F128" i="52"/>
  <c r="I128" i="52" s="1"/>
  <c r="E128" i="52"/>
  <c r="F127" i="52"/>
  <c r="I127" i="52" s="1"/>
  <c r="E127" i="52"/>
  <c r="F126" i="52"/>
  <c r="E126" i="52"/>
  <c r="D124" i="52"/>
  <c r="F123" i="52"/>
  <c r="I123" i="52" s="1"/>
  <c r="E123" i="52"/>
  <c r="F122" i="52"/>
  <c r="I122" i="52" s="1"/>
  <c r="E122" i="52"/>
  <c r="D120" i="52"/>
  <c r="F119" i="52"/>
  <c r="I119" i="52" s="1"/>
  <c r="E119" i="52"/>
  <c r="E120" i="52" s="1"/>
  <c r="D117" i="52"/>
  <c r="F116" i="52"/>
  <c r="I116" i="52" s="1"/>
  <c r="E116" i="52"/>
  <c r="F115" i="52"/>
  <c r="I115" i="52" s="1"/>
  <c r="E115" i="52"/>
  <c r="F114" i="52"/>
  <c r="I114" i="52" s="1"/>
  <c r="E114" i="52"/>
  <c r="F113" i="52"/>
  <c r="I113" i="52" s="1"/>
  <c r="E113" i="52"/>
  <c r="F112" i="52"/>
  <c r="I112" i="52" s="1"/>
  <c r="E112" i="52"/>
  <c r="F111" i="52"/>
  <c r="I111" i="52" s="1"/>
  <c r="E111" i="52"/>
  <c r="F110" i="52"/>
  <c r="I110" i="52" s="1"/>
  <c r="E110" i="52"/>
  <c r="F109" i="52"/>
  <c r="I109" i="52" s="1"/>
  <c r="E109" i="52"/>
  <c r="F108" i="52"/>
  <c r="I108" i="52" s="1"/>
  <c r="E108" i="52"/>
  <c r="F107" i="52"/>
  <c r="I107" i="52" s="1"/>
  <c r="E107" i="52"/>
  <c r="F106" i="52"/>
  <c r="I106" i="52" s="1"/>
  <c r="E106" i="52"/>
  <c r="F105" i="52"/>
  <c r="I105" i="52" s="1"/>
  <c r="E105" i="52"/>
  <c r="F104" i="52"/>
  <c r="I104" i="52" s="1"/>
  <c r="E104" i="52"/>
  <c r="F103" i="52"/>
  <c r="I103" i="52" s="1"/>
  <c r="E103" i="52"/>
  <c r="F102" i="52"/>
  <c r="I102" i="52" s="1"/>
  <c r="E102" i="52"/>
  <c r="F101" i="52"/>
  <c r="I101" i="52" s="1"/>
  <c r="E101" i="52"/>
  <c r="F100" i="52"/>
  <c r="I100" i="52" s="1"/>
  <c r="E100" i="52"/>
  <c r="F99" i="52"/>
  <c r="I99" i="52" s="1"/>
  <c r="E99" i="52"/>
  <c r="F98" i="52"/>
  <c r="I98" i="52" s="1"/>
  <c r="E98" i="52"/>
  <c r="F97" i="52"/>
  <c r="I97" i="52" s="1"/>
  <c r="E97" i="52"/>
  <c r="F96" i="52"/>
  <c r="I96" i="52" s="1"/>
  <c r="E96" i="52"/>
  <c r="F95" i="52"/>
  <c r="I95" i="52" s="1"/>
  <c r="E95" i="52"/>
  <c r="F94" i="52"/>
  <c r="I94" i="52" s="1"/>
  <c r="E94" i="52"/>
  <c r="F93" i="52"/>
  <c r="I93" i="52" s="1"/>
  <c r="E93" i="52"/>
  <c r="F92" i="52"/>
  <c r="I92" i="52" s="1"/>
  <c r="E92" i="52"/>
  <c r="F91" i="52"/>
  <c r="I91" i="52" s="1"/>
  <c r="E91" i="52"/>
  <c r="F90" i="52"/>
  <c r="I90" i="52" s="1"/>
  <c r="E90" i="52"/>
  <c r="F89" i="52"/>
  <c r="I89" i="52" s="1"/>
  <c r="E89" i="52"/>
  <c r="F88" i="52"/>
  <c r="I88" i="52" s="1"/>
  <c r="E88" i="52"/>
  <c r="F87" i="52"/>
  <c r="I87" i="52" s="1"/>
  <c r="E87" i="52"/>
  <c r="F86" i="52"/>
  <c r="I86" i="52" s="1"/>
  <c r="E86" i="52"/>
  <c r="F85" i="52"/>
  <c r="I85" i="52" s="1"/>
  <c r="E85" i="52"/>
  <c r="F84" i="52"/>
  <c r="I84" i="52" s="1"/>
  <c r="E84" i="52"/>
  <c r="F83" i="52"/>
  <c r="I83" i="52" s="1"/>
  <c r="E83" i="52"/>
  <c r="F82" i="52"/>
  <c r="I82" i="52" s="1"/>
  <c r="E82" i="52"/>
  <c r="F81" i="52"/>
  <c r="I81" i="52" s="1"/>
  <c r="E81" i="52"/>
  <c r="F80" i="52"/>
  <c r="I80" i="52" s="1"/>
  <c r="E80" i="52"/>
  <c r="F79" i="52"/>
  <c r="I79" i="52" s="1"/>
  <c r="E79" i="52"/>
  <c r="F78" i="52"/>
  <c r="I78" i="52" s="1"/>
  <c r="E78" i="52"/>
  <c r="F77" i="52"/>
  <c r="I77" i="52" s="1"/>
  <c r="E77" i="52"/>
  <c r="F76" i="52"/>
  <c r="I76" i="52" s="1"/>
  <c r="E76" i="52"/>
  <c r="F75" i="52"/>
  <c r="I75" i="52" s="1"/>
  <c r="E75" i="52"/>
  <c r="F74" i="52"/>
  <c r="I74" i="52" s="1"/>
  <c r="E74" i="52"/>
  <c r="F73" i="52"/>
  <c r="I73" i="52" s="1"/>
  <c r="E73" i="52"/>
  <c r="F72" i="52"/>
  <c r="I72" i="52" s="1"/>
  <c r="E72" i="52"/>
  <c r="F71" i="52"/>
  <c r="I71" i="52" s="1"/>
  <c r="E71" i="52"/>
  <c r="F70" i="52"/>
  <c r="I70" i="52" s="1"/>
  <c r="E70" i="52"/>
  <c r="F69" i="52"/>
  <c r="I69" i="52" s="1"/>
  <c r="E69" i="52"/>
  <c r="F68" i="52"/>
  <c r="I68" i="52" s="1"/>
  <c r="E68" i="52"/>
  <c r="F67" i="52"/>
  <c r="I67" i="52" s="1"/>
  <c r="E67" i="52"/>
  <c r="F66" i="52"/>
  <c r="I66" i="52" s="1"/>
  <c r="E66" i="52"/>
  <c r="F65" i="52"/>
  <c r="I65" i="52" s="1"/>
  <c r="E65" i="52"/>
  <c r="F64" i="52"/>
  <c r="I64" i="52" s="1"/>
  <c r="E64" i="52"/>
  <c r="F63" i="52"/>
  <c r="I63" i="52" s="1"/>
  <c r="E63" i="52"/>
  <c r="F62" i="52"/>
  <c r="I62" i="52" s="1"/>
  <c r="E62" i="52"/>
  <c r="F61" i="52"/>
  <c r="I61" i="52" s="1"/>
  <c r="E61" i="52"/>
  <c r="F60" i="52"/>
  <c r="I60" i="52" s="1"/>
  <c r="E60" i="52"/>
  <c r="F59" i="52"/>
  <c r="I59" i="52" s="1"/>
  <c r="E59" i="52"/>
  <c r="F58" i="52"/>
  <c r="I58" i="52" s="1"/>
  <c r="E58" i="52"/>
  <c r="F57" i="52"/>
  <c r="I57" i="52" s="1"/>
  <c r="E57" i="52"/>
  <c r="F56" i="52"/>
  <c r="I56" i="52" s="1"/>
  <c r="E56" i="52"/>
  <c r="F55" i="52"/>
  <c r="I55" i="52" s="1"/>
  <c r="E55" i="52"/>
  <c r="F54" i="52"/>
  <c r="I54" i="52" s="1"/>
  <c r="E54" i="52"/>
  <c r="F53" i="52"/>
  <c r="I53" i="52" s="1"/>
  <c r="E53" i="52"/>
  <c r="F52" i="52"/>
  <c r="I52" i="52" s="1"/>
  <c r="E52" i="52"/>
  <c r="F51" i="52"/>
  <c r="I51" i="52" s="1"/>
  <c r="E51" i="52"/>
  <c r="F50" i="52"/>
  <c r="I50" i="52" s="1"/>
  <c r="E50" i="52"/>
  <c r="F49" i="52"/>
  <c r="I49" i="52" s="1"/>
  <c r="E49" i="52"/>
  <c r="F48" i="52"/>
  <c r="I48" i="52" s="1"/>
  <c r="E48" i="52"/>
  <c r="F47" i="52"/>
  <c r="I47" i="52" s="1"/>
  <c r="E47" i="52"/>
  <c r="F46" i="52"/>
  <c r="I46" i="52" s="1"/>
  <c r="E46" i="52"/>
  <c r="F45" i="52"/>
  <c r="I45" i="52" s="1"/>
  <c r="E45" i="52"/>
  <c r="F44" i="52"/>
  <c r="I44" i="52" s="1"/>
  <c r="E44" i="52"/>
  <c r="F43" i="52"/>
  <c r="I43" i="52" s="1"/>
  <c r="E43" i="52"/>
  <c r="F42" i="52"/>
  <c r="I42" i="52" s="1"/>
  <c r="E42" i="52"/>
  <c r="F41" i="52"/>
  <c r="I41" i="52" s="1"/>
  <c r="E41" i="52"/>
  <c r="F40" i="52"/>
  <c r="I40" i="52" s="1"/>
  <c r="E40" i="52"/>
  <c r="F39" i="52"/>
  <c r="I39" i="52" s="1"/>
  <c r="E39" i="52"/>
  <c r="F38" i="52"/>
  <c r="I38" i="52" s="1"/>
  <c r="E38" i="52"/>
  <c r="F37" i="52"/>
  <c r="I37" i="52" s="1"/>
  <c r="E37" i="52"/>
  <c r="F36" i="52"/>
  <c r="I36" i="52" s="1"/>
  <c r="E36" i="52"/>
  <c r="F35" i="52"/>
  <c r="I35" i="52" s="1"/>
  <c r="E35" i="52"/>
  <c r="F34" i="52"/>
  <c r="I34" i="52" s="1"/>
  <c r="E34" i="52"/>
  <c r="F33" i="52"/>
  <c r="I33" i="52" s="1"/>
  <c r="E33" i="52"/>
  <c r="F32" i="52"/>
  <c r="I32" i="52" s="1"/>
  <c r="E32" i="52"/>
  <c r="F31" i="52"/>
  <c r="I31" i="52" s="1"/>
  <c r="E31" i="52"/>
  <c r="F30" i="52"/>
  <c r="I30" i="52" s="1"/>
  <c r="E30" i="52"/>
  <c r="D28" i="52"/>
  <c r="F27" i="52"/>
  <c r="E27" i="52"/>
  <c r="F26" i="52"/>
  <c r="I26" i="52" s="1"/>
  <c r="E26" i="52"/>
  <c r="D24" i="52"/>
  <c r="F23" i="52"/>
  <c r="I23" i="52" s="1"/>
  <c r="E23" i="52"/>
  <c r="F22" i="52"/>
  <c r="I22" i="52" s="1"/>
  <c r="E22" i="52"/>
  <c r="F21" i="52"/>
  <c r="I21" i="52" s="1"/>
  <c r="E21" i="52"/>
  <c r="F20" i="52"/>
  <c r="I20" i="52" s="1"/>
  <c r="E20" i="52"/>
  <c r="F19" i="52"/>
  <c r="I19" i="52" s="1"/>
  <c r="E19" i="52"/>
  <c r="F18" i="52"/>
  <c r="E18" i="52"/>
  <c r="D16" i="52"/>
  <c r="F15" i="52"/>
  <c r="E15" i="52"/>
  <c r="F14" i="52"/>
  <c r="I14" i="52" s="1"/>
  <c r="E14" i="52"/>
  <c r="D12" i="52"/>
  <c r="F11" i="52"/>
  <c r="F12" i="52" s="1"/>
  <c r="I12" i="52" s="1"/>
  <c r="E11" i="52"/>
  <c r="E12" i="52" s="1"/>
  <c r="D9" i="52"/>
  <c r="F8" i="52"/>
  <c r="F9" i="52" s="1"/>
  <c r="I9" i="52" s="1"/>
  <c r="E8" i="52"/>
  <c r="E9" i="52" s="1"/>
  <c r="E220" i="52" l="1"/>
  <c r="I11" i="52"/>
  <c r="F16" i="52"/>
  <c r="I16" i="52" s="1"/>
  <c r="E28" i="52"/>
  <c r="F233" i="52"/>
  <c r="I233" i="52" s="1"/>
  <c r="D248" i="52"/>
  <c r="F220" i="52"/>
  <c r="I220" i="52" s="1"/>
  <c r="E24" i="52"/>
  <c r="F158" i="52"/>
  <c r="I158" i="52" s="1"/>
  <c r="F185" i="52"/>
  <c r="I185" i="52" s="1"/>
  <c r="E246" i="52"/>
  <c r="F24" i="52"/>
  <c r="I24" i="52" s="1"/>
  <c r="E158" i="52"/>
  <c r="E16" i="52"/>
  <c r="I8" i="52"/>
  <c r="F28" i="52"/>
  <c r="I28" i="52" s="1"/>
  <c r="F124" i="52"/>
  <c r="I124" i="52" s="1"/>
  <c r="I160" i="52"/>
  <c r="F246" i="52"/>
  <c r="I246" i="52" s="1"/>
  <c r="E211" i="52"/>
  <c r="F211" i="52"/>
  <c r="I211" i="52" s="1"/>
  <c r="E230" i="52"/>
  <c r="E185" i="52"/>
  <c r="I18" i="52"/>
  <c r="E117" i="52"/>
  <c r="E124" i="52"/>
  <c r="F117" i="52"/>
  <c r="I117" i="52" s="1"/>
  <c r="E248" i="52"/>
  <c r="I27" i="52"/>
  <c r="I126" i="52"/>
  <c r="I213" i="52"/>
  <c r="F230" i="52"/>
  <c r="I230" i="52" s="1"/>
  <c r="I15" i="52"/>
  <c r="F120" i="52"/>
  <c r="I120" i="52" s="1"/>
  <c r="I235" i="52"/>
  <c r="I216" i="52"/>
  <c r="F248" i="52" l="1"/>
  <c r="I248" i="52" l="1"/>
  <c r="E214" i="51" l="1"/>
  <c r="D214" i="51"/>
  <c r="AG245" i="50" l="1"/>
  <c r="AE245" i="50"/>
  <c r="AD245" i="50"/>
  <c r="AF234" i="50"/>
  <c r="AF245" i="50" s="1"/>
  <c r="AG232" i="50"/>
  <c r="AF232" i="50"/>
  <c r="AE232" i="50"/>
  <c r="AD232" i="50"/>
  <c r="AG229" i="50"/>
  <c r="AF229" i="50"/>
  <c r="AE229" i="50"/>
  <c r="AD229" i="50"/>
  <c r="AG219" i="50"/>
  <c r="AF219" i="50"/>
  <c r="AE219" i="50"/>
  <c r="AD219" i="50"/>
  <c r="AG213" i="50"/>
  <c r="AF213" i="50"/>
  <c r="AE213" i="50"/>
  <c r="AD213" i="50"/>
  <c r="AG210" i="50"/>
  <c r="AF210" i="50"/>
  <c r="AE210" i="50"/>
  <c r="AD210" i="50"/>
  <c r="AG184" i="50"/>
  <c r="AF184" i="50"/>
  <c r="AE184" i="50"/>
  <c r="AD184" i="50"/>
  <c r="AG157" i="50"/>
  <c r="AF157" i="50"/>
  <c r="AE157" i="50"/>
  <c r="AD157" i="50"/>
  <c r="AG123" i="50"/>
  <c r="AF123" i="50"/>
  <c r="AE123" i="50"/>
  <c r="AD123" i="50"/>
  <c r="AG119" i="50"/>
  <c r="AF119" i="50"/>
  <c r="AE119" i="50"/>
  <c r="AD119" i="50"/>
  <c r="AG116" i="50"/>
  <c r="AF116" i="50"/>
  <c r="AE116" i="50"/>
  <c r="AD116" i="50"/>
  <c r="AG27" i="50"/>
  <c r="AF27" i="50"/>
  <c r="AE27" i="50"/>
  <c r="AD27" i="50"/>
  <c r="AD23" i="50"/>
  <c r="AD15" i="50"/>
  <c r="AD11" i="50"/>
  <c r="AG8" i="50"/>
  <c r="AG250" i="50" s="1"/>
  <c r="AF8" i="50"/>
  <c r="AE8" i="50"/>
  <c r="AD8" i="50"/>
  <c r="AD250" i="50" s="1"/>
  <c r="AF250" i="50" l="1"/>
  <c r="AE250" i="50"/>
  <c r="L2532" i="49"/>
  <c r="I2532" i="49"/>
  <c r="H2532" i="49"/>
  <c r="D2532" i="49"/>
  <c r="K2530" i="49"/>
  <c r="J2530" i="49"/>
  <c r="E2530" i="49"/>
  <c r="K2518" i="49"/>
  <c r="J2518" i="49"/>
  <c r="E2518" i="49"/>
  <c r="K2506" i="49"/>
  <c r="J2506" i="49"/>
  <c r="E2506" i="49"/>
  <c r="F2506" i="49" s="1"/>
  <c r="K2494" i="49"/>
  <c r="J2494" i="49"/>
  <c r="E2494" i="49"/>
  <c r="K2482" i="49"/>
  <c r="J2482" i="49"/>
  <c r="E2482" i="49"/>
  <c r="F2482" i="49" s="1"/>
  <c r="K2470" i="49"/>
  <c r="J2470" i="49"/>
  <c r="E2470" i="49"/>
  <c r="G2470" i="49" s="1"/>
  <c r="K2458" i="49"/>
  <c r="J2458" i="49"/>
  <c r="E2458" i="49"/>
  <c r="K2446" i="49"/>
  <c r="J2446" i="49"/>
  <c r="E2446" i="49"/>
  <c r="K2434" i="49"/>
  <c r="J2434" i="49"/>
  <c r="E2434" i="49"/>
  <c r="F2434" i="49" s="1"/>
  <c r="K2422" i="49"/>
  <c r="J2422" i="49"/>
  <c r="E2422" i="49"/>
  <c r="K2410" i="49"/>
  <c r="J2410" i="49"/>
  <c r="E2410" i="49"/>
  <c r="L2398" i="49"/>
  <c r="H2398" i="49"/>
  <c r="G2398" i="49"/>
  <c r="D2398" i="49"/>
  <c r="K2396" i="49"/>
  <c r="K2398" i="49" s="1"/>
  <c r="J2396" i="49"/>
  <c r="J2398" i="49" s="1"/>
  <c r="E2396" i="49"/>
  <c r="F2396" i="49" s="1"/>
  <c r="F2398" i="49" s="1"/>
  <c r="L2384" i="49"/>
  <c r="H2384" i="49"/>
  <c r="G2384" i="49"/>
  <c r="D2384" i="49"/>
  <c r="K2382" i="49"/>
  <c r="J2382" i="49"/>
  <c r="E2382" i="49"/>
  <c r="K2370" i="49"/>
  <c r="J2370" i="49"/>
  <c r="E2370" i="49"/>
  <c r="K2358" i="49"/>
  <c r="J2358" i="49"/>
  <c r="E2358" i="49"/>
  <c r="F2358" i="49" s="1"/>
  <c r="K2346" i="49"/>
  <c r="J2346" i="49"/>
  <c r="E2346" i="49"/>
  <c r="K2334" i="49"/>
  <c r="J2334" i="49"/>
  <c r="E2334" i="49"/>
  <c r="F2334" i="49" s="1"/>
  <c r="K2322" i="49"/>
  <c r="J2322" i="49"/>
  <c r="E2322" i="49"/>
  <c r="F2322" i="49" s="1"/>
  <c r="K2310" i="49"/>
  <c r="J2310" i="49"/>
  <c r="E2310" i="49"/>
  <c r="K2298" i="49"/>
  <c r="J2298" i="49"/>
  <c r="E2298" i="49"/>
  <c r="M2298" i="49" s="1"/>
  <c r="L2286" i="49"/>
  <c r="I2286" i="49"/>
  <c r="H2286" i="49"/>
  <c r="G2286" i="49"/>
  <c r="D2286" i="49"/>
  <c r="K2284" i="49"/>
  <c r="J2284" i="49"/>
  <c r="E2284" i="49"/>
  <c r="F2284" i="49" s="1"/>
  <c r="K2272" i="49"/>
  <c r="J2272" i="49"/>
  <c r="E2272" i="49"/>
  <c r="K2260" i="49"/>
  <c r="J2260" i="49"/>
  <c r="E2260" i="49"/>
  <c r="K2248" i="49"/>
  <c r="J2248" i="49"/>
  <c r="E2248" i="49"/>
  <c r="F2248" i="49" s="1"/>
  <c r="L2236" i="49"/>
  <c r="H2236" i="49"/>
  <c r="G2236" i="49"/>
  <c r="D2236" i="49"/>
  <c r="K2234" i="49"/>
  <c r="K2236" i="49" s="1"/>
  <c r="J2234" i="49"/>
  <c r="J2236" i="49" s="1"/>
  <c r="E2234" i="49"/>
  <c r="E2236" i="49" s="1"/>
  <c r="L2222" i="49"/>
  <c r="H2222" i="49"/>
  <c r="D2222" i="49"/>
  <c r="K2220" i="49"/>
  <c r="J2220" i="49"/>
  <c r="E2220" i="49"/>
  <c r="K2208" i="49"/>
  <c r="J2208" i="49"/>
  <c r="E2208" i="49"/>
  <c r="F2208" i="49" s="1"/>
  <c r="K2196" i="49"/>
  <c r="J2196" i="49"/>
  <c r="E2196" i="49"/>
  <c r="G2196" i="49" s="1"/>
  <c r="K2184" i="49"/>
  <c r="J2184" i="49"/>
  <c r="E2184" i="49"/>
  <c r="K2172" i="49"/>
  <c r="J2172" i="49"/>
  <c r="E2172" i="49"/>
  <c r="F2172" i="49" s="1"/>
  <c r="K2160" i="49"/>
  <c r="J2160" i="49"/>
  <c r="E2160" i="49"/>
  <c r="F2160" i="49" s="1"/>
  <c r="K2148" i="49"/>
  <c r="J2148" i="49"/>
  <c r="E2148" i="49"/>
  <c r="K2136" i="49"/>
  <c r="J2136" i="49"/>
  <c r="E2136" i="49"/>
  <c r="F2136" i="49" s="1"/>
  <c r="K2124" i="49"/>
  <c r="J2124" i="49"/>
  <c r="E2124" i="49"/>
  <c r="M2124" i="49" s="1"/>
  <c r="K2112" i="49"/>
  <c r="J2112" i="49"/>
  <c r="E2112" i="49"/>
  <c r="F2112" i="49" s="1"/>
  <c r="K2100" i="49"/>
  <c r="J2100" i="49"/>
  <c r="E2100" i="49"/>
  <c r="F2100" i="49" s="1"/>
  <c r="K2088" i="49"/>
  <c r="J2088" i="49"/>
  <c r="E2088" i="49"/>
  <c r="K2076" i="49"/>
  <c r="J2076" i="49"/>
  <c r="E2076" i="49"/>
  <c r="F2076" i="49" s="1"/>
  <c r="K2064" i="49"/>
  <c r="J2064" i="49"/>
  <c r="E2064" i="49"/>
  <c r="K2052" i="49"/>
  <c r="J2052" i="49"/>
  <c r="E2052" i="49"/>
  <c r="M2052" i="49" s="1"/>
  <c r="K2040" i="49"/>
  <c r="J2040" i="49"/>
  <c r="E2040" i="49"/>
  <c r="F2040" i="49" s="1"/>
  <c r="K2028" i="49"/>
  <c r="J2028" i="49"/>
  <c r="E2028" i="49"/>
  <c r="K2016" i="49"/>
  <c r="J2016" i="49"/>
  <c r="E2016" i="49"/>
  <c r="K2004" i="49"/>
  <c r="J2004" i="49"/>
  <c r="E2004" i="49"/>
  <c r="G2004" i="49" s="1"/>
  <c r="K1992" i="49"/>
  <c r="J1992" i="49"/>
  <c r="E1992" i="49"/>
  <c r="K1980" i="49"/>
  <c r="J1980" i="49"/>
  <c r="E1980" i="49"/>
  <c r="M1980" i="49" s="1"/>
  <c r="K1968" i="49"/>
  <c r="J1968" i="49"/>
  <c r="E1968" i="49"/>
  <c r="F1968" i="49" s="1"/>
  <c r="K1956" i="49"/>
  <c r="J1956" i="49"/>
  <c r="E1956" i="49"/>
  <c r="K1944" i="49"/>
  <c r="J1944" i="49"/>
  <c r="E1944" i="49"/>
  <c r="F1944" i="49" s="1"/>
  <c r="L1932" i="49"/>
  <c r="I1932" i="49"/>
  <c r="H1932" i="49"/>
  <c r="D1932" i="49"/>
  <c r="K1930" i="49"/>
  <c r="J1930" i="49"/>
  <c r="E1930" i="49"/>
  <c r="F1930" i="49" s="1"/>
  <c r="K1918" i="49"/>
  <c r="J1918" i="49"/>
  <c r="E1918" i="49"/>
  <c r="F1918" i="49" s="1"/>
  <c r="K1906" i="49"/>
  <c r="J1906" i="49"/>
  <c r="E1906" i="49"/>
  <c r="K1894" i="49"/>
  <c r="J1894" i="49"/>
  <c r="E1894" i="49"/>
  <c r="F1894" i="49" s="1"/>
  <c r="K1882" i="49"/>
  <c r="J1882" i="49"/>
  <c r="E1882" i="49"/>
  <c r="K1870" i="49"/>
  <c r="J1870" i="49"/>
  <c r="E1870" i="49"/>
  <c r="K1858" i="49"/>
  <c r="J1858" i="49"/>
  <c r="E1858" i="49"/>
  <c r="G1858" i="49" s="1"/>
  <c r="K1846" i="49"/>
  <c r="J1846" i="49"/>
  <c r="E1846" i="49"/>
  <c r="K1834" i="49"/>
  <c r="J1834" i="49"/>
  <c r="E1834" i="49"/>
  <c r="K1822" i="49"/>
  <c r="J1822" i="49"/>
  <c r="E1822" i="49"/>
  <c r="F1822" i="49" s="1"/>
  <c r="K1810" i="49"/>
  <c r="J1810" i="49"/>
  <c r="E1810" i="49"/>
  <c r="K1798" i="49"/>
  <c r="J1798" i="49"/>
  <c r="E1798" i="49"/>
  <c r="K1786" i="49"/>
  <c r="J1786" i="49"/>
  <c r="E1786" i="49"/>
  <c r="F1786" i="49" s="1"/>
  <c r="K1774" i="49"/>
  <c r="J1774" i="49"/>
  <c r="E1774" i="49"/>
  <c r="G1774" i="49" s="1"/>
  <c r="K1762" i="49"/>
  <c r="J1762" i="49"/>
  <c r="E1762" i="49"/>
  <c r="K1750" i="49"/>
  <c r="J1750" i="49"/>
  <c r="E1750" i="49"/>
  <c r="F1750" i="49" s="1"/>
  <c r="K1738" i="49"/>
  <c r="J1738" i="49"/>
  <c r="E1738" i="49"/>
  <c r="K1726" i="49"/>
  <c r="J1726" i="49"/>
  <c r="E1726" i="49"/>
  <c r="K1714" i="49"/>
  <c r="J1714" i="49"/>
  <c r="E1714" i="49"/>
  <c r="F1714" i="49" s="1"/>
  <c r="K1702" i="49"/>
  <c r="J1702" i="49"/>
  <c r="E1702" i="49"/>
  <c r="K1690" i="49"/>
  <c r="J1690" i="49"/>
  <c r="E1690" i="49"/>
  <c r="F1690" i="49" s="1"/>
  <c r="K1678" i="49"/>
  <c r="J1678" i="49"/>
  <c r="E1678" i="49"/>
  <c r="M1678" i="49" s="1"/>
  <c r="K1666" i="49"/>
  <c r="J1666" i="49"/>
  <c r="E1666" i="49"/>
  <c r="K1654" i="49"/>
  <c r="J1654" i="49"/>
  <c r="E1654" i="49"/>
  <c r="F1654" i="49" s="1"/>
  <c r="K1642" i="49"/>
  <c r="J1642" i="49"/>
  <c r="E1642" i="49"/>
  <c r="L1630" i="49"/>
  <c r="I1630" i="49"/>
  <c r="H1630" i="49"/>
  <c r="D1630" i="49"/>
  <c r="K1628" i="49"/>
  <c r="J1628" i="49"/>
  <c r="E1628" i="49"/>
  <c r="K1616" i="49"/>
  <c r="J1616" i="49"/>
  <c r="E1616" i="49"/>
  <c r="F1616" i="49" s="1"/>
  <c r="K1604" i="49"/>
  <c r="J1604" i="49"/>
  <c r="E1604" i="49"/>
  <c r="F1604" i="49" s="1"/>
  <c r="K1592" i="49"/>
  <c r="J1592" i="49"/>
  <c r="E1592" i="49"/>
  <c r="K1580" i="49"/>
  <c r="J1580" i="49"/>
  <c r="E1580" i="49"/>
  <c r="F1580" i="49" s="1"/>
  <c r="K1568" i="49"/>
  <c r="J1568" i="49"/>
  <c r="E1568" i="49"/>
  <c r="F1568" i="49" s="1"/>
  <c r="K1556" i="49"/>
  <c r="J1556" i="49"/>
  <c r="E1556" i="49"/>
  <c r="K1544" i="49"/>
  <c r="J1544" i="49"/>
  <c r="E1544" i="49"/>
  <c r="F1544" i="49" s="1"/>
  <c r="K1532" i="49"/>
  <c r="J1532" i="49"/>
  <c r="E1532" i="49"/>
  <c r="K1520" i="49"/>
  <c r="J1520" i="49"/>
  <c r="E1520" i="49"/>
  <c r="M1520" i="49" s="1"/>
  <c r="K1508" i="49"/>
  <c r="J1508" i="49"/>
  <c r="E1508" i="49"/>
  <c r="F1508" i="49" s="1"/>
  <c r="K1496" i="49"/>
  <c r="J1496" i="49"/>
  <c r="E1496" i="49"/>
  <c r="K1484" i="49"/>
  <c r="J1484" i="49"/>
  <c r="E1484" i="49"/>
  <c r="F1484" i="49" s="1"/>
  <c r="K1472" i="49"/>
  <c r="J1472" i="49"/>
  <c r="E1472" i="49"/>
  <c r="K1460" i="49"/>
  <c r="J1460" i="49"/>
  <c r="E1460" i="49"/>
  <c r="K1448" i="49"/>
  <c r="J1448" i="49"/>
  <c r="E1448" i="49"/>
  <c r="M1448" i="49" s="1"/>
  <c r="K1436" i="49"/>
  <c r="J1436" i="49"/>
  <c r="E1436" i="49"/>
  <c r="K1424" i="49"/>
  <c r="J1424" i="49"/>
  <c r="E1424" i="49"/>
  <c r="M1424" i="49" s="1"/>
  <c r="K1412" i="49"/>
  <c r="J1412" i="49"/>
  <c r="E1412" i="49"/>
  <c r="F1412" i="49" s="1"/>
  <c r="K1400" i="49"/>
  <c r="J1400" i="49"/>
  <c r="E1400" i="49"/>
  <c r="K1388" i="49"/>
  <c r="J1388" i="49"/>
  <c r="E1388" i="49"/>
  <c r="F1388" i="49" s="1"/>
  <c r="K1376" i="49"/>
  <c r="J1376" i="49"/>
  <c r="E1376" i="49"/>
  <c r="F1376" i="49" s="1"/>
  <c r="K1364" i="49"/>
  <c r="J1364" i="49"/>
  <c r="E1364" i="49"/>
  <c r="G1364" i="49" s="1"/>
  <c r="K1352" i="49"/>
  <c r="J1352" i="49"/>
  <c r="E1352" i="49"/>
  <c r="F1352" i="49" s="1"/>
  <c r="K1340" i="49"/>
  <c r="J1340" i="49"/>
  <c r="E1340" i="49"/>
  <c r="F1340" i="49" s="1"/>
  <c r="K1328" i="49"/>
  <c r="J1328" i="49"/>
  <c r="E1328" i="49"/>
  <c r="K1316" i="49"/>
  <c r="J1316" i="49"/>
  <c r="E1316" i="49"/>
  <c r="K1304" i="49"/>
  <c r="J1304" i="49"/>
  <c r="E1304" i="49"/>
  <c r="F1304" i="49" s="1"/>
  <c r="K1292" i="49"/>
  <c r="J1292" i="49"/>
  <c r="E1292" i="49"/>
  <c r="K1280" i="49"/>
  <c r="J1280" i="49"/>
  <c r="E1280" i="49"/>
  <c r="G1280" i="49" s="1"/>
  <c r="K1268" i="49"/>
  <c r="J1268" i="49"/>
  <c r="E1268" i="49"/>
  <c r="K1256" i="49"/>
  <c r="J1256" i="49"/>
  <c r="E1256" i="49"/>
  <c r="L1244" i="49"/>
  <c r="I1244" i="49"/>
  <c r="H1244" i="49"/>
  <c r="G1244" i="49"/>
  <c r="D1244" i="49"/>
  <c r="K1242" i="49"/>
  <c r="J1242" i="49"/>
  <c r="E1242" i="49"/>
  <c r="F1242" i="49" s="1"/>
  <c r="K1230" i="49"/>
  <c r="J1230" i="49"/>
  <c r="E1230" i="49"/>
  <c r="F1230" i="49" s="1"/>
  <c r="L1218" i="49"/>
  <c r="I1218" i="49"/>
  <c r="H1218" i="49"/>
  <c r="G1218" i="49"/>
  <c r="D1218" i="49"/>
  <c r="K1216" i="49"/>
  <c r="K1218" i="49" s="1"/>
  <c r="J1216" i="49"/>
  <c r="J1218" i="49" s="1"/>
  <c r="E1216" i="49"/>
  <c r="L1204" i="49"/>
  <c r="I1204" i="49"/>
  <c r="H1204" i="49"/>
  <c r="D1204" i="49"/>
  <c r="K1202" i="49"/>
  <c r="J1202" i="49"/>
  <c r="E1202" i="49"/>
  <c r="M1202" i="49" s="1"/>
  <c r="K1190" i="49"/>
  <c r="J1190" i="49"/>
  <c r="E1190" i="49"/>
  <c r="F1190" i="49" s="1"/>
  <c r="K1178" i="49"/>
  <c r="J1178" i="49"/>
  <c r="E1178" i="49"/>
  <c r="F1178" i="49" s="1"/>
  <c r="K1166" i="49"/>
  <c r="J1166" i="49"/>
  <c r="E1166" i="49"/>
  <c r="K1154" i="49"/>
  <c r="J1154" i="49"/>
  <c r="E1154" i="49"/>
  <c r="F1154" i="49" s="1"/>
  <c r="K1142" i="49"/>
  <c r="J1142" i="49"/>
  <c r="E1142" i="49"/>
  <c r="K1130" i="49"/>
  <c r="J1130" i="49"/>
  <c r="E1130" i="49"/>
  <c r="K1118" i="49"/>
  <c r="J1118" i="49"/>
  <c r="E1118" i="49"/>
  <c r="G1118" i="49" s="1"/>
  <c r="K1106" i="49"/>
  <c r="J1106" i="49"/>
  <c r="E1106" i="49"/>
  <c r="K1094" i="49"/>
  <c r="J1094" i="49"/>
  <c r="E1094" i="49"/>
  <c r="K1082" i="49"/>
  <c r="J1082" i="49"/>
  <c r="E1082" i="49"/>
  <c r="F1082" i="49" s="1"/>
  <c r="K1070" i="49"/>
  <c r="J1070" i="49"/>
  <c r="E1070" i="49"/>
  <c r="K1058" i="49"/>
  <c r="J1058" i="49"/>
  <c r="E1058" i="49"/>
  <c r="F1058" i="49" s="1"/>
  <c r="K1046" i="49"/>
  <c r="J1046" i="49"/>
  <c r="E1046" i="49"/>
  <c r="G1046" i="49" s="1"/>
  <c r="K1034" i="49"/>
  <c r="J1034" i="49"/>
  <c r="E1034" i="49"/>
  <c r="K1022" i="49"/>
  <c r="J1022" i="49"/>
  <c r="E1022" i="49"/>
  <c r="M1022" i="49" s="1"/>
  <c r="K1010" i="49"/>
  <c r="J1010" i="49"/>
  <c r="E1010" i="49"/>
  <c r="F1010" i="49" s="1"/>
  <c r="K998" i="49"/>
  <c r="J998" i="49"/>
  <c r="E998" i="49"/>
  <c r="K986" i="49"/>
  <c r="J986" i="49"/>
  <c r="E986" i="49"/>
  <c r="K974" i="49"/>
  <c r="J974" i="49"/>
  <c r="E974" i="49"/>
  <c r="F974" i="49" s="1"/>
  <c r="K962" i="49"/>
  <c r="J962" i="49"/>
  <c r="E962" i="49"/>
  <c r="F962" i="49" s="1"/>
  <c r="K950" i="49"/>
  <c r="J950" i="49"/>
  <c r="E950" i="49"/>
  <c r="K938" i="49"/>
  <c r="J938" i="49"/>
  <c r="E938" i="49"/>
  <c r="K926" i="49"/>
  <c r="J926" i="49"/>
  <c r="E926" i="49"/>
  <c r="F926" i="49" s="1"/>
  <c r="K914" i="49"/>
  <c r="J914" i="49"/>
  <c r="E914" i="49"/>
  <c r="F914" i="49" s="1"/>
  <c r="K902" i="49"/>
  <c r="J902" i="49"/>
  <c r="E902" i="49"/>
  <c r="F902" i="49" s="1"/>
  <c r="K890" i="49"/>
  <c r="J890" i="49"/>
  <c r="E890" i="49"/>
  <c r="K878" i="49"/>
  <c r="J878" i="49"/>
  <c r="E878" i="49"/>
  <c r="F878" i="49" s="1"/>
  <c r="K866" i="49"/>
  <c r="J866" i="49"/>
  <c r="E866" i="49"/>
  <c r="F866" i="49" s="1"/>
  <c r="K854" i="49"/>
  <c r="J854" i="49"/>
  <c r="E854" i="49"/>
  <c r="K842" i="49"/>
  <c r="J842" i="49"/>
  <c r="E842" i="49"/>
  <c r="F842" i="49" s="1"/>
  <c r="K830" i="49"/>
  <c r="J830" i="49"/>
  <c r="E830" i="49"/>
  <c r="M830" i="49" s="1"/>
  <c r="K818" i="49"/>
  <c r="J818" i="49"/>
  <c r="E818" i="49"/>
  <c r="F818" i="49" s="1"/>
  <c r="K806" i="49"/>
  <c r="J806" i="49"/>
  <c r="E806" i="49"/>
  <c r="K794" i="49"/>
  <c r="J794" i="49"/>
  <c r="E794" i="49"/>
  <c r="K782" i="49"/>
  <c r="J782" i="49"/>
  <c r="E782" i="49"/>
  <c r="K770" i="49"/>
  <c r="J770" i="49"/>
  <c r="E770" i="49"/>
  <c r="F770" i="49" s="1"/>
  <c r="K758" i="49"/>
  <c r="J758" i="49"/>
  <c r="E758" i="49"/>
  <c r="G758" i="49" s="1"/>
  <c r="K746" i="49"/>
  <c r="J746" i="49"/>
  <c r="E746" i="49"/>
  <c r="F746" i="49" s="1"/>
  <c r="K734" i="49"/>
  <c r="J734" i="49"/>
  <c r="E734" i="49"/>
  <c r="K722" i="49"/>
  <c r="J722" i="49"/>
  <c r="E722" i="49"/>
  <c r="K710" i="49"/>
  <c r="J710" i="49"/>
  <c r="E710" i="49"/>
  <c r="F710" i="49" s="1"/>
  <c r="K698" i="49"/>
  <c r="J698" i="49"/>
  <c r="E698" i="49"/>
  <c r="G698" i="49" s="1"/>
  <c r="K686" i="49"/>
  <c r="J686" i="49"/>
  <c r="E686" i="49"/>
  <c r="K674" i="49"/>
  <c r="J674" i="49"/>
  <c r="E674" i="49"/>
  <c r="M674" i="49" s="1"/>
  <c r="K662" i="49"/>
  <c r="J662" i="49"/>
  <c r="E662" i="49"/>
  <c r="F662" i="49" s="1"/>
  <c r="K650" i="49"/>
  <c r="J650" i="49"/>
  <c r="E650" i="49"/>
  <c r="K638" i="49"/>
  <c r="J638" i="49"/>
  <c r="E638" i="49"/>
  <c r="F638" i="49" s="1"/>
  <c r="K626" i="49"/>
  <c r="J626" i="49"/>
  <c r="E626" i="49"/>
  <c r="F626" i="49" s="1"/>
  <c r="K614" i="49"/>
  <c r="J614" i="49"/>
  <c r="E614" i="49"/>
  <c r="K602" i="49"/>
  <c r="J602" i="49"/>
  <c r="E602" i="49"/>
  <c r="G602" i="49" s="1"/>
  <c r="K590" i="49"/>
  <c r="J590" i="49"/>
  <c r="E590" i="49"/>
  <c r="K578" i="49"/>
  <c r="J578" i="49"/>
  <c r="E578" i="49"/>
  <c r="K566" i="49"/>
  <c r="J566" i="49"/>
  <c r="E566" i="49"/>
  <c r="F566" i="49" s="1"/>
  <c r="K554" i="49"/>
  <c r="J554" i="49"/>
  <c r="E554" i="49"/>
  <c r="F554" i="49" s="1"/>
  <c r="K542" i="49"/>
  <c r="J542" i="49"/>
  <c r="E542" i="49"/>
  <c r="F542" i="49" s="1"/>
  <c r="K530" i="49"/>
  <c r="J530" i="49"/>
  <c r="E530" i="49"/>
  <c r="F530" i="49" s="1"/>
  <c r="K518" i="49"/>
  <c r="J518" i="49"/>
  <c r="E518" i="49"/>
  <c r="M518" i="49" s="1"/>
  <c r="K506" i="49"/>
  <c r="J506" i="49"/>
  <c r="E506" i="49"/>
  <c r="K494" i="49"/>
  <c r="J494" i="49"/>
  <c r="E494" i="49"/>
  <c r="K482" i="49"/>
  <c r="J482" i="49"/>
  <c r="E482" i="49"/>
  <c r="K470" i="49"/>
  <c r="J470" i="49"/>
  <c r="E470" i="49"/>
  <c r="F470" i="49" s="1"/>
  <c r="K458" i="49"/>
  <c r="J458" i="49"/>
  <c r="E458" i="49"/>
  <c r="K446" i="49"/>
  <c r="J446" i="49"/>
  <c r="E446" i="49"/>
  <c r="K434" i="49"/>
  <c r="J434" i="49"/>
  <c r="E434" i="49"/>
  <c r="M434" i="49" s="1"/>
  <c r="K422" i="49"/>
  <c r="J422" i="49"/>
  <c r="E422" i="49"/>
  <c r="F422" i="49" s="1"/>
  <c r="K410" i="49"/>
  <c r="J410" i="49"/>
  <c r="E410" i="49"/>
  <c r="K398" i="49"/>
  <c r="J398" i="49"/>
  <c r="E398" i="49"/>
  <c r="F398" i="49" s="1"/>
  <c r="K386" i="49"/>
  <c r="J386" i="49"/>
  <c r="E386" i="49"/>
  <c r="F386" i="49" s="1"/>
  <c r="K374" i="49"/>
  <c r="J374" i="49"/>
  <c r="E374" i="49"/>
  <c r="F374" i="49" s="1"/>
  <c r="K362" i="49"/>
  <c r="J362" i="49"/>
  <c r="E362" i="49"/>
  <c r="F362" i="49" s="1"/>
  <c r="K350" i="49"/>
  <c r="J350" i="49"/>
  <c r="E350" i="49"/>
  <c r="K338" i="49"/>
  <c r="J338" i="49"/>
  <c r="E338" i="49"/>
  <c r="F338" i="49" s="1"/>
  <c r="K326" i="49"/>
  <c r="J326" i="49"/>
  <c r="E326" i="49"/>
  <c r="F326" i="49" s="1"/>
  <c r="K314" i="49"/>
  <c r="J314" i="49"/>
  <c r="E314" i="49"/>
  <c r="K302" i="49"/>
  <c r="J302" i="49"/>
  <c r="E302" i="49"/>
  <c r="F302" i="49" s="1"/>
  <c r="K290" i="49"/>
  <c r="J290" i="49"/>
  <c r="E290" i="49"/>
  <c r="K278" i="49"/>
  <c r="J278" i="49"/>
  <c r="E278" i="49"/>
  <c r="F278" i="49" s="1"/>
  <c r="K266" i="49"/>
  <c r="J266" i="49"/>
  <c r="E266" i="49"/>
  <c r="F266" i="49" s="1"/>
  <c r="K254" i="49"/>
  <c r="J254" i="49"/>
  <c r="E254" i="49"/>
  <c r="K242" i="49"/>
  <c r="J242" i="49"/>
  <c r="E242" i="49"/>
  <c r="F242" i="49" s="1"/>
  <c r="K230" i="49"/>
  <c r="J230" i="49"/>
  <c r="E230" i="49"/>
  <c r="F230" i="49" s="1"/>
  <c r="K218" i="49"/>
  <c r="J218" i="49"/>
  <c r="E218" i="49"/>
  <c r="K206" i="49"/>
  <c r="J206" i="49"/>
  <c r="E206" i="49"/>
  <c r="F206" i="49" s="1"/>
  <c r="K194" i="49"/>
  <c r="J194" i="49"/>
  <c r="E194" i="49"/>
  <c r="G194" i="49" s="1"/>
  <c r="K182" i="49"/>
  <c r="J182" i="49"/>
  <c r="E182" i="49"/>
  <c r="K170" i="49"/>
  <c r="J170" i="49"/>
  <c r="E170" i="49"/>
  <c r="L158" i="49"/>
  <c r="I158" i="49"/>
  <c r="H158" i="49"/>
  <c r="G158" i="49"/>
  <c r="D158" i="49"/>
  <c r="K156" i="49"/>
  <c r="J156" i="49"/>
  <c r="E156" i="49"/>
  <c r="F156" i="49" s="1"/>
  <c r="K144" i="49"/>
  <c r="K158" i="49" s="1"/>
  <c r="J144" i="49"/>
  <c r="E144" i="49"/>
  <c r="L132" i="49"/>
  <c r="I132" i="49"/>
  <c r="H132" i="49"/>
  <c r="D132" i="49"/>
  <c r="K130" i="49"/>
  <c r="J130" i="49"/>
  <c r="E130" i="49"/>
  <c r="K118" i="49"/>
  <c r="J118" i="49"/>
  <c r="E118" i="49"/>
  <c r="F118" i="49" s="1"/>
  <c r="K106" i="49"/>
  <c r="J106" i="49"/>
  <c r="E106" i="49"/>
  <c r="M106" i="49" s="1"/>
  <c r="K94" i="49"/>
  <c r="J94" i="49"/>
  <c r="E94" i="49"/>
  <c r="K82" i="49"/>
  <c r="J82" i="49"/>
  <c r="E82" i="49"/>
  <c r="G82" i="49" s="1"/>
  <c r="G132" i="49" s="1"/>
  <c r="K70" i="49"/>
  <c r="J70" i="49"/>
  <c r="E70" i="49"/>
  <c r="F70" i="49" s="1"/>
  <c r="L58" i="49"/>
  <c r="H58" i="49"/>
  <c r="G58" i="49"/>
  <c r="D58" i="49"/>
  <c r="K56" i="49"/>
  <c r="J56" i="49"/>
  <c r="E56" i="49"/>
  <c r="K44" i="49"/>
  <c r="J44" i="49"/>
  <c r="E44" i="49"/>
  <c r="L32" i="49"/>
  <c r="H32" i="49"/>
  <c r="G32" i="49"/>
  <c r="D32" i="49"/>
  <c r="K30" i="49"/>
  <c r="K32" i="49" s="1"/>
  <c r="J30" i="49"/>
  <c r="E30" i="49"/>
  <c r="F30" i="49" s="1"/>
  <c r="F32" i="49" s="1"/>
  <c r="L19" i="49"/>
  <c r="L2534" i="49" s="1"/>
  <c r="I19" i="49"/>
  <c r="I2534" i="49" s="1"/>
  <c r="H19" i="49"/>
  <c r="H2534" i="49" s="1"/>
  <c r="G19" i="49"/>
  <c r="D19" i="49"/>
  <c r="D2534" i="49" s="1"/>
  <c r="K17" i="49"/>
  <c r="J17" i="49"/>
  <c r="E17" i="49"/>
  <c r="F17" i="49" s="1"/>
  <c r="F19" i="49" s="1"/>
  <c r="E58" i="49" l="1"/>
  <c r="M230" i="49"/>
  <c r="M734" i="49"/>
  <c r="F734" i="49"/>
  <c r="F938" i="49"/>
  <c r="M938" i="49"/>
  <c r="M1376" i="49"/>
  <c r="M1822" i="49"/>
  <c r="M1944" i="49"/>
  <c r="M2040" i="49"/>
  <c r="M2248" i="49"/>
  <c r="M374" i="49"/>
  <c r="M1352" i="49"/>
  <c r="M1412" i="49"/>
  <c r="M2530" i="49"/>
  <c r="M170" i="49"/>
  <c r="F194" i="49"/>
  <c r="M530" i="49"/>
  <c r="F170" i="49"/>
  <c r="M290" i="49"/>
  <c r="M818" i="49"/>
  <c r="M854" i="49"/>
  <c r="M902" i="49"/>
  <c r="M1094" i="49"/>
  <c r="M1544" i="49"/>
  <c r="F1774" i="49"/>
  <c r="M1834" i="49"/>
  <c r="M2260" i="49"/>
  <c r="K2384" i="49"/>
  <c r="M2334" i="49"/>
  <c r="M1714" i="49"/>
  <c r="M1774" i="49"/>
  <c r="M1858" i="49"/>
  <c r="F1364" i="49"/>
  <c r="M2346" i="49"/>
  <c r="M1082" i="49"/>
  <c r="M1364" i="49"/>
  <c r="M746" i="49"/>
  <c r="M266" i="49"/>
  <c r="M94" i="49"/>
  <c r="M770" i="49"/>
  <c r="M806" i="49"/>
  <c r="M1280" i="49"/>
  <c r="M1532" i="49"/>
  <c r="M1616" i="49"/>
  <c r="M1316" i="49"/>
  <c r="M1472" i="49"/>
  <c r="M1786" i="49"/>
  <c r="M1882" i="49"/>
  <c r="M2322" i="49"/>
  <c r="M2458" i="49"/>
  <c r="M446" i="49"/>
  <c r="M590" i="49"/>
  <c r="M614" i="49"/>
  <c r="F758" i="49"/>
  <c r="M1106" i="49"/>
  <c r="M1268" i="49"/>
  <c r="M1496" i="49"/>
  <c r="M2016" i="49"/>
  <c r="M2284" i="49"/>
  <c r="M2494" i="49"/>
  <c r="M44" i="49"/>
  <c r="K132" i="49"/>
  <c r="M470" i="49"/>
  <c r="M506" i="49"/>
  <c r="M878" i="49"/>
  <c r="M1010" i="49"/>
  <c r="M1166" i="49"/>
  <c r="M1216" i="49"/>
  <c r="M1218" i="49" s="1"/>
  <c r="F1448" i="49"/>
  <c r="F1472" i="49"/>
  <c r="M1568" i="49"/>
  <c r="M1726" i="49"/>
  <c r="M1846" i="49"/>
  <c r="M2076" i="49"/>
  <c r="M998" i="49"/>
  <c r="M1142" i="49"/>
  <c r="M1642" i="49"/>
  <c r="M118" i="49"/>
  <c r="M194" i="49"/>
  <c r="M302" i="49"/>
  <c r="K58" i="49"/>
  <c r="M144" i="49"/>
  <c r="M314" i="49"/>
  <c r="M542" i="49"/>
  <c r="F602" i="49"/>
  <c r="G770" i="49"/>
  <c r="M914" i="49"/>
  <c r="F998" i="49"/>
  <c r="F1118" i="49"/>
  <c r="F1142" i="49"/>
  <c r="F1280" i="49"/>
  <c r="M1604" i="49"/>
  <c r="M1628" i="49"/>
  <c r="F1642" i="49"/>
  <c r="G1944" i="49"/>
  <c r="M2064" i="49"/>
  <c r="M2272" i="49"/>
  <c r="M2286" i="49" s="1"/>
  <c r="M2382" i="49"/>
  <c r="M2410" i="49"/>
  <c r="M2446" i="49"/>
  <c r="F2382" i="49"/>
  <c r="J158" i="49"/>
  <c r="J58" i="49"/>
  <c r="M494" i="49"/>
  <c r="M1242" i="49"/>
  <c r="J1630" i="49"/>
  <c r="M1436" i="49"/>
  <c r="M1798" i="49"/>
  <c r="F1858" i="49"/>
  <c r="F1882" i="49"/>
  <c r="M1930" i="49"/>
  <c r="M2100" i="49"/>
  <c r="M2160" i="49"/>
  <c r="F2234" i="49"/>
  <c r="F2236" i="49" s="1"/>
  <c r="M2422" i="49"/>
  <c r="M2518" i="49"/>
  <c r="J132" i="49"/>
  <c r="M206" i="49"/>
  <c r="F494" i="49"/>
  <c r="M602" i="49"/>
  <c r="M782" i="49"/>
  <c r="M1118" i="49"/>
  <c r="F590" i="49"/>
  <c r="E1244" i="49"/>
  <c r="G1508" i="49"/>
  <c r="K1932" i="49"/>
  <c r="M1690" i="49"/>
  <c r="G2064" i="49"/>
  <c r="G2222" i="49" s="1"/>
  <c r="M2136" i="49"/>
  <c r="M2196" i="49"/>
  <c r="M2208" i="49"/>
  <c r="E2384" i="49"/>
  <c r="M2396" i="49"/>
  <c r="M2398" i="49" s="1"/>
  <c r="M30" i="49"/>
  <c r="M32" i="49" s="1"/>
  <c r="M638" i="49"/>
  <c r="F44" i="49"/>
  <c r="F82" i="49"/>
  <c r="F106" i="49"/>
  <c r="M130" i="49"/>
  <c r="F144" i="49"/>
  <c r="F158" i="49" s="1"/>
  <c r="J1204" i="49"/>
  <c r="M218" i="49"/>
  <c r="M242" i="49"/>
  <c r="M326" i="49"/>
  <c r="M338" i="49"/>
  <c r="M566" i="49"/>
  <c r="M626" i="49"/>
  <c r="M650" i="49"/>
  <c r="F674" i="49"/>
  <c r="F698" i="49"/>
  <c r="M710" i="49"/>
  <c r="F782" i="49"/>
  <c r="F806" i="49"/>
  <c r="F830" i="49"/>
  <c r="M974" i="49"/>
  <c r="M1034" i="49"/>
  <c r="M1058" i="49"/>
  <c r="F1268" i="49"/>
  <c r="M1292" i="49"/>
  <c r="F1316" i="49"/>
  <c r="M1388" i="49"/>
  <c r="M1508" i="49"/>
  <c r="M1580" i="49"/>
  <c r="F1678" i="49"/>
  <c r="M1702" i="49"/>
  <c r="F1726" i="49"/>
  <c r="M1894" i="49"/>
  <c r="M1992" i="49"/>
  <c r="F2196" i="49"/>
  <c r="M2220" i="49"/>
  <c r="M2358" i="49"/>
  <c r="F2422" i="49"/>
  <c r="K1204" i="49"/>
  <c r="M350" i="49"/>
  <c r="M554" i="49"/>
  <c r="M578" i="49"/>
  <c r="M722" i="49"/>
  <c r="M758" i="49"/>
  <c r="M962" i="49"/>
  <c r="M986" i="49"/>
  <c r="F1034" i="49"/>
  <c r="M1154" i="49"/>
  <c r="M1178" i="49"/>
  <c r="J1244" i="49"/>
  <c r="M1340" i="49"/>
  <c r="M1484" i="49"/>
  <c r="M1592" i="49"/>
  <c r="G1678" i="49"/>
  <c r="M1750" i="49"/>
  <c r="M1906" i="49"/>
  <c r="F1992" i="49"/>
  <c r="M2112" i="49"/>
  <c r="M2148" i="49"/>
  <c r="K2286" i="49"/>
  <c r="M2370" i="49"/>
  <c r="M398" i="49"/>
  <c r="M458" i="49"/>
  <c r="M698" i="49"/>
  <c r="M866" i="49"/>
  <c r="M1070" i="49"/>
  <c r="E1218" i="49"/>
  <c r="K1244" i="49"/>
  <c r="M1400" i="49"/>
  <c r="M1810" i="49"/>
  <c r="M2028" i="49"/>
  <c r="F2346" i="49"/>
  <c r="E32" i="49"/>
  <c r="M254" i="49"/>
  <c r="E132" i="49"/>
  <c r="M82" i="49"/>
  <c r="M182" i="49"/>
  <c r="F254" i="49"/>
  <c r="M278" i="49"/>
  <c r="M386" i="49"/>
  <c r="M410" i="49"/>
  <c r="F434" i="49"/>
  <c r="F458" i="49"/>
  <c r="M482" i="49"/>
  <c r="F506" i="49"/>
  <c r="M662" i="49"/>
  <c r="M890" i="49"/>
  <c r="F1070" i="49"/>
  <c r="M1190" i="49"/>
  <c r="F1244" i="49"/>
  <c r="M1304" i="49"/>
  <c r="F1400" i="49"/>
  <c r="F1520" i="49"/>
  <c r="M1654" i="49"/>
  <c r="M1762" i="49"/>
  <c r="F1810" i="49"/>
  <c r="J2222" i="49"/>
  <c r="M1968" i="49"/>
  <c r="F2028" i="49"/>
  <c r="M2172" i="49"/>
  <c r="F2298" i="49"/>
  <c r="F2458" i="49"/>
  <c r="M686" i="49"/>
  <c r="M794" i="49"/>
  <c r="E1630" i="49"/>
  <c r="M1328" i="49"/>
  <c r="M1666" i="49"/>
  <c r="M1738" i="49"/>
  <c r="K2222" i="49"/>
  <c r="M2184" i="49"/>
  <c r="E2532" i="49"/>
  <c r="M2482" i="49"/>
  <c r="M2506" i="49"/>
  <c r="M156" i="49"/>
  <c r="E1204" i="49"/>
  <c r="F290" i="49"/>
  <c r="M362" i="49"/>
  <c r="M422" i="49"/>
  <c r="M842" i="49"/>
  <c r="M926" i="49"/>
  <c r="M950" i="49"/>
  <c r="G998" i="49"/>
  <c r="F1106" i="49"/>
  <c r="M1130" i="49"/>
  <c r="F1202" i="49"/>
  <c r="F1216" i="49"/>
  <c r="F1218" i="49" s="1"/>
  <c r="K1630" i="49"/>
  <c r="F1436" i="49"/>
  <c r="M1460" i="49"/>
  <c r="M1556" i="49"/>
  <c r="J1932" i="49"/>
  <c r="F1846" i="49"/>
  <c r="M1870" i="49"/>
  <c r="M1918" i="49"/>
  <c r="M1956" i="49"/>
  <c r="F2064" i="49"/>
  <c r="M2088" i="49"/>
  <c r="F2272" i="49"/>
  <c r="J2384" i="49"/>
  <c r="K2532" i="49"/>
  <c r="M2434" i="49"/>
  <c r="F2494" i="49"/>
  <c r="J32" i="49"/>
  <c r="E2222" i="49"/>
  <c r="J2286" i="49"/>
  <c r="F2530" i="49"/>
  <c r="J19" i="49"/>
  <c r="F518" i="49"/>
  <c r="F794" i="49"/>
  <c r="F890" i="49"/>
  <c r="M1046" i="49"/>
  <c r="F1166" i="49"/>
  <c r="M1230" i="49"/>
  <c r="F1328" i="49"/>
  <c r="F1460" i="49"/>
  <c r="F1496" i="49"/>
  <c r="F1532" i="49"/>
  <c r="F1628" i="49"/>
  <c r="F1738" i="49"/>
  <c r="E1932" i="49"/>
  <c r="F1956" i="49"/>
  <c r="M2004" i="49"/>
  <c r="F2124" i="49"/>
  <c r="F2310" i="49"/>
  <c r="M2470" i="49"/>
  <c r="J2532" i="49"/>
  <c r="F56" i="49"/>
  <c r="F130" i="49"/>
  <c r="G254" i="49"/>
  <c r="F686" i="49"/>
  <c r="M17" i="49"/>
  <c r="M70" i="49"/>
  <c r="F94" i="49"/>
  <c r="F314" i="49"/>
  <c r="F410" i="49"/>
  <c r="G446" i="49"/>
  <c r="G482" i="49"/>
  <c r="F578" i="49"/>
  <c r="F614" i="49"/>
  <c r="F650" i="49"/>
  <c r="F854" i="49"/>
  <c r="F950" i="49"/>
  <c r="F986" i="49"/>
  <c r="F1022" i="49"/>
  <c r="F1094" i="49"/>
  <c r="F1130" i="49"/>
  <c r="F1256" i="49"/>
  <c r="F1292" i="49"/>
  <c r="F1424" i="49"/>
  <c r="G1460" i="49"/>
  <c r="G1630" i="49" s="1"/>
  <c r="F1592" i="49"/>
  <c r="F1666" i="49"/>
  <c r="F1702" i="49"/>
  <c r="F1834" i="49"/>
  <c r="F1870" i="49"/>
  <c r="F1906" i="49"/>
  <c r="F2052" i="49"/>
  <c r="F2088" i="49"/>
  <c r="F2184" i="49"/>
  <c r="F2220" i="49"/>
  <c r="E2286" i="49"/>
  <c r="F2370" i="49"/>
  <c r="E2398" i="49"/>
  <c r="F2446" i="49"/>
  <c r="F2518" i="49"/>
  <c r="F182" i="49"/>
  <c r="F218" i="49"/>
  <c r="F350" i="49"/>
  <c r="F446" i="49"/>
  <c r="F482" i="49"/>
  <c r="F722" i="49"/>
  <c r="K19" i="49"/>
  <c r="K2534" i="49" s="1"/>
  <c r="E158" i="49"/>
  <c r="G614" i="49"/>
  <c r="G950" i="49"/>
  <c r="G1022" i="49"/>
  <c r="F1556" i="49"/>
  <c r="F1762" i="49"/>
  <c r="F1798" i="49"/>
  <c r="G1870" i="49"/>
  <c r="G1932" i="49" s="1"/>
  <c r="F1980" i="49"/>
  <c r="F2016" i="49"/>
  <c r="F2148" i="49"/>
  <c r="M2234" i="49"/>
  <c r="M2236" i="49" s="1"/>
  <c r="F2260" i="49"/>
  <c r="F2410" i="49"/>
  <c r="G2446" i="49"/>
  <c r="G2532" i="49" s="1"/>
  <c r="M2310" i="49"/>
  <c r="E19" i="49"/>
  <c r="M56" i="49"/>
  <c r="M58" i="49" s="1"/>
  <c r="F1046" i="49"/>
  <c r="M1256" i="49"/>
  <c r="F2004" i="49"/>
  <c r="F2470" i="49"/>
  <c r="F248" i="37"/>
  <c r="E248" i="37"/>
  <c r="J248" i="38"/>
  <c r="G248" i="38"/>
  <c r="F248" i="38"/>
  <c r="E248" i="38"/>
  <c r="J248" i="40"/>
  <c r="G248" i="40"/>
  <c r="F248" i="40"/>
  <c r="E248" i="40"/>
  <c r="J248" i="47"/>
  <c r="E248" i="47"/>
  <c r="F248" i="47"/>
  <c r="G248" i="47"/>
  <c r="J2534" i="49" l="1"/>
  <c r="M158" i="49"/>
  <c r="M2222" i="49"/>
  <c r="M1204" i="49"/>
  <c r="M1630" i="49"/>
  <c r="M2532" i="49"/>
  <c r="E2534" i="49"/>
  <c r="F132" i="49"/>
  <c r="M1932" i="49"/>
  <c r="F2286" i="49"/>
  <c r="G1204" i="49"/>
  <c r="M1244" i="49"/>
  <c r="M2384" i="49"/>
  <c r="F2222" i="49"/>
  <c r="F58" i="49"/>
  <c r="F1932" i="49"/>
  <c r="F1204" i="49"/>
  <c r="M132" i="49"/>
  <c r="F2384" i="49"/>
  <c r="F2532" i="49"/>
  <c r="G2534" i="49"/>
  <c r="F1630" i="49"/>
  <c r="M19" i="49"/>
  <c r="J250" i="40"/>
  <c r="G250" i="40"/>
  <c r="F250" i="40"/>
  <c r="F2534" i="49" l="1"/>
  <c r="M2534" i="49"/>
  <c r="E250" i="40"/>
  <c r="J250" i="38"/>
  <c r="G250" i="38"/>
  <c r="F250" i="38"/>
  <c r="E250" i="38" l="1"/>
  <c r="F250" i="37"/>
  <c r="G246" i="37" l="1"/>
  <c r="G233" i="37"/>
  <c r="G230" i="37"/>
  <c r="G220" i="37"/>
  <c r="J220" i="37"/>
  <c r="J214" i="37"/>
  <c r="J248" i="37" s="1"/>
  <c r="J250" i="37" s="1"/>
  <c r="G211" i="37"/>
  <c r="G185" i="37"/>
  <c r="G158" i="37"/>
  <c r="G124" i="37"/>
  <c r="G120" i="37"/>
  <c r="G117" i="37"/>
  <c r="G28" i="37"/>
  <c r="G24" i="37"/>
  <c r="G16" i="37"/>
  <c r="G12" i="37"/>
  <c r="G9" i="37"/>
  <c r="G248" i="37" s="1"/>
  <c r="G250" i="37" s="1"/>
  <c r="L273" i="46" l="1"/>
  <c r="K273" i="46"/>
  <c r="J273" i="46"/>
  <c r="I273" i="46"/>
  <c r="H273" i="46"/>
  <c r="E273" i="46"/>
  <c r="D273" i="46"/>
  <c r="C273" i="46"/>
  <c r="L272" i="46"/>
  <c r="K272" i="46"/>
  <c r="J272" i="46"/>
  <c r="I272" i="46"/>
  <c r="H272" i="46"/>
  <c r="E272" i="46"/>
  <c r="D272" i="46"/>
  <c r="C272" i="46"/>
  <c r="L271" i="46"/>
  <c r="K271" i="46"/>
  <c r="J271" i="46"/>
  <c r="I271" i="46"/>
  <c r="H271" i="46"/>
  <c r="E271" i="46"/>
  <c r="D271" i="46"/>
  <c r="C271" i="46"/>
  <c r="L270" i="46"/>
  <c r="K270" i="46"/>
  <c r="J270" i="46"/>
  <c r="I270" i="46"/>
  <c r="H270" i="46"/>
  <c r="E270" i="46"/>
  <c r="D270" i="46"/>
  <c r="C270" i="46"/>
  <c r="L269" i="46"/>
  <c r="K269" i="46"/>
  <c r="J269" i="46"/>
  <c r="I269" i="46"/>
  <c r="H269" i="46"/>
  <c r="E269" i="46"/>
  <c r="D269" i="46"/>
  <c r="C269" i="46"/>
  <c r="L268" i="46"/>
  <c r="K268" i="46"/>
  <c r="J268" i="46"/>
  <c r="I268" i="46"/>
  <c r="H268" i="46"/>
  <c r="E268" i="46"/>
  <c r="D268" i="46"/>
  <c r="C268" i="46"/>
  <c r="L267" i="46"/>
  <c r="K267" i="46"/>
  <c r="J267" i="46"/>
  <c r="I267" i="46"/>
  <c r="H267" i="46"/>
  <c r="E267" i="46"/>
  <c r="D267" i="46"/>
  <c r="C267" i="46"/>
  <c r="L266" i="46"/>
  <c r="K266" i="46"/>
  <c r="J266" i="46"/>
  <c r="I266" i="46"/>
  <c r="H266" i="46"/>
  <c r="E266" i="46"/>
  <c r="D266" i="46"/>
  <c r="C266" i="46"/>
  <c r="L265" i="46"/>
  <c r="K265" i="46"/>
  <c r="J265" i="46"/>
  <c r="I265" i="46"/>
  <c r="H265" i="46"/>
  <c r="E265" i="46"/>
  <c r="D265" i="46"/>
  <c r="C265" i="46"/>
  <c r="L264" i="46"/>
  <c r="K264" i="46"/>
  <c r="J264" i="46"/>
  <c r="I264" i="46"/>
  <c r="H264" i="46"/>
  <c r="E264" i="46"/>
  <c r="D264" i="46"/>
  <c r="C264" i="46"/>
  <c r="L263" i="46"/>
  <c r="L274" i="46" s="1"/>
  <c r="K263" i="46"/>
  <c r="K274" i="46" s="1"/>
  <c r="J263" i="46"/>
  <c r="J274" i="46" s="1"/>
  <c r="I263" i="46"/>
  <c r="I274" i="46" s="1"/>
  <c r="H263" i="46"/>
  <c r="H274" i="46" s="1"/>
  <c r="E263" i="46"/>
  <c r="E274" i="46" s="1"/>
  <c r="D263" i="46"/>
  <c r="D274" i="46" s="1"/>
  <c r="C263" i="46"/>
  <c r="L258" i="46"/>
  <c r="L259" i="46" s="1"/>
  <c r="K258" i="46"/>
  <c r="K259" i="46" s="1"/>
  <c r="J258" i="46"/>
  <c r="J259" i="46" s="1"/>
  <c r="I258" i="46"/>
  <c r="I259" i="46" s="1"/>
  <c r="H258" i="46"/>
  <c r="H259" i="46" s="1"/>
  <c r="E258" i="46"/>
  <c r="E259" i="46" s="1"/>
  <c r="D258" i="46"/>
  <c r="D259" i="46" s="1"/>
  <c r="C258" i="46"/>
  <c r="C259" i="46" s="1"/>
  <c r="L253" i="46"/>
  <c r="K253" i="46"/>
  <c r="J253" i="46"/>
  <c r="I253" i="46"/>
  <c r="H253" i="46"/>
  <c r="E253" i="46"/>
  <c r="D253" i="46"/>
  <c r="C253" i="46"/>
  <c r="L252" i="46"/>
  <c r="K252" i="46"/>
  <c r="J252" i="46"/>
  <c r="I252" i="46"/>
  <c r="H252" i="46"/>
  <c r="E252" i="46"/>
  <c r="D252" i="46"/>
  <c r="C252" i="46"/>
  <c r="L251" i="46"/>
  <c r="K251" i="46"/>
  <c r="J251" i="46"/>
  <c r="I251" i="46"/>
  <c r="H251" i="46"/>
  <c r="E251" i="46"/>
  <c r="D251" i="46"/>
  <c r="C251" i="46"/>
  <c r="L250" i="46"/>
  <c r="K250" i="46"/>
  <c r="J250" i="46"/>
  <c r="I250" i="46"/>
  <c r="H250" i="46"/>
  <c r="E250" i="46"/>
  <c r="D250" i="46"/>
  <c r="C250" i="46"/>
  <c r="L249" i="46"/>
  <c r="K249" i="46"/>
  <c r="J249" i="46"/>
  <c r="I249" i="46"/>
  <c r="H249" i="46"/>
  <c r="E249" i="46"/>
  <c r="D249" i="46"/>
  <c r="C249" i="46"/>
  <c r="L248" i="46"/>
  <c r="K248" i="46"/>
  <c r="J248" i="46"/>
  <c r="I248" i="46"/>
  <c r="H248" i="46"/>
  <c r="E248" i="46"/>
  <c r="D248" i="46"/>
  <c r="C248" i="46"/>
  <c r="L247" i="46"/>
  <c r="K247" i="46"/>
  <c r="J247" i="46"/>
  <c r="I247" i="46"/>
  <c r="H247" i="46"/>
  <c r="E247" i="46"/>
  <c r="D247" i="46"/>
  <c r="C247" i="46"/>
  <c r="L246" i="46"/>
  <c r="L254" i="46" s="1"/>
  <c r="K246" i="46"/>
  <c r="K254" i="46" s="1"/>
  <c r="J246" i="46"/>
  <c r="J254" i="46" s="1"/>
  <c r="I246" i="46"/>
  <c r="I254" i="46" s="1"/>
  <c r="H246" i="46"/>
  <c r="H254" i="46" s="1"/>
  <c r="E246" i="46"/>
  <c r="E254" i="46" s="1"/>
  <c r="D246" i="46"/>
  <c r="D254" i="46" s="1"/>
  <c r="C246" i="46"/>
  <c r="L241" i="46"/>
  <c r="K241" i="46"/>
  <c r="J241" i="46"/>
  <c r="I241" i="46"/>
  <c r="H241" i="46"/>
  <c r="E241" i="46"/>
  <c r="D241" i="46"/>
  <c r="C241" i="46"/>
  <c r="L240" i="46"/>
  <c r="K240" i="46"/>
  <c r="J240" i="46"/>
  <c r="I240" i="46"/>
  <c r="H240" i="46"/>
  <c r="E240" i="46"/>
  <c r="D240" i="46"/>
  <c r="C240" i="46"/>
  <c r="L239" i="46"/>
  <c r="K239" i="46"/>
  <c r="J239" i="46"/>
  <c r="I239" i="46"/>
  <c r="H239" i="46"/>
  <c r="E239" i="46"/>
  <c r="D239" i="46"/>
  <c r="C239" i="46"/>
  <c r="L238" i="46"/>
  <c r="L242" i="46" s="1"/>
  <c r="K238" i="46"/>
  <c r="K242" i="46" s="1"/>
  <c r="J238" i="46"/>
  <c r="J242" i="46" s="1"/>
  <c r="I238" i="46"/>
  <c r="I242" i="46" s="1"/>
  <c r="H238" i="46"/>
  <c r="H242" i="46" s="1"/>
  <c r="E238" i="46"/>
  <c r="E242" i="46" s="1"/>
  <c r="D238" i="46"/>
  <c r="D242" i="46" s="1"/>
  <c r="C238" i="46"/>
  <c r="C242" i="46" s="1"/>
  <c r="L233" i="46"/>
  <c r="L234" i="46" s="1"/>
  <c r="K233" i="46"/>
  <c r="K234" i="46" s="1"/>
  <c r="J233" i="46"/>
  <c r="J234" i="46" s="1"/>
  <c r="I233" i="46"/>
  <c r="I234" i="46" s="1"/>
  <c r="H233" i="46"/>
  <c r="H234" i="46" s="1"/>
  <c r="E233" i="46"/>
  <c r="E234" i="46" s="1"/>
  <c r="D233" i="46"/>
  <c r="D234" i="46" s="1"/>
  <c r="C233" i="46"/>
  <c r="C234" i="46" s="1"/>
  <c r="L228" i="46"/>
  <c r="K228" i="46"/>
  <c r="J228" i="46"/>
  <c r="I228" i="46"/>
  <c r="H228" i="46"/>
  <c r="E228" i="46"/>
  <c r="D228" i="46"/>
  <c r="C228" i="46"/>
  <c r="L227" i="46"/>
  <c r="K227" i="46"/>
  <c r="J227" i="46"/>
  <c r="I227" i="46"/>
  <c r="H227" i="46"/>
  <c r="E227" i="46"/>
  <c r="D227" i="46"/>
  <c r="C227" i="46"/>
  <c r="L226" i="46"/>
  <c r="K226" i="46"/>
  <c r="J226" i="46"/>
  <c r="I226" i="46"/>
  <c r="H226" i="46"/>
  <c r="E226" i="46"/>
  <c r="D226" i="46"/>
  <c r="C226" i="46"/>
  <c r="L225" i="46"/>
  <c r="K225" i="46"/>
  <c r="J225" i="46"/>
  <c r="I225" i="46"/>
  <c r="H225" i="46"/>
  <c r="E225" i="46"/>
  <c r="D225" i="46"/>
  <c r="C225" i="46"/>
  <c r="L224" i="46"/>
  <c r="K224" i="46"/>
  <c r="J224" i="46"/>
  <c r="I224" i="46"/>
  <c r="H224" i="46"/>
  <c r="E224" i="46"/>
  <c r="D224" i="46"/>
  <c r="C224" i="46"/>
  <c r="L223" i="46"/>
  <c r="K223" i="46"/>
  <c r="J223" i="46"/>
  <c r="I223" i="46"/>
  <c r="H223" i="46"/>
  <c r="E223" i="46"/>
  <c r="D223" i="46"/>
  <c r="C223" i="46"/>
  <c r="L222" i="46"/>
  <c r="K222" i="46"/>
  <c r="J222" i="46"/>
  <c r="I222" i="46"/>
  <c r="H222" i="46"/>
  <c r="E222" i="46"/>
  <c r="D222" i="46"/>
  <c r="C222" i="46"/>
  <c r="L221" i="46"/>
  <c r="K221" i="46"/>
  <c r="J221" i="46"/>
  <c r="I221" i="46"/>
  <c r="H221" i="46"/>
  <c r="E221" i="46"/>
  <c r="D221" i="46"/>
  <c r="C221" i="46"/>
  <c r="L220" i="46"/>
  <c r="K220" i="46"/>
  <c r="J220" i="46"/>
  <c r="I220" i="46"/>
  <c r="H220" i="46"/>
  <c r="E220" i="46"/>
  <c r="D220" i="46"/>
  <c r="C220" i="46"/>
  <c r="L219" i="46"/>
  <c r="K219" i="46"/>
  <c r="J219" i="46"/>
  <c r="I219" i="46"/>
  <c r="H219" i="46"/>
  <c r="E219" i="46"/>
  <c r="D219" i="46"/>
  <c r="C219" i="46"/>
  <c r="L218" i="46"/>
  <c r="K218" i="46"/>
  <c r="J218" i="46"/>
  <c r="I218" i="46"/>
  <c r="H218" i="46"/>
  <c r="E218" i="46"/>
  <c r="D218" i="46"/>
  <c r="C218" i="46"/>
  <c r="L217" i="46"/>
  <c r="K217" i="46"/>
  <c r="J217" i="46"/>
  <c r="I217" i="46"/>
  <c r="H217" i="46"/>
  <c r="E217" i="46"/>
  <c r="D217" i="46"/>
  <c r="C217" i="46"/>
  <c r="L216" i="46"/>
  <c r="K216" i="46"/>
  <c r="J216" i="46"/>
  <c r="I216" i="46"/>
  <c r="H216" i="46"/>
  <c r="E216" i="46"/>
  <c r="D216" i="46"/>
  <c r="C216" i="46"/>
  <c r="L215" i="46"/>
  <c r="K215" i="46"/>
  <c r="J215" i="46"/>
  <c r="I215" i="46"/>
  <c r="H215" i="46"/>
  <c r="E215" i="46"/>
  <c r="D215" i="46"/>
  <c r="C215" i="46"/>
  <c r="L214" i="46"/>
  <c r="K214" i="46"/>
  <c r="J214" i="46"/>
  <c r="I214" i="46"/>
  <c r="H214" i="46"/>
  <c r="E214" i="46"/>
  <c r="D214" i="46"/>
  <c r="C214" i="46"/>
  <c r="L213" i="46"/>
  <c r="K213" i="46"/>
  <c r="J213" i="46"/>
  <c r="I213" i="46"/>
  <c r="H213" i="46"/>
  <c r="E213" i="46"/>
  <c r="D213" i="46"/>
  <c r="C213" i="46"/>
  <c r="L212" i="46"/>
  <c r="K212" i="46"/>
  <c r="J212" i="46"/>
  <c r="I212" i="46"/>
  <c r="H212" i="46"/>
  <c r="E212" i="46"/>
  <c r="D212" i="46"/>
  <c r="C212" i="46"/>
  <c r="L211" i="46"/>
  <c r="K211" i="46"/>
  <c r="J211" i="46"/>
  <c r="I211" i="46"/>
  <c r="H211" i="46"/>
  <c r="E211" i="46"/>
  <c r="D211" i="46"/>
  <c r="C211" i="46"/>
  <c r="L210" i="46"/>
  <c r="K210" i="46"/>
  <c r="J210" i="46"/>
  <c r="I210" i="46"/>
  <c r="H210" i="46"/>
  <c r="E210" i="46"/>
  <c r="D210" i="46"/>
  <c r="C210" i="46"/>
  <c r="L209" i="46"/>
  <c r="K209" i="46"/>
  <c r="J209" i="46"/>
  <c r="I209" i="46"/>
  <c r="H209" i="46"/>
  <c r="E209" i="46"/>
  <c r="D209" i="46"/>
  <c r="C209" i="46"/>
  <c r="L208" i="46"/>
  <c r="K208" i="46"/>
  <c r="J208" i="46"/>
  <c r="I208" i="46"/>
  <c r="H208" i="46"/>
  <c r="E208" i="46"/>
  <c r="D208" i="46"/>
  <c r="C208" i="46"/>
  <c r="L207" i="46"/>
  <c r="K207" i="46"/>
  <c r="J207" i="46"/>
  <c r="I207" i="46"/>
  <c r="H207" i="46"/>
  <c r="E207" i="46"/>
  <c r="D207" i="46"/>
  <c r="C207" i="46"/>
  <c r="L206" i="46"/>
  <c r="K206" i="46"/>
  <c r="J206" i="46"/>
  <c r="I206" i="46"/>
  <c r="H206" i="46"/>
  <c r="E206" i="46"/>
  <c r="D206" i="46"/>
  <c r="C206" i="46"/>
  <c r="L205" i="46"/>
  <c r="L229" i="46" s="1"/>
  <c r="K205" i="46"/>
  <c r="K229" i="46" s="1"/>
  <c r="J205" i="46"/>
  <c r="J229" i="46" s="1"/>
  <c r="I205" i="46"/>
  <c r="I229" i="46" s="1"/>
  <c r="H205" i="46"/>
  <c r="H229" i="46" s="1"/>
  <c r="E205" i="46"/>
  <c r="E229" i="46" s="1"/>
  <c r="D205" i="46"/>
  <c r="D229" i="46" s="1"/>
  <c r="C205" i="46"/>
  <c r="C229" i="46" s="1"/>
  <c r="L200" i="46"/>
  <c r="K200" i="46"/>
  <c r="J200" i="46"/>
  <c r="I200" i="46"/>
  <c r="H200" i="46"/>
  <c r="E200" i="46"/>
  <c r="D200" i="46"/>
  <c r="C200" i="46"/>
  <c r="L199" i="46"/>
  <c r="K199" i="46"/>
  <c r="J199" i="46"/>
  <c r="I199" i="46"/>
  <c r="H199" i="46"/>
  <c r="E199" i="46"/>
  <c r="D199" i="46"/>
  <c r="C199" i="46"/>
  <c r="L198" i="46"/>
  <c r="K198" i="46"/>
  <c r="J198" i="46"/>
  <c r="I198" i="46"/>
  <c r="H198" i="46"/>
  <c r="E198" i="46"/>
  <c r="D198" i="46"/>
  <c r="C198" i="46"/>
  <c r="L197" i="46"/>
  <c r="K197" i="46"/>
  <c r="J197" i="46"/>
  <c r="I197" i="46"/>
  <c r="H197" i="46"/>
  <c r="E197" i="46"/>
  <c r="D197" i="46"/>
  <c r="C197" i="46"/>
  <c r="L196" i="46"/>
  <c r="K196" i="46"/>
  <c r="J196" i="46"/>
  <c r="I196" i="46"/>
  <c r="H196" i="46"/>
  <c r="E196" i="46"/>
  <c r="D196" i="46"/>
  <c r="C196" i="46"/>
  <c r="L195" i="46"/>
  <c r="K195" i="46"/>
  <c r="J195" i="46"/>
  <c r="I195" i="46"/>
  <c r="H195" i="46"/>
  <c r="E195" i="46"/>
  <c r="D195" i="46"/>
  <c r="C195" i="46"/>
  <c r="L194" i="46"/>
  <c r="K194" i="46"/>
  <c r="J194" i="46"/>
  <c r="I194" i="46"/>
  <c r="H194" i="46"/>
  <c r="E194" i="46"/>
  <c r="D194" i="46"/>
  <c r="C194" i="46"/>
  <c r="L193" i="46"/>
  <c r="K193" i="46"/>
  <c r="J193" i="46"/>
  <c r="I193" i="46"/>
  <c r="H193" i="46"/>
  <c r="E193" i="46"/>
  <c r="D193" i="46"/>
  <c r="C193" i="46"/>
  <c r="L192" i="46"/>
  <c r="K192" i="46"/>
  <c r="J192" i="46"/>
  <c r="I192" i="46"/>
  <c r="H192" i="46"/>
  <c r="E192" i="46"/>
  <c r="D192" i="46"/>
  <c r="C192" i="46"/>
  <c r="L191" i="46"/>
  <c r="K191" i="46"/>
  <c r="J191" i="46"/>
  <c r="I191" i="46"/>
  <c r="H191" i="46"/>
  <c r="E191" i="46"/>
  <c r="D191" i="46"/>
  <c r="C191" i="46"/>
  <c r="L190" i="46"/>
  <c r="K190" i="46"/>
  <c r="J190" i="46"/>
  <c r="I190" i="46"/>
  <c r="H190" i="46"/>
  <c r="E190" i="46"/>
  <c r="D190" i="46"/>
  <c r="C190" i="46"/>
  <c r="L189" i="46"/>
  <c r="K189" i="46"/>
  <c r="J189" i="46"/>
  <c r="I189" i="46"/>
  <c r="H189" i="46"/>
  <c r="E189" i="46"/>
  <c r="D189" i="46"/>
  <c r="C189" i="46"/>
  <c r="L188" i="46"/>
  <c r="K188" i="46"/>
  <c r="J188" i="46"/>
  <c r="I188" i="46"/>
  <c r="H188" i="46"/>
  <c r="E188" i="46"/>
  <c r="D188" i="46"/>
  <c r="C188" i="46"/>
  <c r="L187" i="46"/>
  <c r="K187" i="46"/>
  <c r="J187" i="46"/>
  <c r="I187" i="46"/>
  <c r="H187" i="46"/>
  <c r="E187" i="46"/>
  <c r="D187" i="46"/>
  <c r="C187" i="46"/>
  <c r="L186" i="46"/>
  <c r="K186" i="46"/>
  <c r="J186" i="46"/>
  <c r="I186" i="46"/>
  <c r="H186" i="46"/>
  <c r="E186" i="46"/>
  <c r="D186" i="46"/>
  <c r="C186" i="46"/>
  <c r="L185" i="46"/>
  <c r="K185" i="46"/>
  <c r="J185" i="46"/>
  <c r="I185" i="46"/>
  <c r="H185" i="46"/>
  <c r="E185" i="46"/>
  <c r="D185" i="46"/>
  <c r="C185" i="46"/>
  <c r="L184" i="46"/>
  <c r="K184" i="46"/>
  <c r="J184" i="46"/>
  <c r="I184" i="46"/>
  <c r="H184" i="46"/>
  <c r="E184" i="46"/>
  <c r="D184" i="46"/>
  <c r="C184" i="46"/>
  <c r="L183" i="46"/>
  <c r="K183" i="46"/>
  <c r="J183" i="46"/>
  <c r="I183" i="46"/>
  <c r="H183" i="46"/>
  <c r="E183" i="46"/>
  <c r="D183" i="46"/>
  <c r="C183" i="46"/>
  <c r="L182" i="46"/>
  <c r="K182" i="46"/>
  <c r="J182" i="46"/>
  <c r="I182" i="46"/>
  <c r="H182" i="46"/>
  <c r="E182" i="46"/>
  <c r="D182" i="46"/>
  <c r="C182" i="46"/>
  <c r="L181" i="46"/>
  <c r="K181" i="46"/>
  <c r="J181" i="46"/>
  <c r="I181" i="46"/>
  <c r="H181" i="46"/>
  <c r="E181" i="46"/>
  <c r="D181" i="46"/>
  <c r="C181" i="46"/>
  <c r="L180" i="46"/>
  <c r="K180" i="46"/>
  <c r="J180" i="46"/>
  <c r="I180" i="46"/>
  <c r="H180" i="46"/>
  <c r="E180" i="46"/>
  <c r="D180" i="46"/>
  <c r="C180" i="46"/>
  <c r="L179" i="46"/>
  <c r="K179" i="46"/>
  <c r="J179" i="46"/>
  <c r="I179" i="46"/>
  <c r="H179" i="46"/>
  <c r="E179" i="46"/>
  <c r="D179" i="46"/>
  <c r="C179" i="46"/>
  <c r="L178" i="46"/>
  <c r="K178" i="46"/>
  <c r="J178" i="46"/>
  <c r="I178" i="46"/>
  <c r="H178" i="46"/>
  <c r="E178" i="46"/>
  <c r="D178" i="46"/>
  <c r="C178" i="46"/>
  <c r="L177" i="46"/>
  <c r="K177" i="46"/>
  <c r="J177" i="46"/>
  <c r="I177" i="46"/>
  <c r="H177" i="46"/>
  <c r="E177" i="46"/>
  <c r="D177" i="46"/>
  <c r="C177" i="46"/>
  <c r="L176" i="46"/>
  <c r="L201" i="46" s="1"/>
  <c r="K176" i="46"/>
  <c r="K201" i="46" s="1"/>
  <c r="J176" i="46"/>
  <c r="J201" i="46" s="1"/>
  <c r="I176" i="46"/>
  <c r="I201" i="46" s="1"/>
  <c r="H176" i="46"/>
  <c r="H201" i="46" s="1"/>
  <c r="E176" i="46"/>
  <c r="E201" i="46" s="1"/>
  <c r="D176" i="46"/>
  <c r="D201" i="46" s="1"/>
  <c r="C176" i="46"/>
  <c r="C201" i="46" s="1"/>
  <c r="L171" i="46"/>
  <c r="K171" i="46"/>
  <c r="J171" i="46"/>
  <c r="I171" i="46"/>
  <c r="H171" i="46"/>
  <c r="E171" i="46"/>
  <c r="D171" i="46"/>
  <c r="C171" i="46"/>
  <c r="L170" i="46"/>
  <c r="K170" i="46"/>
  <c r="J170" i="46"/>
  <c r="I170" i="46"/>
  <c r="H170" i="46"/>
  <c r="E170" i="46"/>
  <c r="D170" i="46"/>
  <c r="C170" i="46"/>
  <c r="L169" i="46"/>
  <c r="K169" i="46"/>
  <c r="J169" i="46"/>
  <c r="I169" i="46"/>
  <c r="H169" i="46"/>
  <c r="E169" i="46"/>
  <c r="D169" i="46"/>
  <c r="C169" i="46"/>
  <c r="L168" i="46"/>
  <c r="K168" i="46"/>
  <c r="J168" i="46"/>
  <c r="I168" i="46"/>
  <c r="H168" i="46"/>
  <c r="E168" i="46"/>
  <c r="D168" i="46"/>
  <c r="C168" i="46"/>
  <c r="L167" i="46"/>
  <c r="K167" i="46"/>
  <c r="J167" i="46"/>
  <c r="I167" i="46"/>
  <c r="H167" i="46"/>
  <c r="E167" i="46"/>
  <c r="D167" i="46"/>
  <c r="C167" i="46"/>
  <c r="L166" i="46"/>
  <c r="K166" i="46"/>
  <c r="J166" i="46"/>
  <c r="I166" i="46"/>
  <c r="H166" i="46"/>
  <c r="E166" i="46"/>
  <c r="D166" i="46"/>
  <c r="C166" i="46"/>
  <c r="L165" i="46"/>
  <c r="K165" i="46"/>
  <c r="J165" i="46"/>
  <c r="I165" i="46"/>
  <c r="H165" i="46"/>
  <c r="E165" i="46"/>
  <c r="D165" i="46"/>
  <c r="C165" i="46"/>
  <c r="L164" i="46"/>
  <c r="K164" i="46"/>
  <c r="J164" i="46"/>
  <c r="I164" i="46"/>
  <c r="H164" i="46"/>
  <c r="E164" i="46"/>
  <c r="D164" i="46"/>
  <c r="C164" i="46"/>
  <c r="L163" i="46"/>
  <c r="K163" i="46"/>
  <c r="J163" i="46"/>
  <c r="I163" i="46"/>
  <c r="H163" i="46"/>
  <c r="E163" i="46"/>
  <c r="D163" i="46"/>
  <c r="C163" i="46"/>
  <c r="L162" i="46"/>
  <c r="K162" i="46"/>
  <c r="J162" i="46"/>
  <c r="I162" i="46"/>
  <c r="H162" i="46"/>
  <c r="E162" i="46"/>
  <c r="D162" i="46"/>
  <c r="C162" i="46"/>
  <c r="L161" i="46"/>
  <c r="K161" i="46"/>
  <c r="J161" i="46"/>
  <c r="I161" i="46"/>
  <c r="H161" i="46"/>
  <c r="E161" i="46"/>
  <c r="D161" i="46"/>
  <c r="C161" i="46"/>
  <c r="L160" i="46"/>
  <c r="K160" i="46"/>
  <c r="J160" i="46"/>
  <c r="I160" i="46"/>
  <c r="H160" i="46"/>
  <c r="E160" i="46"/>
  <c r="D160" i="46"/>
  <c r="C160" i="46"/>
  <c r="L159" i="46"/>
  <c r="K159" i="46"/>
  <c r="J159" i="46"/>
  <c r="I159" i="46"/>
  <c r="H159" i="46"/>
  <c r="E159" i="46"/>
  <c r="D159" i="46"/>
  <c r="C159" i="46"/>
  <c r="L158" i="46"/>
  <c r="K158" i="46"/>
  <c r="J158" i="46"/>
  <c r="I158" i="46"/>
  <c r="H158" i="46"/>
  <c r="E158" i="46"/>
  <c r="D158" i="46"/>
  <c r="C158" i="46"/>
  <c r="L157" i="46"/>
  <c r="K157" i="46"/>
  <c r="J157" i="46"/>
  <c r="I157" i="46"/>
  <c r="H157" i="46"/>
  <c r="E157" i="46"/>
  <c r="D157" i="46"/>
  <c r="C157" i="46"/>
  <c r="L156" i="46"/>
  <c r="K156" i="46"/>
  <c r="J156" i="46"/>
  <c r="I156" i="46"/>
  <c r="H156" i="46"/>
  <c r="E156" i="46"/>
  <c r="D156" i="46"/>
  <c r="C156" i="46"/>
  <c r="L155" i="46"/>
  <c r="K155" i="46"/>
  <c r="J155" i="46"/>
  <c r="I155" i="46"/>
  <c r="H155" i="46"/>
  <c r="E155" i="46"/>
  <c r="D155" i="46"/>
  <c r="C155" i="46"/>
  <c r="L154" i="46"/>
  <c r="K154" i="46"/>
  <c r="J154" i="46"/>
  <c r="I154" i="46"/>
  <c r="H154" i="46"/>
  <c r="E154" i="46"/>
  <c r="D154" i="46"/>
  <c r="C154" i="46"/>
  <c r="L153" i="46"/>
  <c r="K153" i="46"/>
  <c r="J153" i="46"/>
  <c r="I153" i="46"/>
  <c r="H153" i="46"/>
  <c r="E153" i="46"/>
  <c r="D153" i="46"/>
  <c r="C153" i="46"/>
  <c r="L152" i="46"/>
  <c r="K152" i="46"/>
  <c r="J152" i="46"/>
  <c r="I152" i="46"/>
  <c r="H152" i="46"/>
  <c r="E152" i="46"/>
  <c r="D152" i="46"/>
  <c r="C152" i="46"/>
  <c r="L151" i="46"/>
  <c r="K151" i="46"/>
  <c r="J151" i="46"/>
  <c r="I151" i="46"/>
  <c r="H151" i="46"/>
  <c r="E151" i="46"/>
  <c r="D151" i="46"/>
  <c r="C151" i="46"/>
  <c r="L150" i="46"/>
  <c r="K150" i="46"/>
  <c r="J150" i="46"/>
  <c r="I150" i="46"/>
  <c r="H150" i="46"/>
  <c r="E150" i="46"/>
  <c r="D150" i="46"/>
  <c r="C150" i="46"/>
  <c r="L149" i="46"/>
  <c r="K149" i="46"/>
  <c r="J149" i="46"/>
  <c r="I149" i="46"/>
  <c r="H149" i="46"/>
  <c r="E149" i="46"/>
  <c r="D149" i="46"/>
  <c r="C149" i="46"/>
  <c r="L148" i="46"/>
  <c r="K148" i="46"/>
  <c r="J148" i="46"/>
  <c r="I148" i="46"/>
  <c r="H148" i="46"/>
  <c r="E148" i="46"/>
  <c r="D148" i="46"/>
  <c r="C148" i="46"/>
  <c r="L147" i="46"/>
  <c r="K147" i="46"/>
  <c r="J147" i="46"/>
  <c r="I147" i="46"/>
  <c r="H147" i="46"/>
  <c r="E147" i="46"/>
  <c r="D147" i="46"/>
  <c r="C147" i="46"/>
  <c r="L146" i="46"/>
  <c r="K146" i="46"/>
  <c r="J146" i="46"/>
  <c r="I146" i="46"/>
  <c r="H146" i="46"/>
  <c r="E146" i="46"/>
  <c r="D146" i="46"/>
  <c r="C146" i="46"/>
  <c r="L145" i="46"/>
  <c r="K145" i="46"/>
  <c r="J145" i="46"/>
  <c r="I145" i="46"/>
  <c r="H145" i="46"/>
  <c r="E145" i="46"/>
  <c r="D145" i="46"/>
  <c r="C145" i="46"/>
  <c r="L144" i="46"/>
  <c r="K144" i="46"/>
  <c r="J144" i="46"/>
  <c r="I144" i="46"/>
  <c r="H144" i="46"/>
  <c r="E144" i="46"/>
  <c r="D144" i="46"/>
  <c r="C144" i="46"/>
  <c r="L143" i="46"/>
  <c r="K143" i="46"/>
  <c r="J143" i="46"/>
  <c r="I143" i="46"/>
  <c r="H143" i="46"/>
  <c r="E143" i="46"/>
  <c r="D143" i="46"/>
  <c r="C143" i="46"/>
  <c r="L142" i="46"/>
  <c r="K142" i="46"/>
  <c r="J142" i="46"/>
  <c r="I142" i="46"/>
  <c r="H142" i="46"/>
  <c r="E142" i="46"/>
  <c r="D142" i="46"/>
  <c r="C142" i="46"/>
  <c r="L141" i="46"/>
  <c r="K141" i="46"/>
  <c r="J141" i="46"/>
  <c r="I141" i="46"/>
  <c r="H141" i="46"/>
  <c r="E141" i="46"/>
  <c r="D141" i="46"/>
  <c r="C141" i="46"/>
  <c r="L140" i="46"/>
  <c r="L172" i="46" s="1"/>
  <c r="K140" i="46"/>
  <c r="K172" i="46" s="1"/>
  <c r="J140" i="46"/>
  <c r="J172" i="46" s="1"/>
  <c r="I140" i="46"/>
  <c r="I172" i="46" s="1"/>
  <c r="H140" i="46"/>
  <c r="H172" i="46" s="1"/>
  <c r="E140" i="46"/>
  <c r="E172" i="46" s="1"/>
  <c r="D140" i="46"/>
  <c r="D172" i="46" s="1"/>
  <c r="C140" i="46"/>
  <c r="C172" i="46" s="1"/>
  <c r="L135" i="46"/>
  <c r="K135" i="46"/>
  <c r="J135" i="46"/>
  <c r="I135" i="46"/>
  <c r="H135" i="46"/>
  <c r="E135" i="46"/>
  <c r="D135" i="46"/>
  <c r="C135" i="46"/>
  <c r="L134" i="46"/>
  <c r="L136" i="46" s="1"/>
  <c r="K134" i="46"/>
  <c r="K136" i="46" s="1"/>
  <c r="J134" i="46"/>
  <c r="J136" i="46" s="1"/>
  <c r="I134" i="46"/>
  <c r="I136" i="46" s="1"/>
  <c r="H134" i="46"/>
  <c r="H136" i="46" s="1"/>
  <c r="E134" i="46"/>
  <c r="E136" i="46" s="1"/>
  <c r="D134" i="46"/>
  <c r="D136" i="46" s="1"/>
  <c r="C134" i="46"/>
  <c r="C136" i="46" s="1"/>
  <c r="L129" i="46"/>
  <c r="L130" i="46" s="1"/>
  <c r="K129" i="46"/>
  <c r="K130" i="46" s="1"/>
  <c r="J129" i="46"/>
  <c r="J130" i="46" s="1"/>
  <c r="I129" i="46"/>
  <c r="I130" i="46" s="1"/>
  <c r="H129" i="46"/>
  <c r="H130" i="46" s="1"/>
  <c r="E129" i="46"/>
  <c r="E130" i="46" s="1"/>
  <c r="D129" i="46"/>
  <c r="D130" i="46" s="1"/>
  <c r="C129" i="46"/>
  <c r="C130" i="46" s="1"/>
  <c r="L124" i="46"/>
  <c r="K124" i="46"/>
  <c r="J124" i="46"/>
  <c r="I124" i="46"/>
  <c r="H124" i="46"/>
  <c r="E124" i="46"/>
  <c r="D124" i="46"/>
  <c r="C124" i="46"/>
  <c r="L123" i="46"/>
  <c r="K123" i="46"/>
  <c r="J123" i="46"/>
  <c r="I123" i="46"/>
  <c r="H123" i="46"/>
  <c r="E123" i="46"/>
  <c r="D123" i="46"/>
  <c r="C123" i="46"/>
  <c r="L122" i="46"/>
  <c r="K122" i="46"/>
  <c r="J122" i="46"/>
  <c r="I122" i="46"/>
  <c r="H122" i="46"/>
  <c r="E122" i="46"/>
  <c r="D122" i="46"/>
  <c r="C122" i="46"/>
  <c r="L121" i="46"/>
  <c r="K121" i="46"/>
  <c r="J121" i="46"/>
  <c r="I121" i="46"/>
  <c r="H121" i="46"/>
  <c r="E121" i="46"/>
  <c r="D121" i="46"/>
  <c r="C121" i="46"/>
  <c r="L120" i="46"/>
  <c r="K120" i="46"/>
  <c r="J120" i="46"/>
  <c r="I120" i="46"/>
  <c r="H120" i="46"/>
  <c r="E120" i="46"/>
  <c r="D120" i="46"/>
  <c r="C120" i="46"/>
  <c r="L119" i="46"/>
  <c r="K119" i="46"/>
  <c r="J119" i="46"/>
  <c r="I119" i="46"/>
  <c r="H119" i="46"/>
  <c r="E119" i="46"/>
  <c r="D119" i="46"/>
  <c r="C119" i="46"/>
  <c r="L118" i="46"/>
  <c r="K118" i="46"/>
  <c r="J118" i="46"/>
  <c r="I118" i="46"/>
  <c r="H118" i="46"/>
  <c r="E118" i="46"/>
  <c r="D118" i="46"/>
  <c r="C118" i="46"/>
  <c r="L117" i="46"/>
  <c r="K117" i="46"/>
  <c r="J117" i="46"/>
  <c r="I117" i="46"/>
  <c r="H117" i="46"/>
  <c r="E117" i="46"/>
  <c r="D117" i="46"/>
  <c r="C117" i="46"/>
  <c r="L116" i="46"/>
  <c r="K116" i="46"/>
  <c r="J116" i="46"/>
  <c r="I116" i="46"/>
  <c r="H116" i="46"/>
  <c r="E116" i="46"/>
  <c r="D116" i="46"/>
  <c r="C116" i="46"/>
  <c r="L115" i="46"/>
  <c r="K115" i="46"/>
  <c r="J115" i="46"/>
  <c r="I115" i="46"/>
  <c r="H115" i="46"/>
  <c r="E115" i="46"/>
  <c r="D115" i="46"/>
  <c r="C115" i="46"/>
  <c r="L114" i="46"/>
  <c r="K114" i="46"/>
  <c r="J114" i="46"/>
  <c r="I114" i="46"/>
  <c r="H114" i="46"/>
  <c r="E114" i="46"/>
  <c r="D114" i="46"/>
  <c r="C114" i="46"/>
  <c r="L113" i="46"/>
  <c r="K113" i="46"/>
  <c r="J113" i="46"/>
  <c r="I113" i="46"/>
  <c r="H113" i="46"/>
  <c r="E113" i="46"/>
  <c r="D113" i="46"/>
  <c r="C113" i="46"/>
  <c r="L112" i="46"/>
  <c r="K112" i="46"/>
  <c r="J112" i="46"/>
  <c r="I112" i="46"/>
  <c r="H112" i="46"/>
  <c r="E112" i="46"/>
  <c r="D112" i="46"/>
  <c r="C112" i="46"/>
  <c r="L111" i="46"/>
  <c r="K111" i="46"/>
  <c r="J111" i="46"/>
  <c r="I111" i="46"/>
  <c r="H111" i="46"/>
  <c r="E111" i="46"/>
  <c r="D111" i="46"/>
  <c r="C111" i="46"/>
  <c r="L110" i="46"/>
  <c r="K110" i="46"/>
  <c r="J110" i="46"/>
  <c r="I110" i="46"/>
  <c r="H110" i="46"/>
  <c r="E110" i="46"/>
  <c r="D110" i="46"/>
  <c r="C110" i="46"/>
  <c r="L109" i="46"/>
  <c r="K109" i="46"/>
  <c r="J109" i="46"/>
  <c r="I109" i="46"/>
  <c r="H109" i="46"/>
  <c r="E109" i="46"/>
  <c r="D109" i="46"/>
  <c r="C109" i="46"/>
  <c r="L108" i="46"/>
  <c r="K108" i="46"/>
  <c r="J108" i="46"/>
  <c r="I108" i="46"/>
  <c r="H108" i="46"/>
  <c r="E108" i="46"/>
  <c r="D108" i="46"/>
  <c r="C108" i="46"/>
  <c r="L107" i="46"/>
  <c r="K107" i="46"/>
  <c r="J107" i="46"/>
  <c r="I107" i="46"/>
  <c r="H107" i="46"/>
  <c r="E107" i="46"/>
  <c r="D107" i="46"/>
  <c r="C107" i="46"/>
  <c r="L106" i="46"/>
  <c r="K106" i="46"/>
  <c r="J106" i="46"/>
  <c r="I106" i="46"/>
  <c r="H106" i="46"/>
  <c r="E106" i="46"/>
  <c r="D106" i="46"/>
  <c r="C106" i="46"/>
  <c r="L105" i="46"/>
  <c r="K105" i="46"/>
  <c r="J105" i="46"/>
  <c r="I105" i="46"/>
  <c r="H105" i="46"/>
  <c r="E105" i="46"/>
  <c r="D105" i="46"/>
  <c r="C105" i="46"/>
  <c r="L104" i="46"/>
  <c r="K104" i="46"/>
  <c r="J104" i="46"/>
  <c r="I104" i="46"/>
  <c r="H104" i="46"/>
  <c r="E104" i="46"/>
  <c r="D104" i="46"/>
  <c r="C104" i="46"/>
  <c r="L103" i="46"/>
  <c r="K103" i="46"/>
  <c r="J103" i="46"/>
  <c r="I103" i="46"/>
  <c r="H103" i="46"/>
  <c r="E103" i="46"/>
  <c r="D103" i="46"/>
  <c r="C103" i="46"/>
  <c r="L102" i="46"/>
  <c r="K102" i="46"/>
  <c r="J102" i="46"/>
  <c r="I102" i="46"/>
  <c r="H102" i="46"/>
  <c r="E102" i="46"/>
  <c r="D102" i="46"/>
  <c r="C102" i="46"/>
  <c r="L101" i="46"/>
  <c r="K101" i="46"/>
  <c r="J101" i="46"/>
  <c r="I101" i="46"/>
  <c r="H101" i="46"/>
  <c r="E101" i="46"/>
  <c r="D101" i="46"/>
  <c r="C101" i="46"/>
  <c r="L100" i="46"/>
  <c r="K100" i="46"/>
  <c r="J100" i="46"/>
  <c r="I100" i="46"/>
  <c r="H100" i="46"/>
  <c r="E100" i="46"/>
  <c r="D100" i="46"/>
  <c r="C100" i="46"/>
  <c r="L99" i="46"/>
  <c r="K99" i="46"/>
  <c r="J99" i="46"/>
  <c r="I99" i="46"/>
  <c r="H99" i="46"/>
  <c r="E99" i="46"/>
  <c r="D99" i="46"/>
  <c r="C99" i="46"/>
  <c r="L98" i="46"/>
  <c r="K98" i="46"/>
  <c r="J98" i="46"/>
  <c r="I98" i="46"/>
  <c r="H98" i="46"/>
  <c r="E98" i="46"/>
  <c r="D98" i="46"/>
  <c r="C98" i="46"/>
  <c r="L97" i="46"/>
  <c r="K97" i="46"/>
  <c r="J97" i="46"/>
  <c r="I97" i="46"/>
  <c r="H97" i="46"/>
  <c r="E97" i="46"/>
  <c r="D97" i="46"/>
  <c r="C97" i="46"/>
  <c r="L96" i="46"/>
  <c r="K96" i="46"/>
  <c r="J96" i="46"/>
  <c r="I96" i="46"/>
  <c r="H96" i="46"/>
  <c r="E96" i="46"/>
  <c r="D96" i="46"/>
  <c r="C96" i="46"/>
  <c r="L95" i="46"/>
  <c r="K95" i="46"/>
  <c r="J95" i="46"/>
  <c r="I95" i="46"/>
  <c r="H95" i="46"/>
  <c r="E95" i="46"/>
  <c r="D95" i="46"/>
  <c r="C95" i="46"/>
  <c r="L94" i="46"/>
  <c r="K94" i="46"/>
  <c r="J94" i="46"/>
  <c r="I94" i="46"/>
  <c r="H94" i="46"/>
  <c r="E94" i="46"/>
  <c r="D94" i="46"/>
  <c r="C94" i="46"/>
  <c r="L93" i="46"/>
  <c r="K93" i="46"/>
  <c r="J93" i="46"/>
  <c r="I93" i="46"/>
  <c r="H93" i="46"/>
  <c r="E93" i="46"/>
  <c r="D93" i="46"/>
  <c r="C93" i="46"/>
  <c r="L92" i="46"/>
  <c r="K92" i="46"/>
  <c r="J92" i="46"/>
  <c r="I92" i="46"/>
  <c r="H92" i="46"/>
  <c r="E92" i="46"/>
  <c r="D92" i="46"/>
  <c r="C92" i="46"/>
  <c r="L91" i="46"/>
  <c r="K91" i="46"/>
  <c r="J91" i="46"/>
  <c r="I91" i="46"/>
  <c r="H91" i="46"/>
  <c r="E91" i="46"/>
  <c r="D91" i="46"/>
  <c r="C91" i="46"/>
  <c r="L90" i="46"/>
  <c r="K90" i="46"/>
  <c r="J90" i="46"/>
  <c r="I90" i="46"/>
  <c r="H90" i="46"/>
  <c r="E90" i="46"/>
  <c r="D90" i="46"/>
  <c r="C90" i="46"/>
  <c r="L89" i="46"/>
  <c r="K89" i="46"/>
  <c r="J89" i="46"/>
  <c r="I89" i="46"/>
  <c r="H89" i="46"/>
  <c r="E89" i="46"/>
  <c r="D89" i="46"/>
  <c r="C89" i="46"/>
  <c r="L88" i="46"/>
  <c r="K88" i="46"/>
  <c r="J88" i="46"/>
  <c r="I88" i="46"/>
  <c r="H88" i="46"/>
  <c r="E88" i="46"/>
  <c r="D88" i="46"/>
  <c r="C88" i="46"/>
  <c r="L87" i="46"/>
  <c r="K87" i="46"/>
  <c r="J87" i="46"/>
  <c r="I87" i="46"/>
  <c r="H87" i="46"/>
  <c r="E87" i="46"/>
  <c r="D87" i="46"/>
  <c r="C87" i="46"/>
  <c r="L86" i="46"/>
  <c r="K86" i="46"/>
  <c r="J86" i="46"/>
  <c r="I86" i="46"/>
  <c r="H86" i="46"/>
  <c r="E86" i="46"/>
  <c r="D86" i="46"/>
  <c r="C86" i="46"/>
  <c r="L85" i="46"/>
  <c r="K85" i="46"/>
  <c r="J85" i="46"/>
  <c r="I85" i="46"/>
  <c r="H85" i="46"/>
  <c r="E85" i="46"/>
  <c r="D85" i="46"/>
  <c r="C85" i="46"/>
  <c r="L84" i="46"/>
  <c r="K84" i="46"/>
  <c r="J84" i="46"/>
  <c r="I84" i="46"/>
  <c r="H84" i="46"/>
  <c r="E84" i="46"/>
  <c r="D84" i="46"/>
  <c r="C84" i="46"/>
  <c r="L83" i="46"/>
  <c r="K83" i="46"/>
  <c r="J83" i="46"/>
  <c r="I83" i="46"/>
  <c r="H83" i="46"/>
  <c r="E83" i="46"/>
  <c r="D83" i="46"/>
  <c r="C83" i="46"/>
  <c r="L82" i="46"/>
  <c r="K82" i="46"/>
  <c r="J82" i="46"/>
  <c r="I82" i="46"/>
  <c r="H82" i="46"/>
  <c r="E82" i="46"/>
  <c r="D82" i="46"/>
  <c r="C82" i="46"/>
  <c r="L81" i="46"/>
  <c r="K81" i="46"/>
  <c r="J81" i="46"/>
  <c r="I81" i="46"/>
  <c r="H81" i="46"/>
  <c r="E81" i="46"/>
  <c r="D81" i="46"/>
  <c r="C81" i="46"/>
  <c r="L80" i="46"/>
  <c r="K80" i="46"/>
  <c r="J80" i="46"/>
  <c r="I80" i="46"/>
  <c r="H80" i="46"/>
  <c r="E80" i="46"/>
  <c r="D80" i="46"/>
  <c r="C80" i="46"/>
  <c r="L79" i="46"/>
  <c r="K79" i="46"/>
  <c r="J79" i="46"/>
  <c r="I79" i="46"/>
  <c r="H79" i="46"/>
  <c r="E79" i="46"/>
  <c r="D79" i="46"/>
  <c r="C79" i="46"/>
  <c r="L78" i="46"/>
  <c r="K78" i="46"/>
  <c r="J78" i="46"/>
  <c r="I78" i="46"/>
  <c r="H78" i="46"/>
  <c r="E78" i="46"/>
  <c r="D78" i="46"/>
  <c r="C78" i="46"/>
  <c r="L77" i="46"/>
  <c r="K77" i="46"/>
  <c r="J77" i="46"/>
  <c r="I77" i="46"/>
  <c r="H77" i="46"/>
  <c r="E77" i="46"/>
  <c r="D77" i="46"/>
  <c r="C77" i="46"/>
  <c r="L76" i="46"/>
  <c r="K76" i="46"/>
  <c r="J76" i="46"/>
  <c r="I76" i="46"/>
  <c r="H76" i="46"/>
  <c r="E76" i="46"/>
  <c r="D76" i="46"/>
  <c r="C76" i="46"/>
  <c r="L75" i="46"/>
  <c r="K75" i="46"/>
  <c r="J75" i="46"/>
  <c r="I75" i="46"/>
  <c r="H75" i="46"/>
  <c r="E75" i="46"/>
  <c r="D75" i="46"/>
  <c r="C75" i="46"/>
  <c r="L74" i="46"/>
  <c r="K74" i="46"/>
  <c r="J74" i="46"/>
  <c r="I74" i="46"/>
  <c r="H74" i="46"/>
  <c r="E74" i="46"/>
  <c r="D74" i="46"/>
  <c r="C74" i="46"/>
  <c r="L73" i="46"/>
  <c r="K73" i="46"/>
  <c r="J73" i="46"/>
  <c r="I73" i="46"/>
  <c r="H73" i="46"/>
  <c r="E73" i="46"/>
  <c r="D73" i="46"/>
  <c r="C73" i="46"/>
  <c r="L72" i="46"/>
  <c r="K72" i="46"/>
  <c r="J72" i="46"/>
  <c r="I72" i="46"/>
  <c r="H72" i="46"/>
  <c r="E72" i="46"/>
  <c r="D72" i="46"/>
  <c r="C72" i="46"/>
  <c r="L71" i="46"/>
  <c r="K71" i="46"/>
  <c r="J71" i="46"/>
  <c r="I71" i="46"/>
  <c r="H71" i="46"/>
  <c r="E71" i="46"/>
  <c r="D71" i="46"/>
  <c r="C71" i="46"/>
  <c r="L70" i="46"/>
  <c r="K70" i="46"/>
  <c r="J70" i="46"/>
  <c r="I70" i="46"/>
  <c r="H70" i="46"/>
  <c r="E70" i="46"/>
  <c r="D70" i="46"/>
  <c r="C70" i="46"/>
  <c r="L69" i="46"/>
  <c r="K69" i="46"/>
  <c r="J69" i="46"/>
  <c r="I69" i="46"/>
  <c r="H69" i="46"/>
  <c r="E69" i="46"/>
  <c r="D69" i="46"/>
  <c r="C69" i="46"/>
  <c r="L68" i="46"/>
  <c r="K68" i="46"/>
  <c r="J68" i="46"/>
  <c r="I68" i="46"/>
  <c r="H68" i="46"/>
  <c r="E68" i="46"/>
  <c r="D68" i="46"/>
  <c r="C68" i="46"/>
  <c r="L67" i="46"/>
  <c r="K67" i="46"/>
  <c r="J67" i="46"/>
  <c r="I67" i="46"/>
  <c r="H67" i="46"/>
  <c r="E67" i="46"/>
  <c r="D67" i="46"/>
  <c r="C67" i="46"/>
  <c r="L66" i="46"/>
  <c r="K66" i="46"/>
  <c r="J66" i="46"/>
  <c r="I66" i="46"/>
  <c r="H66" i="46"/>
  <c r="E66" i="46"/>
  <c r="D66" i="46"/>
  <c r="C66" i="46"/>
  <c r="L65" i="46"/>
  <c r="K65" i="46"/>
  <c r="J65" i="46"/>
  <c r="I65" i="46"/>
  <c r="H65" i="46"/>
  <c r="E65" i="46"/>
  <c r="D65" i="46"/>
  <c r="C65" i="46"/>
  <c r="L64" i="46"/>
  <c r="K64" i="46"/>
  <c r="J64" i="46"/>
  <c r="I64" i="46"/>
  <c r="H64" i="46"/>
  <c r="E64" i="46"/>
  <c r="D64" i="46"/>
  <c r="C64" i="46"/>
  <c r="L63" i="46"/>
  <c r="K63" i="46"/>
  <c r="J63" i="46"/>
  <c r="I63" i="46"/>
  <c r="H63" i="46"/>
  <c r="E63" i="46"/>
  <c r="D63" i="46"/>
  <c r="C63" i="46"/>
  <c r="L62" i="46"/>
  <c r="K62" i="46"/>
  <c r="J62" i="46"/>
  <c r="I62" i="46"/>
  <c r="H62" i="46"/>
  <c r="E62" i="46"/>
  <c r="D62" i="46"/>
  <c r="C62" i="46"/>
  <c r="L61" i="46"/>
  <c r="K61" i="46"/>
  <c r="J61" i="46"/>
  <c r="I61" i="46"/>
  <c r="H61" i="46"/>
  <c r="E61" i="46"/>
  <c r="D61" i="46"/>
  <c r="C61" i="46"/>
  <c r="L60" i="46"/>
  <c r="K60" i="46"/>
  <c r="J60" i="46"/>
  <c r="I60" i="46"/>
  <c r="H60" i="46"/>
  <c r="E60" i="46"/>
  <c r="D60" i="46"/>
  <c r="C60" i="46"/>
  <c r="L59" i="46"/>
  <c r="K59" i="46"/>
  <c r="J59" i="46"/>
  <c r="I59" i="46"/>
  <c r="H59" i="46"/>
  <c r="E59" i="46"/>
  <c r="D59" i="46"/>
  <c r="C59" i="46"/>
  <c r="L58" i="46"/>
  <c r="K58" i="46"/>
  <c r="J58" i="46"/>
  <c r="I58" i="46"/>
  <c r="H58" i="46"/>
  <c r="E58" i="46"/>
  <c r="D58" i="46"/>
  <c r="C58" i="46"/>
  <c r="L57" i="46"/>
  <c r="K57" i="46"/>
  <c r="J57" i="46"/>
  <c r="I57" i="46"/>
  <c r="H57" i="46"/>
  <c r="E57" i="46"/>
  <c r="D57" i="46"/>
  <c r="C57" i="46"/>
  <c r="L56" i="46"/>
  <c r="K56" i="46"/>
  <c r="J56" i="46"/>
  <c r="I56" i="46"/>
  <c r="H56" i="46"/>
  <c r="E56" i="46"/>
  <c r="D56" i="46"/>
  <c r="C56" i="46"/>
  <c r="L55" i="46"/>
  <c r="K55" i="46"/>
  <c r="J55" i="46"/>
  <c r="I55" i="46"/>
  <c r="H55" i="46"/>
  <c r="E55" i="46"/>
  <c r="D55" i="46"/>
  <c r="C55" i="46"/>
  <c r="L54" i="46"/>
  <c r="K54" i="46"/>
  <c r="J54" i="46"/>
  <c r="I54" i="46"/>
  <c r="H54" i="46"/>
  <c r="E54" i="46"/>
  <c r="D54" i="46"/>
  <c r="C54" i="46"/>
  <c r="L53" i="46"/>
  <c r="K53" i="46"/>
  <c r="J53" i="46"/>
  <c r="I53" i="46"/>
  <c r="H53" i="46"/>
  <c r="E53" i="46"/>
  <c r="D53" i="46"/>
  <c r="C53" i="46"/>
  <c r="L52" i="46"/>
  <c r="K52" i="46"/>
  <c r="J52" i="46"/>
  <c r="I52" i="46"/>
  <c r="H52" i="46"/>
  <c r="E52" i="46"/>
  <c r="D52" i="46"/>
  <c r="C52" i="46"/>
  <c r="L51" i="46"/>
  <c r="K51" i="46"/>
  <c r="J51" i="46"/>
  <c r="I51" i="46"/>
  <c r="H51" i="46"/>
  <c r="E51" i="46"/>
  <c r="D51" i="46"/>
  <c r="C51" i="46"/>
  <c r="L50" i="46"/>
  <c r="K50" i="46"/>
  <c r="J50" i="46"/>
  <c r="I50" i="46"/>
  <c r="H50" i="46"/>
  <c r="E50" i="46"/>
  <c r="D50" i="46"/>
  <c r="C50" i="46"/>
  <c r="L49" i="46"/>
  <c r="K49" i="46"/>
  <c r="J49" i="46"/>
  <c r="I49" i="46"/>
  <c r="H49" i="46"/>
  <c r="E49" i="46"/>
  <c r="D49" i="46"/>
  <c r="C49" i="46"/>
  <c r="L48" i="46"/>
  <c r="K48" i="46"/>
  <c r="J48" i="46"/>
  <c r="I48" i="46"/>
  <c r="H48" i="46"/>
  <c r="E48" i="46"/>
  <c r="D48" i="46"/>
  <c r="C48" i="46"/>
  <c r="L47" i="46"/>
  <c r="K47" i="46"/>
  <c r="J47" i="46"/>
  <c r="I47" i="46"/>
  <c r="H47" i="46"/>
  <c r="E47" i="46"/>
  <c r="D47" i="46"/>
  <c r="C47" i="46"/>
  <c r="L46" i="46"/>
  <c r="K46" i="46"/>
  <c r="J46" i="46"/>
  <c r="I46" i="46"/>
  <c r="H46" i="46"/>
  <c r="E46" i="46"/>
  <c r="D46" i="46"/>
  <c r="C46" i="46"/>
  <c r="L45" i="46"/>
  <c r="K45" i="46"/>
  <c r="J45" i="46"/>
  <c r="I45" i="46"/>
  <c r="H45" i="46"/>
  <c r="E45" i="46"/>
  <c r="D45" i="46"/>
  <c r="C45" i="46"/>
  <c r="L44" i="46"/>
  <c r="K44" i="46"/>
  <c r="J44" i="46"/>
  <c r="I44" i="46"/>
  <c r="H44" i="46"/>
  <c r="E44" i="46"/>
  <c r="D44" i="46"/>
  <c r="C44" i="46"/>
  <c r="L43" i="46"/>
  <c r="K43" i="46"/>
  <c r="J43" i="46"/>
  <c r="I43" i="46"/>
  <c r="H43" i="46"/>
  <c r="E43" i="46"/>
  <c r="D43" i="46"/>
  <c r="C43" i="46"/>
  <c r="L42" i="46"/>
  <c r="K42" i="46"/>
  <c r="J42" i="46"/>
  <c r="I42" i="46"/>
  <c r="H42" i="46"/>
  <c r="E42" i="46"/>
  <c r="D42" i="46"/>
  <c r="C42" i="46"/>
  <c r="L41" i="46"/>
  <c r="K41" i="46"/>
  <c r="J41" i="46"/>
  <c r="I41" i="46"/>
  <c r="H41" i="46"/>
  <c r="E41" i="46"/>
  <c r="D41" i="46"/>
  <c r="C41" i="46"/>
  <c r="L40" i="46"/>
  <c r="K40" i="46"/>
  <c r="J40" i="46"/>
  <c r="I40" i="46"/>
  <c r="H40" i="46"/>
  <c r="E40" i="46"/>
  <c r="D40" i="46"/>
  <c r="C40" i="46"/>
  <c r="L39" i="46"/>
  <c r="K39" i="46"/>
  <c r="J39" i="46"/>
  <c r="I39" i="46"/>
  <c r="H39" i="46"/>
  <c r="E39" i="46"/>
  <c r="D39" i="46"/>
  <c r="C39" i="46"/>
  <c r="L38" i="46"/>
  <c r="K38" i="46"/>
  <c r="K125" i="46" s="1"/>
  <c r="J38" i="46"/>
  <c r="I38" i="46"/>
  <c r="H38" i="46"/>
  <c r="H125" i="46" s="1"/>
  <c r="E38" i="46"/>
  <c r="D38" i="46"/>
  <c r="D125" i="46" s="1"/>
  <c r="C38" i="46"/>
  <c r="L33" i="46"/>
  <c r="K33" i="46"/>
  <c r="J33" i="46"/>
  <c r="I33" i="46"/>
  <c r="H33" i="46"/>
  <c r="E33" i="46"/>
  <c r="D33" i="46"/>
  <c r="C33" i="46"/>
  <c r="L32" i="46"/>
  <c r="L34" i="46" s="1"/>
  <c r="K32" i="46"/>
  <c r="K34" i="46" s="1"/>
  <c r="J32" i="46"/>
  <c r="I32" i="46"/>
  <c r="I34" i="46" s="1"/>
  <c r="H32" i="46"/>
  <c r="H34" i="46" s="1"/>
  <c r="E32" i="46"/>
  <c r="E34" i="46" s="1"/>
  <c r="D32" i="46"/>
  <c r="D34" i="46" s="1"/>
  <c r="C32" i="46"/>
  <c r="C34" i="46" s="1"/>
  <c r="L27" i="46"/>
  <c r="K27" i="46"/>
  <c r="J27" i="46"/>
  <c r="I27" i="46"/>
  <c r="H27" i="46"/>
  <c r="E27" i="46"/>
  <c r="D27" i="46"/>
  <c r="C27" i="46"/>
  <c r="L26" i="46"/>
  <c r="K26" i="46"/>
  <c r="J26" i="46"/>
  <c r="I26" i="46"/>
  <c r="H26" i="46"/>
  <c r="E26" i="46"/>
  <c r="D26" i="46"/>
  <c r="C26" i="46"/>
  <c r="L25" i="46"/>
  <c r="K25" i="46"/>
  <c r="J25" i="46"/>
  <c r="I25" i="46"/>
  <c r="H25" i="46"/>
  <c r="E25" i="46"/>
  <c r="D25" i="46"/>
  <c r="C25" i="46"/>
  <c r="L24" i="46"/>
  <c r="K24" i="46"/>
  <c r="J24" i="46"/>
  <c r="I24" i="46"/>
  <c r="H24" i="46"/>
  <c r="E24" i="46"/>
  <c r="D24" i="46"/>
  <c r="C24" i="46"/>
  <c r="L23" i="46"/>
  <c r="K23" i="46"/>
  <c r="J23" i="46"/>
  <c r="I23" i="46"/>
  <c r="H23" i="46"/>
  <c r="E23" i="46"/>
  <c r="D23" i="46"/>
  <c r="C23" i="46"/>
  <c r="L22" i="46"/>
  <c r="L28" i="46" s="1"/>
  <c r="K22" i="46"/>
  <c r="K28" i="46" s="1"/>
  <c r="J22" i="46"/>
  <c r="I22" i="46"/>
  <c r="I28" i="46" s="1"/>
  <c r="H22" i="46"/>
  <c r="H28" i="46" s="1"/>
  <c r="E22" i="46"/>
  <c r="E28" i="46" s="1"/>
  <c r="D22" i="46"/>
  <c r="C22" i="46"/>
  <c r="C28" i="46" s="1"/>
  <c r="L17" i="46"/>
  <c r="K17" i="46"/>
  <c r="J17" i="46"/>
  <c r="I17" i="46"/>
  <c r="H17" i="46"/>
  <c r="E17" i="46"/>
  <c r="D17" i="46"/>
  <c r="C17" i="46"/>
  <c r="L16" i="46"/>
  <c r="K16" i="46"/>
  <c r="K18" i="46" s="1"/>
  <c r="J16" i="46"/>
  <c r="I16" i="46"/>
  <c r="I18" i="46" s="1"/>
  <c r="H16" i="46"/>
  <c r="H18" i="46" s="1"/>
  <c r="E16" i="46"/>
  <c r="E18" i="46" s="1"/>
  <c r="D16" i="46"/>
  <c r="D18" i="46" s="1"/>
  <c r="C16" i="46"/>
  <c r="C18" i="46" s="1"/>
  <c r="L11" i="46"/>
  <c r="L12" i="46" s="1"/>
  <c r="K11" i="46"/>
  <c r="K12" i="46" s="1"/>
  <c r="J11" i="46"/>
  <c r="J12" i="46" s="1"/>
  <c r="I11" i="46"/>
  <c r="I12" i="46" s="1"/>
  <c r="H11" i="46"/>
  <c r="H12" i="46" s="1"/>
  <c r="E11" i="46"/>
  <c r="E12" i="46" s="1"/>
  <c r="D11" i="46"/>
  <c r="D12" i="46" s="1"/>
  <c r="C11" i="46"/>
  <c r="C12" i="46" s="1"/>
  <c r="L6" i="46"/>
  <c r="L7" i="46" s="1"/>
  <c r="K6" i="46"/>
  <c r="K7" i="46" s="1"/>
  <c r="J6" i="46"/>
  <c r="J7" i="46" s="1"/>
  <c r="I6" i="46"/>
  <c r="I7" i="46" s="1"/>
  <c r="H6" i="46"/>
  <c r="H7" i="46" s="1"/>
  <c r="E6" i="46"/>
  <c r="E7" i="46" s="1"/>
  <c r="D6" i="46"/>
  <c r="D7" i="46" s="1"/>
  <c r="C6" i="46"/>
  <c r="C7" i="46" s="1"/>
  <c r="J28" i="46" l="1"/>
  <c r="J18" i="46"/>
  <c r="J34" i="46"/>
  <c r="J125" i="46"/>
  <c r="L18" i="46"/>
  <c r="L125" i="46"/>
  <c r="L277" i="46" s="1"/>
  <c r="C254" i="46"/>
  <c r="E125" i="46"/>
  <c r="E277" i="46" s="1"/>
  <c r="I125" i="46"/>
  <c r="C125" i="46"/>
  <c r="C274" i="46"/>
  <c r="D28" i="46"/>
  <c r="D277" i="46" s="1"/>
  <c r="H277" i="46"/>
  <c r="I277" i="46"/>
  <c r="K277" i="46"/>
  <c r="J277" i="46" l="1"/>
  <c r="C277" i="46"/>
  <c r="F60" i="21"/>
  <c r="G253" i="43" l="1"/>
  <c r="F253" i="43"/>
  <c r="C253" i="43"/>
  <c r="D242" i="43"/>
  <c r="D253" i="43" s="1"/>
  <c r="G240" i="43"/>
  <c r="F240" i="43"/>
  <c r="D240" i="43"/>
  <c r="C240" i="43"/>
  <c r="G237" i="43"/>
  <c r="F237" i="43"/>
  <c r="D237" i="43"/>
  <c r="C237" i="43"/>
  <c r="G227" i="43"/>
  <c r="F227" i="43"/>
  <c r="C227" i="43"/>
  <c r="D226" i="43"/>
  <c r="D227" i="43" s="1"/>
  <c r="G221" i="43"/>
  <c r="F221" i="43"/>
  <c r="D221" i="43"/>
  <c r="C221" i="43"/>
  <c r="F218" i="43"/>
  <c r="C218" i="43"/>
  <c r="D217" i="43"/>
  <c r="D212" i="43"/>
  <c r="G211" i="43"/>
  <c r="D210" i="43"/>
  <c r="G209" i="43"/>
  <c r="G208" i="43"/>
  <c r="G218" i="43" s="1"/>
  <c r="D207" i="43"/>
  <c r="D205" i="43"/>
  <c r="D196" i="43"/>
  <c r="G191" i="43"/>
  <c r="F191" i="43"/>
  <c r="C191" i="43"/>
  <c r="D183" i="43"/>
  <c r="D191" i="43" s="1"/>
  <c r="F164" i="43"/>
  <c r="C164" i="43"/>
  <c r="D163" i="43"/>
  <c r="D162" i="43"/>
  <c r="G161" i="43"/>
  <c r="D158" i="43"/>
  <c r="G156" i="43"/>
  <c r="D154" i="43"/>
  <c r="D152" i="43"/>
  <c r="G145" i="43"/>
  <c r="D140" i="43"/>
  <c r="G136" i="43"/>
  <c r="G130" i="43"/>
  <c r="F130" i="43"/>
  <c r="D130" i="43"/>
  <c r="C130" i="43"/>
  <c r="G126" i="43"/>
  <c r="F126" i="43"/>
  <c r="D126" i="43"/>
  <c r="C126" i="43"/>
  <c r="C123" i="43"/>
  <c r="G122" i="43"/>
  <c r="G121" i="43"/>
  <c r="D121" i="43"/>
  <c r="D120" i="43"/>
  <c r="D119" i="43"/>
  <c r="D118" i="43"/>
  <c r="G116" i="43"/>
  <c r="D116" i="43"/>
  <c r="D113" i="43"/>
  <c r="D111" i="43"/>
  <c r="D109" i="43"/>
  <c r="D103" i="43"/>
  <c r="G100" i="43"/>
  <c r="D99" i="43"/>
  <c r="G97" i="43"/>
  <c r="D95" i="43"/>
  <c r="D94" i="43"/>
  <c r="G93" i="43"/>
  <c r="D87" i="43"/>
  <c r="D85" i="43"/>
  <c r="D73" i="43"/>
  <c r="D72" i="43"/>
  <c r="G61" i="43"/>
  <c r="D60" i="43"/>
  <c r="D52" i="43"/>
  <c r="D46" i="43"/>
  <c r="D38" i="43"/>
  <c r="G33" i="43"/>
  <c r="G32" i="43"/>
  <c r="G31" i="43"/>
  <c r="G28" i="43"/>
  <c r="F28" i="43"/>
  <c r="D28" i="43"/>
  <c r="C28" i="43"/>
  <c r="G24" i="43"/>
  <c r="F24" i="43"/>
  <c r="D24" i="43"/>
  <c r="C24" i="43"/>
  <c r="G16" i="43"/>
  <c r="F16" i="43"/>
  <c r="D16" i="43"/>
  <c r="C16" i="43"/>
  <c r="G12" i="43"/>
  <c r="F12" i="43"/>
  <c r="D12" i="43"/>
  <c r="C12" i="43"/>
  <c r="G9" i="43"/>
  <c r="F9" i="43"/>
  <c r="D9" i="43"/>
  <c r="C9" i="43"/>
  <c r="D164" i="43" l="1"/>
  <c r="C255" i="43"/>
  <c r="D123" i="43"/>
  <c r="F255" i="43"/>
  <c r="G123" i="43"/>
  <c r="G164" i="43"/>
  <c r="D218" i="43"/>
  <c r="G255" i="43" l="1"/>
  <c r="D255" i="43"/>
  <c r="D5" i="42"/>
  <c r="D6" i="42"/>
  <c r="D7" i="42"/>
  <c r="D8" i="42"/>
  <c r="D9" i="42"/>
  <c r="D10" i="42"/>
  <c r="D11" i="42"/>
  <c r="D12" i="42"/>
  <c r="D13" i="42"/>
  <c r="D4" i="42"/>
  <c r="D205" i="34" l="1"/>
  <c r="D204" i="34"/>
  <c r="D203" i="34"/>
  <c r="D202" i="34"/>
  <c r="D201" i="34"/>
  <c r="D200" i="34"/>
  <c r="D199" i="34"/>
  <c r="D198" i="34"/>
  <c r="D197" i="34"/>
  <c r="D196" i="34"/>
  <c r="D195" i="34"/>
  <c r="D194" i="34"/>
  <c r="D193" i="34"/>
  <c r="D192" i="34"/>
  <c r="D191" i="34"/>
  <c r="D190" i="34"/>
  <c r="D189" i="34"/>
  <c r="D188" i="34"/>
  <c r="D187" i="34"/>
  <c r="D186" i="34"/>
  <c r="D185" i="34"/>
  <c r="D184" i="34"/>
  <c r="D183" i="34"/>
  <c r="D182" i="34"/>
  <c r="D181" i="34"/>
  <c r="D180" i="34"/>
  <c r="D179" i="34"/>
  <c r="D178" i="34"/>
  <c r="D177" i="34"/>
  <c r="D176" i="34"/>
  <c r="D175" i="34"/>
  <c r="D174" i="34"/>
  <c r="D173" i="34"/>
  <c r="D172" i="34"/>
  <c r="D171" i="34"/>
  <c r="D170" i="34"/>
  <c r="D169" i="34"/>
  <c r="D168" i="34"/>
  <c r="D167" i="34"/>
  <c r="D166" i="34"/>
  <c r="D165" i="34"/>
  <c r="D164" i="34"/>
  <c r="D163" i="34"/>
  <c r="D162" i="34"/>
  <c r="D161" i="34"/>
  <c r="D160" i="34"/>
  <c r="D159" i="34"/>
  <c r="D158" i="34"/>
  <c r="D157" i="34"/>
  <c r="D156" i="34"/>
  <c r="D155" i="34"/>
  <c r="D154" i="34"/>
  <c r="D153" i="34"/>
  <c r="D152" i="34"/>
  <c r="D151" i="34"/>
  <c r="D150" i="34"/>
  <c r="D149" i="34"/>
  <c r="D148" i="34"/>
  <c r="D147" i="34"/>
  <c r="D146" i="34"/>
  <c r="D145" i="34"/>
  <c r="D144" i="34"/>
  <c r="D143" i="34"/>
  <c r="D142" i="34"/>
  <c r="D141" i="34"/>
  <c r="D140" i="34"/>
  <c r="D139" i="34"/>
  <c r="D138" i="34"/>
  <c r="D137" i="34"/>
  <c r="D136" i="34"/>
  <c r="D135" i="34"/>
  <c r="D134" i="34"/>
  <c r="D133" i="34"/>
  <c r="D132" i="34"/>
  <c r="D131" i="34"/>
  <c r="D130" i="34"/>
  <c r="D129" i="34"/>
  <c r="D128" i="34"/>
  <c r="D127" i="34"/>
  <c r="D126" i="34"/>
  <c r="D125" i="34"/>
  <c r="D124" i="34"/>
  <c r="D123" i="34"/>
  <c r="D122" i="34"/>
  <c r="D121" i="34"/>
  <c r="D120" i="34"/>
  <c r="D119" i="34"/>
  <c r="D118" i="34"/>
  <c r="D117" i="34"/>
  <c r="D116" i="34"/>
  <c r="D115" i="34"/>
  <c r="D114" i="34"/>
  <c r="D113" i="34"/>
  <c r="D112" i="34"/>
  <c r="D111" i="34"/>
  <c r="D110" i="34"/>
  <c r="D109" i="34"/>
  <c r="D108" i="34"/>
  <c r="D107" i="34"/>
  <c r="D106" i="34"/>
  <c r="D105" i="34"/>
  <c r="D104" i="34"/>
  <c r="D103" i="34"/>
  <c r="D102" i="34"/>
  <c r="D101" i="34"/>
  <c r="D100" i="34"/>
  <c r="D99" i="34"/>
  <c r="D98" i="34"/>
  <c r="D97" i="34"/>
  <c r="D96" i="34"/>
  <c r="D95" i="34"/>
  <c r="D94" i="34"/>
  <c r="D93" i="34"/>
  <c r="D92" i="34"/>
  <c r="D91" i="34"/>
  <c r="D90" i="34"/>
  <c r="D89" i="34"/>
  <c r="D88" i="34"/>
  <c r="D87" i="34"/>
  <c r="D86" i="34"/>
  <c r="D85" i="34"/>
  <c r="D84" i="34"/>
  <c r="D83" i="34"/>
  <c r="D82" i="34"/>
  <c r="D81" i="34"/>
  <c r="D80" i="34"/>
  <c r="D79" i="34"/>
  <c r="D78" i="34"/>
  <c r="D77" i="34"/>
  <c r="D76" i="34"/>
  <c r="D75" i="34"/>
  <c r="D74" i="34"/>
  <c r="D73" i="34"/>
  <c r="D72" i="34"/>
  <c r="D71" i="34"/>
  <c r="D70" i="34"/>
  <c r="D69" i="34"/>
  <c r="D68" i="34"/>
  <c r="D67" i="34"/>
  <c r="D66" i="34"/>
  <c r="D65" i="34"/>
  <c r="D64" i="34"/>
  <c r="D63" i="34"/>
  <c r="D62" i="34"/>
  <c r="D61" i="34"/>
  <c r="D60" i="34"/>
  <c r="D59" i="34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3" i="34"/>
  <c r="D2" i="34"/>
  <c r="X216" i="29" l="1"/>
  <c r="AB214" i="29"/>
  <c r="AB218" i="29" s="1"/>
  <c r="AA214" i="29"/>
  <c r="AA218" i="29" s="1"/>
  <c r="W214" i="29"/>
  <c r="W218" i="29" s="1"/>
  <c r="V214" i="29"/>
  <c r="V218" i="29" s="1"/>
  <c r="P214" i="29"/>
  <c r="P218" i="29" s="1"/>
  <c r="L214" i="29"/>
  <c r="L218" i="29" s="1"/>
  <c r="K214" i="29"/>
  <c r="J214" i="29"/>
  <c r="I214" i="29"/>
  <c r="J216" i="29" s="1"/>
  <c r="C214" i="29"/>
  <c r="B214" i="29"/>
  <c r="X212" i="29"/>
  <c r="N212" i="29"/>
  <c r="O212" i="29" s="1"/>
  <c r="M212" i="29"/>
  <c r="G212" i="29"/>
  <c r="D212" i="29"/>
  <c r="H212" i="29" s="1"/>
  <c r="X211" i="29"/>
  <c r="N211" i="29"/>
  <c r="O211" i="29" s="1"/>
  <c r="Q211" i="29" s="1"/>
  <c r="M211" i="29"/>
  <c r="G211" i="29"/>
  <c r="D211" i="29"/>
  <c r="X210" i="29"/>
  <c r="N210" i="29"/>
  <c r="O210" i="29" s="1"/>
  <c r="Q210" i="29" s="1"/>
  <c r="M210" i="29"/>
  <c r="G210" i="29"/>
  <c r="D210" i="29"/>
  <c r="H210" i="29" s="1"/>
  <c r="X209" i="29"/>
  <c r="N209" i="29"/>
  <c r="O209" i="29" s="1"/>
  <c r="Q209" i="29" s="1"/>
  <c r="M209" i="29"/>
  <c r="G209" i="29"/>
  <c r="D209" i="29"/>
  <c r="H209" i="29" s="1"/>
  <c r="X208" i="29"/>
  <c r="N208" i="29"/>
  <c r="O208" i="29" s="1"/>
  <c r="Q208" i="29" s="1"/>
  <c r="M208" i="29"/>
  <c r="G208" i="29"/>
  <c r="D208" i="29"/>
  <c r="H208" i="29" s="1"/>
  <c r="X207" i="29"/>
  <c r="N207" i="29"/>
  <c r="O207" i="29" s="1"/>
  <c r="Q207" i="29" s="1"/>
  <c r="M207" i="29"/>
  <c r="G207" i="29"/>
  <c r="D207" i="29"/>
  <c r="X206" i="29"/>
  <c r="N206" i="29"/>
  <c r="O206" i="29" s="1"/>
  <c r="Q206" i="29" s="1"/>
  <c r="M206" i="29"/>
  <c r="G206" i="29"/>
  <c r="D206" i="29"/>
  <c r="H206" i="29" s="1"/>
  <c r="X205" i="29"/>
  <c r="N205" i="29"/>
  <c r="O205" i="29" s="1"/>
  <c r="Q205" i="29" s="1"/>
  <c r="M205" i="29"/>
  <c r="G205" i="29"/>
  <c r="D205" i="29"/>
  <c r="H205" i="29" s="1"/>
  <c r="X204" i="29"/>
  <c r="N204" i="29"/>
  <c r="O204" i="29" s="1"/>
  <c r="Q204" i="29" s="1"/>
  <c r="M204" i="29"/>
  <c r="G204" i="29"/>
  <c r="D204" i="29"/>
  <c r="X203" i="29"/>
  <c r="N203" i="29"/>
  <c r="O203" i="29" s="1"/>
  <c r="Q203" i="29" s="1"/>
  <c r="M203" i="29"/>
  <c r="G203" i="29"/>
  <c r="D203" i="29"/>
  <c r="X202" i="29"/>
  <c r="N202" i="29"/>
  <c r="O202" i="29" s="1"/>
  <c r="Q202" i="29" s="1"/>
  <c r="M202" i="29"/>
  <c r="G202" i="29"/>
  <c r="D202" i="29"/>
  <c r="H202" i="29" s="1"/>
  <c r="X201" i="29"/>
  <c r="N201" i="29"/>
  <c r="O201" i="29" s="1"/>
  <c r="Q201" i="29" s="1"/>
  <c r="M201" i="29"/>
  <c r="G201" i="29"/>
  <c r="D201" i="29"/>
  <c r="H201" i="29" s="1"/>
  <c r="X200" i="29"/>
  <c r="N200" i="29"/>
  <c r="O200" i="29" s="1"/>
  <c r="Q200" i="29" s="1"/>
  <c r="M200" i="29"/>
  <c r="F200" i="29"/>
  <c r="D200" i="29"/>
  <c r="X199" i="29"/>
  <c r="N199" i="29"/>
  <c r="O199" i="29" s="1"/>
  <c r="Q199" i="29" s="1"/>
  <c r="M199" i="29"/>
  <c r="G199" i="29"/>
  <c r="D199" i="29"/>
  <c r="H199" i="29" s="1"/>
  <c r="X198" i="29"/>
  <c r="N198" i="29"/>
  <c r="O198" i="29" s="1"/>
  <c r="Q198" i="29" s="1"/>
  <c r="M198" i="29"/>
  <c r="G198" i="29"/>
  <c r="D198" i="29"/>
  <c r="X197" i="29"/>
  <c r="N197" i="29"/>
  <c r="O197" i="29" s="1"/>
  <c r="Q197" i="29" s="1"/>
  <c r="M197" i="29"/>
  <c r="G197" i="29"/>
  <c r="D197" i="29"/>
  <c r="H197" i="29" s="1"/>
  <c r="R197" i="29" s="1"/>
  <c r="X196" i="29"/>
  <c r="N196" i="29"/>
  <c r="O196" i="29" s="1"/>
  <c r="Q196" i="29" s="1"/>
  <c r="M196" i="29"/>
  <c r="G196" i="29"/>
  <c r="D196" i="29"/>
  <c r="H196" i="29" s="1"/>
  <c r="X195" i="29"/>
  <c r="N195" i="29"/>
  <c r="O195" i="29" s="1"/>
  <c r="Q195" i="29" s="1"/>
  <c r="M195" i="29"/>
  <c r="G195" i="29"/>
  <c r="D195" i="29"/>
  <c r="X194" i="29"/>
  <c r="N194" i="29"/>
  <c r="O194" i="29" s="1"/>
  <c r="Q194" i="29" s="1"/>
  <c r="M194" i="29"/>
  <c r="G194" i="29"/>
  <c r="D194" i="29"/>
  <c r="X193" i="29"/>
  <c r="N193" i="29"/>
  <c r="O193" i="29" s="1"/>
  <c r="Q193" i="29" s="1"/>
  <c r="M193" i="29"/>
  <c r="G193" i="29"/>
  <c r="D193" i="29"/>
  <c r="H193" i="29" s="1"/>
  <c r="X192" i="29"/>
  <c r="N192" i="29"/>
  <c r="O192" i="29" s="1"/>
  <c r="Q192" i="29" s="1"/>
  <c r="M192" i="29"/>
  <c r="G192" i="29"/>
  <c r="D192" i="29"/>
  <c r="H192" i="29" s="1"/>
  <c r="X191" i="29"/>
  <c r="N191" i="29"/>
  <c r="O191" i="29" s="1"/>
  <c r="Q191" i="29" s="1"/>
  <c r="M191" i="29"/>
  <c r="G191" i="29"/>
  <c r="D191" i="29"/>
  <c r="H191" i="29" s="1"/>
  <c r="X190" i="29"/>
  <c r="N190" i="29"/>
  <c r="O190" i="29" s="1"/>
  <c r="Q190" i="29" s="1"/>
  <c r="M190" i="29"/>
  <c r="G190" i="29"/>
  <c r="D190" i="29"/>
  <c r="X189" i="29"/>
  <c r="N189" i="29"/>
  <c r="O189" i="29" s="1"/>
  <c r="Q189" i="29" s="1"/>
  <c r="M189" i="29"/>
  <c r="G189" i="29"/>
  <c r="D189" i="29"/>
  <c r="H189" i="29" s="1"/>
  <c r="X188" i="29"/>
  <c r="N188" i="29"/>
  <c r="O188" i="29" s="1"/>
  <c r="Q188" i="29" s="1"/>
  <c r="M188" i="29"/>
  <c r="G188" i="29"/>
  <c r="D188" i="29"/>
  <c r="H188" i="29" s="1"/>
  <c r="X187" i="29"/>
  <c r="N187" i="29"/>
  <c r="O187" i="29" s="1"/>
  <c r="Q187" i="29" s="1"/>
  <c r="M187" i="29"/>
  <c r="G187" i="29"/>
  <c r="D187" i="29"/>
  <c r="H187" i="29" s="1"/>
  <c r="T187" i="29" s="1"/>
  <c r="X186" i="29"/>
  <c r="N186" i="29"/>
  <c r="O186" i="29" s="1"/>
  <c r="Q186" i="29" s="1"/>
  <c r="M186" i="29"/>
  <c r="G186" i="29"/>
  <c r="D186" i="29"/>
  <c r="X185" i="29"/>
  <c r="N185" i="29"/>
  <c r="O185" i="29" s="1"/>
  <c r="Q185" i="29" s="1"/>
  <c r="M185" i="29"/>
  <c r="G185" i="29"/>
  <c r="D185" i="29"/>
  <c r="H185" i="29" s="1"/>
  <c r="X184" i="29"/>
  <c r="N184" i="29"/>
  <c r="O184" i="29" s="1"/>
  <c r="Q184" i="29" s="1"/>
  <c r="M184" i="29"/>
  <c r="G184" i="29"/>
  <c r="D184" i="29"/>
  <c r="H184" i="29" s="1"/>
  <c r="X183" i="29"/>
  <c r="N183" i="29"/>
  <c r="O183" i="29" s="1"/>
  <c r="Q183" i="29" s="1"/>
  <c r="M183" i="29"/>
  <c r="G183" i="29"/>
  <c r="D183" i="29"/>
  <c r="H183" i="29" s="1"/>
  <c r="X182" i="29"/>
  <c r="N182" i="29"/>
  <c r="O182" i="29" s="1"/>
  <c r="Q182" i="29" s="1"/>
  <c r="M182" i="29"/>
  <c r="G182" i="29"/>
  <c r="D182" i="29"/>
  <c r="X181" i="29"/>
  <c r="N181" i="29"/>
  <c r="O181" i="29" s="1"/>
  <c r="Q181" i="29" s="1"/>
  <c r="M181" i="29"/>
  <c r="G181" i="29"/>
  <c r="D181" i="29"/>
  <c r="H181" i="29" s="1"/>
  <c r="X180" i="29"/>
  <c r="N180" i="29"/>
  <c r="O180" i="29" s="1"/>
  <c r="Q180" i="29" s="1"/>
  <c r="M180" i="29"/>
  <c r="G180" i="29"/>
  <c r="D180" i="29"/>
  <c r="H180" i="29" s="1"/>
  <c r="X179" i="29"/>
  <c r="N179" i="29"/>
  <c r="O179" i="29" s="1"/>
  <c r="Q179" i="29" s="1"/>
  <c r="M179" i="29"/>
  <c r="G179" i="29"/>
  <c r="D179" i="29"/>
  <c r="X178" i="29"/>
  <c r="N178" i="29"/>
  <c r="O178" i="29" s="1"/>
  <c r="Q178" i="29" s="1"/>
  <c r="M178" i="29"/>
  <c r="G178" i="29"/>
  <c r="D178" i="29"/>
  <c r="X177" i="29"/>
  <c r="N177" i="29"/>
  <c r="O177" i="29" s="1"/>
  <c r="Q177" i="29" s="1"/>
  <c r="M177" i="29"/>
  <c r="G177" i="29"/>
  <c r="D177" i="29"/>
  <c r="H177" i="29" s="1"/>
  <c r="X176" i="29"/>
  <c r="N176" i="29"/>
  <c r="O176" i="29" s="1"/>
  <c r="Q176" i="29" s="1"/>
  <c r="M176" i="29"/>
  <c r="G176" i="29"/>
  <c r="D176" i="29"/>
  <c r="H176" i="29" s="1"/>
  <c r="X175" i="29"/>
  <c r="N175" i="29"/>
  <c r="O175" i="29" s="1"/>
  <c r="Q175" i="29" s="1"/>
  <c r="M175" i="29"/>
  <c r="G175" i="29"/>
  <c r="D175" i="29"/>
  <c r="H175" i="29" s="1"/>
  <c r="X174" i="29"/>
  <c r="N174" i="29"/>
  <c r="O174" i="29" s="1"/>
  <c r="Q174" i="29" s="1"/>
  <c r="M174" i="29"/>
  <c r="G174" i="29"/>
  <c r="D174" i="29"/>
  <c r="X173" i="29"/>
  <c r="N173" i="29"/>
  <c r="O173" i="29" s="1"/>
  <c r="Q173" i="29" s="1"/>
  <c r="M173" i="29"/>
  <c r="G173" i="29"/>
  <c r="D173" i="29"/>
  <c r="H173" i="29" s="1"/>
  <c r="X172" i="29"/>
  <c r="N172" i="29"/>
  <c r="O172" i="29" s="1"/>
  <c r="Q172" i="29" s="1"/>
  <c r="M172" i="29"/>
  <c r="G172" i="29"/>
  <c r="D172" i="29"/>
  <c r="H172" i="29" s="1"/>
  <c r="X171" i="29"/>
  <c r="N171" i="29"/>
  <c r="O171" i="29" s="1"/>
  <c r="Q171" i="29" s="1"/>
  <c r="M171" i="29"/>
  <c r="G171" i="29"/>
  <c r="D171" i="29"/>
  <c r="H171" i="29" s="1"/>
  <c r="T171" i="29" s="1"/>
  <c r="X170" i="29"/>
  <c r="N170" i="29"/>
  <c r="O170" i="29" s="1"/>
  <c r="Q170" i="29" s="1"/>
  <c r="M170" i="29"/>
  <c r="G170" i="29"/>
  <c r="D170" i="29"/>
  <c r="X169" i="29"/>
  <c r="N169" i="29"/>
  <c r="O169" i="29" s="1"/>
  <c r="Q169" i="29" s="1"/>
  <c r="M169" i="29"/>
  <c r="G169" i="29"/>
  <c r="D169" i="29"/>
  <c r="H169" i="29" s="1"/>
  <c r="X168" i="29"/>
  <c r="N168" i="29"/>
  <c r="O168" i="29" s="1"/>
  <c r="Q168" i="29" s="1"/>
  <c r="M168" i="29"/>
  <c r="G168" i="29"/>
  <c r="D168" i="29"/>
  <c r="H168" i="29" s="1"/>
  <c r="X167" i="29"/>
  <c r="N167" i="29"/>
  <c r="O167" i="29" s="1"/>
  <c r="Q167" i="29" s="1"/>
  <c r="M167" i="29"/>
  <c r="G167" i="29"/>
  <c r="D167" i="29"/>
  <c r="H167" i="29" s="1"/>
  <c r="X166" i="29"/>
  <c r="N166" i="29"/>
  <c r="O166" i="29" s="1"/>
  <c r="Q166" i="29" s="1"/>
  <c r="M166" i="29"/>
  <c r="G166" i="29"/>
  <c r="D166" i="29"/>
  <c r="X165" i="29"/>
  <c r="N165" i="29"/>
  <c r="O165" i="29" s="1"/>
  <c r="Q165" i="29" s="1"/>
  <c r="M165" i="29"/>
  <c r="G165" i="29"/>
  <c r="D165" i="29"/>
  <c r="H165" i="29" s="1"/>
  <c r="X164" i="29"/>
  <c r="N164" i="29"/>
  <c r="O164" i="29" s="1"/>
  <c r="Q164" i="29" s="1"/>
  <c r="M164" i="29"/>
  <c r="G164" i="29"/>
  <c r="D164" i="29"/>
  <c r="H164" i="29" s="1"/>
  <c r="X163" i="29"/>
  <c r="N163" i="29"/>
  <c r="O163" i="29" s="1"/>
  <c r="Q163" i="29" s="1"/>
  <c r="M163" i="29"/>
  <c r="G163" i="29"/>
  <c r="D163" i="29"/>
  <c r="X162" i="29"/>
  <c r="N162" i="29"/>
  <c r="O162" i="29" s="1"/>
  <c r="Q162" i="29" s="1"/>
  <c r="M162" i="29"/>
  <c r="G162" i="29"/>
  <c r="D162" i="29"/>
  <c r="X161" i="29"/>
  <c r="N161" i="29"/>
  <c r="O161" i="29" s="1"/>
  <c r="Q161" i="29" s="1"/>
  <c r="M161" i="29"/>
  <c r="G161" i="29"/>
  <c r="D161" i="29"/>
  <c r="H161" i="29" s="1"/>
  <c r="X160" i="29"/>
  <c r="N160" i="29"/>
  <c r="O160" i="29" s="1"/>
  <c r="Q160" i="29" s="1"/>
  <c r="M160" i="29"/>
  <c r="G160" i="29"/>
  <c r="D160" i="29"/>
  <c r="H160" i="29" s="1"/>
  <c r="X159" i="29"/>
  <c r="N159" i="29"/>
  <c r="O159" i="29" s="1"/>
  <c r="Q159" i="29" s="1"/>
  <c r="M159" i="29"/>
  <c r="G159" i="29"/>
  <c r="D159" i="29"/>
  <c r="X158" i="29"/>
  <c r="N158" i="29"/>
  <c r="O158" i="29" s="1"/>
  <c r="Q158" i="29" s="1"/>
  <c r="M158" i="29"/>
  <c r="G158" i="29"/>
  <c r="D158" i="29"/>
  <c r="X157" i="29"/>
  <c r="N157" i="29"/>
  <c r="O157" i="29" s="1"/>
  <c r="Q157" i="29" s="1"/>
  <c r="M157" i="29"/>
  <c r="G157" i="29"/>
  <c r="D157" i="29"/>
  <c r="H157" i="29" s="1"/>
  <c r="X156" i="29"/>
  <c r="N156" i="29"/>
  <c r="O156" i="29" s="1"/>
  <c r="Q156" i="29" s="1"/>
  <c r="M156" i="29"/>
  <c r="G156" i="29"/>
  <c r="D156" i="29"/>
  <c r="H156" i="29" s="1"/>
  <c r="X155" i="29"/>
  <c r="N155" i="29"/>
  <c r="O155" i="29" s="1"/>
  <c r="Q155" i="29" s="1"/>
  <c r="M155" i="29"/>
  <c r="G155" i="29"/>
  <c r="D155" i="29"/>
  <c r="H155" i="29" s="1"/>
  <c r="X154" i="29"/>
  <c r="N154" i="29"/>
  <c r="O154" i="29" s="1"/>
  <c r="Q154" i="29" s="1"/>
  <c r="M154" i="29"/>
  <c r="G154" i="29"/>
  <c r="D154" i="29"/>
  <c r="H154" i="29" s="1"/>
  <c r="X153" i="29"/>
  <c r="N153" i="29"/>
  <c r="O153" i="29" s="1"/>
  <c r="Q153" i="29" s="1"/>
  <c r="M153" i="29"/>
  <c r="G153" i="29"/>
  <c r="D153" i="29"/>
  <c r="H153" i="29" s="1"/>
  <c r="X152" i="29"/>
  <c r="N152" i="29"/>
  <c r="O152" i="29" s="1"/>
  <c r="Q152" i="29" s="1"/>
  <c r="M152" i="29"/>
  <c r="G152" i="29"/>
  <c r="D152" i="29"/>
  <c r="H152" i="29" s="1"/>
  <c r="X151" i="29"/>
  <c r="N151" i="29"/>
  <c r="O151" i="29" s="1"/>
  <c r="Q151" i="29" s="1"/>
  <c r="M151" i="29"/>
  <c r="G151" i="29"/>
  <c r="D151" i="29"/>
  <c r="H151" i="29" s="1"/>
  <c r="X150" i="29"/>
  <c r="N150" i="29"/>
  <c r="O150" i="29" s="1"/>
  <c r="Q150" i="29" s="1"/>
  <c r="M150" i="29"/>
  <c r="G150" i="29"/>
  <c r="D150" i="29"/>
  <c r="X149" i="29"/>
  <c r="N149" i="29"/>
  <c r="O149" i="29" s="1"/>
  <c r="Q149" i="29" s="1"/>
  <c r="M149" i="29"/>
  <c r="G149" i="29"/>
  <c r="D149" i="29"/>
  <c r="H149" i="29" s="1"/>
  <c r="X148" i="29"/>
  <c r="N148" i="29"/>
  <c r="O148" i="29" s="1"/>
  <c r="Q148" i="29" s="1"/>
  <c r="M148" i="29"/>
  <c r="G148" i="29"/>
  <c r="D148" i="29"/>
  <c r="X147" i="29"/>
  <c r="N147" i="29"/>
  <c r="O147" i="29" s="1"/>
  <c r="Q147" i="29" s="1"/>
  <c r="M147" i="29"/>
  <c r="G147" i="29"/>
  <c r="D147" i="29"/>
  <c r="H147" i="29" s="1"/>
  <c r="X146" i="29"/>
  <c r="N146" i="29"/>
  <c r="O146" i="29" s="1"/>
  <c r="Q146" i="29" s="1"/>
  <c r="M146" i="29"/>
  <c r="G146" i="29"/>
  <c r="D146" i="29"/>
  <c r="X145" i="29"/>
  <c r="N145" i="29"/>
  <c r="O145" i="29" s="1"/>
  <c r="Q145" i="29" s="1"/>
  <c r="M145" i="29"/>
  <c r="G145" i="29"/>
  <c r="D145" i="29"/>
  <c r="H145" i="29" s="1"/>
  <c r="X144" i="29"/>
  <c r="N144" i="29"/>
  <c r="O144" i="29" s="1"/>
  <c r="Q144" i="29" s="1"/>
  <c r="M144" i="29"/>
  <c r="G144" i="29"/>
  <c r="D144" i="29"/>
  <c r="H144" i="29" s="1"/>
  <c r="R144" i="29" s="1"/>
  <c r="X143" i="29"/>
  <c r="N143" i="29"/>
  <c r="O143" i="29" s="1"/>
  <c r="Q143" i="29" s="1"/>
  <c r="M143" i="29"/>
  <c r="G143" i="29"/>
  <c r="D143" i="29"/>
  <c r="H143" i="29" s="1"/>
  <c r="X142" i="29"/>
  <c r="N142" i="29"/>
  <c r="O142" i="29" s="1"/>
  <c r="Q142" i="29" s="1"/>
  <c r="M142" i="29"/>
  <c r="G142" i="29"/>
  <c r="D142" i="29"/>
  <c r="X141" i="29"/>
  <c r="N141" i="29"/>
  <c r="O141" i="29" s="1"/>
  <c r="Q141" i="29" s="1"/>
  <c r="M141" i="29"/>
  <c r="G141" i="29"/>
  <c r="D141" i="29"/>
  <c r="H141" i="29" s="1"/>
  <c r="X140" i="29"/>
  <c r="N140" i="29"/>
  <c r="O140" i="29" s="1"/>
  <c r="Q140" i="29" s="1"/>
  <c r="M140" i="29"/>
  <c r="G140" i="29"/>
  <c r="D140" i="29"/>
  <c r="H140" i="29" s="1"/>
  <c r="X139" i="29"/>
  <c r="N139" i="29"/>
  <c r="O139" i="29" s="1"/>
  <c r="Q139" i="29" s="1"/>
  <c r="M139" i="29"/>
  <c r="G139" i="29"/>
  <c r="D139" i="29"/>
  <c r="H139" i="29" s="1"/>
  <c r="X138" i="29"/>
  <c r="N138" i="29"/>
  <c r="O138" i="29" s="1"/>
  <c r="Q138" i="29" s="1"/>
  <c r="M138" i="29"/>
  <c r="G138" i="29"/>
  <c r="D138" i="29"/>
  <c r="H138" i="29" s="1"/>
  <c r="X137" i="29"/>
  <c r="N137" i="29"/>
  <c r="O137" i="29" s="1"/>
  <c r="Q137" i="29" s="1"/>
  <c r="M137" i="29"/>
  <c r="G137" i="29"/>
  <c r="D137" i="29"/>
  <c r="H137" i="29" s="1"/>
  <c r="X136" i="29"/>
  <c r="N136" i="29"/>
  <c r="O136" i="29" s="1"/>
  <c r="Q136" i="29" s="1"/>
  <c r="M136" i="29"/>
  <c r="G136" i="29"/>
  <c r="D136" i="29"/>
  <c r="H136" i="29" s="1"/>
  <c r="X135" i="29"/>
  <c r="N135" i="29"/>
  <c r="O135" i="29" s="1"/>
  <c r="Q135" i="29" s="1"/>
  <c r="M135" i="29"/>
  <c r="G135" i="29"/>
  <c r="D135" i="29"/>
  <c r="H135" i="29" s="1"/>
  <c r="X134" i="29"/>
  <c r="N134" i="29"/>
  <c r="O134" i="29" s="1"/>
  <c r="Q134" i="29" s="1"/>
  <c r="M134" i="29"/>
  <c r="G134" i="29"/>
  <c r="D134" i="29"/>
  <c r="H134" i="29" s="1"/>
  <c r="X133" i="29"/>
  <c r="N133" i="29"/>
  <c r="O133" i="29" s="1"/>
  <c r="Q133" i="29" s="1"/>
  <c r="M133" i="29"/>
  <c r="G133" i="29"/>
  <c r="D133" i="29"/>
  <c r="H133" i="29" s="1"/>
  <c r="X132" i="29"/>
  <c r="N132" i="29"/>
  <c r="O132" i="29" s="1"/>
  <c r="Q132" i="29" s="1"/>
  <c r="M132" i="29"/>
  <c r="G132" i="29"/>
  <c r="D132" i="29"/>
  <c r="H132" i="29" s="1"/>
  <c r="X131" i="29"/>
  <c r="N131" i="29"/>
  <c r="O131" i="29" s="1"/>
  <c r="Q131" i="29" s="1"/>
  <c r="M131" i="29"/>
  <c r="G131" i="29"/>
  <c r="D131" i="29"/>
  <c r="H131" i="29" s="1"/>
  <c r="X130" i="29"/>
  <c r="N130" i="29"/>
  <c r="O130" i="29" s="1"/>
  <c r="Q130" i="29" s="1"/>
  <c r="M130" i="29"/>
  <c r="G130" i="29"/>
  <c r="D130" i="29"/>
  <c r="X129" i="29"/>
  <c r="N129" i="29"/>
  <c r="O129" i="29" s="1"/>
  <c r="Q129" i="29" s="1"/>
  <c r="M129" i="29"/>
  <c r="G129" i="29"/>
  <c r="D129" i="29"/>
  <c r="H129" i="29" s="1"/>
  <c r="X128" i="29"/>
  <c r="N128" i="29"/>
  <c r="O128" i="29" s="1"/>
  <c r="Q128" i="29" s="1"/>
  <c r="M128" i="29"/>
  <c r="G128" i="29"/>
  <c r="D128" i="29"/>
  <c r="H128" i="29" s="1"/>
  <c r="X127" i="29"/>
  <c r="N127" i="29"/>
  <c r="O127" i="29" s="1"/>
  <c r="Q127" i="29" s="1"/>
  <c r="M127" i="29"/>
  <c r="G127" i="29"/>
  <c r="D127" i="29"/>
  <c r="H127" i="29" s="1"/>
  <c r="X126" i="29"/>
  <c r="N126" i="29"/>
  <c r="O126" i="29" s="1"/>
  <c r="Q126" i="29" s="1"/>
  <c r="M126" i="29"/>
  <c r="G126" i="29"/>
  <c r="D126" i="29"/>
  <c r="H126" i="29" s="1"/>
  <c r="X125" i="29"/>
  <c r="N125" i="29"/>
  <c r="O125" i="29" s="1"/>
  <c r="Q125" i="29" s="1"/>
  <c r="M125" i="29"/>
  <c r="G125" i="29"/>
  <c r="D125" i="29"/>
  <c r="H125" i="29" s="1"/>
  <c r="X124" i="29"/>
  <c r="N124" i="29"/>
  <c r="O124" i="29" s="1"/>
  <c r="Q124" i="29" s="1"/>
  <c r="M124" i="29"/>
  <c r="G124" i="29"/>
  <c r="D124" i="29"/>
  <c r="X123" i="29"/>
  <c r="N123" i="29"/>
  <c r="O123" i="29" s="1"/>
  <c r="Q123" i="29" s="1"/>
  <c r="M123" i="29"/>
  <c r="G123" i="29"/>
  <c r="D123" i="29"/>
  <c r="H123" i="29" s="1"/>
  <c r="X122" i="29"/>
  <c r="N122" i="29"/>
  <c r="O122" i="29" s="1"/>
  <c r="Q122" i="29" s="1"/>
  <c r="M122" i="29"/>
  <c r="G122" i="29"/>
  <c r="D122" i="29"/>
  <c r="H122" i="29" s="1"/>
  <c r="X121" i="29"/>
  <c r="N121" i="29"/>
  <c r="O121" i="29" s="1"/>
  <c r="Q121" i="29" s="1"/>
  <c r="M121" i="29"/>
  <c r="G121" i="29"/>
  <c r="D121" i="29"/>
  <c r="H121" i="29" s="1"/>
  <c r="X120" i="29"/>
  <c r="N120" i="29"/>
  <c r="O120" i="29" s="1"/>
  <c r="Q120" i="29" s="1"/>
  <c r="M120" i="29"/>
  <c r="G120" i="29"/>
  <c r="D120" i="29"/>
  <c r="X119" i="29"/>
  <c r="N119" i="29"/>
  <c r="O119" i="29" s="1"/>
  <c r="Q119" i="29" s="1"/>
  <c r="M119" i="29"/>
  <c r="G119" i="29"/>
  <c r="D119" i="29"/>
  <c r="H119" i="29" s="1"/>
  <c r="R119" i="29" s="1"/>
  <c r="X118" i="29"/>
  <c r="N118" i="29"/>
  <c r="O118" i="29" s="1"/>
  <c r="Q118" i="29" s="1"/>
  <c r="M118" i="29"/>
  <c r="G118" i="29"/>
  <c r="D118" i="29"/>
  <c r="H118" i="29" s="1"/>
  <c r="X117" i="29"/>
  <c r="N117" i="29"/>
  <c r="O117" i="29" s="1"/>
  <c r="Q117" i="29" s="1"/>
  <c r="M117" i="29"/>
  <c r="G117" i="29"/>
  <c r="D117" i="29"/>
  <c r="X116" i="29"/>
  <c r="N116" i="29"/>
  <c r="O116" i="29" s="1"/>
  <c r="Q116" i="29" s="1"/>
  <c r="M116" i="29"/>
  <c r="G116" i="29"/>
  <c r="D116" i="29"/>
  <c r="H116" i="29" s="1"/>
  <c r="X115" i="29"/>
  <c r="N115" i="29"/>
  <c r="O115" i="29" s="1"/>
  <c r="Q115" i="29" s="1"/>
  <c r="M115" i="29"/>
  <c r="G115" i="29"/>
  <c r="D115" i="29"/>
  <c r="H115" i="29" s="1"/>
  <c r="X114" i="29"/>
  <c r="N114" i="29"/>
  <c r="O114" i="29" s="1"/>
  <c r="Q114" i="29" s="1"/>
  <c r="M114" i="29"/>
  <c r="G114" i="29"/>
  <c r="D114" i="29"/>
  <c r="H114" i="29" s="1"/>
  <c r="X113" i="29"/>
  <c r="N113" i="29"/>
  <c r="O113" i="29" s="1"/>
  <c r="Q113" i="29" s="1"/>
  <c r="M113" i="29"/>
  <c r="G113" i="29"/>
  <c r="D113" i="29"/>
  <c r="H113" i="29" s="1"/>
  <c r="X112" i="29"/>
  <c r="N112" i="29"/>
  <c r="O112" i="29" s="1"/>
  <c r="Q112" i="29" s="1"/>
  <c r="M112" i="29"/>
  <c r="G112" i="29"/>
  <c r="D112" i="29"/>
  <c r="X111" i="29"/>
  <c r="N111" i="29"/>
  <c r="O111" i="29" s="1"/>
  <c r="Q111" i="29" s="1"/>
  <c r="M111" i="29"/>
  <c r="G111" i="29"/>
  <c r="D111" i="29"/>
  <c r="H111" i="29" s="1"/>
  <c r="X110" i="29"/>
  <c r="N110" i="29"/>
  <c r="O110" i="29" s="1"/>
  <c r="Q110" i="29" s="1"/>
  <c r="M110" i="29"/>
  <c r="G110" i="29"/>
  <c r="D110" i="29"/>
  <c r="H110" i="29" s="1"/>
  <c r="X109" i="29"/>
  <c r="N109" i="29"/>
  <c r="O109" i="29" s="1"/>
  <c r="Q109" i="29" s="1"/>
  <c r="M109" i="29"/>
  <c r="G109" i="29"/>
  <c r="D109" i="29"/>
  <c r="H109" i="29" s="1"/>
  <c r="X108" i="29"/>
  <c r="N108" i="29"/>
  <c r="O108" i="29" s="1"/>
  <c r="Q108" i="29" s="1"/>
  <c r="M108" i="29"/>
  <c r="G108" i="29"/>
  <c r="D108" i="29"/>
  <c r="H108" i="29" s="1"/>
  <c r="X107" i="29"/>
  <c r="N107" i="29"/>
  <c r="O107" i="29" s="1"/>
  <c r="Q107" i="29" s="1"/>
  <c r="M107" i="29"/>
  <c r="G107" i="29"/>
  <c r="D107" i="29"/>
  <c r="H107" i="29" s="1"/>
  <c r="X106" i="29"/>
  <c r="N106" i="29"/>
  <c r="O106" i="29" s="1"/>
  <c r="Q106" i="29" s="1"/>
  <c r="M106" i="29"/>
  <c r="G106" i="29"/>
  <c r="D106" i="29"/>
  <c r="H106" i="29" s="1"/>
  <c r="R106" i="29" s="1"/>
  <c r="X105" i="29"/>
  <c r="N105" i="29"/>
  <c r="O105" i="29" s="1"/>
  <c r="Q105" i="29" s="1"/>
  <c r="M105" i="29"/>
  <c r="G105" i="29"/>
  <c r="D105" i="29"/>
  <c r="H105" i="29" s="1"/>
  <c r="R105" i="29" s="1"/>
  <c r="X104" i="29"/>
  <c r="N104" i="29"/>
  <c r="O104" i="29" s="1"/>
  <c r="Q104" i="29" s="1"/>
  <c r="M104" i="29"/>
  <c r="G104" i="29"/>
  <c r="D104" i="29"/>
  <c r="H104" i="29" s="1"/>
  <c r="X103" i="29"/>
  <c r="N103" i="29"/>
  <c r="O103" i="29" s="1"/>
  <c r="Q103" i="29" s="1"/>
  <c r="M103" i="29"/>
  <c r="G103" i="29"/>
  <c r="D103" i="29"/>
  <c r="H103" i="29" s="1"/>
  <c r="R103" i="29" s="1"/>
  <c r="X102" i="29"/>
  <c r="N102" i="29"/>
  <c r="O102" i="29" s="1"/>
  <c r="Q102" i="29" s="1"/>
  <c r="M102" i="29"/>
  <c r="G102" i="29"/>
  <c r="D102" i="29"/>
  <c r="H102" i="29" s="1"/>
  <c r="X101" i="29"/>
  <c r="N101" i="29"/>
  <c r="O101" i="29" s="1"/>
  <c r="Q101" i="29" s="1"/>
  <c r="M101" i="29"/>
  <c r="G101" i="29"/>
  <c r="D101" i="29"/>
  <c r="H101" i="29" s="1"/>
  <c r="X100" i="29"/>
  <c r="N100" i="29"/>
  <c r="O100" i="29" s="1"/>
  <c r="Q100" i="29" s="1"/>
  <c r="M100" i="29"/>
  <c r="G100" i="29"/>
  <c r="D100" i="29"/>
  <c r="H100" i="29" s="1"/>
  <c r="X99" i="29"/>
  <c r="N99" i="29"/>
  <c r="O99" i="29" s="1"/>
  <c r="Q99" i="29" s="1"/>
  <c r="M99" i="29"/>
  <c r="G99" i="29"/>
  <c r="D99" i="29"/>
  <c r="H99" i="29" s="1"/>
  <c r="X98" i="29"/>
  <c r="N98" i="29"/>
  <c r="O98" i="29" s="1"/>
  <c r="Q98" i="29" s="1"/>
  <c r="M98" i="29"/>
  <c r="G98" i="29"/>
  <c r="D98" i="29"/>
  <c r="H98" i="29" s="1"/>
  <c r="X97" i="29"/>
  <c r="N97" i="29"/>
  <c r="O97" i="29" s="1"/>
  <c r="Q97" i="29" s="1"/>
  <c r="M97" i="29"/>
  <c r="G97" i="29"/>
  <c r="D97" i="29"/>
  <c r="H97" i="29" s="1"/>
  <c r="X96" i="29"/>
  <c r="N96" i="29"/>
  <c r="O96" i="29" s="1"/>
  <c r="Q96" i="29" s="1"/>
  <c r="M96" i="29"/>
  <c r="G96" i="29"/>
  <c r="D96" i="29"/>
  <c r="X95" i="29"/>
  <c r="N95" i="29"/>
  <c r="O95" i="29" s="1"/>
  <c r="Q95" i="29" s="1"/>
  <c r="M95" i="29"/>
  <c r="G95" i="29"/>
  <c r="D95" i="29"/>
  <c r="H95" i="29" s="1"/>
  <c r="X94" i="29"/>
  <c r="N94" i="29"/>
  <c r="O94" i="29" s="1"/>
  <c r="Q94" i="29" s="1"/>
  <c r="M94" i="29"/>
  <c r="G94" i="29"/>
  <c r="D94" i="29"/>
  <c r="X93" i="29"/>
  <c r="N93" i="29"/>
  <c r="O93" i="29" s="1"/>
  <c r="Q93" i="29" s="1"/>
  <c r="M93" i="29"/>
  <c r="G93" i="29"/>
  <c r="D93" i="29"/>
  <c r="X92" i="29"/>
  <c r="N92" i="29"/>
  <c r="O92" i="29" s="1"/>
  <c r="Q92" i="29" s="1"/>
  <c r="M92" i="29"/>
  <c r="G92" i="29"/>
  <c r="D92" i="29"/>
  <c r="H92" i="29" s="1"/>
  <c r="X91" i="29"/>
  <c r="N91" i="29"/>
  <c r="O91" i="29" s="1"/>
  <c r="Q91" i="29" s="1"/>
  <c r="M91" i="29"/>
  <c r="G91" i="29"/>
  <c r="D91" i="29"/>
  <c r="H91" i="29" s="1"/>
  <c r="X90" i="29"/>
  <c r="N90" i="29"/>
  <c r="O90" i="29" s="1"/>
  <c r="Q90" i="29" s="1"/>
  <c r="M90" i="29"/>
  <c r="G90" i="29"/>
  <c r="D90" i="29"/>
  <c r="H90" i="29" s="1"/>
  <c r="R90" i="29" s="1"/>
  <c r="X89" i="29"/>
  <c r="N89" i="29"/>
  <c r="O89" i="29" s="1"/>
  <c r="Q89" i="29" s="1"/>
  <c r="M89" i="29"/>
  <c r="G89" i="29"/>
  <c r="D89" i="29"/>
  <c r="X88" i="29"/>
  <c r="N88" i="29"/>
  <c r="O88" i="29" s="1"/>
  <c r="Q88" i="29" s="1"/>
  <c r="M88" i="29"/>
  <c r="G88" i="29"/>
  <c r="D88" i="29"/>
  <c r="H88" i="29" s="1"/>
  <c r="T88" i="29" s="1"/>
  <c r="X87" i="29"/>
  <c r="N87" i="29"/>
  <c r="O87" i="29" s="1"/>
  <c r="Q87" i="29" s="1"/>
  <c r="M87" i="29"/>
  <c r="G87" i="29"/>
  <c r="D87" i="29"/>
  <c r="H87" i="29" s="1"/>
  <c r="X86" i="29"/>
  <c r="N86" i="29"/>
  <c r="O86" i="29" s="1"/>
  <c r="Q86" i="29" s="1"/>
  <c r="M86" i="29"/>
  <c r="G86" i="29"/>
  <c r="D86" i="29"/>
  <c r="H86" i="29" s="1"/>
  <c r="X85" i="29"/>
  <c r="N85" i="29"/>
  <c r="O85" i="29" s="1"/>
  <c r="Q85" i="29" s="1"/>
  <c r="M85" i="29"/>
  <c r="G85" i="29"/>
  <c r="D85" i="29"/>
  <c r="H85" i="29" s="1"/>
  <c r="X84" i="29"/>
  <c r="N84" i="29"/>
  <c r="O84" i="29" s="1"/>
  <c r="Q84" i="29" s="1"/>
  <c r="M84" i="29"/>
  <c r="G84" i="29"/>
  <c r="D84" i="29"/>
  <c r="H84" i="29" s="1"/>
  <c r="X83" i="29"/>
  <c r="N83" i="29"/>
  <c r="O83" i="29" s="1"/>
  <c r="Q83" i="29" s="1"/>
  <c r="M83" i="29"/>
  <c r="G83" i="29"/>
  <c r="D83" i="29"/>
  <c r="X82" i="29"/>
  <c r="N82" i="29"/>
  <c r="O82" i="29" s="1"/>
  <c r="Q82" i="29" s="1"/>
  <c r="M82" i="29"/>
  <c r="G82" i="29"/>
  <c r="D82" i="29"/>
  <c r="H82" i="29" s="1"/>
  <c r="X81" i="29"/>
  <c r="N81" i="29"/>
  <c r="O81" i="29" s="1"/>
  <c r="Q81" i="29" s="1"/>
  <c r="M81" i="29"/>
  <c r="G81" i="29"/>
  <c r="D81" i="29"/>
  <c r="H81" i="29" s="1"/>
  <c r="X80" i="29"/>
  <c r="N80" i="29"/>
  <c r="O80" i="29" s="1"/>
  <c r="Q80" i="29" s="1"/>
  <c r="M80" i="29"/>
  <c r="G80" i="29"/>
  <c r="D80" i="29"/>
  <c r="H80" i="29" s="1"/>
  <c r="X79" i="29"/>
  <c r="N79" i="29"/>
  <c r="O79" i="29" s="1"/>
  <c r="Q79" i="29" s="1"/>
  <c r="M79" i="29"/>
  <c r="G79" i="29"/>
  <c r="D79" i="29"/>
  <c r="X78" i="29"/>
  <c r="N78" i="29"/>
  <c r="O78" i="29" s="1"/>
  <c r="Q78" i="29" s="1"/>
  <c r="M78" i="29"/>
  <c r="G78" i="29"/>
  <c r="D78" i="29"/>
  <c r="H78" i="29" s="1"/>
  <c r="T78" i="29" s="1"/>
  <c r="X77" i="29"/>
  <c r="N77" i="29"/>
  <c r="O77" i="29" s="1"/>
  <c r="Q77" i="29" s="1"/>
  <c r="M77" i="29"/>
  <c r="G77" i="29"/>
  <c r="D77" i="29"/>
  <c r="H77" i="29" s="1"/>
  <c r="R77" i="29" s="1"/>
  <c r="X76" i="29"/>
  <c r="N76" i="29"/>
  <c r="O76" i="29" s="1"/>
  <c r="Q76" i="29" s="1"/>
  <c r="M76" i="29"/>
  <c r="G76" i="29"/>
  <c r="D76" i="29"/>
  <c r="H76" i="29" s="1"/>
  <c r="X75" i="29"/>
  <c r="N75" i="29"/>
  <c r="O75" i="29" s="1"/>
  <c r="Q75" i="29" s="1"/>
  <c r="M75" i="29"/>
  <c r="G75" i="29"/>
  <c r="D75" i="29"/>
  <c r="X74" i="29"/>
  <c r="N74" i="29"/>
  <c r="O74" i="29" s="1"/>
  <c r="Q74" i="29" s="1"/>
  <c r="M74" i="29"/>
  <c r="G74" i="29"/>
  <c r="D74" i="29"/>
  <c r="H74" i="29" s="1"/>
  <c r="T74" i="29" s="1"/>
  <c r="X73" i="29"/>
  <c r="N73" i="29"/>
  <c r="O73" i="29" s="1"/>
  <c r="Q73" i="29" s="1"/>
  <c r="M73" i="29"/>
  <c r="G73" i="29"/>
  <c r="D73" i="29"/>
  <c r="H73" i="29" s="1"/>
  <c r="X72" i="29"/>
  <c r="N72" i="29"/>
  <c r="O72" i="29" s="1"/>
  <c r="Q72" i="29" s="1"/>
  <c r="M72" i="29"/>
  <c r="G72" i="29"/>
  <c r="D72" i="29"/>
  <c r="H72" i="29" s="1"/>
  <c r="R72" i="29" s="1"/>
  <c r="X71" i="29"/>
  <c r="N71" i="29"/>
  <c r="O71" i="29" s="1"/>
  <c r="Q71" i="29" s="1"/>
  <c r="M71" i="29"/>
  <c r="G71" i="29"/>
  <c r="D71" i="29"/>
  <c r="X70" i="29"/>
  <c r="N70" i="29"/>
  <c r="O70" i="29" s="1"/>
  <c r="Q70" i="29" s="1"/>
  <c r="M70" i="29"/>
  <c r="G70" i="29"/>
  <c r="D70" i="29"/>
  <c r="H70" i="29" s="1"/>
  <c r="X69" i="29"/>
  <c r="N69" i="29"/>
  <c r="O69" i="29" s="1"/>
  <c r="Q69" i="29" s="1"/>
  <c r="M69" i="29"/>
  <c r="G69" i="29"/>
  <c r="D69" i="29"/>
  <c r="H69" i="29" s="1"/>
  <c r="X68" i="29"/>
  <c r="N68" i="29"/>
  <c r="O68" i="29" s="1"/>
  <c r="Q68" i="29" s="1"/>
  <c r="M68" i="29"/>
  <c r="G68" i="29"/>
  <c r="D68" i="29"/>
  <c r="H68" i="29" s="1"/>
  <c r="X67" i="29"/>
  <c r="N67" i="29"/>
  <c r="O67" i="29" s="1"/>
  <c r="Q67" i="29" s="1"/>
  <c r="M67" i="29"/>
  <c r="G67" i="29"/>
  <c r="D67" i="29"/>
  <c r="H67" i="29" s="1"/>
  <c r="X66" i="29"/>
  <c r="N66" i="29"/>
  <c r="O66" i="29" s="1"/>
  <c r="Q66" i="29" s="1"/>
  <c r="M66" i="29"/>
  <c r="D66" i="29"/>
  <c r="H66" i="29" s="1"/>
  <c r="X65" i="29"/>
  <c r="N65" i="29"/>
  <c r="O65" i="29" s="1"/>
  <c r="Q65" i="29" s="1"/>
  <c r="M65" i="29"/>
  <c r="G65" i="29"/>
  <c r="D65" i="29"/>
  <c r="X64" i="29"/>
  <c r="N64" i="29"/>
  <c r="O64" i="29" s="1"/>
  <c r="Q64" i="29" s="1"/>
  <c r="M64" i="29"/>
  <c r="G64" i="29"/>
  <c r="D64" i="29"/>
  <c r="H64" i="29" s="1"/>
  <c r="X63" i="29"/>
  <c r="N63" i="29"/>
  <c r="O63" i="29" s="1"/>
  <c r="Q63" i="29" s="1"/>
  <c r="M63" i="29"/>
  <c r="G63" i="29"/>
  <c r="D63" i="29"/>
  <c r="H63" i="29" s="1"/>
  <c r="X62" i="29"/>
  <c r="N62" i="29"/>
  <c r="O62" i="29" s="1"/>
  <c r="Q62" i="29" s="1"/>
  <c r="M62" i="29"/>
  <c r="G62" i="29"/>
  <c r="D62" i="29"/>
  <c r="H62" i="29" s="1"/>
  <c r="X61" i="29"/>
  <c r="N61" i="29"/>
  <c r="O61" i="29" s="1"/>
  <c r="Q61" i="29" s="1"/>
  <c r="M61" i="29"/>
  <c r="G61" i="29"/>
  <c r="D61" i="29"/>
  <c r="H61" i="29" s="1"/>
  <c r="X60" i="29"/>
  <c r="N60" i="29"/>
  <c r="O60" i="29" s="1"/>
  <c r="Q60" i="29" s="1"/>
  <c r="M60" i="29"/>
  <c r="G60" i="29"/>
  <c r="D60" i="29"/>
  <c r="H60" i="29" s="1"/>
  <c r="X59" i="29"/>
  <c r="N59" i="29"/>
  <c r="O59" i="29" s="1"/>
  <c r="Q59" i="29" s="1"/>
  <c r="M59" i="29"/>
  <c r="G59" i="29"/>
  <c r="D59" i="29"/>
  <c r="H59" i="29" s="1"/>
  <c r="X58" i="29"/>
  <c r="N58" i="29"/>
  <c r="O58" i="29" s="1"/>
  <c r="Q58" i="29" s="1"/>
  <c r="M58" i="29"/>
  <c r="G58" i="29"/>
  <c r="D58" i="29"/>
  <c r="H58" i="29" s="1"/>
  <c r="X57" i="29"/>
  <c r="N57" i="29"/>
  <c r="O57" i="29" s="1"/>
  <c r="Q57" i="29" s="1"/>
  <c r="M57" i="29"/>
  <c r="G57" i="29"/>
  <c r="D57" i="29"/>
  <c r="H57" i="29" s="1"/>
  <c r="X56" i="29"/>
  <c r="N56" i="29"/>
  <c r="O56" i="29" s="1"/>
  <c r="Q56" i="29" s="1"/>
  <c r="M56" i="29"/>
  <c r="G56" i="29"/>
  <c r="D56" i="29"/>
  <c r="H56" i="29" s="1"/>
  <c r="X55" i="29"/>
  <c r="N55" i="29"/>
  <c r="O55" i="29" s="1"/>
  <c r="Q55" i="29" s="1"/>
  <c r="M55" i="29"/>
  <c r="G55" i="29"/>
  <c r="D55" i="29"/>
  <c r="H55" i="29" s="1"/>
  <c r="X54" i="29"/>
  <c r="N54" i="29"/>
  <c r="O54" i="29" s="1"/>
  <c r="Q54" i="29" s="1"/>
  <c r="M54" i="29"/>
  <c r="G54" i="29"/>
  <c r="D54" i="29"/>
  <c r="H54" i="29" s="1"/>
  <c r="X53" i="29"/>
  <c r="N53" i="29"/>
  <c r="O53" i="29" s="1"/>
  <c r="Q53" i="29" s="1"/>
  <c r="M53" i="29"/>
  <c r="G53" i="29"/>
  <c r="D53" i="29"/>
  <c r="H53" i="29" s="1"/>
  <c r="X52" i="29"/>
  <c r="N52" i="29"/>
  <c r="O52" i="29" s="1"/>
  <c r="Q52" i="29" s="1"/>
  <c r="M52" i="29"/>
  <c r="G52" i="29"/>
  <c r="D52" i="29"/>
  <c r="H52" i="29" s="1"/>
  <c r="X51" i="29"/>
  <c r="N51" i="29"/>
  <c r="O51" i="29" s="1"/>
  <c r="Q51" i="29" s="1"/>
  <c r="M51" i="29"/>
  <c r="G51" i="29"/>
  <c r="D51" i="29"/>
  <c r="H51" i="29" s="1"/>
  <c r="X50" i="29"/>
  <c r="N50" i="29"/>
  <c r="O50" i="29" s="1"/>
  <c r="Q50" i="29" s="1"/>
  <c r="M50" i="29"/>
  <c r="G50" i="29"/>
  <c r="D50" i="29"/>
  <c r="X49" i="29"/>
  <c r="N49" i="29"/>
  <c r="O49" i="29" s="1"/>
  <c r="Q49" i="29" s="1"/>
  <c r="M49" i="29"/>
  <c r="G49" i="29"/>
  <c r="D49" i="29"/>
  <c r="H49" i="29" s="1"/>
  <c r="X48" i="29"/>
  <c r="N48" i="29"/>
  <c r="O48" i="29" s="1"/>
  <c r="Q48" i="29" s="1"/>
  <c r="M48" i="29"/>
  <c r="G48" i="29"/>
  <c r="D48" i="29"/>
  <c r="H48" i="29" s="1"/>
  <c r="X47" i="29"/>
  <c r="N47" i="29"/>
  <c r="O47" i="29" s="1"/>
  <c r="Q47" i="29" s="1"/>
  <c r="M47" i="29"/>
  <c r="G47" i="29"/>
  <c r="D47" i="29"/>
  <c r="X46" i="29"/>
  <c r="N46" i="29"/>
  <c r="O46" i="29" s="1"/>
  <c r="Q46" i="29" s="1"/>
  <c r="M46" i="29"/>
  <c r="G46" i="29"/>
  <c r="D46" i="29"/>
  <c r="H46" i="29" s="1"/>
  <c r="X45" i="29"/>
  <c r="N45" i="29"/>
  <c r="O45" i="29" s="1"/>
  <c r="Q45" i="29" s="1"/>
  <c r="M45" i="29"/>
  <c r="G45" i="29"/>
  <c r="D45" i="29"/>
  <c r="H45" i="29" s="1"/>
  <c r="X44" i="29"/>
  <c r="N44" i="29"/>
  <c r="O44" i="29" s="1"/>
  <c r="Q44" i="29" s="1"/>
  <c r="M44" i="29"/>
  <c r="G44" i="29"/>
  <c r="D44" i="29"/>
  <c r="H44" i="29" s="1"/>
  <c r="X43" i="29"/>
  <c r="N43" i="29"/>
  <c r="O43" i="29" s="1"/>
  <c r="Q43" i="29" s="1"/>
  <c r="M43" i="29"/>
  <c r="G43" i="29"/>
  <c r="D43" i="29"/>
  <c r="H43" i="29" s="1"/>
  <c r="X42" i="29"/>
  <c r="N42" i="29"/>
  <c r="O42" i="29" s="1"/>
  <c r="Q42" i="29" s="1"/>
  <c r="M42" i="29"/>
  <c r="G42" i="29"/>
  <c r="D42" i="29"/>
  <c r="H42" i="29" s="1"/>
  <c r="X41" i="29"/>
  <c r="N41" i="29"/>
  <c r="O41" i="29" s="1"/>
  <c r="Q41" i="29" s="1"/>
  <c r="M41" i="29"/>
  <c r="G41" i="29"/>
  <c r="D41" i="29"/>
  <c r="H41" i="29" s="1"/>
  <c r="X40" i="29"/>
  <c r="N40" i="29"/>
  <c r="O40" i="29" s="1"/>
  <c r="Q40" i="29" s="1"/>
  <c r="M40" i="29"/>
  <c r="G40" i="29"/>
  <c r="D40" i="29"/>
  <c r="H40" i="29" s="1"/>
  <c r="X39" i="29"/>
  <c r="N39" i="29"/>
  <c r="O39" i="29" s="1"/>
  <c r="Q39" i="29" s="1"/>
  <c r="M39" i="29"/>
  <c r="G39" i="29"/>
  <c r="D39" i="29"/>
  <c r="H39" i="29" s="1"/>
  <c r="X38" i="29"/>
  <c r="N38" i="29"/>
  <c r="O38" i="29" s="1"/>
  <c r="Q38" i="29" s="1"/>
  <c r="M38" i="29"/>
  <c r="G38" i="29"/>
  <c r="D38" i="29"/>
  <c r="X37" i="29"/>
  <c r="N37" i="29"/>
  <c r="O37" i="29" s="1"/>
  <c r="Q37" i="29" s="1"/>
  <c r="M37" i="29"/>
  <c r="G37" i="29"/>
  <c r="D37" i="29"/>
  <c r="H37" i="29" s="1"/>
  <c r="X36" i="29"/>
  <c r="N36" i="29"/>
  <c r="O36" i="29" s="1"/>
  <c r="Q36" i="29" s="1"/>
  <c r="M36" i="29"/>
  <c r="G36" i="29"/>
  <c r="D36" i="29"/>
  <c r="X35" i="29"/>
  <c r="N35" i="29"/>
  <c r="O35" i="29" s="1"/>
  <c r="Q35" i="29" s="1"/>
  <c r="M35" i="29"/>
  <c r="G35" i="29"/>
  <c r="D35" i="29"/>
  <c r="H35" i="29" s="1"/>
  <c r="X34" i="29"/>
  <c r="N34" i="29"/>
  <c r="O34" i="29" s="1"/>
  <c r="Q34" i="29" s="1"/>
  <c r="M34" i="29"/>
  <c r="G34" i="29"/>
  <c r="D34" i="29"/>
  <c r="H34" i="29" s="1"/>
  <c r="X33" i="29"/>
  <c r="N33" i="29"/>
  <c r="O33" i="29" s="1"/>
  <c r="Q33" i="29" s="1"/>
  <c r="M33" i="29"/>
  <c r="G33" i="29"/>
  <c r="D33" i="29"/>
  <c r="H33" i="29" s="1"/>
  <c r="X32" i="29"/>
  <c r="N32" i="29"/>
  <c r="O32" i="29" s="1"/>
  <c r="Q32" i="29" s="1"/>
  <c r="M32" i="29"/>
  <c r="G32" i="29"/>
  <c r="D32" i="29"/>
  <c r="X31" i="29"/>
  <c r="N31" i="29"/>
  <c r="O31" i="29" s="1"/>
  <c r="Q31" i="29" s="1"/>
  <c r="M31" i="29"/>
  <c r="G31" i="29"/>
  <c r="D31" i="29"/>
  <c r="H31" i="29" s="1"/>
  <c r="T31" i="29" s="1"/>
  <c r="X30" i="29"/>
  <c r="N30" i="29"/>
  <c r="O30" i="29" s="1"/>
  <c r="Q30" i="29" s="1"/>
  <c r="M30" i="29"/>
  <c r="G30" i="29"/>
  <c r="D30" i="29"/>
  <c r="H30" i="29" s="1"/>
  <c r="X29" i="29"/>
  <c r="N29" i="29"/>
  <c r="O29" i="29" s="1"/>
  <c r="Q29" i="29" s="1"/>
  <c r="M29" i="29"/>
  <c r="G29" i="29"/>
  <c r="D29" i="29"/>
  <c r="H29" i="29" s="1"/>
  <c r="X28" i="29"/>
  <c r="N28" i="29"/>
  <c r="O28" i="29" s="1"/>
  <c r="Q28" i="29" s="1"/>
  <c r="M28" i="29"/>
  <c r="G28" i="29"/>
  <c r="D28" i="29"/>
  <c r="H28" i="29" s="1"/>
  <c r="X27" i="29"/>
  <c r="N27" i="29"/>
  <c r="O27" i="29" s="1"/>
  <c r="Q27" i="29" s="1"/>
  <c r="M27" i="29"/>
  <c r="G27" i="29"/>
  <c r="D27" i="29"/>
  <c r="H27" i="29" s="1"/>
  <c r="X26" i="29"/>
  <c r="N26" i="29"/>
  <c r="O26" i="29" s="1"/>
  <c r="Q26" i="29" s="1"/>
  <c r="M26" i="29"/>
  <c r="G26" i="29"/>
  <c r="D26" i="29"/>
  <c r="X25" i="29"/>
  <c r="N25" i="29"/>
  <c r="O25" i="29" s="1"/>
  <c r="Q25" i="29" s="1"/>
  <c r="M25" i="29"/>
  <c r="G25" i="29"/>
  <c r="D25" i="29"/>
  <c r="H25" i="29" s="1"/>
  <c r="X24" i="29"/>
  <c r="N24" i="29"/>
  <c r="O24" i="29" s="1"/>
  <c r="Q24" i="29" s="1"/>
  <c r="M24" i="29"/>
  <c r="G24" i="29"/>
  <c r="D24" i="29"/>
  <c r="H24" i="29" s="1"/>
  <c r="X23" i="29"/>
  <c r="N23" i="29"/>
  <c r="O23" i="29" s="1"/>
  <c r="Q23" i="29" s="1"/>
  <c r="M23" i="29"/>
  <c r="G23" i="29"/>
  <c r="D23" i="29"/>
  <c r="H23" i="29" s="1"/>
  <c r="X22" i="29"/>
  <c r="N22" i="29"/>
  <c r="O22" i="29" s="1"/>
  <c r="Q22" i="29" s="1"/>
  <c r="M22" i="29"/>
  <c r="G22" i="29"/>
  <c r="D22" i="29"/>
  <c r="X21" i="29"/>
  <c r="N21" i="29"/>
  <c r="O21" i="29" s="1"/>
  <c r="Q21" i="29" s="1"/>
  <c r="M21" i="29"/>
  <c r="G21" i="29"/>
  <c r="D21" i="29"/>
  <c r="H21" i="29" s="1"/>
  <c r="X20" i="29"/>
  <c r="N20" i="29"/>
  <c r="O20" i="29" s="1"/>
  <c r="Q20" i="29" s="1"/>
  <c r="M20" i="29"/>
  <c r="G20" i="29"/>
  <c r="D20" i="29"/>
  <c r="X19" i="29"/>
  <c r="N19" i="29"/>
  <c r="O19" i="29" s="1"/>
  <c r="Q19" i="29" s="1"/>
  <c r="M19" i="29"/>
  <c r="G19" i="29"/>
  <c r="D19" i="29"/>
  <c r="H19" i="29" s="1"/>
  <c r="X18" i="29"/>
  <c r="N18" i="29"/>
  <c r="O18" i="29" s="1"/>
  <c r="Q18" i="29" s="1"/>
  <c r="M18" i="29"/>
  <c r="G18" i="29"/>
  <c r="D18" i="29"/>
  <c r="H18" i="29" s="1"/>
  <c r="X17" i="29"/>
  <c r="N17" i="29"/>
  <c r="O17" i="29" s="1"/>
  <c r="Q17" i="29" s="1"/>
  <c r="M17" i="29"/>
  <c r="G17" i="29"/>
  <c r="D17" i="29"/>
  <c r="H17" i="29" s="1"/>
  <c r="X16" i="29"/>
  <c r="N16" i="29"/>
  <c r="O16" i="29" s="1"/>
  <c r="Q16" i="29" s="1"/>
  <c r="M16" i="29"/>
  <c r="G16" i="29"/>
  <c r="D16" i="29"/>
  <c r="H16" i="29" s="1"/>
  <c r="X15" i="29"/>
  <c r="N15" i="29"/>
  <c r="O15" i="29" s="1"/>
  <c r="Q15" i="29" s="1"/>
  <c r="M15" i="29"/>
  <c r="G15" i="29"/>
  <c r="D15" i="29"/>
  <c r="H15" i="29" s="1"/>
  <c r="X14" i="29"/>
  <c r="N14" i="29"/>
  <c r="O14" i="29" s="1"/>
  <c r="Q14" i="29" s="1"/>
  <c r="M14" i="29"/>
  <c r="G14" i="29"/>
  <c r="D14" i="29"/>
  <c r="H14" i="29" s="1"/>
  <c r="R14" i="29" s="1"/>
  <c r="X13" i="29"/>
  <c r="N13" i="29"/>
  <c r="O13" i="29" s="1"/>
  <c r="Q13" i="29" s="1"/>
  <c r="M13" i="29"/>
  <c r="G13" i="29"/>
  <c r="D13" i="29"/>
  <c r="H13" i="29" s="1"/>
  <c r="X12" i="29"/>
  <c r="N12" i="29"/>
  <c r="O12" i="29" s="1"/>
  <c r="Q12" i="29" s="1"/>
  <c r="M12" i="29"/>
  <c r="G12" i="29"/>
  <c r="D12" i="29"/>
  <c r="H12" i="29" s="1"/>
  <c r="X11" i="29"/>
  <c r="N11" i="29"/>
  <c r="O11" i="29" s="1"/>
  <c r="Q11" i="29" s="1"/>
  <c r="M11" i="29"/>
  <c r="G11" i="29"/>
  <c r="D11" i="29"/>
  <c r="H11" i="29" s="1"/>
  <c r="X10" i="29"/>
  <c r="N10" i="29"/>
  <c r="O10" i="29" s="1"/>
  <c r="Q10" i="29" s="1"/>
  <c r="M10" i="29"/>
  <c r="G10" i="29"/>
  <c r="D10" i="29"/>
  <c r="H10" i="29" s="1"/>
  <c r="R10" i="29" s="1"/>
  <c r="X9" i="29"/>
  <c r="N9" i="29"/>
  <c r="O9" i="29" s="1"/>
  <c r="Q9" i="29" s="1"/>
  <c r="M9" i="29"/>
  <c r="G9" i="29"/>
  <c r="D9" i="29"/>
  <c r="H9" i="29" s="1"/>
  <c r="X8" i="29"/>
  <c r="N8" i="29"/>
  <c r="O8" i="29" s="1"/>
  <c r="Q8" i="29" s="1"/>
  <c r="M8" i="29"/>
  <c r="G8" i="29"/>
  <c r="D8" i="29"/>
  <c r="H8" i="29" s="1"/>
  <c r="X7" i="29"/>
  <c r="N7" i="29"/>
  <c r="O7" i="29" s="1"/>
  <c r="Q7" i="29" s="1"/>
  <c r="M7" i="29"/>
  <c r="G7" i="29"/>
  <c r="D7" i="29"/>
  <c r="H7" i="29" s="1"/>
  <c r="X6" i="29"/>
  <c r="N6" i="29"/>
  <c r="O6" i="29" s="1"/>
  <c r="Q6" i="29" s="1"/>
  <c r="M6" i="29"/>
  <c r="G6" i="29"/>
  <c r="D6" i="29"/>
  <c r="H6" i="29" s="1"/>
  <c r="T6" i="29" s="1"/>
  <c r="X5" i="29"/>
  <c r="N5" i="29"/>
  <c r="O5" i="29" s="1"/>
  <c r="M5" i="29"/>
  <c r="G5" i="29"/>
  <c r="D5" i="29"/>
  <c r="R9" i="29" l="1"/>
  <c r="T10" i="29"/>
  <c r="U10" i="29" s="1"/>
  <c r="R13" i="29"/>
  <c r="T14" i="29"/>
  <c r="U14" i="29" s="1"/>
  <c r="R17" i="29"/>
  <c r="R18" i="29"/>
  <c r="T18" i="29"/>
  <c r="H20" i="29"/>
  <c r="R21" i="29"/>
  <c r="R25" i="29"/>
  <c r="R29" i="29"/>
  <c r="R30" i="29"/>
  <c r="H32" i="29"/>
  <c r="R33" i="29"/>
  <c r="R34" i="29"/>
  <c r="T34" i="29"/>
  <c r="H36" i="29"/>
  <c r="R37" i="29"/>
  <c r="R41" i="29"/>
  <c r="T45" i="29"/>
  <c r="H47" i="29"/>
  <c r="H50" i="29"/>
  <c r="T66" i="29"/>
  <c r="T68" i="29"/>
  <c r="H71" i="29"/>
  <c r="T73" i="29"/>
  <c r="H75" i="29"/>
  <c r="H79" i="29"/>
  <c r="T80" i="29"/>
  <c r="H83" i="29"/>
  <c r="H89" i="29"/>
  <c r="R89" i="29"/>
  <c r="R92" i="29"/>
  <c r="H93" i="29"/>
  <c r="R95" i="29"/>
  <c r="H96" i="29"/>
  <c r="T111" i="29"/>
  <c r="H112" i="29"/>
  <c r="R115" i="29"/>
  <c r="T119" i="29"/>
  <c r="U119" i="29" s="1"/>
  <c r="H120" i="29"/>
  <c r="T121" i="29"/>
  <c r="H124" i="29"/>
  <c r="T127" i="29"/>
  <c r="R129" i="29"/>
  <c r="T129" i="29"/>
  <c r="H130" i="29"/>
  <c r="T132" i="29"/>
  <c r="R135" i="29"/>
  <c r="T137" i="29"/>
  <c r="R137" i="29"/>
  <c r="U137" i="29" s="1"/>
  <c r="T140" i="29"/>
  <c r="H142" i="29"/>
  <c r="R145" i="29"/>
  <c r="H146" i="29"/>
  <c r="T147" i="29"/>
  <c r="H148" i="29"/>
  <c r="R149" i="29"/>
  <c r="H150" i="29"/>
  <c r="T155" i="29"/>
  <c r="H158" i="29"/>
  <c r="T161" i="29"/>
  <c r="H162" i="29"/>
  <c r="H166" i="29"/>
  <c r="R169" i="29"/>
  <c r="T169" i="29"/>
  <c r="H170" i="29"/>
  <c r="T170" i="29" s="1"/>
  <c r="R173" i="29"/>
  <c r="H174" i="29"/>
  <c r="H178" i="29"/>
  <c r="H182" i="29"/>
  <c r="R182" i="29"/>
  <c r="R183" i="29"/>
  <c r="T183" i="29"/>
  <c r="U183" i="29" s="1"/>
  <c r="R185" i="29"/>
  <c r="H186" i="29"/>
  <c r="R186" i="29"/>
  <c r="R189" i="29"/>
  <c r="H190" i="29"/>
  <c r="H194" i="29"/>
  <c r="H198" i="29"/>
  <c r="R198" i="29" s="1"/>
  <c r="R199" i="29"/>
  <c r="T199" i="29"/>
  <c r="F214" i="29"/>
  <c r="G200" i="29"/>
  <c r="H200" i="29" s="1"/>
  <c r="R202" i="29"/>
  <c r="H203" i="29"/>
  <c r="H207" i="29"/>
  <c r="R207" i="29"/>
  <c r="H211" i="29"/>
  <c r="R211" i="29" s="1"/>
  <c r="R7" i="29"/>
  <c r="T7" i="29"/>
  <c r="R59" i="29"/>
  <c r="T59" i="29"/>
  <c r="R62" i="29"/>
  <c r="T62" i="29"/>
  <c r="R70" i="29"/>
  <c r="T70" i="29"/>
  <c r="Y10" i="29"/>
  <c r="Z10" i="29"/>
  <c r="AC10" i="29" s="1"/>
  <c r="T20" i="29"/>
  <c r="R20" i="29"/>
  <c r="T36" i="29"/>
  <c r="R36" i="29"/>
  <c r="U36" i="29" s="1"/>
  <c r="R57" i="29"/>
  <c r="T57" i="29"/>
  <c r="R63" i="29"/>
  <c r="T63" i="29"/>
  <c r="T75" i="29"/>
  <c r="R75" i="29"/>
  <c r="U75" i="29" s="1"/>
  <c r="T166" i="29"/>
  <c r="R166" i="29"/>
  <c r="T53" i="29"/>
  <c r="R53" i="29"/>
  <c r="U53" i="29" s="1"/>
  <c r="T35" i="29"/>
  <c r="R35" i="29"/>
  <c r="U35" i="29" s="1"/>
  <c r="R49" i="29"/>
  <c r="T49" i="29"/>
  <c r="R54" i="29"/>
  <c r="T54" i="29"/>
  <c r="R27" i="29"/>
  <c r="T27" i="29"/>
  <c r="T50" i="29"/>
  <c r="R50" i="29"/>
  <c r="U50" i="29" s="1"/>
  <c r="Y14" i="29"/>
  <c r="Z14" i="29"/>
  <c r="AC14" i="29" s="1"/>
  <c r="R58" i="29"/>
  <c r="T58" i="29"/>
  <c r="T46" i="29"/>
  <c r="R46" i="29"/>
  <c r="R8" i="29"/>
  <c r="T8" i="29"/>
  <c r="R45" i="29"/>
  <c r="U45" i="29" s="1"/>
  <c r="T32" i="29"/>
  <c r="R32" i="29"/>
  <c r="U32" i="29" s="1"/>
  <c r="R19" i="29"/>
  <c r="T19" i="29"/>
  <c r="R55" i="29"/>
  <c r="T55" i="29"/>
  <c r="T23" i="29"/>
  <c r="R23" i="29"/>
  <c r="U23" i="29" s="1"/>
  <c r="R39" i="29"/>
  <c r="T39" i="29"/>
  <c r="R43" i="29"/>
  <c r="T43" i="29"/>
  <c r="R47" i="29"/>
  <c r="T47" i="29"/>
  <c r="R51" i="29"/>
  <c r="T51" i="29"/>
  <c r="T42" i="29"/>
  <c r="R42" i="29"/>
  <c r="R12" i="29"/>
  <c r="T12" i="29"/>
  <c r="R16" i="29"/>
  <c r="T16" i="29"/>
  <c r="T83" i="29"/>
  <c r="R83" i="29"/>
  <c r="U83" i="29" s="1"/>
  <c r="T11" i="29"/>
  <c r="R11" i="29"/>
  <c r="T15" i="29"/>
  <c r="R15" i="29"/>
  <c r="U15" i="29" s="1"/>
  <c r="T41" i="29"/>
  <c r="U41" i="29" s="1"/>
  <c r="T61" i="29"/>
  <c r="R61" i="29"/>
  <c r="U61" i="29" s="1"/>
  <c r="R101" i="29"/>
  <c r="T101" i="29"/>
  <c r="R108" i="29"/>
  <c r="T108" i="29"/>
  <c r="T123" i="29"/>
  <c r="R123" i="29"/>
  <c r="U123" i="29" s="1"/>
  <c r="T56" i="29"/>
  <c r="R56" i="29"/>
  <c r="U56" i="29" s="1"/>
  <c r="R81" i="29"/>
  <c r="T81" i="29"/>
  <c r="R86" i="29"/>
  <c r="T86" i="29"/>
  <c r="T30" i="29"/>
  <c r="U30" i="29" s="1"/>
  <c r="R85" i="29"/>
  <c r="T85" i="29"/>
  <c r="Z137" i="29"/>
  <c r="AC137" i="29" s="1"/>
  <c r="Y137" i="29"/>
  <c r="T154" i="29"/>
  <c r="R154" i="29"/>
  <c r="T25" i="29"/>
  <c r="U25" i="29" s="1"/>
  <c r="T153" i="29"/>
  <c r="R153" i="29"/>
  <c r="U153" i="29" s="1"/>
  <c r="G214" i="29"/>
  <c r="T106" i="29"/>
  <c r="U106" i="29" s="1"/>
  <c r="Z183" i="29"/>
  <c r="AC183" i="29" s="1"/>
  <c r="Y183" i="29"/>
  <c r="T193" i="29"/>
  <c r="R193" i="29"/>
  <c r="H5" i="29"/>
  <c r="T21" i="29"/>
  <c r="U21" i="29" s="1"/>
  <c r="H26" i="29"/>
  <c r="R31" i="29"/>
  <c r="U31" i="29" s="1"/>
  <c r="T37" i="29"/>
  <c r="U37" i="29" s="1"/>
  <c r="T40" i="29"/>
  <c r="R40" i="29"/>
  <c r="R66" i="29"/>
  <c r="U66" i="29" s="1"/>
  <c r="T72" i="29"/>
  <c r="U72" i="29" s="1"/>
  <c r="R78" i="29"/>
  <c r="U78" i="29" s="1"/>
  <c r="R88" i="29"/>
  <c r="U88" i="29" s="1"/>
  <c r="R98" i="29"/>
  <c r="T98" i="29"/>
  <c r="T105" i="29"/>
  <c r="U105" i="29" s="1"/>
  <c r="R111" i="29"/>
  <c r="U111" i="29" s="1"/>
  <c r="R113" i="29"/>
  <c r="T113" i="29"/>
  <c r="T115" i="29"/>
  <c r="U115" i="29" s="1"/>
  <c r="R125" i="29"/>
  <c r="T125" i="29"/>
  <c r="T162" i="29"/>
  <c r="R162" i="29"/>
  <c r="U162" i="29" s="1"/>
  <c r="U169" i="29"/>
  <c r="O214" i="29"/>
  <c r="T24" i="29"/>
  <c r="R24" i="29"/>
  <c r="U24" i="29" s="1"/>
  <c r="T44" i="29"/>
  <c r="R44" i="29"/>
  <c r="R76" i="29"/>
  <c r="T76" i="29"/>
  <c r="T97" i="29"/>
  <c r="R97" i="29"/>
  <c r="U97" i="29" s="1"/>
  <c r="Y119" i="29"/>
  <c r="Z119" i="29"/>
  <c r="AC119" i="29" s="1"/>
  <c r="T124" i="29"/>
  <c r="R124" i="29"/>
  <c r="T141" i="29"/>
  <c r="R141" i="29"/>
  <c r="U141" i="29" s="1"/>
  <c r="T29" i="29"/>
  <c r="U29" i="29" s="1"/>
  <c r="T82" i="29"/>
  <c r="R82" i="29"/>
  <c r="U82" i="29" s="1"/>
  <c r="T146" i="29"/>
  <c r="R146" i="29"/>
  <c r="U146" i="29" s="1"/>
  <c r="T93" i="29"/>
  <c r="T102" i="29"/>
  <c r="R102" i="29"/>
  <c r="U102" i="29" s="1"/>
  <c r="T212" i="29"/>
  <c r="R212" i="29"/>
  <c r="U212" i="29" s="1"/>
  <c r="T100" i="29"/>
  <c r="R100" i="29"/>
  <c r="T139" i="29"/>
  <c r="R139" i="29"/>
  <c r="U139" i="29" s="1"/>
  <c r="T60" i="29"/>
  <c r="R60" i="29"/>
  <c r="U60" i="29" s="1"/>
  <c r="T84" i="29"/>
  <c r="R84" i="29"/>
  <c r="U84" i="29" s="1"/>
  <c r="T28" i="29"/>
  <c r="R28" i="29"/>
  <c r="T52" i="29"/>
  <c r="R52" i="29"/>
  <c r="U52" i="29" s="1"/>
  <c r="T77" i="29"/>
  <c r="U77" i="29" s="1"/>
  <c r="T90" i="29"/>
  <c r="U90" i="29" s="1"/>
  <c r="R93" i="29"/>
  <c r="T120" i="29"/>
  <c r="R120" i="29"/>
  <c r="U120" i="29" s="1"/>
  <c r="R127" i="29"/>
  <c r="U127" i="29" s="1"/>
  <c r="R131" i="29"/>
  <c r="T142" i="29"/>
  <c r="R142" i="29"/>
  <c r="R151" i="29"/>
  <c r="T151" i="29"/>
  <c r="Q5" i="29"/>
  <c r="Q214" i="29" s="1"/>
  <c r="R69" i="29"/>
  <c r="T69" i="29"/>
  <c r="T71" i="29"/>
  <c r="R71" i="29"/>
  <c r="T104" i="29"/>
  <c r="R104" i="29"/>
  <c r="R164" i="29"/>
  <c r="T164" i="29"/>
  <c r="T67" i="29"/>
  <c r="R67" i="29"/>
  <c r="U67" i="29" s="1"/>
  <c r="T79" i="29"/>
  <c r="R79" i="29"/>
  <c r="T87" i="29"/>
  <c r="R87" i="29"/>
  <c r="T134" i="29"/>
  <c r="R134" i="29"/>
  <c r="U134" i="29" s="1"/>
  <c r="T158" i="29"/>
  <c r="R158" i="29"/>
  <c r="U158" i="29" s="1"/>
  <c r="T194" i="29"/>
  <c r="R194" i="29"/>
  <c r="T48" i="29"/>
  <c r="R48" i="29"/>
  <c r="T133" i="29"/>
  <c r="R133" i="29"/>
  <c r="U133" i="29" s="1"/>
  <c r="T190" i="29"/>
  <c r="R190" i="29"/>
  <c r="U190" i="29" s="1"/>
  <c r="X214" i="29"/>
  <c r="X218" i="29" s="1"/>
  <c r="R99" i="29"/>
  <c r="T99" i="29"/>
  <c r="R109" i="29"/>
  <c r="T109" i="29"/>
  <c r="R6" i="29"/>
  <c r="U6" i="29" s="1"/>
  <c r="N214" i="29"/>
  <c r="T9" i="29"/>
  <c r="U9" i="29" s="1"/>
  <c r="T13" i="29"/>
  <c r="U13" i="29" s="1"/>
  <c r="T17" i="29"/>
  <c r="U17" i="29" s="1"/>
  <c r="H22" i="29"/>
  <c r="T33" i="29"/>
  <c r="U33" i="29" s="1"/>
  <c r="H38" i="29"/>
  <c r="T64" i="29"/>
  <c r="R64" i="29"/>
  <c r="H65" i="29"/>
  <c r="R74" i="29"/>
  <c r="U74" i="29" s="1"/>
  <c r="T95" i="29"/>
  <c r="U95" i="29" s="1"/>
  <c r="T96" i="29"/>
  <c r="R96" i="29"/>
  <c r="U96" i="29" s="1"/>
  <c r="T103" i="29"/>
  <c r="U103" i="29" s="1"/>
  <c r="T107" i="29"/>
  <c r="R107" i="29"/>
  <c r="T144" i="29"/>
  <c r="U144" i="29" s="1"/>
  <c r="D214" i="29"/>
  <c r="T89" i="29"/>
  <c r="U89" i="29" s="1"/>
  <c r="T116" i="29"/>
  <c r="R116" i="29"/>
  <c r="U116" i="29" s="1"/>
  <c r="T130" i="29"/>
  <c r="R130" i="29"/>
  <c r="U130" i="29" s="1"/>
  <c r="T136" i="29"/>
  <c r="T145" i="29"/>
  <c r="U145" i="29" s="1"/>
  <c r="R165" i="29"/>
  <c r="T165" i="29"/>
  <c r="T206" i="29"/>
  <c r="R206" i="29"/>
  <c r="U206" i="29" s="1"/>
  <c r="R80" i="29"/>
  <c r="U80" i="29" s="1"/>
  <c r="T92" i="29"/>
  <c r="U92" i="29" s="1"/>
  <c r="R128" i="29"/>
  <c r="T128" i="29"/>
  <c r="T135" i="29"/>
  <c r="U135" i="29" s="1"/>
  <c r="T138" i="29"/>
  <c r="R138" i="29"/>
  <c r="U138" i="29" s="1"/>
  <c r="T143" i="29"/>
  <c r="R143" i="29"/>
  <c r="U143" i="29" s="1"/>
  <c r="T172" i="29"/>
  <c r="R172" i="29"/>
  <c r="U172" i="29" s="1"/>
  <c r="R175" i="29"/>
  <c r="T175" i="29"/>
  <c r="R68" i="29"/>
  <c r="U68" i="29" s="1"/>
  <c r="R73" i="29"/>
  <c r="U73" i="29" s="1"/>
  <c r="T91" i="29"/>
  <c r="R91" i="29"/>
  <c r="U91" i="29" s="1"/>
  <c r="H94" i="29"/>
  <c r="T112" i="29"/>
  <c r="R112" i="29"/>
  <c r="U112" i="29" s="1"/>
  <c r="T122" i="29"/>
  <c r="R122" i="29"/>
  <c r="U122" i="29" s="1"/>
  <c r="U129" i="29"/>
  <c r="T150" i="29"/>
  <c r="R150" i="29"/>
  <c r="U150" i="29" s="1"/>
  <c r="T118" i="29"/>
  <c r="R118" i="29"/>
  <c r="U118" i="29" s="1"/>
  <c r="R140" i="29"/>
  <c r="U140" i="29" s="1"/>
  <c r="T149" i="29"/>
  <c r="U149" i="29" s="1"/>
  <c r="R160" i="29"/>
  <c r="T160" i="29"/>
  <c r="T181" i="29"/>
  <c r="T114" i="29"/>
  <c r="R114" i="29"/>
  <c r="U114" i="29" s="1"/>
  <c r="R136" i="29"/>
  <c r="U136" i="29" s="1"/>
  <c r="R147" i="29"/>
  <c r="U147" i="29" s="1"/>
  <c r="T148" i="29"/>
  <c r="R148" i="29"/>
  <c r="T157" i="29"/>
  <c r="R157" i="29"/>
  <c r="U157" i="29" s="1"/>
  <c r="T188" i="29"/>
  <c r="R188" i="29"/>
  <c r="U188" i="29" s="1"/>
  <c r="R191" i="29"/>
  <c r="T191" i="29"/>
  <c r="T205" i="29"/>
  <c r="R205" i="29"/>
  <c r="R208" i="29"/>
  <c r="T208" i="29"/>
  <c r="T209" i="29"/>
  <c r="R209" i="29"/>
  <c r="U209" i="29" s="1"/>
  <c r="R121" i="29"/>
  <c r="U121" i="29" s="1"/>
  <c r="T131" i="29"/>
  <c r="R155" i="29"/>
  <c r="U155" i="29" s="1"/>
  <c r="R156" i="29"/>
  <c r="T156" i="29"/>
  <c r="R167" i="29"/>
  <c r="T167" i="29"/>
  <c r="T168" i="29"/>
  <c r="R168" i="29"/>
  <c r="T174" i="29"/>
  <c r="R174" i="29"/>
  <c r="U174" i="29" s="1"/>
  <c r="T197" i="29"/>
  <c r="U197" i="29" s="1"/>
  <c r="T200" i="29"/>
  <c r="R200" i="29"/>
  <c r="U200" i="29" s="1"/>
  <c r="T110" i="29"/>
  <c r="R110" i="29"/>
  <c r="T126" i="29"/>
  <c r="R126" i="29"/>
  <c r="U126" i="29" s="1"/>
  <c r="R132" i="29"/>
  <c r="U132" i="29" s="1"/>
  <c r="R161" i="29"/>
  <c r="U161" i="29" s="1"/>
  <c r="T177" i="29"/>
  <c r="R177" i="29"/>
  <c r="U177" i="29" s="1"/>
  <c r="T178" i="29"/>
  <c r="R178" i="29"/>
  <c r="R181" i="29"/>
  <c r="U181" i="29" s="1"/>
  <c r="H117" i="29"/>
  <c r="R152" i="29"/>
  <c r="T152" i="29"/>
  <c r="R170" i="29"/>
  <c r="U170" i="29" s="1"/>
  <c r="T203" i="29"/>
  <c r="R203" i="29"/>
  <c r="U203" i="29" s="1"/>
  <c r="T176" i="29"/>
  <c r="R176" i="29"/>
  <c r="U176" i="29" s="1"/>
  <c r="H179" i="29"/>
  <c r="T192" i="29"/>
  <c r="R192" i="29"/>
  <c r="U192" i="29" s="1"/>
  <c r="H195" i="29"/>
  <c r="T207" i="29"/>
  <c r="U207" i="29" s="1"/>
  <c r="T210" i="29"/>
  <c r="T180" i="29"/>
  <c r="R180" i="29"/>
  <c r="U180" i="29" s="1"/>
  <c r="T196" i="29"/>
  <c r="R196" i="29"/>
  <c r="T211" i="29"/>
  <c r="U211" i="29" s="1"/>
  <c r="H159" i="29"/>
  <c r="T182" i="29"/>
  <c r="U182" i="29" s="1"/>
  <c r="T185" i="29"/>
  <c r="U185" i="29" s="1"/>
  <c r="T198" i="29"/>
  <c r="U198" i="29" s="1"/>
  <c r="R171" i="29"/>
  <c r="U171" i="29" s="1"/>
  <c r="T184" i="29"/>
  <c r="R184" i="29"/>
  <c r="R187" i="29"/>
  <c r="U187" i="29" s="1"/>
  <c r="T202" i="29"/>
  <c r="U202" i="29" s="1"/>
  <c r="H163" i="29"/>
  <c r="T173" i="29"/>
  <c r="U173" i="29" s="1"/>
  <c r="T186" i="29"/>
  <c r="U186" i="29" s="1"/>
  <c r="T189" i="29"/>
  <c r="U189" i="29" s="1"/>
  <c r="T201" i="29"/>
  <c r="R201" i="29"/>
  <c r="H204" i="29"/>
  <c r="R210" i="29"/>
  <c r="U175" i="29" l="1"/>
  <c r="U165" i="29"/>
  <c r="U151" i="29"/>
  <c r="U125" i="29"/>
  <c r="U81" i="29"/>
  <c r="U101" i="29"/>
  <c r="U39" i="29"/>
  <c r="U19" i="29"/>
  <c r="U27" i="29"/>
  <c r="U49" i="29"/>
  <c r="U70" i="29"/>
  <c r="U7" i="29"/>
  <c r="U199" i="29"/>
  <c r="U34" i="29"/>
  <c r="U18" i="29"/>
  <c r="Z211" i="29"/>
  <c r="AC211" i="29" s="1"/>
  <c r="Y211" i="29"/>
  <c r="Y197" i="29"/>
  <c r="Z197" i="29"/>
  <c r="AC197" i="29" s="1"/>
  <c r="Z33" i="29"/>
  <c r="AC33" i="29" s="1"/>
  <c r="Y33" i="29"/>
  <c r="Z90" i="29"/>
  <c r="AC90" i="29" s="1"/>
  <c r="Y90" i="29"/>
  <c r="Z105" i="29"/>
  <c r="AC105" i="29" s="1"/>
  <c r="Y105" i="29"/>
  <c r="Z37" i="29"/>
  <c r="AC37" i="29" s="1"/>
  <c r="Y37" i="29"/>
  <c r="Y106" i="29"/>
  <c r="Z106" i="29"/>
  <c r="AC106" i="29" s="1"/>
  <c r="Z186" i="29"/>
  <c r="AC186" i="29" s="1"/>
  <c r="Y186" i="29"/>
  <c r="Z145" i="29"/>
  <c r="AC145" i="29" s="1"/>
  <c r="Y145" i="29"/>
  <c r="Z9" i="29"/>
  <c r="AC9" i="29" s="1"/>
  <c r="Y9" i="29"/>
  <c r="Y115" i="29"/>
  <c r="Z115" i="29"/>
  <c r="AC115" i="29" s="1"/>
  <c r="Y21" i="29"/>
  <c r="Z21" i="29"/>
  <c r="AC21" i="29" s="1"/>
  <c r="Y173" i="29"/>
  <c r="Z173" i="29"/>
  <c r="AC173" i="29" s="1"/>
  <c r="Y185" i="29"/>
  <c r="Z185" i="29"/>
  <c r="AC185" i="29" s="1"/>
  <c r="Z30" i="29"/>
  <c r="AC30" i="29" s="1"/>
  <c r="Y30" i="29"/>
  <c r="Y189" i="29"/>
  <c r="Z189" i="29"/>
  <c r="AC189" i="29" s="1"/>
  <c r="Z182" i="29"/>
  <c r="AC182" i="29" s="1"/>
  <c r="Y182" i="29"/>
  <c r="Z207" i="29"/>
  <c r="AC207" i="29" s="1"/>
  <c r="Y207" i="29"/>
  <c r="Y92" i="29"/>
  <c r="Z92" i="29"/>
  <c r="AC92" i="29" s="1"/>
  <c r="Z13" i="29"/>
  <c r="AC13" i="29" s="1"/>
  <c r="Y13" i="29"/>
  <c r="Z198" i="29"/>
  <c r="AC198" i="29" s="1"/>
  <c r="Y198" i="29"/>
  <c r="Z144" i="29"/>
  <c r="AC144" i="29" s="1"/>
  <c r="Y144" i="29"/>
  <c r="Y202" i="29"/>
  <c r="Z202" i="29"/>
  <c r="AC202" i="29" s="1"/>
  <c r="Y103" i="29"/>
  <c r="Z103" i="29"/>
  <c r="AC103" i="29" s="1"/>
  <c r="Z29" i="29"/>
  <c r="AC29" i="29" s="1"/>
  <c r="Y29" i="29"/>
  <c r="Y41" i="29"/>
  <c r="Z41" i="29"/>
  <c r="AC41" i="29" s="1"/>
  <c r="R179" i="29"/>
  <c r="T179" i="29"/>
  <c r="Z155" i="29"/>
  <c r="AC155" i="29" s="1"/>
  <c r="Y155" i="29"/>
  <c r="Y83" i="29"/>
  <c r="Z83" i="29"/>
  <c r="AC83" i="29" s="1"/>
  <c r="Y135" i="29"/>
  <c r="Z135" i="29"/>
  <c r="AC135" i="29" s="1"/>
  <c r="Y70" i="29"/>
  <c r="Z70" i="29"/>
  <c r="AC70" i="29" s="1"/>
  <c r="Z176" i="29"/>
  <c r="AC176" i="29" s="1"/>
  <c r="Y176" i="29"/>
  <c r="Y181" i="29"/>
  <c r="Z181" i="29"/>
  <c r="AC181" i="29" s="1"/>
  <c r="Z147" i="29"/>
  <c r="AC147" i="29" s="1"/>
  <c r="Y147" i="29"/>
  <c r="U160" i="29"/>
  <c r="Z172" i="29"/>
  <c r="AC172" i="29" s="1"/>
  <c r="Y172" i="29"/>
  <c r="U128" i="29"/>
  <c r="T65" i="29"/>
  <c r="R65" i="29"/>
  <c r="Z190" i="29"/>
  <c r="AC190" i="29" s="1"/>
  <c r="Y190" i="29"/>
  <c r="Y158" i="29"/>
  <c r="Z158" i="29"/>
  <c r="AC158" i="29" s="1"/>
  <c r="Y67" i="29"/>
  <c r="Z67" i="29"/>
  <c r="AC67" i="29" s="1"/>
  <c r="U131" i="29"/>
  <c r="Z146" i="29"/>
  <c r="AC146" i="29" s="1"/>
  <c r="Y146" i="29"/>
  <c r="U76" i="29"/>
  <c r="U86" i="29"/>
  <c r="Y61" i="29"/>
  <c r="Z61" i="29"/>
  <c r="AC61" i="29" s="1"/>
  <c r="Z23" i="29"/>
  <c r="AC23" i="29" s="1"/>
  <c r="Y23" i="29"/>
  <c r="Z32" i="29"/>
  <c r="AC32" i="29" s="1"/>
  <c r="Y32" i="29"/>
  <c r="U8" i="29"/>
  <c r="Z25" i="29"/>
  <c r="AC25" i="29" s="1"/>
  <c r="Y25" i="29"/>
  <c r="Z35" i="29"/>
  <c r="AC35" i="29" s="1"/>
  <c r="Y35" i="29"/>
  <c r="Y75" i="29"/>
  <c r="Z75" i="29"/>
  <c r="AC75" i="29" s="1"/>
  <c r="U178" i="29"/>
  <c r="U110" i="29"/>
  <c r="U168" i="29"/>
  <c r="Z121" i="29"/>
  <c r="AC121" i="29" s="1"/>
  <c r="Y121" i="29"/>
  <c r="U191" i="29"/>
  <c r="Z136" i="29"/>
  <c r="AC136" i="29" s="1"/>
  <c r="Y136" i="29"/>
  <c r="Z129" i="29"/>
  <c r="AC129" i="29" s="1"/>
  <c r="Y129" i="29"/>
  <c r="Z73" i="29"/>
  <c r="AC73" i="29" s="1"/>
  <c r="Y73" i="29"/>
  <c r="U107" i="29"/>
  <c r="U64" i="29"/>
  <c r="U69" i="29"/>
  <c r="Y127" i="29"/>
  <c r="Z127" i="29"/>
  <c r="U28" i="29"/>
  <c r="U100" i="29"/>
  <c r="U124" i="29"/>
  <c r="U44" i="29"/>
  <c r="U98" i="29"/>
  <c r="Z31" i="29"/>
  <c r="AC31" i="29" s="1"/>
  <c r="Y31" i="29"/>
  <c r="U51" i="29"/>
  <c r="U46" i="29"/>
  <c r="U20" i="29"/>
  <c r="U62" i="29"/>
  <c r="R117" i="29"/>
  <c r="T117" i="29"/>
  <c r="Z139" i="29"/>
  <c r="AC139" i="29" s="1"/>
  <c r="Y139" i="29"/>
  <c r="Y162" i="29"/>
  <c r="Z162" i="29"/>
  <c r="AC162" i="29" s="1"/>
  <c r="Y123" i="29"/>
  <c r="Z123" i="29"/>
  <c r="AC123" i="29" s="1"/>
  <c r="Z39" i="29"/>
  <c r="AC39" i="29" s="1"/>
  <c r="Y39" i="29"/>
  <c r="Z171" i="29"/>
  <c r="AC171" i="29" s="1"/>
  <c r="Y171" i="29"/>
  <c r="Z188" i="29"/>
  <c r="AC188" i="29" s="1"/>
  <c r="Y188" i="29"/>
  <c r="Z140" i="29"/>
  <c r="AC140" i="29" s="1"/>
  <c r="Y140" i="29"/>
  <c r="Z143" i="29"/>
  <c r="AC143" i="29" s="1"/>
  <c r="Y143" i="29"/>
  <c r="Y130" i="29"/>
  <c r="Z130" i="29"/>
  <c r="AC130" i="29" s="1"/>
  <c r="Z133" i="29"/>
  <c r="AC133" i="29" s="1"/>
  <c r="Y133" i="29"/>
  <c r="Y88" i="29"/>
  <c r="Z88" i="29"/>
  <c r="AC88" i="29" s="1"/>
  <c r="Z81" i="29"/>
  <c r="AC81" i="29" s="1"/>
  <c r="Y81" i="29"/>
  <c r="Y177" i="29"/>
  <c r="Z177" i="29"/>
  <c r="AC177" i="29" s="1"/>
  <c r="Z118" i="29"/>
  <c r="AC118" i="29" s="1"/>
  <c r="Y118" i="29"/>
  <c r="Y206" i="29"/>
  <c r="Z206" i="29"/>
  <c r="AC206" i="29" s="1"/>
  <c r="T38" i="29"/>
  <c r="R38" i="29"/>
  <c r="U38" i="29" s="1"/>
  <c r="Z82" i="29"/>
  <c r="AC82" i="29" s="1"/>
  <c r="Y82" i="29"/>
  <c r="Y153" i="29"/>
  <c r="Z153" i="29"/>
  <c r="AC153" i="29" s="1"/>
  <c r="Z77" i="29"/>
  <c r="AC77" i="29" s="1"/>
  <c r="Y77" i="29"/>
  <c r="U16" i="29"/>
  <c r="Z50" i="29"/>
  <c r="AC50" i="29" s="1"/>
  <c r="Y50" i="29"/>
  <c r="U63" i="29"/>
  <c r="U210" i="29"/>
  <c r="Z170" i="29"/>
  <c r="AC170" i="29" s="1"/>
  <c r="Y170" i="29"/>
  <c r="U167" i="29"/>
  <c r="Y157" i="29"/>
  <c r="Z157" i="29"/>
  <c r="AC157" i="29" s="1"/>
  <c r="Z112" i="29"/>
  <c r="AC112" i="29" s="1"/>
  <c r="Y112" i="29"/>
  <c r="Y138" i="29"/>
  <c r="Z138" i="29"/>
  <c r="AC138" i="29" s="1"/>
  <c r="Z116" i="29"/>
  <c r="AC116" i="29" s="1"/>
  <c r="Y116" i="29"/>
  <c r="Z96" i="29"/>
  <c r="AC96" i="29" s="1"/>
  <c r="Y96" i="29"/>
  <c r="U109" i="29"/>
  <c r="U48" i="29"/>
  <c r="U87" i="29"/>
  <c r="U104" i="29"/>
  <c r="U93" i="29"/>
  <c r="H214" i="29"/>
  <c r="U216" i="29" s="1"/>
  <c r="T5" i="29"/>
  <c r="R5" i="29"/>
  <c r="Y56" i="29"/>
  <c r="Z56" i="29"/>
  <c r="AC56" i="29" s="1"/>
  <c r="U54" i="29"/>
  <c r="Y53" i="29"/>
  <c r="Z53" i="29"/>
  <c r="AC53" i="29" s="1"/>
  <c r="Z126" i="29"/>
  <c r="AC126" i="29" s="1"/>
  <c r="Y126" i="29"/>
  <c r="Y150" i="29"/>
  <c r="Z150" i="29"/>
  <c r="AC150" i="29" s="1"/>
  <c r="Z175" i="29"/>
  <c r="AC175" i="29" s="1"/>
  <c r="Y175" i="29"/>
  <c r="Y165" i="29"/>
  <c r="Z165" i="29"/>
  <c r="AC165" i="29" s="1"/>
  <c r="Z141" i="29"/>
  <c r="AC141" i="29" s="1"/>
  <c r="Y141" i="29"/>
  <c r="Z27" i="29"/>
  <c r="AC27" i="29" s="1"/>
  <c r="Y27" i="29"/>
  <c r="Y36" i="29"/>
  <c r="Z36" i="29"/>
  <c r="AC36" i="29" s="1"/>
  <c r="Z180" i="29"/>
  <c r="AC180" i="29" s="1"/>
  <c r="Y180" i="29"/>
  <c r="Z114" i="29"/>
  <c r="AC114" i="29" s="1"/>
  <c r="Y114" i="29"/>
  <c r="Z68" i="29"/>
  <c r="AC68" i="29" s="1"/>
  <c r="Y68" i="29"/>
  <c r="Z80" i="29"/>
  <c r="AC80" i="29" s="1"/>
  <c r="Y80" i="29"/>
  <c r="Z6" i="29"/>
  <c r="AC6" i="29" s="1"/>
  <c r="Y6" i="29"/>
  <c r="Y134" i="29"/>
  <c r="Z134" i="29"/>
  <c r="AC134" i="29" s="1"/>
  <c r="Z120" i="29"/>
  <c r="AC120" i="29" s="1"/>
  <c r="Y120" i="29"/>
  <c r="Y125" i="29"/>
  <c r="Z125" i="29"/>
  <c r="AC125" i="29" s="1"/>
  <c r="T26" i="29"/>
  <c r="R26" i="29"/>
  <c r="U26" i="29" s="1"/>
  <c r="Y72" i="29"/>
  <c r="Z72" i="29"/>
  <c r="AC72" i="29" s="1"/>
  <c r="Z17" i="29"/>
  <c r="AC17" i="29" s="1"/>
  <c r="Y17" i="29"/>
  <c r="Z89" i="29"/>
  <c r="AC89" i="29" s="1"/>
  <c r="Y89" i="29"/>
  <c r="Y200" i="29"/>
  <c r="Z200" i="29"/>
  <c r="Y212" i="29"/>
  <c r="Z212" i="29"/>
  <c r="AC212" i="29" s="1"/>
  <c r="Z24" i="29"/>
  <c r="AC24" i="29" s="1"/>
  <c r="Y24" i="29"/>
  <c r="Z15" i="29"/>
  <c r="AC15" i="29" s="1"/>
  <c r="Y15" i="29"/>
  <c r="U55" i="29"/>
  <c r="Y95" i="29"/>
  <c r="Z95" i="29"/>
  <c r="AC95" i="29" s="1"/>
  <c r="R195" i="29"/>
  <c r="T195" i="29"/>
  <c r="R204" i="29"/>
  <c r="T204" i="29"/>
  <c r="Z192" i="29"/>
  <c r="AC192" i="29" s="1"/>
  <c r="Y192" i="29"/>
  <c r="Y161" i="29"/>
  <c r="Z161" i="29"/>
  <c r="AC161" i="29" s="1"/>
  <c r="U208" i="29"/>
  <c r="T22" i="29"/>
  <c r="R22" i="29"/>
  <c r="Z151" i="29"/>
  <c r="AC151" i="29" s="1"/>
  <c r="Y151" i="29"/>
  <c r="Z60" i="29"/>
  <c r="AC60" i="29" s="1"/>
  <c r="Y60" i="29"/>
  <c r="Y102" i="29"/>
  <c r="Z102" i="29"/>
  <c r="AC102" i="29" s="1"/>
  <c r="Z97" i="29"/>
  <c r="Y97" i="29"/>
  <c r="U113" i="29"/>
  <c r="Y66" i="29"/>
  <c r="Z66" i="29"/>
  <c r="AC66" i="29" s="1"/>
  <c r="U193" i="29"/>
  <c r="U108" i="29"/>
  <c r="U11" i="29"/>
  <c r="U12" i="29"/>
  <c r="U43" i="29"/>
  <c r="U58" i="29"/>
  <c r="U57" i="29"/>
  <c r="Z174" i="29"/>
  <c r="AC174" i="29" s="1"/>
  <c r="Y174" i="29"/>
  <c r="Z91" i="29"/>
  <c r="AC91" i="29" s="1"/>
  <c r="Y91" i="29"/>
  <c r="Y74" i="29"/>
  <c r="Z74" i="29"/>
  <c r="AC74" i="29" s="1"/>
  <c r="Z52" i="29"/>
  <c r="AC52" i="29" s="1"/>
  <c r="Y52" i="29"/>
  <c r="Z101" i="29"/>
  <c r="AC101" i="29" s="1"/>
  <c r="Y101" i="29"/>
  <c r="Y49" i="29"/>
  <c r="Z49" i="29"/>
  <c r="AC49" i="29" s="1"/>
  <c r="Z203" i="29"/>
  <c r="AC203" i="29" s="1"/>
  <c r="Y203" i="29"/>
  <c r="Z209" i="29"/>
  <c r="AC209" i="29" s="1"/>
  <c r="Y209" i="29"/>
  <c r="Z122" i="29"/>
  <c r="AC122" i="29" s="1"/>
  <c r="Y122" i="29"/>
  <c r="R163" i="29"/>
  <c r="T163" i="29"/>
  <c r="U164" i="29"/>
  <c r="Y84" i="29"/>
  <c r="Z84" i="29"/>
  <c r="AC84" i="29" s="1"/>
  <c r="Y78" i="29"/>
  <c r="Z78" i="29"/>
  <c r="AC78" i="29" s="1"/>
  <c r="U85" i="29"/>
  <c r="Z149" i="29"/>
  <c r="Y149" i="29"/>
  <c r="U47" i="29"/>
  <c r="U59" i="29"/>
  <c r="R159" i="29"/>
  <c r="T159" i="29"/>
  <c r="Z187" i="29"/>
  <c r="AC187" i="29" s="1"/>
  <c r="Y187" i="29"/>
  <c r="U201" i="29"/>
  <c r="U184" i="29"/>
  <c r="U196" i="29"/>
  <c r="U152" i="29"/>
  <c r="Z132" i="29"/>
  <c r="AC132" i="29" s="1"/>
  <c r="Y132" i="29"/>
  <c r="U156" i="29"/>
  <c r="U205" i="29"/>
  <c r="U148" i="29"/>
  <c r="R94" i="29"/>
  <c r="T94" i="29"/>
  <c r="U99" i="29"/>
  <c r="U194" i="29"/>
  <c r="U79" i="29"/>
  <c r="U71" i="29"/>
  <c r="U142" i="29"/>
  <c r="Y169" i="29"/>
  <c r="Z169" i="29"/>
  <c r="AC169" i="29" s="1"/>
  <c r="Y111" i="29"/>
  <c r="Z111" i="29"/>
  <c r="AC111" i="29" s="1"/>
  <c r="U40" i="29"/>
  <c r="U154" i="29"/>
  <c r="U42" i="29"/>
  <c r="Z19" i="29"/>
  <c r="AC19" i="29" s="1"/>
  <c r="Y19" i="29"/>
  <c r="Y45" i="29"/>
  <c r="Z45" i="29"/>
  <c r="AC45" i="29" s="1"/>
  <c r="U166" i="29"/>
  <c r="Z7" i="29"/>
  <c r="AC7" i="29" s="1"/>
  <c r="Y7" i="29"/>
  <c r="U179" i="29" l="1"/>
  <c r="Z18" i="29"/>
  <c r="AC18" i="29" s="1"/>
  <c r="Y18" i="29"/>
  <c r="Z34" i="29"/>
  <c r="AC34" i="29" s="1"/>
  <c r="Y34" i="29"/>
  <c r="Z199" i="29"/>
  <c r="AC199" i="29" s="1"/>
  <c r="Y199" i="29"/>
  <c r="Z64" i="29"/>
  <c r="AC64" i="29" s="1"/>
  <c r="Y64" i="29"/>
  <c r="Z128" i="29"/>
  <c r="AC128" i="29" s="1"/>
  <c r="Y128" i="29"/>
  <c r="U94" i="29"/>
  <c r="Z184" i="29"/>
  <c r="AC184" i="29" s="1"/>
  <c r="Y184" i="29"/>
  <c r="Z11" i="29"/>
  <c r="AC11" i="29" s="1"/>
  <c r="Y11" i="29"/>
  <c r="Z208" i="29"/>
  <c r="AC208" i="29" s="1"/>
  <c r="Y208" i="29"/>
  <c r="U195" i="29"/>
  <c r="T214" i="29"/>
  <c r="Z16" i="29"/>
  <c r="AC16" i="29" s="1"/>
  <c r="Y16" i="29"/>
  <c r="U117" i="29"/>
  <c r="Z44" i="29"/>
  <c r="AC44" i="29" s="1"/>
  <c r="Y44" i="29"/>
  <c r="Y107" i="29"/>
  <c r="Z107" i="29"/>
  <c r="AC107" i="29" s="1"/>
  <c r="Y148" i="29"/>
  <c r="Z148" i="29"/>
  <c r="AC148" i="29" s="1"/>
  <c r="Z201" i="29"/>
  <c r="AC201" i="29" s="1"/>
  <c r="Y201" i="29"/>
  <c r="U163" i="29"/>
  <c r="Z108" i="29"/>
  <c r="AC108" i="29" s="1"/>
  <c r="Y108" i="29"/>
  <c r="Y167" i="29"/>
  <c r="Z167" i="29"/>
  <c r="AC167" i="29" s="1"/>
  <c r="Z62" i="29"/>
  <c r="AC62" i="29" s="1"/>
  <c r="Y62" i="29"/>
  <c r="Z124" i="29"/>
  <c r="AC124" i="29" s="1"/>
  <c r="Y124" i="29"/>
  <c r="Y47" i="29"/>
  <c r="Z47" i="29"/>
  <c r="AC47" i="29" s="1"/>
  <c r="Z38" i="29"/>
  <c r="Y38" i="29"/>
  <c r="Y142" i="29"/>
  <c r="Z142" i="29"/>
  <c r="AC142" i="29" s="1"/>
  <c r="AD200" i="29"/>
  <c r="AC200" i="29"/>
  <c r="Z20" i="29"/>
  <c r="AC20" i="29" s="1"/>
  <c r="Y20" i="29"/>
  <c r="Z179" i="29"/>
  <c r="AC179" i="29" s="1"/>
  <c r="Y179" i="29"/>
  <c r="Z42" i="29"/>
  <c r="AC42" i="29" s="1"/>
  <c r="Y42" i="29"/>
  <c r="Z55" i="29"/>
  <c r="AC55" i="29" s="1"/>
  <c r="Y55" i="29"/>
  <c r="Z28" i="29"/>
  <c r="AC28" i="29" s="1"/>
  <c r="Y28" i="29"/>
  <c r="Z110" i="29"/>
  <c r="AC110" i="29" s="1"/>
  <c r="Y110" i="29"/>
  <c r="Z8" i="29"/>
  <c r="AC8" i="29" s="1"/>
  <c r="Y8" i="29"/>
  <c r="Z76" i="29"/>
  <c r="AC76" i="29" s="1"/>
  <c r="Y76" i="29"/>
  <c r="Z205" i="29"/>
  <c r="AC205" i="29" s="1"/>
  <c r="Y205" i="29"/>
  <c r="Z85" i="29"/>
  <c r="Y85" i="29"/>
  <c r="Y193" i="29"/>
  <c r="Z193" i="29"/>
  <c r="AC193" i="29" s="1"/>
  <c r="Z93" i="29"/>
  <c r="AC93" i="29" s="1"/>
  <c r="Y93" i="29"/>
  <c r="Z156" i="29"/>
  <c r="AC156" i="29" s="1"/>
  <c r="Y156" i="29"/>
  <c r="Y154" i="29"/>
  <c r="Z154" i="29"/>
  <c r="AC154" i="29" s="1"/>
  <c r="Y79" i="29"/>
  <c r="Z79" i="29"/>
  <c r="AC79" i="29" s="1"/>
  <c r="Y57" i="29"/>
  <c r="Z57" i="29"/>
  <c r="AC57" i="29" s="1"/>
  <c r="Z54" i="29"/>
  <c r="AC54" i="29" s="1"/>
  <c r="Y54" i="29"/>
  <c r="Z87" i="29"/>
  <c r="AC87" i="29" s="1"/>
  <c r="Y87" i="29"/>
  <c r="Y210" i="29"/>
  <c r="Z210" i="29"/>
  <c r="AC210" i="29" s="1"/>
  <c r="Z51" i="29"/>
  <c r="AC51" i="29" s="1"/>
  <c r="Y51" i="29"/>
  <c r="AD127" i="29"/>
  <c r="AC127" i="29"/>
  <c r="Z178" i="29"/>
  <c r="AC178" i="29" s="1"/>
  <c r="Y178" i="29"/>
  <c r="Z164" i="29"/>
  <c r="AC164" i="29" s="1"/>
  <c r="Y164" i="29"/>
  <c r="Z12" i="29"/>
  <c r="AC12" i="29" s="1"/>
  <c r="Y12" i="29"/>
  <c r="Z191" i="29"/>
  <c r="AC191" i="29" s="1"/>
  <c r="Y191" i="29"/>
  <c r="Z86" i="29"/>
  <c r="AC86" i="29" s="1"/>
  <c r="Y86" i="29"/>
  <c r="Z160" i="29"/>
  <c r="AC160" i="29" s="1"/>
  <c r="Y160" i="29"/>
  <c r="Z46" i="29"/>
  <c r="AC46" i="29" s="1"/>
  <c r="Y46" i="29"/>
  <c r="Y40" i="29"/>
  <c r="Z40" i="29"/>
  <c r="AC40" i="29" s="1"/>
  <c r="Z194" i="29"/>
  <c r="AC194" i="29" s="1"/>
  <c r="Y194" i="29"/>
  <c r="U159" i="29"/>
  <c r="Z58" i="29"/>
  <c r="AC58" i="29" s="1"/>
  <c r="Y58" i="29"/>
  <c r="Z113" i="29"/>
  <c r="AC113" i="29" s="1"/>
  <c r="Y113" i="29"/>
  <c r="Z48" i="29"/>
  <c r="AC48" i="29" s="1"/>
  <c r="Y48" i="29"/>
  <c r="Z63" i="29"/>
  <c r="AC63" i="29" s="1"/>
  <c r="Y63" i="29"/>
  <c r="U65" i="29"/>
  <c r="Z196" i="29"/>
  <c r="AC196" i="29" s="1"/>
  <c r="Y196" i="29"/>
  <c r="R214" i="29"/>
  <c r="U5" i="29"/>
  <c r="Z98" i="29"/>
  <c r="AC98" i="29" s="1"/>
  <c r="Y98" i="29"/>
  <c r="Z26" i="29"/>
  <c r="AC26" i="29" s="1"/>
  <c r="Y26" i="29"/>
  <c r="Y100" i="29"/>
  <c r="Z100" i="29"/>
  <c r="AC100" i="29" s="1"/>
  <c r="Z168" i="29"/>
  <c r="AC168" i="29" s="1"/>
  <c r="Y168" i="29"/>
  <c r="Y71" i="29"/>
  <c r="Z71" i="29"/>
  <c r="AC71" i="29" s="1"/>
  <c r="Y104" i="29"/>
  <c r="Z104" i="29"/>
  <c r="AC104" i="29" s="1"/>
  <c r="Z166" i="29"/>
  <c r="AC166" i="29" s="1"/>
  <c r="Y166" i="29"/>
  <c r="Y99" i="29"/>
  <c r="Z99" i="29"/>
  <c r="AC99" i="29" s="1"/>
  <c r="Z152" i="29"/>
  <c r="AC152" i="29" s="1"/>
  <c r="Y152" i="29"/>
  <c r="Z59" i="29"/>
  <c r="AC59" i="29" s="1"/>
  <c r="Y59" i="29"/>
  <c r="Y43" i="29"/>
  <c r="Z43" i="29"/>
  <c r="AC43" i="29" s="1"/>
  <c r="U22" i="29"/>
  <c r="U204" i="29"/>
  <c r="Y109" i="29"/>
  <c r="Z109" i="29"/>
  <c r="AC109" i="29" s="1"/>
  <c r="Z69" i="29"/>
  <c r="AC69" i="29" s="1"/>
  <c r="Y69" i="29"/>
  <c r="Z131" i="29"/>
  <c r="AC131" i="29" s="1"/>
  <c r="Y131" i="29"/>
  <c r="Z159" i="29" l="1"/>
  <c r="AC159" i="29" s="1"/>
  <c r="Y159" i="29"/>
  <c r="Z94" i="29"/>
  <c r="Y94" i="29"/>
  <c r="Z195" i="29"/>
  <c r="AC195" i="29" s="1"/>
  <c r="Y195" i="29"/>
  <c r="Z204" i="29"/>
  <c r="AC204" i="29" s="1"/>
  <c r="Y204" i="29"/>
  <c r="U214" i="29"/>
  <c r="Z5" i="29"/>
  <c r="Y5" i="29"/>
  <c r="Z117" i="29"/>
  <c r="AC117" i="29" s="1"/>
  <c r="Y117" i="29"/>
  <c r="Z22" i="29"/>
  <c r="AC22" i="29" s="1"/>
  <c r="Y22" i="29"/>
  <c r="Y65" i="29"/>
  <c r="Z65" i="29"/>
  <c r="AC65" i="29" s="1"/>
  <c r="Y163" i="29"/>
  <c r="Z163" i="29"/>
  <c r="AC163" i="29" s="1"/>
  <c r="Y214" i="29" l="1"/>
  <c r="Z214" i="29"/>
  <c r="AC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H6" authorId="0" shapeId="0" xr:uid="{06E938C9-14DF-4AC0-8AF5-4E1DCC259E2E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Data is by community and not project specific.</t>
        </r>
      </text>
    </comment>
    <comment ref="BG6" authorId="0" shapeId="0" xr:uid="{9CEB1755-DD7A-4EA4-916E-A41A3ADEC2E8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Credits through year 2017
</t>
        </r>
      </text>
    </comment>
    <comment ref="BH6" authorId="0" shapeId="0" xr:uid="{20841CAA-64F1-427F-A8B9-ECE9848582AF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Allocations are deducted at the time Underground Utility District (Resolution) is received. It may be a few years after that construction begins and city may accumulate more allocations</t>
        </r>
      </text>
    </comment>
    <comment ref="BL6" authorId="0" shapeId="0" xr:uid="{7A5218FE-6EEB-4704-B4C5-8C5E45AABEB2}">
      <text>
        <r>
          <rPr>
            <b/>
            <sz val="9"/>
            <color indexed="81"/>
            <rFont val="Tahoma"/>
            <family val="2"/>
          </rPr>
          <t xml:space="preserve">Talisa Lee:
</t>
        </r>
        <r>
          <rPr>
            <sz val="9"/>
            <color indexed="81"/>
            <rFont val="Tahoma"/>
            <family val="2"/>
          </rPr>
          <t>SCE is unware of nominal transactions between agencies. 
Transfers that are general will be listed as unknown and reflected in the historical transfers tab</t>
        </r>
      </text>
    </comment>
    <comment ref="BM6" authorId="0" shapeId="0" xr:uid="{04EBADA8-DFDC-4E9E-BEE4-C2F9A5D0A87A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SCE is unware of nominal transactions between agencies. 
Transfers that are general will be listed as unknown and reflected in the historical transfers tab</t>
        </r>
      </text>
    </comment>
    <comment ref="BN6" authorId="0" shapeId="0" xr:uid="{EDD6FF62-9164-4A46-9E47-E6CF3FE8B4CF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SCE is unware of nominal transactions between agencies. 
Transfers that are general will be listed as unknown and reflected in the historical transfers tab</t>
        </r>
      </text>
    </comment>
    <comment ref="AP48" authorId="0" shapeId="0" xr:uid="{6D23820A-EC3A-494D-80E7-35FAE88BD062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Estimate 6,823,500</t>
        </r>
      </text>
    </comment>
    <comment ref="F56" authorId="0" shapeId="0" xr:uid="{331F6C12-2E14-46FA-920C-01A71B723186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Small section Yes</t>
        </r>
      </text>
    </comment>
    <comment ref="B59" authorId="0" shapeId="0" xr:uid="{17A1E977-B589-4515-AE01-6E136B490275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Project Name Lakewood Blvd/ 5th to Gallatin (broken in to phases)</t>
        </r>
      </text>
    </comment>
    <comment ref="AP59" authorId="0" shapeId="0" xr:uid="{80A40801-ECD4-4A29-B20B-32B331A8FEA6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estimate 5,218,000</t>
        </r>
      </text>
    </comment>
    <comment ref="V76" authorId="0" shapeId="0" xr:uid="{20A82017-3D16-465B-8043-2D63E6D09220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Resolution passed in 2005</t>
        </r>
      </text>
    </comment>
    <comment ref="V77" authorId="0" shapeId="0" xr:uid="{D122BA5E-C5AA-445E-8982-F46324149D1E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Resolution passed in 2005</t>
        </r>
      </text>
    </comment>
    <comment ref="B106" authorId="0" shapeId="0" xr:uid="{0A55F247-DA76-4AC0-AEAC-524472E818F3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Project Split in to 2 Phases </t>
        </r>
      </text>
    </comment>
    <comment ref="AP113" authorId="0" shapeId="0" xr:uid="{8D792DD9-B495-4E40-ABF3-C0C5ADA6943A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ROM estimate 750,000</t>
        </r>
      </text>
    </comment>
    <comment ref="B149" authorId="0" shapeId="0" xr:uid="{1BF0262E-BFFA-4C58-81F7-F69FC5B97394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Project Broadway /Whittier to Pickering Ave (original scope)</t>
        </r>
      </text>
    </comment>
    <comment ref="N149" authorId="0" shapeId="0" xr:uid="{6C78044B-0D2B-4449-A4B6-E4326DB44418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1 proj for 2017 not included. Original data was through 2016. No change in the updated OIR request except for allocations for 2017
</t>
        </r>
      </text>
    </comment>
    <comment ref="AP193" authorId="0" shapeId="0" xr:uid="{3511993D-0ABF-47FE-8AFD-03399E953DC7}">
      <text>
        <r>
          <rPr>
            <b/>
            <sz val="9"/>
            <color indexed="81"/>
            <rFont val="Tahoma"/>
            <family val="2"/>
          </rPr>
          <t xml:space="preserve">Talisa Lee
</t>
        </r>
        <r>
          <rPr>
            <sz val="9"/>
            <color indexed="81"/>
            <rFont val="Tahoma"/>
            <family val="2"/>
          </rPr>
          <t>Origianl ROM estimate 3M</t>
        </r>
      </text>
    </comment>
    <comment ref="BJ193" authorId="0" shapeId="0" xr:uid="{601A761A-1C39-4A56-872B-54DBBD9412FF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Project boundary reduced to accommodate allocation. Did not exceed 5 year
</t>
        </r>
      </text>
    </comment>
    <comment ref="BJ194" authorId="0" shapeId="0" xr:uid="{92088451-B7B9-43B5-A89C-0488F474B299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Project boundary reduced to accommodate allocation. Did not exceed 5 year
</t>
        </r>
      </text>
    </comment>
    <comment ref="AP247" authorId="0" shapeId="0" xr:uid="{E87EA8ED-EA8B-4D93-A04E-01DC543AA70F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ROM 1,125,000
</t>
        </r>
      </text>
    </comment>
    <comment ref="W306" authorId="0" shapeId="0" xr:uid="{1D782637-7C66-450D-A78F-41A82D77C315}">
      <text>
        <r>
          <rPr>
            <b/>
            <sz val="9"/>
            <color indexed="81"/>
            <rFont val="Tahoma"/>
            <family val="2"/>
          </rPr>
          <t xml:space="preserve">Talisa Lee:
</t>
        </r>
        <r>
          <rPr>
            <sz val="9"/>
            <color indexed="81"/>
            <rFont val="Tahoma"/>
            <family val="2"/>
          </rPr>
          <t>redesign 4-1-17</t>
        </r>
      </text>
    </comment>
    <comment ref="W307" authorId="0" shapeId="0" xr:uid="{16338836-4134-43E6-AB98-F448DB75301D}">
      <text>
        <r>
          <rPr>
            <b/>
            <sz val="9"/>
            <color indexed="81"/>
            <rFont val="Tahoma"/>
            <family val="2"/>
          </rPr>
          <t xml:space="preserve">Talisa Lee:
</t>
        </r>
        <r>
          <rPr>
            <sz val="9"/>
            <color indexed="81"/>
            <rFont val="Tahoma"/>
            <family val="2"/>
          </rPr>
          <t>redesign 4-1-17</t>
        </r>
      </text>
    </comment>
    <comment ref="AP320" authorId="0" shapeId="0" xr:uid="{F227348B-35CF-480A-8A05-C4FBA9739DD8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ROM was reduced from 980,000
</t>
        </r>
      </text>
    </comment>
    <comment ref="V344" authorId="0" shapeId="0" xr:uid="{A7E8C9AB-DD07-468E-A391-33A74EAC02E1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Original Resolution 6451 adopted 3/3/08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Standard Configuration</author>
    <author>Talisa R. Lee</author>
    <author>Shellabarger, Jeffrey</author>
  </authors>
  <commentList>
    <comment ref="P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Includes Total Expenditures for In Design, Not Started, In Progress, &amp; Complete/Not Closed</t>
        </r>
      </text>
    </comment>
    <comment ref="V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Includes the Variance for Not Started, In Progress, &amp; Complete/ Not Closed</t>
        </r>
      </text>
    </comment>
    <comment ref="W4" authorId="0" shapeId="0" xr:uid="{00000000-0006-0000-0A00-000003000000}">
      <text>
        <r>
          <rPr>
            <b/>
            <sz val="8"/>
            <color indexed="81"/>
            <rFont val="Tahoma"/>
            <family val="2"/>
          </rPr>
          <t>Includes the Variance for In Design Only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73" authorId="1" shapeId="0" xr:uid="{00000000-0006-0000-0A00-000004000000}">
      <text>
        <r>
          <rPr>
            <b/>
            <sz val="9"/>
            <color indexed="81"/>
            <rFont val="Tahoma"/>
            <family val="2"/>
          </rPr>
          <t>Talisa R. Lee:</t>
        </r>
        <r>
          <rPr>
            <sz val="9"/>
            <color indexed="81"/>
            <rFont val="Tahoma"/>
            <family val="2"/>
          </rPr>
          <t xml:space="preserve">
4/2015 Tony Mathis determined that the incurred costs of $44,271.25 should be deducted from Hemet's balance to account for the cancelled Acia/ Lyon Ave project. </t>
        </r>
      </text>
    </comment>
    <comment ref="J138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Standard Configuration:</t>
        </r>
        <r>
          <rPr>
            <sz val="9"/>
            <color indexed="81"/>
            <rFont val="Tahoma"/>
            <family val="2"/>
          </rPr>
          <t xml:space="preserve">
4/2011 Tony Mathis determined that the incurred costs of $316,178.83 should be deducted from Pomona's balance to account for the cancelled White/ Holt to Lexington project.</t>
        </r>
      </text>
    </comment>
    <comment ref="J160" authorId="2" shapeId="0" xr:uid="{00000000-0006-0000-0A00-000006000000}">
      <text>
        <r>
          <rPr>
            <b/>
            <sz val="9"/>
            <color indexed="81"/>
            <rFont val="Tahoma"/>
            <family val="2"/>
          </rPr>
          <t>Shellabarger, Jeffrey:</t>
        </r>
        <r>
          <rPr>
            <sz val="9"/>
            <color indexed="81"/>
            <rFont val="Tahoma"/>
            <family val="2"/>
          </rPr>
          <t xml:space="preserve">
RPTD $5,222,970 for 2011 for Cliff Dr. Project. Credited $72,970 to recorded costs to cap total project costs at $5,150,000. NO add'tl $ should be deducted from their allocations for this project. 5/16/2012</t>
        </r>
      </text>
    </comment>
    <comment ref="E186" authorId="2" shapeId="0" xr:uid="{00000000-0006-0000-0A00-000007000000}">
      <text>
        <r>
          <rPr>
            <b/>
            <sz val="9"/>
            <color indexed="81"/>
            <rFont val="Tahoma"/>
            <family val="2"/>
          </rPr>
          <t>Shellabarger, Jeffrey:</t>
        </r>
        <r>
          <rPr>
            <sz val="9"/>
            <color indexed="81"/>
            <rFont val="Tahoma"/>
            <family val="2"/>
          </rPr>
          <t xml:space="preserve">
Don Knabe, supervisor 4th district, sent a letter on 8/26/2011 instrucitng SCE to transfer 500,000 in allocations to the City of La Mirada for a proposed project on Imperial Highway.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H4" authorId="0" shapeId="0" xr:uid="{98AF7837-A822-4A03-89D8-285087E66598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Date paid equates to when credits are deducted at onset of project initiation, based on ROM Estimate.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L3" authorId="0" shapeId="0" xr:uid="{D36C1B34-7C1B-4C32-A4DF-12435F56AEB9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Plant Accounting , cancelled WO wit undue credits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D4" authorId="0" shapeId="0" xr:uid="{71A0AF76-FD57-4F53-87BC-2FBEC5DB29A9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annual spend</t>
        </r>
      </text>
    </comment>
    <comment ref="H86" authorId="0" shapeId="0" xr:uid="{2B552C2E-0553-4F53-99D6-3A6A36BC6269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20B Seed Money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G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SCE does know specifications of trades by municipalities</t>
        </r>
      </text>
    </comment>
    <comment ref="H4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SCE is unaware of any costs associated with allocation transfer. 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Talisa Lee</author>
  </authors>
  <commentList>
    <comment ref="E4" authorId="0" shapeId="0" xr:uid="{149B37C8-0524-42C9-B600-F6023517E161}">
      <text>
        <r>
          <rPr>
            <b/>
            <sz val="9"/>
            <color indexed="81"/>
            <rFont val="Tahoma"/>
            <family val="2"/>
          </rPr>
          <t>Talisa Lee:</t>
        </r>
        <r>
          <rPr>
            <sz val="9"/>
            <color indexed="81"/>
            <rFont val="Tahoma"/>
            <family val="2"/>
          </rPr>
          <t xml:space="preserve">
Credits Redeemed are from the inception of the program</t>
        </r>
      </text>
    </comment>
  </commentList>
</comments>
</file>

<file path=xl/sharedStrings.xml><?xml version="1.0" encoding="utf-8"?>
<sst xmlns="http://schemas.openxmlformats.org/spreadsheetml/2006/main" count="37814" uniqueCount="1983">
  <si>
    <t xml:space="preserve">              (I.d-g, II.a-c)  Detailed Project Information</t>
  </si>
  <si>
    <t>SEE BELOW FOOTNOTE**</t>
  </si>
  <si>
    <t>PLEASE SEE CONTRACT DATA TAB</t>
  </si>
  <si>
    <t>Rule 20A Community</t>
  </si>
  <si>
    <t>Project Name</t>
  </si>
  <si>
    <t>Unique Project Identifier (e.g. Work Order No.)</t>
  </si>
  <si>
    <t>Undergrounding District Name</t>
  </si>
  <si>
    <t>Zip Code</t>
  </si>
  <si>
    <t xml:space="preserve">Census Tract </t>
  </si>
  <si>
    <t xml:space="preserve">Disadvantaged Community Census Tract </t>
  </si>
  <si>
    <t>CARE Customers in Census Tracts</t>
  </si>
  <si>
    <t xml:space="preserve">Street location of the project, or the location boundary (if more than one street) </t>
  </si>
  <si>
    <t xml:space="preserve">High Fire Threat Area </t>
  </si>
  <si>
    <t>Please describe the reason(s) the project was qualified under Rule 20A project criteria*</t>
  </si>
  <si>
    <t>Please Cite the Original Document(s) by Name in which Rule 20A Project Qualifications were Assessed for the Project</t>
  </si>
  <si>
    <t xml:space="preserve">Is the Project Compelete? </t>
  </si>
  <si>
    <t>Number of Projects with Undergrounding District that Were Formed**</t>
  </si>
  <si>
    <t xml:space="preserve">Number of Projects Initiated for the next ten years (Project has started but no utilities conversion plan)** </t>
  </si>
  <si>
    <t>Number of Projects in planning phase with a Utilities Conversion Plan**</t>
  </si>
  <si>
    <t>Status</t>
  </si>
  <si>
    <t xml:space="preserve"> Number of Projects in progress (construction)**</t>
  </si>
  <si>
    <t>Number of Projects Completed**</t>
  </si>
  <si>
    <t xml:space="preserve">Urban/ Suburban/ Rural </t>
  </si>
  <si>
    <t xml:space="preserve">Disadvantaged Community? </t>
  </si>
  <si>
    <t>Project Resolution Pass Date/Date of Undergrounding District Formation</t>
  </si>
  <si>
    <t>Project Design Start Date</t>
  </si>
  <si>
    <t>Project Construction Start Date</t>
  </si>
  <si>
    <t>Project Construction End Date</t>
  </si>
  <si>
    <t>Project Completed</t>
  </si>
  <si>
    <t xml:space="preserve">Date Rule 20A Work Credits are Redeemed </t>
  </si>
  <si>
    <t>Please Explain if Credits were Transferred Over Additional Days</t>
  </si>
  <si>
    <t>Total Business Days (W5-V5)</t>
  </si>
  <si>
    <t>If Project not completed, Expected Completion Date</t>
  </si>
  <si>
    <t>Date Cancelled, if Cancelled</t>
  </si>
  <si>
    <t>Number of Poles Removed</t>
  </si>
  <si>
    <t>Number of meters converted to underground services</t>
  </si>
  <si>
    <t xml:space="preserve">FEET of Overhead Lines Converted to underground ** </t>
  </si>
  <si>
    <t xml:space="preserve">Miles of Overhead Lines Converted to underground ** </t>
  </si>
  <si>
    <t>Project Trenched Footage</t>
  </si>
  <si>
    <t>Characterization of Project Area</t>
  </si>
  <si>
    <t xml:space="preserve">Were Contractors Hired for any Portion of Project Completion? </t>
  </si>
  <si>
    <t xml:space="preserve">% of Project Work Performed by Electric Utility (In-house) and funded by Rule 20A Work Credits </t>
  </si>
  <si>
    <t xml:space="preserve">% of Project Work Performed by Contractors and funded by Rule 20A Work Credits </t>
  </si>
  <si>
    <t>Total % Work Performed that was funded by Rule 20A Work Credits</t>
  </si>
  <si>
    <t xml:space="preserve">Estimated Cost of Projects </t>
  </si>
  <si>
    <t>Rule 20A Ratepayer Costs</t>
  </si>
  <si>
    <t xml:space="preserve">Non-Ratepayer Repaving Costs </t>
  </si>
  <si>
    <t>Non-Ratepayer Communications Infrastructure Costs</t>
  </si>
  <si>
    <t>Non-Ratepayer Streetlighting Costs</t>
  </si>
  <si>
    <t xml:space="preserve">Non-Ratepayer City Department Staff Time Costs </t>
  </si>
  <si>
    <t>Subsurface Transformers Costs funded by Rule 20A Work Credits (if any)</t>
  </si>
  <si>
    <t>Percent of Subsurface Transformers funded by Rule 20A Work Credits (N/A if none)</t>
  </si>
  <si>
    <t>Grid Hardening work funded by Rule 20A Work Credits (if any)</t>
  </si>
  <si>
    <t>Percent of Grid Hardening work funded by Rule 20A Work Credits (N/A if none)</t>
  </si>
  <si>
    <t>Direct Payment by Community to Utility for Insufficient Rule 20A funds</t>
  </si>
  <si>
    <t>Total Non-Ratepayer Costs (sum of AR5 through AZ5)</t>
  </si>
  <si>
    <t>Total Cost of Completed Project AJ5 + AP5 (Equals AJ5 if no known Non-Ratepayer Costs)</t>
  </si>
  <si>
    <t>Difference Between Total Cost and Esitmated Cost (AP5-AQ5)</t>
  </si>
  <si>
    <t>Identify and Quantify Factors that Contribute to Cost Variances</t>
  </si>
  <si>
    <t>Adjustments to Previously Completed Projects</t>
  </si>
  <si>
    <t>Date of Adjustments</t>
  </si>
  <si>
    <t>Value of Work Credits (in USD) used for the Project</t>
  </si>
  <si>
    <t>All Eligible Work Credits Available to Community at the Time When Work Credits are Redeemed (Excluding Borrowing Forward and Purchasing from Other Communities)</t>
  </si>
  <si>
    <t>Value of Work Credits Borrowed Forward up to 5 Years</t>
  </si>
  <si>
    <t>Value of Work Credits Borrowed Forward Beyond 5 Years</t>
  </si>
  <si>
    <t>Please Cite by Name of Document(s) in Which Utility Gained CPUC Approval to Permit Communities to Borrow Forward Beyond 5 Years</t>
  </si>
  <si>
    <t xml:space="preserve">Did the Project (completed or underway) rely on purchased credits from other communities? </t>
  </si>
  <si>
    <t xml:space="preserve">Value of Credits Purchased from other communities </t>
  </si>
  <si>
    <t>Source of Purchased Work Credits</t>
  </si>
  <si>
    <t xml:space="preserve">Percent of Ratepayer Project Funding from Credits Purchased from other communities </t>
  </si>
  <si>
    <t>Cost of Acquiring Those Credits (e.g. $0.50 per each $1 of Credits, if known)</t>
  </si>
  <si>
    <t>Please Cite Document(s) by Name in Which Utility Granted Approval of Credit Purchasing Transaction Between Communities</t>
  </si>
  <si>
    <t>Delays Due to IOU and/or Third Party Contractor Design &amp; Construction</t>
  </si>
  <si>
    <t>Delays to Local Government Coordination Challenges</t>
  </si>
  <si>
    <t>Delays Due to Challenges with Communication Providers or Sewage Entities</t>
  </si>
  <si>
    <t xml:space="preserve">Delays Due to Unexpected Events </t>
  </si>
  <si>
    <t>Delays Due to Insufficient Work Credits at Initiation or During the Project Lifecycle</t>
  </si>
  <si>
    <t>Delays Due to Other Causes</t>
  </si>
  <si>
    <t>Unknown Cause of Delays</t>
  </si>
  <si>
    <t>Additional Challenges to Project Completion (if Unfinished) and Experienced by Projects (if completed)</t>
  </si>
  <si>
    <t>Environmental Issues (e.g. contaminated soils)</t>
  </si>
  <si>
    <t>Amount Paid for Remediation (if any)</t>
  </si>
  <si>
    <t>Amount of Rule 20A Credits Paid for Remediation (if any)</t>
  </si>
  <si>
    <t>Cultural Issues</t>
  </si>
  <si>
    <t>Amount Paid for Resolving Cultural Issues (if any)</t>
  </si>
  <si>
    <t>Amount of Rule 20A Credits Paid for Resolving Cultural Issues (if any)</t>
  </si>
  <si>
    <t>Name</t>
  </si>
  <si>
    <t>Number</t>
  </si>
  <si>
    <t>Yes/No/Uncertain</t>
  </si>
  <si>
    <t>Percentage</t>
  </si>
  <si>
    <t>Address</t>
  </si>
  <si>
    <t xml:space="preserve">Zone1/Tier 2/ Tier 3/ None / Unknown </t>
  </si>
  <si>
    <t>Explanation</t>
  </si>
  <si>
    <t>Yes/No/Unknown</t>
  </si>
  <si>
    <t>Total Number</t>
  </si>
  <si>
    <t>Date</t>
  </si>
  <si>
    <t>Miles</t>
  </si>
  <si>
    <t>Feet</t>
  </si>
  <si>
    <t>%</t>
  </si>
  <si>
    <t>Nominal $</t>
  </si>
  <si>
    <t>Explanation &amp; Nominal $</t>
  </si>
  <si>
    <t>FRESNO County</t>
  </si>
  <si>
    <t>Unincorporated Fresno</t>
  </si>
  <si>
    <t>N/A</t>
  </si>
  <si>
    <t>Yes</t>
  </si>
  <si>
    <t>Data Unavailable</t>
  </si>
  <si>
    <t>IMPERIAL County</t>
  </si>
  <si>
    <t>Unincorporated Imperial</t>
  </si>
  <si>
    <t>INYO County</t>
  </si>
  <si>
    <t>Bishop</t>
  </si>
  <si>
    <t>No</t>
  </si>
  <si>
    <t>Unincorporated Inyo</t>
  </si>
  <si>
    <t>KERN County</t>
  </si>
  <si>
    <t>California City</t>
  </si>
  <si>
    <t>Redwood Blvd/ 98th St to 500ft e/o Conklin Blvd</t>
  </si>
  <si>
    <t>11-11-2443</t>
  </si>
  <si>
    <t>Unknown</t>
  </si>
  <si>
    <t>None</t>
  </si>
  <si>
    <t>1,2,3</t>
  </si>
  <si>
    <t>INITIATED</t>
  </si>
  <si>
    <t>COMMERCIAL</t>
  </si>
  <si>
    <t>u</t>
  </si>
  <si>
    <t xml:space="preserve">u </t>
  </si>
  <si>
    <t>Data unavailable</t>
  </si>
  <si>
    <t xml:space="preserve">Unknown </t>
  </si>
  <si>
    <t>Not enough allocations to start</t>
  </si>
  <si>
    <t>Delano</t>
  </si>
  <si>
    <t>Glenwood St./ 8th Ave to 11th Ave</t>
  </si>
  <si>
    <t>TD977713, TD977711</t>
  </si>
  <si>
    <t>2011-85</t>
  </si>
  <si>
    <t>2</t>
  </si>
  <si>
    <t>IN PLANNING</t>
  </si>
  <si>
    <t>McFarland</t>
  </si>
  <si>
    <t>Ridgecrest</t>
  </si>
  <si>
    <t>Tehachapi</t>
  </si>
  <si>
    <t>Unincorporated Kern</t>
  </si>
  <si>
    <t xml:space="preserve">Inyokern Rd/ State Hwy 178, 1700' E to Brown Rd </t>
  </si>
  <si>
    <t>800039548, 800039547, 800239549, 800055406</t>
  </si>
  <si>
    <t>2000-338</t>
  </si>
  <si>
    <t>COMPLETED</t>
  </si>
  <si>
    <t>KINGS County</t>
  </si>
  <si>
    <t>Hanford</t>
  </si>
  <si>
    <t>Unincorporated Kings</t>
  </si>
  <si>
    <t>LOS ANGELES County</t>
  </si>
  <si>
    <t>Agoura Hills</t>
  </si>
  <si>
    <t>Alhambra</t>
  </si>
  <si>
    <t xml:space="preserve">Mission Rd/ Freemont - Meridian </t>
  </si>
  <si>
    <t>4305-5955, 6522-6253, 6522-6252, 6022-6286</t>
  </si>
  <si>
    <t>1, 2</t>
  </si>
  <si>
    <t>R2M4-33</t>
  </si>
  <si>
    <t>-</t>
  </si>
  <si>
    <t>v</t>
  </si>
  <si>
    <t xml:space="preserve">RESIDENTIAL </t>
  </si>
  <si>
    <t xml:space="preserve">Chapel Ave/ Elgin St to Alhambra Rd </t>
  </si>
  <si>
    <t>TD256521, TD262978, TD256520</t>
  </si>
  <si>
    <t>R2M7-26</t>
  </si>
  <si>
    <t>1</t>
  </si>
  <si>
    <t>Arcadia</t>
  </si>
  <si>
    <t xml:space="preserve">Duarte Blvd/ El Monte to Golden West </t>
  </si>
  <si>
    <t>800016345, 800016344, 800016346</t>
  </si>
  <si>
    <t>Artesia</t>
  </si>
  <si>
    <t>Avalon</t>
  </si>
  <si>
    <t>Azusa</t>
  </si>
  <si>
    <t>Baldwin Park</t>
  </si>
  <si>
    <t>Baldwin Park Blvd/ Kenmore to Bresee</t>
  </si>
  <si>
    <t>TD1116315, TD116314</t>
  </si>
  <si>
    <t>2016-110</t>
  </si>
  <si>
    <t>2/4</t>
  </si>
  <si>
    <t>Bell</t>
  </si>
  <si>
    <t xml:space="preserve">Florence/Walker Ave to Chanslor </t>
  </si>
  <si>
    <t>TD249971, TD249970</t>
  </si>
  <si>
    <t>2008-10</t>
  </si>
  <si>
    <t>Wilcox/ Florence - TRANS</t>
  </si>
  <si>
    <t>2003-45</t>
  </si>
  <si>
    <t>Bell Gardens</t>
  </si>
  <si>
    <t xml:space="preserve">Park Ln/Scout Ave- Garfield to approx 100' e/o Emil </t>
  </si>
  <si>
    <t>TD1131622, TD1131651</t>
  </si>
  <si>
    <t>2009-50</t>
  </si>
  <si>
    <t>2,3,4</t>
  </si>
  <si>
    <t>Bellflower</t>
  </si>
  <si>
    <t>Artesia Blvd/ Downey to Lakewood</t>
  </si>
  <si>
    <t>TD212477, TD212504</t>
  </si>
  <si>
    <t>07-45</t>
  </si>
  <si>
    <t>NO</t>
  </si>
  <si>
    <t>Beverly Hills</t>
  </si>
  <si>
    <t xml:space="preserve">San Vicente/ Clifton to Wilshire </t>
  </si>
  <si>
    <t>TD441972, TD441973, 800859643</t>
  </si>
  <si>
    <t>10-R-12737</t>
  </si>
  <si>
    <t>Bradbury</t>
  </si>
  <si>
    <t>Calabasas</t>
  </si>
  <si>
    <t>Carson</t>
  </si>
  <si>
    <t xml:space="preserve">223rd St/Lucerne-Arco Way - TRANS </t>
  </si>
  <si>
    <t>09-026</t>
  </si>
  <si>
    <t>As a combined segment with the Distribution portion of the project expenditures less than ROM estimate, but within +/- 40% of ROM estimate as provided to the city</t>
  </si>
  <si>
    <t xml:space="preserve">223rd St/Lucerne-Arco Way - DIST </t>
  </si>
  <si>
    <t>TD326449, TD326469, 801045660</t>
  </si>
  <si>
    <t>YES</t>
  </si>
  <si>
    <t xml:space="preserve">Broadway/Main-Griffith </t>
  </si>
  <si>
    <t>TD326416, TD326417, 8000055014</t>
  </si>
  <si>
    <t>09-036</t>
  </si>
  <si>
    <t>INDUSTRIAL</t>
  </si>
  <si>
    <t>Cerritos</t>
  </si>
  <si>
    <t>Shoemaker/Droxford-183rd</t>
  </si>
  <si>
    <t>TD872800, TD872804</t>
  </si>
  <si>
    <t>2014-1</t>
  </si>
  <si>
    <t>2,4</t>
  </si>
  <si>
    <t>Claremont</t>
  </si>
  <si>
    <t>Commerce</t>
  </si>
  <si>
    <t>Compton</t>
  </si>
  <si>
    <t xml:space="preserve">Rosecrans/Central-Acacia </t>
  </si>
  <si>
    <t>800024944, 800029973</t>
  </si>
  <si>
    <t>Covina</t>
  </si>
  <si>
    <t>Cudahy</t>
  </si>
  <si>
    <t>Wilcox Ave/Santa Ana-Elizabeth</t>
  </si>
  <si>
    <t>TD550984, TD550987</t>
  </si>
  <si>
    <t>04-23</t>
  </si>
  <si>
    <t>yes</t>
  </si>
  <si>
    <t>1,2</t>
  </si>
  <si>
    <t>Culver City</t>
  </si>
  <si>
    <t>Culver Blvd s/o Sepulveda-Commonwealth Ave</t>
  </si>
  <si>
    <t>TD1208657, TD1208661</t>
  </si>
  <si>
    <t>2015-R012</t>
  </si>
  <si>
    <t>1,2,4</t>
  </si>
  <si>
    <t xml:space="preserve">National Blvd/Washington Blvd-Venice Blvd </t>
  </si>
  <si>
    <t>2007-R001</t>
  </si>
  <si>
    <t>Washington Blvd/ Colonia to Centinela</t>
  </si>
  <si>
    <t>Diamond Bar</t>
  </si>
  <si>
    <t>Downey</t>
  </si>
  <si>
    <t xml:space="preserve">Lakewood/5th St-Florence, Ph 1 </t>
  </si>
  <si>
    <t>800060269, TD439168, TD441480, 800055004</t>
  </si>
  <si>
    <t>06-6917</t>
  </si>
  <si>
    <t xml:space="preserve">Lakewood Blvd/Imperial Hwy - 105 Fwy </t>
  </si>
  <si>
    <t>800022744, 800022986, 6047-6213</t>
  </si>
  <si>
    <t>Lakewood/Florence-Gallatin, Ph 2</t>
  </si>
  <si>
    <t>TD715004, TD715018, TD715003</t>
  </si>
  <si>
    <t>Duarte</t>
  </si>
  <si>
    <t>El Monte</t>
  </si>
  <si>
    <t>El Segundo</t>
  </si>
  <si>
    <t>Gardena</t>
  </si>
  <si>
    <t xml:space="preserve">Rosecrans/Western-Vermont, Ph 2 </t>
  </si>
  <si>
    <t>TD265370, TD265373</t>
  </si>
  <si>
    <t>Relocation of Chevron Oil Lines in street required. Extensive negotiations required caused cost variations</t>
  </si>
  <si>
    <t>Artesia/Vermont-Gramercy, Ph 2</t>
  </si>
  <si>
    <t>TD265419, TD265423, 800054996, 800084372, 800084375, 800080582</t>
  </si>
  <si>
    <t>CANCELLED</t>
  </si>
  <si>
    <t>Rosecrans/Crenshaw-Western, Ph 1</t>
  </si>
  <si>
    <t>800019945, 800021314, 800021950, 800054992</t>
  </si>
  <si>
    <t>Glendale</t>
  </si>
  <si>
    <t>Glendora</t>
  </si>
  <si>
    <t>Foothill Blvd/ Valencia St and W/O Grand Ave</t>
  </si>
  <si>
    <t>TD1027101, TD1027098</t>
  </si>
  <si>
    <t>2015-27</t>
  </si>
  <si>
    <t>3,4</t>
  </si>
  <si>
    <t xml:space="preserve">Alosta Blvd / Lorraine - Amelia </t>
  </si>
  <si>
    <t>6426-6240, 6426-6241, 8455-4998, 6026-6294</t>
  </si>
  <si>
    <t>00-77</t>
  </si>
  <si>
    <t>unknown</t>
  </si>
  <si>
    <t>none</t>
  </si>
  <si>
    <t xml:space="preserve">unknown </t>
  </si>
  <si>
    <t>Hawaiian Gardens</t>
  </si>
  <si>
    <t>Hawthorne</t>
  </si>
  <si>
    <t>120th/York-Crenshaw &amp; Prairie/120th-116th. - DIST</t>
  </si>
  <si>
    <t>800019107, 800023537, 800024613, 800054994</t>
  </si>
  <si>
    <t>120th/York-Crenshaw &amp; Prairie/120th-116th. - TRANS</t>
  </si>
  <si>
    <t>Hermosa Beach</t>
  </si>
  <si>
    <t>Hidden Hills</t>
  </si>
  <si>
    <t>Huntington Park</t>
  </si>
  <si>
    <t xml:space="preserve">Alameda/ Randolph St to Gage Ave - Distr. </t>
  </si>
  <si>
    <t>TD326266, TD326277, 800054995</t>
  </si>
  <si>
    <t>2010-43</t>
  </si>
  <si>
    <t>Alameda Ave/ Randolph St to Gage Ave- TS</t>
  </si>
  <si>
    <t>Industry</t>
  </si>
  <si>
    <t>Inglewood</t>
  </si>
  <si>
    <t>Prairie/ Imperial - Florence Ph 1 &amp; 2</t>
  </si>
  <si>
    <t>95-17</t>
  </si>
  <si>
    <t>Priaire/ Imperial - Florence Ph 1 &amp; 2</t>
  </si>
  <si>
    <t>Irwindale</t>
  </si>
  <si>
    <t>La Canada-Flintridge</t>
  </si>
  <si>
    <t>La Habra Heights</t>
  </si>
  <si>
    <t xml:space="preserve">Hacienda Rd and W Rd </t>
  </si>
  <si>
    <t>TD235808, TD235805</t>
  </si>
  <si>
    <t>2007-03</t>
  </si>
  <si>
    <t>Tier 2</t>
  </si>
  <si>
    <t>3</t>
  </si>
  <si>
    <t>La Mirada</t>
  </si>
  <si>
    <t>La Puente</t>
  </si>
  <si>
    <t xml:space="preserve">Amar Road/ Puente Ave to Willow Ave </t>
  </si>
  <si>
    <t>TD1076073, TD1706072</t>
  </si>
  <si>
    <t>15-5234</t>
  </si>
  <si>
    <t>La Verne</t>
  </si>
  <si>
    <t>White Ave/ Town Center Dr to 1st Street</t>
  </si>
  <si>
    <t>TD1137685, TD1137684</t>
  </si>
  <si>
    <t>16-26</t>
  </si>
  <si>
    <t>1,2,3,4</t>
  </si>
  <si>
    <t>IN PROGRESS</t>
  </si>
  <si>
    <t>Lakewood</t>
  </si>
  <si>
    <t xml:space="preserve">Bloomfield/Carson to Del Amo </t>
  </si>
  <si>
    <t>800023329, 800029773, 800030879, 800055011</t>
  </si>
  <si>
    <t>2007-10</t>
  </si>
  <si>
    <t>Paramount Bvld/ Candlewood St - Carson St</t>
  </si>
  <si>
    <t>6546-6232, 6546-6233, 6246-6287, 8455-4969</t>
  </si>
  <si>
    <t>99-3</t>
  </si>
  <si>
    <t>Paramont Bvld/ Candlewood St - Carson St</t>
  </si>
  <si>
    <t>Lancaster</t>
  </si>
  <si>
    <t xml:space="preserve">10th St W./ Ave K-8 to Ave M </t>
  </si>
  <si>
    <t>TD318065, TD318061</t>
  </si>
  <si>
    <t>08-94</t>
  </si>
  <si>
    <t xml:space="preserve">Ave I/ 10th St West to 20th St West </t>
  </si>
  <si>
    <t>13-46</t>
  </si>
  <si>
    <t>Lawndale</t>
  </si>
  <si>
    <t xml:space="preserve">Marine Ave/ Prairie - 405 Fwy </t>
  </si>
  <si>
    <t>6544-6257, 6544-6247, 61446233, 8455-4996</t>
  </si>
  <si>
    <t>660008-91</t>
  </si>
  <si>
    <t>Lomita</t>
  </si>
  <si>
    <t>Long Beach</t>
  </si>
  <si>
    <t xml:space="preserve">Alamitos Ave/ 7th St - PCH </t>
  </si>
  <si>
    <t>TD320949, TD320948, TD900519, 800656983, 801532388</t>
  </si>
  <si>
    <t>06-0122</t>
  </si>
  <si>
    <t>Willow St/ L.A. River to Atlantic Ave</t>
  </si>
  <si>
    <t>TD984642, TD374983, 8000657632</t>
  </si>
  <si>
    <t>08-0033</t>
  </si>
  <si>
    <t xml:space="preserve">7thSt/ Long Beach - Park </t>
  </si>
  <si>
    <t>800030925,  800031327, 800060197</t>
  </si>
  <si>
    <t>C-27633</t>
  </si>
  <si>
    <t>Los Angeles, City of</t>
  </si>
  <si>
    <t>Lynwood</t>
  </si>
  <si>
    <t xml:space="preserve">State St/Fernwood-Beechwood </t>
  </si>
  <si>
    <t>TD326394, TD326404, 800060257, 800054997</t>
  </si>
  <si>
    <t>2009-064</t>
  </si>
  <si>
    <t>Cost variations due to joint utility delays</t>
  </si>
  <si>
    <t>Malibu</t>
  </si>
  <si>
    <t>Manhattan Beach</t>
  </si>
  <si>
    <t xml:space="preserve">Sepulveda/ Artesia - Rosecrans </t>
  </si>
  <si>
    <t>800023746, 800027977, 800029378, 800055012</t>
  </si>
  <si>
    <t>98-1</t>
  </si>
  <si>
    <t>Maywood</t>
  </si>
  <si>
    <t>Monrovia</t>
  </si>
  <si>
    <t xml:space="preserve">Royal Oaks and Mountain Ave. - TS </t>
  </si>
  <si>
    <t>2007-44</t>
  </si>
  <si>
    <t xml:space="preserve">Royal Oaks and Mountain Ave. - DIST </t>
  </si>
  <si>
    <t>TD327654, 800016219, 800055010</t>
  </si>
  <si>
    <t>Montebello</t>
  </si>
  <si>
    <t>Beverly/ Montebello-E. City Bdry</t>
  </si>
  <si>
    <t>TD443728, TD443740</t>
  </si>
  <si>
    <t>02-45</t>
  </si>
  <si>
    <t xml:space="preserve">Whittier/4th St - Van Norman, Ph2 </t>
  </si>
  <si>
    <t>800011036, 750609</t>
  </si>
  <si>
    <t>02-44</t>
  </si>
  <si>
    <t xml:space="preserve">Whittier/4ths St - Van Norman, Ph2 </t>
  </si>
  <si>
    <t>2010-2011</t>
  </si>
  <si>
    <t xml:space="preserve">Whittier Blvd Ph 1 </t>
  </si>
  <si>
    <t>Whittier Blvd Ph 1</t>
  </si>
  <si>
    <t>Monterey Park</t>
  </si>
  <si>
    <t>Newmark/Garfield-New Avenue</t>
  </si>
  <si>
    <t>TD359678, TD359677</t>
  </si>
  <si>
    <t>no</t>
  </si>
  <si>
    <t>Norwalk</t>
  </si>
  <si>
    <t>Pioneer Blvd./Rosecrans Ave.-166th St. (Alondra Blvd to 166th St)</t>
  </si>
  <si>
    <t>TD1189457, TD1189458</t>
  </si>
  <si>
    <t>04-55</t>
  </si>
  <si>
    <t>Pioneer Blvd./Rosecrans Ave.-166th St.</t>
  </si>
  <si>
    <t xml:space="preserve">No </t>
  </si>
  <si>
    <t>Palmdale</t>
  </si>
  <si>
    <t>Palos Verdes Estates</t>
  </si>
  <si>
    <t>Paramount</t>
  </si>
  <si>
    <t>Pasadena</t>
  </si>
  <si>
    <t>Pico Rivera</t>
  </si>
  <si>
    <t xml:space="preserve">Washington/Paramount-W.City Limits, Ph 2 </t>
  </si>
  <si>
    <t>800025262, 6547-6201, 800025205</t>
  </si>
  <si>
    <t>Washington/ Rosemead - Paramount Ph1</t>
  </si>
  <si>
    <t>800027619, 6047-6212</t>
  </si>
  <si>
    <t>Pomona</t>
  </si>
  <si>
    <t xml:space="preserve">Mission Blvd/ 71 Fwy </t>
  </si>
  <si>
    <t>TD449629, TD449588</t>
  </si>
  <si>
    <t>2006-136</t>
  </si>
  <si>
    <t>White/Holt-Lexington Ph 2</t>
  </si>
  <si>
    <t>TD271948, TD271947, 800016276, 800016275, 800078538</t>
  </si>
  <si>
    <t>96-181</t>
  </si>
  <si>
    <t>Rancho Palos Verdes</t>
  </si>
  <si>
    <t xml:space="preserve">Palos Verdes Dr. So. - La Rotonda Dr to East City Limits </t>
  </si>
  <si>
    <t>TD1292182,            TD1292481</t>
  </si>
  <si>
    <t>2017-05</t>
  </si>
  <si>
    <t xml:space="preserve">Crenshaw Blvd/ Crest Rd to 3rd Pole s/o Valley View Rd </t>
  </si>
  <si>
    <t>TD1297898,           TD1297899</t>
  </si>
  <si>
    <t>Redondo Beach</t>
  </si>
  <si>
    <t>PCH/ Prospect East to City Boundary - DIST</t>
  </si>
  <si>
    <t>TD856189, TD856188</t>
  </si>
  <si>
    <t>PCH/ Prospect East to City Boundary - TRANS</t>
  </si>
  <si>
    <t>Rolling Hills</t>
  </si>
  <si>
    <t>Rolling Hills Estates</t>
  </si>
  <si>
    <t xml:space="preserve">Palo Verde Dr N/Hitching Post-Montecillo Dr </t>
  </si>
  <si>
    <t>TD351404, TD351415</t>
  </si>
  <si>
    <t>Rosemead</t>
  </si>
  <si>
    <t>Walnut Grove Ave/ Marshall Ave to Valley Blvd</t>
  </si>
  <si>
    <t>TD1147311, TD1147325, TD1147308</t>
  </si>
  <si>
    <t>2011-20</t>
  </si>
  <si>
    <t>San Dimas</t>
  </si>
  <si>
    <t>San Fernando</t>
  </si>
  <si>
    <t>San Gabriel</t>
  </si>
  <si>
    <t>Mission Rd/ Union Pacific RR to Del Mar</t>
  </si>
  <si>
    <t>TD545599, TD545596, 801213805</t>
  </si>
  <si>
    <t>2010-14</t>
  </si>
  <si>
    <t xml:space="preserve">Mission Rd/ Santa Anita to Ramona </t>
  </si>
  <si>
    <t>TD545606, TD545604, 801186180</t>
  </si>
  <si>
    <t>2010-16</t>
  </si>
  <si>
    <t>San Marino</t>
  </si>
  <si>
    <t>Del Mar/ Robin to Lorain</t>
  </si>
  <si>
    <t>TD1073299, TD1073298</t>
  </si>
  <si>
    <t>R-04-32</t>
  </si>
  <si>
    <t>Santa Clarita</t>
  </si>
  <si>
    <t>Santa Fe Springs</t>
  </si>
  <si>
    <t>Santa Monica</t>
  </si>
  <si>
    <t xml:space="preserve">18th Court/Ashland Place </t>
  </si>
  <si>
    <t>TD696888</t>
  </si>
  <si>
    <t>18th/20th/ Pico to Ashland Place</t>
  </si>
  <si>
    <t>TD237642, TD237645, 800803563</t>
  </si>
  <si>
    <t xml:space="preserve">Marine Ave/ Lincoln Blvd - Frederick St </t>
  </si>
  <si>
    <t>Sierra Madre</t>
  </si>
  <si>
    <t>Signal Hill</t>
  </si>
  <si>
    <t>South El Monte</t>
  </si>
  <si>
    <t xml:space="preserve">Santa Anita/ Merced/Fawcett to Tyler </t>
  </si>
  <si>
    <t>TD1126221, TD1126222</t>
  </si>
  <si>
    <t>09-11</t>
  </si>
  <si>
    <t>South Gate</t>
  </si>
  <si>
    <t>Long Beach Blvd/ Independence Ave to Willow Pl</t>
  </si>
  <si>
    <t>Long Beach Blvd/ Willow Pl to Tweedy Blvd</t>
  </si>
  <si>
    <t>Tweedy Blvd/ Atlantic to 800' e/o Atlantic</t>
  </si>
  <si>
    <t xml:space="preserve">Firestone/ Mason St to Ray Ave </t>
  </si>
  <si>
    <t>TD324938, 800026693</t>
  </si>
  <si>
    <t>South Pasadena</t>
  </si>
  <si>
    <t xml:space="preserve">Park Ave/ Mission St. - Grevelia St  </t>
  </si>
  <si>
    <t>TD1114139, TD1114142, TD1110240</t>
  </si>
  <si>
    <t xml:space="preserve">Diamond Avenue </t>
  </si>
  <si>
    <t>Temple City</t>
  </si>
  <si>
    <t xml:space="preserve">Encinitas Ave. - TRANS </t>
  </si>
  <si>
    <t>6527-6222, 6527-6220, 4305-5960, 6227-6288, 8457-4936</t>
  </si>
  <si>
    <t>03-4216</t>
  </si>
  <si>
    <t>1,4</t>
  </si>
  <si>
    <t>Torrance</t>
  </si>
  <si>
    <t>Hawthorne Blvd/ Del Amo to 186th St</t>
  </si>
  <si>
    <t>TD538643, TD538653</t>
  </si>
  <si>
    <t>2011-23</t>
  </si>
  <si>
    <t>Crenshaw Blvd/ Carson St to Sepulveda</t>
  </si>
  <si>
    <t>TD540122, TD540185</t>
  </si>
  <si>
    <t>Walnut</t>
  </si>
  <si>
    <t xml:space="preserve">Lemon/ La Puente </t>
  </si>
  <si>
    <t>800016365, 800016364, 6026-6295</t>
  </si>
  <si>
    <t>02-40</t>
  </si>
  <si>
    <t>West Covina</t>
  </si>
  <si>
    <t>West Hollywood</t>
  </si>
  <si>
    <t>Robertson Blvd/ Melrose Ave to Santa Monica Blvd, Ph.1</t>
  </si>
  <si>
    <t>TD616022, TD616019</t>
  </si>
  <si>
    <t>11-4238</t>
  </si>
  <si>
    <t>Melrose Ave/ San Vicente Blvd to Doheny Dr, Ph.2</t>
  </si>
  <si>
    <t>TD1315390, TD1315389</t>
  </si>
  <si>
    <t>2012</t>
  </si>
  <si>
    <t>Westlake Village</t>
  </si>
  <si>
    <t>Whittier</t>
  </si>
  <si>
    <t>Broadway/Whittier Blvd to Acacia Ave</t>
  </si>
  <si>
    <t>TD1139965, TD1139966</t>
  </si>
  <si>
    <t>Colima Rd/ Whittier Blvd to Lambert Rd</t>
  </si>
  <si>
    <t>TD1141994, TD1141999</t>
  </si>
  <si>
    <t xml:space="preserve">Whittier/Santa Gertrudes-Valley Home </t>
  </si>
  <si>
    <t>800030499, 800031204, 800025811, 800055006</t>
  </si>
  <si>
    <t>Contamination and hydrocarbons contributed to the cost variances for this project</t>
  </si>
  <si>
    <t xml:space="preserve">Greenway Trail 5 Points </t>
  </si>
  <si>
    <t>TD1138116, TD1138118</t>
  </si>
  <si>
    <t>Pickering Avenu/ Whittier Blvd to La Cuarta Street</t>
  </si>
  <si>
    <t>3,4,5</t>
  </si>
  <si>
    <t>Unincorporated Los Angeles</t>
  </si>
  <si>
    <t xml:space="preserve">Nogales Ph 1 - 60FWY to Colima Rd </t>
  </si>
  <si>
    <t>TD907554, TD907546</t>
  </si>
  <si>
    <t>2012-0051</t>
  </si>
  <si>
    <t xml:space="preserve">Nogales Ph 2 - Colima Rd to Killian </t>
  </si>
  <si>
    <t>TD907562, TD907560</t>
  </si>
  <si>
    <t xml:space="preserve">Park to Playa Trail - Distribution </t>
  </si>
  <si>
    <t>TD1190256, TD1190260</t>
  </si>
  <si>
    <t>15-1125</t>
  </si>
  <si>
    <t>Vermont Ave - 228th St to Belson St</t>
  </si>
  <si>
    <t xml:space="preserve">Park to Playa Trail - Transmission </t>
  </si>
  <si>
    <t>Topanga Canyon Business District</t>
  </si>
  <si>
    <t>TD560748, TD648480, TD59345</t>
  </si>
  <si>
    <t>2012-0003</t>
  </si>
  <si>
    <t xml:space="preserve">Topanga Canyon Blvd and Old Topanga Canyon Road </t>
  </si>
  <si>
    <t>Tier 3</t>
  </si>
  <si>
    <t xml:space="preserve">Rosemead Blvd/ Foothill Blvd </t>
  </si>
  <si>
    <t>TD515933, 800016369</t>
  </si>
  <si>
    <t>2003-0021</t>
  </si>
  <si>
    <t xml:space="preserve">Live Oak/Peck to Arcadia (T) </t>
  </si>
  <si>
    <t>800060192, 800055989</t>
  </si>
  <si>
    <t>2004-0057</t>
  </si>
  <si>
    <t xml:space="preserve">Live Oak/Peck to Arcadia (D) </t>
  </si>
  <si>
    <t>800016216, 800016214, 800015421, 800700293</t>
  </si>
  <si>
    <t xml:space="preserve">Carson/Normandie &amp; Vermont/Carson </t>
  </si>
  <si>
    <t>800027698, 800026519, 800027091</t>
  </si>
  <si>
    <t>85-0029/85-0030</t>
  </si>
  <si>
    <t xml:space="preserve">Crenshaw/PV Dr No - Silver, RHE </t>
  </si>
  <si>
    <t>6544-6248, 6544-6241, 800029644, 8455-4959</t>
  </si>
  <si>
    <t>99-050</t>
  </si>
  <si>
    <t xml:space="preserve">Pomona/ Woods - Sadler </t>
  </si>
  <si>
    <t>6022-6284, 6522-6249, 6522-6250, 8457-4927</t>
  </si>
  <si>
    <t>2003-0022</t>
  </si>
  <si>
    <t>MADERA County</t>
  </si>
  <si>
    <t>Unincorporated Madera</t>
  </si>
  <si>
    <t>MONO County</t>
  </si>
  <si>
    <t>Mammoth Lakes</t>
  </si>
  <si>
    <t xml:space="preserve">Hwy 203/ Mountain Blvd East to Pole 2179741E </t>
  </si>
  <si>
    <t>TD939372, TD939367</t>
  </si>
  <si>
    <t>13-07</t>
  </si>
  <si>
    <t>limited weather construction window</t>
  </si>
  <si>
    <t>Unincorporated Mono</t>
  </si>
  <si>
    <t xml:space="preserve">June Lake </t>
  </si>
  <si>
    <t>6485-6202</t>
  </si>
  <si>
    <t>R00-72</t>
  </si>
  <si>
    <t>ORANGE County</t>
  </si>
  <si>
    <t>Aliso Viejo</t>
  </si>
  <si>
    <t>Anaheim</t>
  </si>
  <si>
    <t>Brea</t>
  </si>
  <si>
    <t>Brea Blvd/ Lambert Rd to Central Ave</t>
  </si>
  <si>
    <t>TD800666, TD800670</t>
  </si>
  <si>
    <t>2013-064</t>
  </si>
  <si>
    <t>Buena Park</t>
  </si>
  <si>
    <t xml:space="preserve">Orangethorpe/ Beach to 5 Fwy </t>
  </si>
  <si>
    <t>TD471182, TD471170</t>
  </si>
  <si>
    <t>2014-2016</t>
  </si>
  <si>
    <t>Costa Mesa</t>
  </si>
  <si>
    <t>Cypress</t>
  </si>
  <si>
    <t>Fountain Valley</t>
  </si>
  <si>
    <t>Talbert Ave/ w/o Bushard to e/o Brookhurst, Ph 2</t>
  </si>
  <si>
    <t>800027955, 800030326, 800025443</t>
  </si>
  <si>
    <t>Fullerton</t>
  </si>
  <si>
    <t xml:space="preserve">Raymond Ave/ Ash Ave to Santa Fe Ave </t>
  </si>
  <si>
    <t>TD537633, TD537638, 800948046</t>
  </si>
  <si>
    <t>2011-29</t>
  </si>
  <si>
    <t>1,3</t>
  </si>
  <si>
    <t xml:space="preserve">State College Blvd/ Kimberly to Santa Fe, Ph 1 </t>
  </si>
  <si>
    <t>TD654179, TD669601</t>
  </si>
  <si>
    <t>10-38</t>
  </si>
  <si>
    <t>State College Blvd/ Kimberly to Santa Fe, Ph 2</t>
  </si>
  <si>
    <t>TD465496, TD654186, 800721962</t>
  </si>
  <si>
    <t>Garden Grove</t>
  </si>
  <si>
    <t xml:space="preserve">Brookhurst St/ Westminster Ave to Garden Grove Blvd </t>
  </si>
  <si>
    <t>TD456534, TD456538</t>
  </si>
  <si>
    <t>8974-10</t>
  </si>
  <si>
    <t xml:space="preserve">Hazard Avenue 600' w/o Euclid Street </t>
  </si>
  <si>
    <t>TD273849, TD273858, 800501622</t>
  </si>
  <si>
    <t>8822-08</t>
  </si>
  <si>
    <t>AGRICULTURE</t>
  </si>
  <si>
    <t xml:space="preserve">Magnolia/ Garden Grove Blvd to n/o Orangewood Ave </t>
  </si>
  <si>
    <t>TD1293742,     TD129746</t>
  </si>
  <si>
    <t>9448-17</t>
  </si>
  <si>
    <t>2, 4</t>
  </si>
  <si>
    <t>Huntington Beach</t>
  </si>
  <si>
    <t xml:space="preserve">Beach Blvd/ Yorktown to PCH </t>
  </si>
  <si>
    <t>800025645, 800027891, 800024123, 800055550</t>
  </si>
  <si>
    <t>2000-99</t>
  </si>
  <si>
    <t>RESIDENTIAL/ COMMERCIAL</t>
  </si>
  <si>
    <t>Brookhurst Street/ Adams - Garfield</t>
  </si>
  <si>
    <t>TD986718, TD762966, TD762960</t>
  </si>
  <si>
    <t>2013-43</t>
  </si>
  <si>
    <t xml:space="preserve">Yes  </t>
  </si>
  <si>
    <t>Irvine</t>
  </si>
  <si>
    <t>La Habra</t>
  </si>
  <si>
    <t>Harbor/ La Habra-Whittier, Ph 2</t>
  </si>
  <si>
    <t>Harbor/ Whittier-No. City Limits, Ph 3</t>
  </si>
  <si>
    <t xml:space="preserve">Harbor/ Lambert-La Habra, Ph 1 </t>
  </si>
  <si>
    <t>800024025, 800025261, 800024713, 800055516</t>
  </si>
  <si>
    <t>La Palma</t>
  </si>
  <si>
    <t xml:space="preserve">Walker St/ Marview St to Houston Ave </t>
  </si>
  <si>
    <t>TD374575, TD374547</t>
  </si>
  <si>
    <t>2009-32</t>
  </si>
  <si>
    <t>Laguna Beach</t>
  </si>
  <si>
    <t>Laguna Canyon Rd, "Big Bend"</t>
  </si>
  <si>
    <t>TD1043552, TD1043555, 800980682</t>
  </si>
  <si>
    <t xml:space="preserve">PCH/ Arch St to Agate St </t>
  </si>
  <si>
    <t>TD1536914, TD1536921</t>
  </si>
  <si>
    <t>19.023</t>
  </si>
  <si>
    <t>4</t>
  </si>
  <si>
    <t>Laguna Hills</t>
  </si>
  <si>
    <t>Laguna Niguel</t>
  </si>
  <si>
    <t>Laguna Woods</t>
  </si>
  <si>
    <t>Lake Forest</t>
  </si>
  <si>
    <t>Los Alamitos</t>
  </si>
  <si>
    <t xml:space="preserve">Los Alamitos/ Farahqua-Katella </t>
  </si>
  <si>
    <t>TD238346, TD263336</t>
  </si>
  <si>
    <t>Mission Viejo</t>
  </si>
  <si>
    <t xml:space="preserve">Spendlove Park </t>
  </si>
  <si>
    <t>800020595, 8000212326, 8000222625</t>
  </si>
  <si>
    <t>96-78</t>
  </si>
  <si>
    <t>Newport Beach</t>
  </si>
  <si>
    <t>Balboa Blvd/PCH to 28th</t>
  </si>
  <si>
    <t>TD781739, TD781741</t>
  </si>
  <si>
    <t>2013-82</t>
  </si>
  <si>
    <t xml:space="preserve">Bayside/ Jamboree </t>
  </si>
  <si>
    <t>6433-6235, 800082067, 6033-6223, 8460-4919</t>
  </si>
  <si>
    <t>2000-82</t>
  </si>
  <si>
    <t>Orange</t>
  </si>
  <si>
    <t xml:space="preserve">Old Town/ Cypress, Lemon, Olive, and Almond </t>
  </si>
  <si>
    <t>TD539266, TD539267</t>
  </si>
  <si>
    <t>Placentia</t>
  </si>
  <si>
    <t>Crowther 600' East of Melrose St</t>
  </si>
  <si>
    <t>TD1361185,     TD1351184</t>
  </si>
  <si>
    <t>R-2018-04</t>
  </si>
  <si>
    <t>Rancho Santa Margarita</t>
  </si>
  <si>
    <t>Santa Ana</t>
  </si>
  <si>
    <t>Bristol/ 3rd St to Civic Center, Ph 2</t>
  </si>
  <si>
    <t>93-056</t>
  </si>
  <si>
    <t>Bristol/ 3rd to Pine</t>
  </si>
  <si>
    <t>800014941, 800016333, 80001638, 800055541</t>
  </si>
  <si>
    <t>2000-025</t>
  </si>
  <si>
    <t>Bristol/ Civic Ctr-Washington, Ph 3</t>
  </si>
  <si>
    <t>Bristol/ St. Andrew to Warner</t>
  </si>
  <si>
    <t>Warner to Alton, Ph 4</t>
  </si>
  <si>
    <t xml:space="preserve">Bristol /Pine to McFadden, Ph 1 </t>
  </si>
  <si>
    <t>800015497, 800014737, 800055571</t>
  </si>
  <si>
    <t>Warner/ Main Street to Standard - Dist</t>
  </si>
  <si>
    <t>TD1537026,     TD1537019</t>
  </si>
  <si>
    <t>2018-078</t>
  </si>
  <si>
    <t>Warner/ Main Street to Standard</t>
  </si>
  <si>
    <t xml:space="preserve">Warner/ Main Street to Standard - Trans </t>
  </si>
  <si>
    <t>TD1512197</t>
  </si>
  <si>
    <t xml:space="preserve">Warner/ Main Street to Standard </t>
  </si>
  <si>
    <t>Seal Beach</t>
  </si>
  <si>
    <t xml:space="preserve">Seal Beach Blvd/ +/- 400ft of Leisure World Main Entrance </t>
  </si>
  <si>
    <t>TD1015088, TD1015087, TD1124070</t>
  </si>
  <si>
    <t>n/a</t>
  </si>
  <si>
    <t>Seal Beach Blvd/ PCH to Electric</t>
  </si>
  <si>
    <t xml:space="preserve">Seal Beach/ Bolsa to Marlin Ave </t>
  </si>
  <si>
    <t>TD289255, TD286652</t>
  </si>
  <si>
    <t>Stanton</t>
  </si>
  <si>
    <t>Beach Blvd/Garden Grove Blvd-Lampson Ave</t>
  </si>
  <si>
    <t>TD9846499, TD986500</t>
  </si>
  <si>
    <t>2015-02</t>
  </si>
  <si>
    <t>Tustin</t>
  </si>
  <si>
    <t>Villa Park</t>
  </si>
  <si>
    <t xml:space="preserve">Santiago Blvd/ Wanda Rd to N Santiago </t>
  </si>
  <si>
    <t>TD413866, TD413868, TD493461</t>
  </si>
  <si>
    <t>2009-3101</t>
  </si>
  <si>
    <t>Westminster</t>
  </si>
  <si>
    <t xml:space="preserve">Bolsa Ave/ Ward St. to Purdy St. </t>
  </si>
  <si>
    <t>TD302138, TD302150, 800392655</t>
  </si>
  <si>
    <t>Bolsa Ave/ Brookhurst</t>
  </si>
  <si>
    <t>TD1513437</t>
  </si>
  <si>
    <t>Yorba Linda</t>
  </si>
  <si>
    <t xml:space="preserve">Lakeview/ Yorba Linda to Lemon Drive </t>
  </si>
  <si>
    <t>TD1308007,   TD1307991</t>
  </si>
  <si>
    <t>2017-5498</t>
  </si>
  <si>
    <t>Unincorporated Orange</t>
  </si>
  <si>
    <t>Hwy 133/El Toro-San Joaquin Hills T/C - TS</t>
  </si>
  <si>
    <t>02-196</t>
  </si>
  <si>
    <t>TBD</t>
  </si>
  <si>
    <t>RURAL</t>
  </si>
  <si>
    <t>Hwy 133/El Toro-San Joaquin Hills T/C - DIST</t>
  </si>
  <si>
    <t>TD408576, TD408577, 800055515</t>
  </si>
  <si>
    <t xml:space="preserve">Pacific Coast Hwy / Warner to Anderson </t>
  </si>
  <si>
    <t>TD268277, TD268275</t>
  </si>
  <si>
    <t>06-023</t>
  </si>
  <si>
    <t>Dewatering and construction and Cal Trans issues Cal contributed to the  cost variance of the project.</t>
  </si>
  <si>
    <t>RIVERSIDE County</t>
  </si>
  <si>
    <t>Beaumont</t>
  </si>
  <si>
    <t xml:space="preserve">Beaumont/ 5th to 6th </t>
  </si>
  <si>
    <t>TD335951, TD335946</t>
  </si>
  <si>
    <t>2005-31</t>
  </si>
  <si>
    <t>v Project expenditures greater than ROM estimate, but within +/- 40% of ROM estimate as provided to the city</t>
  </si>
  <si>
    <t>Blythe</t>
  </si>
  <si>
    <t>Calimesa</t>
  </si>
  <si>
    <t>Canyon Lake</t>
  </si>
  <si>
    <t xml:space="preserve">RR Canyon Rd/Canyon Lake Dr So. </t>
  </si>
  <si>
    <t>TD329511, TD329509, 800184904</t>
  </si>
  <si>
    <t>06-30</t>
  </si>
  <si>
    <t>Cathedral City</t>
  </si>
  <si>
    <t>Van Fleet/ Hwy 111</t>
  </si>
  <si>
    <t>6479-6270, 800055231</t>
  </si>
  <si>
    <t>2002-76</t>
  </si>
  <si>
    <t>Van Fleet/ Hwy</t>
  </si>
  <si>
    <t xml:space="preserve">Ramon Rd/ Agua Caliente Trail to Crossley </t>
  </si>
  <si>
    <t>TD1287469, TD1287470</t>
  </si>
  <si>
    <t>2017-31</t>
  </si>
  <si>
    <t>Corona</t>
  </si>
  <si>
    <t>Desert Hot Springs</t>
  </si>
  <si>
    <t xml:space="preserve">Pierson Blvd/ Via Loreto Ave to West Dr </t>
  </si>
  <si>
    <t>TD593889, TD601620</t>
  </si>
  <si>
    <t>2012-532</t>
  </si>
  <si>
    <t>2,3</t>
  </si>
  <si>
    <t>Eastvale</t>
  </si>
  <si>
    <t>Hemet</t>
  </si>
  <si>
    <t>Acacia/Lyon Ave to Raymond Avenue</t>
  </si>
  <si>
    <t>TD550314, TD550313, 800055267, 800033769, 8000080058</t>
  </si>
  <si>
    <t>Indian Wells</t>
  </si>
  <si>
    <t xml:space="preserve">Warner Trail and Miles Ave </t>
  </si>
  <si>
    <t>TD473749, TD502559</t>
  </si>
  <si>
    <t>2013-07</t>
  </si>
  <si>
    <t>Jurupa Valley</t>
  </si>
  <si>
    <t>Elsinore, Lake</t>
  </si>
  <si>
    <t>Lakeshore Dr./ Mohr St to Chaney St</t>
  </si>
  <si>
    <t>TD760689, TD760688</t>
  </si>
  <si>
    <t>2013-054</t>
  </si>
  <si>
    <t>Menifee</t>
  </si>
  <si>
    <t>Moreno Valley</t>
  </si>
  <si>
    <t xml:space="preserve">Nason St/ Fir Ave to s/o of Cottonwood Ave </t>
  </si>
  <si>
    <t>TD646181, TD646178, 801126145</t>
  </si>
  <si>
    <t xml:space="preserve">Alessandro/Chagall - Graham </t>
  </si>
  <si>
    <t>TD269189, TD372125, 800312984</t>
  </si>
  <si>
    <t>2007-141</t>
  </si>
  <si>
    <t>Murrieta</t>
  </si>
  <si>
    <t>Madison Ave/ Murrieta Hot Springs to Guava St</t>
  </si>
  <si>
    <t>TD928195, TD928190</t>
  </si>
  <si>
    <t>14-3299</t>
  </si>
  <si>
    <t>Norco</t>
  </si>
  <si>
    <t>Palm Desert</t>
  </si>
  <si>
    <t>Palm Springs</t>
  </si>
  <si>
    <t>Ramon Rd/ Cerritos Rd/ El Cielo Rd</t>
  </si>
  <si>
    <t>TD282024, TD277131</t>
  </si>
  <si>
    <t xml:space="preserve">Sunrise Way/ E. Palm Canyon Dr. - Sunny Dunes Rd </t>
  </si>
  <si>
    <t>800038201, 800036063, 800055262</t>
  </si>
  <si>
    <t>Perris</t>
  </si>
  <si>
    <t>Nuevo/Perris Blvd to Redlands Blvd, Ph 2</t>
  </si>
  <si>
    <t xml:space="preserve">Perris Blvd/ Nuevo Rd/ Metz, Ph 1 </t>
  </si>
  <si>
    <t>TD277244, TD277243</t>
  </si>
  <si>
    <t>Rancho Mirage</t>
  </si>
  <si>
    <t>Riverside, City of</t>
  </si>
  <si>
    <t>San Jacinto</t>
  </si>
  <si>
    <t xml:space="preserve">San Jacinto Ave/ 7th to 3rd </t>
  </si>
  <si>
    <t>TD409377, TD351229, 800661833</t>
  </si>
  <si>
    <t>Temecula</t>
  </si>
  <si>
    <t xml:space="preserve">Mercedes St/ Main St </t>
  </si>
  <si>
    <t>800035489, 800033164</t>
  </si>
  <si>
    <t>06-84</t>
  </si>
  <si>
    <t>Wildomar</t>
  </si>
  <si>
    <t>Unincorporated Riverside</t>
  </si>
  <si>
    <t>Stetson Ave/Santa Fe St-e/o Dartmouth</t>
  </si>
  <si>
    <t>2007-070</t>
  </si>
  <si>
    <t xml:space="preserve">Mission Blvd/San Sevaine Way to Kenneth &amp; Belgrave </t>
  </si>
  <si>
    <t>TD362830, TD362834</t>
  </si>
  <si>
    <t>2000-48</t>
  </si>
  <si>
    <t xml:space="preserve">Mission Blvd/Kenneth Way to Pedley Rd, Phase 2 </t>
  </si>
  <si>
    <t>TD362849, TD362852, 800688673</t>
  </si>
  <si>
    <t xml:space="preserve">Lovekin/14th to Seeley, Blythe </t>
  </si>
  <si>
    <t>TD529907, TD529910, 800922022</t>
  </si>
  <si>
    <t>2005-117</t>
  </si>
  <si>
    <t xml:space="preserve">Van Buren/Barton-Plummer </t>
  </si>
  <si>
    <t>TD317229, TD317228</t>
  </si>
  <si>
    <t>2005-443</t>
  </si>
  <si>
    <t xml:space="preserve">Van Buren Ave West, Ph. 2 </t>
  </si>
  <si>
    <t>800038228, 800039535, 800039087</t>
  </si>
  <si>
    <t>2003-01</t>
  </si>
  <si>
    <t>SAN BERNARDINO County</t>
  </si>
  <si>
    <t>Adelanto</t>
  </si>
  <si>
    <t xml:space="preserve">Hwy 395/Begonia Road </t>
  </si>
  <si>
    <t>TD340211, TD340136, 800599540</t>
  </si>
  <si>
    <t>08-68</t>
  </si>
  <si>
    <t>1/2</t>
  </si>
  <si>
    <t>Apple Valley</t>
  </si>
  <si>
    <t xml:space="preserve">Yucca Loma Rd/ Mohawk Rd to Rancherias Rd </t>
  </si>
  <si>
    <t>TD701784, TD701765</t>
  </si>
  <si>
    <t>2012-38</t>
  </si>
  <si>
    <t xml:space="preserve">Yucca Loma Rd/ Apple Valley to Rincon Rd </t>
  </si>
  <si>
    <t>TD573231, TD573230, 800823901</t>
  </si>
  <si>
    <t>2011-35</t>
  </si>
  <si>
    <t>Banning</t>
  </si>
  <si>
    <t>Barstow</t>
  </si>
  <si>
    <t>Rimrock Rd./ Rushmore Dr. and Higgins Rd</t>
  </si>
  <si>
    <t>TD990503, TD99050</t>
  </si>
  <si>
    <t>4769-2014</t>
  </si>
  <si>
    <t>Chino</t>
  </si>
  <si>
    <t xml:space="preserve">Schaffer/ 4th to 6th </t>
  </si>
  <si>
    <t>TD541195, TD541191</t>
  </si>
  <si>
    <t>2010-29</t>
  </si>
  <si>
    <t xml:space="preserve"> </t>
  </si>
  <si>
    <t xml:space="preserve">Ramona Ave/Chino Hills Pkwy </t>
  </si>
  <si>
    <t>TD440265, TD439560, 800055573</t>
  </si>
  <si>
    <t>2007-030</t>
  </si>
  <si>
    <t>Chino Hills</t>
  </si>
  <si>
    <t xml:space="preserve">Peyton/ Ring , Ph2 </t>
  </si>
  <si>
    <t>8000253145, 800025302, 6234-6209, 800055540</t>
  </si>
  <si>
    <t>05R-14</t>
  </si>
  <si>
    <t>civil complications adjacent bridge project</t>
  </si>
  <si>
    <t>Colton</t>
  </si>
  <si>
    <t>Fontana</t>
  </si>
  <si>
    <t xml:space="preserve">Sierra Ave/Walnut Village Pkwy-Baseline Ave </t>
  </si>
  <si>
    <t>TD258593, TD258592, 800203873</t>
  </si>
  <si>
    <t>2006-264</t>
  </si>
  <si>
    <t>South Highland/ Juniper Ave-Sierra Ave</t>
  </si>
  <si>
    <t>2006-263</t>
  </si>
  <si>
    <t>Walnut Ave/ Juniper Ave-Sierra Ave</t>
  </si>
  <si>
    <t>2006-265</t>
  </si>
  <si>
    <t>Juniper Ave/Baseline Ave-Highland Ave</t>
  </si>
  <si>
    <t>2006-266</t>
  </si>
  <si>
    <t>Baseline/ Sierra Ave-Juniper Ave</t>
  </si>
  <si>
    <t>2006-267</t>
  </si>
  <si>
    <t xml:space="preserve">Sierra Ave/ Miller Ave to Paine St N/O Foothill Blvd </t>
  </si>
  <si>
    <t>TD1408941, TD1408878</t>
  </si>
  <si>
    <t>2017-004</t>
  </si>
  <si>
    <t>2017-0074</t>
  </si>
  <si>
    <t>Grand Terrace</t>
  </si>
  <si>
    <t>Hesperia</t>
  </si>
  <si>
    <t xml:space="preserve">Escondido Ave/ Main St to Hollister St </t>
  </si>
  <si>
    <t>TD451903, TD451898, 800674282</t>
  </si>
  <si>
    <t>2010-024</t>
  </si>
  <si>
    <t xml:space="preserve">7th Ave/ Main St to Hercules St </t>
  </si>
  <si>
    <t>800039538, 800039523, 800055266</t>
  </si>
  <si>
    <t>2005-134</t>
  </si>
  <si>
    <t>Highland</t>
  </si>
  <si>
    <t>Boulder s/o Route 330</t>
  </si>
  <si>
    <t>800011553, 800013922, 6031-6225</t>
  </si>
  <si>
    <t>00-63</t>
  </si>
  <si>
    <t>Loma Linda</t>
  </si>
  <si>
    <t xml:space="preserve">Redlands/ Anderson-Mountain View </t>
  </si>
  <si>
    <t>800013348, 800029473, 800015342</t>
  </si>
  <si>
    <t>Montclair</t>
  </si>
  <si>
    <t xml:space="preserve">Monte Vista Ave/ Holt Blvd to State St </t>
  </si>
  <si>
    <t>TD1047790, TD1047788</t>
  </si>
  <si>
    <t>15-3089</t>
  </si>
  <si>
    <t xml:space="preserve">Ramona, Ph 2 </t>
  </si>
  <si>
    <t>TD405198, TD274581, TD274582</t>
  </si>
  <si>
    <t>06-2622</t>
  </si>
  <si>
    <t xml:space="preserve">Ramona/State/Mission, Ph 1 </t>
  </si>
  <si>
    <t>TD276799, TD277680, 800055574</t>
  </si>
  <si>
    <t>Ontario</t>
  </si>
  <si>
    <t>Mountain Ave/ Brooks St - G St</t>
  </si>
  <si>
    <t>TD358886, TD358885 ,800887793</t>
  </si>
  <si>
    <t>2005-092</t>
  </si>
  <si>
    <t>2013-2014</t>
  </si>
  <si>
    <t xml:space="preserve">Milliken Ave/Airport Dr to I-10 </t>
  </si>
  <si>
    <t>TD333310, TD333309</t>
  </si>
  <si>
    <t>2009-012</t>
  </si>
  <si>
    <t>Rancho Cucamonga</t>
  </si>
  <si>
    <t xml:space="preserve">Arrow Route/ Bear Gulch to Archibald </t>
  </si>
  <si>
    <t>TD1053528, TD1053526</t>
  </si>
  <si>
    <t>11-170</t>
  </si>
  <si>
    <t xml:space="preserve">Baseline Road/ Carnelian to Vineyard </t>
  </si>
  <si>
    <t>TD1056463, TD1056454</t>
  </si>
  <si>
    <t>11-158</t>
  </si>
  <si>
    <t>Redlands</t>
  </si>
  <si>
    <t>Cypress Ave/ Lakeside to San Jacinto</t>
  </si>
  <si>
    <t xml:space="preserve">Stuart/ Eureka to Orange </t>
  </si>
  <si>
    <t>800012670, 800012610, 800013386, 800055198</t>
  </si>
  <si>
    <t xml:space="preserve">Stuart/ Eurek to Orange </t>
  </si>
  <si>
    <t>Rialto</t>
  </si>
  <si>
    <t xml:space="preserve">Rialto Ave/Cedar - Cactus </t>
  </si>
  <si>
    <t>TD335065, TD335062, 800255800</t>
  </si>
  <si>
    <t>San Bernardino</t>
  </si>
  <si>
    <t xml:space="preserve">13th St/ Mountain View-Sierra, Ph 2 </t>
  </si>
  <si>
    <t>TD48769, TD487678</t>
  </si>
  <si>
    <t>2004-241</t>
  </si>
  <si>
    <t xml:space="preserve">13th St/ Arrowhead-Mt. View, Ph 1 </t>
  </si>
  <si>
    <t>TD280164, TD280162</t>
  </si>
  <si>
    <t xml:space="preserve">Victoria/ Highland to Mirada </t>
  </si>
  <si>
    <t>800026165, 800013849, 800014184</t>
  </si>
  <si>
    <t>2005-364</t>
  </si>
  <si>
    <t>40th Street/ Electric Ave to Johnson Street</t>
  </si>
  <si>
    <t>TD1567224,   TD1567225</t>
  </si>
  <si>
    <t>2019-61</t>
  </si>
  <si>
    <t>Twentynine Palms</t>
  </si>
  <si>
    <t>Hwy 62 E/O Mesquite Rd to Pine Ave</t>
  </si>
  <si>
    <t>TD982909, TD982911</t>
  </si>
  <si>
    <t>15-01</t>
  </si>
  <si>
    <t xml:space="preserve">Project Phoenix </t>
  </si>
  <si>
    <t>TD1502969,     TD1502971</t>
  </si>
  <si>
    <t>18-02</t>
  </si>
  <si>
    <t xml:space="preserve"> Tamarisk Ave to Cholla Ave </t>
  </si>
  <si>
    <t>Upland</t>
  </si>
  <si>
    <t>Victorville</t>
  </si>
  <si>
    <t xml:space="preserve">Nisqualli/ Balsm Rd-7th St </t>
  </si>
  <si>
    <t>TD276770, TD272601</t>
  </si>
  <si>
    <t>05-64</t>
  </si>
  <si>
    <t>Nisqualli/ Arrowhead to 7th</t>
  </si>
  <si>
    <t>TD1650335, TD1649221, TD1661394</t>
  </si>
  <si>
    <t>19-076</t>
  </si>
  <si>
    <t>Yucaipa</t>
  </si>
  <si>
    <t>Yucca Valley</t>
  </si>
  <si>
    <t>Unincorporated San Bernardino</t>
  </si>
  <si>
    <t xml:space="preserve">Hwy 62/Sunburst - Whitefeather </t>
  </si>
  <si>
    <t>TD529918, TD529919, 800795548</t>
  </si>
  <si>
    <t>2005-060</t>
  </si>
  <si>
    <t>Nevada St/ Lugonia Ave - Almond Ave</t>
  </si>
  <si>
    <t>Original design had too many easements</t>
  </si>
  <si>
    <t>Hwy 18/ Custer-Ladera, Lucerne Valley</t>
  </si>
  <si>
    <t xml:space="preserve"> TD1213517, TD1213516</t>
  </si>
  <si>
    <t>2005-336</t>
  </si>
  <si>
    <t>SAN DIEGO County</t>
  </si>
  <si>
    <t>Unincorporated San Diego</t>
  </si>
  <si>
    <t>SANTA BARBARA County</t>
  </si>
  <si>
    <t>Carpinteria</t>
  </si>
  <si>
    <t>Goleta</t>
  </si>
  <si>
    <t>Santa Barbara</t>
  </si>
  <si>
    <t xml:space="preserve">Cliff Dr/ Flora Vista Dr- Lighthouse Rd </t>
  </si>
  <si>
    <t>TD208148, TD208138, 800055439</t>
  </si>
  <si>
    <t>06-075</t>
  </si>
  <si>
    <t>Unincorporated Santa Barbara</t>
  </si>
  <si>
    <t>E. Valley Rd/Hot Spgs Rd - Cota Ln</t>
  </si>
  <si>
    <t>TD207607, TD207605</t>
  </si>
  <si>
    <t>04-352</t>
  </si>
  <si>
    <t xml:space="preserve">El Colegio Rd/ Storke Rd-UCSB Gate </t>
  </si>
  <si>
    <t>800032915, 800039604, 800032414</t>
  </si>
  <si>
    <t>04-036</t>
  </si>
  <si>
    <t>County requested significant changes to project, as well asN ative American and archeologist monitoring contributed to cost variance</t>
  </si>
  <si>
    <t>TULARE County</t>
  </si>
  <si>
    <t>Exeter</t>
  </si>
  <si>
    <t xml:space="preserve">F St/ Palm St to Maple </t>
  </si>
  <si>
    <t>TD343401, TD343400</t>
  </si>
  <si>
    <t>2009-04</t>
  </si>
  <si>
    <t>Farmersville</t>
  </si>
  <si>
    <t>Walnut Ave/ Freedom to Farmersville</t>
  </si>
  <si>
    <t>2008-18</t>
  </si>
  <si>
    <t>Lindsay</t>
  </si>
  <si>
    <t>Sweet Brier Ave</t>
  </si>
  <si>
    <t>11-48</t>
  </si>
  <si>
    <t>Porterville</t>
  </si>
  <si>
    <t>Division St/Putnam Ave So.-Olive Ave</t>
  </si>
  <si>
    <t>43-2008</t>
  </si>
  <si>
    <t>Tulare</t>
  </si>
  <si>
    <t>Visalia</t>
  </si>
  <si>
    <t xml:space="preserve">Dinuba Blvd/ Houston Ave to Riggin, Ph. 1 </t>
  </si>
  <si>
    <t>TD340387, TD340386, 800055452</t>
  </si>
  <si>
    <t>2007-83</t>
  </si>
  <si>
    <t>Burke St/ E. Center Ave to Goshen Ave</t>
  </si>
  <si>
    <t>TD812414, TD731314, TD731315</t>
  </si>
  <si>
    <t>2013-35</t>
  </si>
  <si>
    <t>Dinuba Blvd/ Shannon Pkwy to Riverway Dr, Ph. 2</t>
  </si>
  <si>
    <t>Woodlake</t>
  </si>
  <si>
    <t>Unincorporated Tulare</t>
  </si>
  <si>
    <t xml:space="preserve">Hwy 190/ Springville </t>
  </si>
  <si>
    <t>6451-6273, 6451-6274, 6051-6275, 8458-4945</t>
  </si>
  <si>
    <t>99-0876</t>
  </si>
  <si>
    <t>project driven by developer need, Rule 20A timeline is too slow</t>
  </si>
  <si>
    <t>TUOLUMNE County</t>
  </si>
  <si>
    <t>Unincorporated Tuolomne</t>
  </si>
  <si>
    <t>VENTURA County</t>
  </si>
  <si>
    <t>Camarillo</t>
  </si>
  <si>
    <t>K St/ Cedar to Oak</t>
  </si>
  <si>
    <t>TD1077203, TD1077199</t>
  </si>
  <si>
    <t>2015-113</t>
  </si>
  <si>
    <t xml:space="preserve">Yes </t>
  </si>
  <si>
    <t xml:space="preserve">PO for other utility took 4 months to approve causing project to be completed late (deffered to following year) </t>
  </si>
  <si>
    <t xml:space="preserve">Las Posas/ Maro St to Anonio Ave </t>
  </si>
  <si>
    <t>TD1077218, TD1077213</t>
  </si>
  <si>
    <t>2015-114</t>
  </si>
  <si>
    <t>Project requires easements from multiple customers.</t>
  </si>
  <si>
    <t>Fillmore</t>
  </si>
  <si>
    <t>Moorpark</t>
  </si>
  <si>
    <t>Ojai</t>
  </si>
  <si>
    <t>South Montgomery - Hwy 150</t>
  </si>
  <si>
    <t>6439-6277, 6439-6278, 6039-6275</t>
  </si>
  <si>
    <t>03-43</t>
  </si>
  <si>
    <t>Oxnard</t>
  </si>
  <si>
    <t xml:space="preserve">K, 2nd, H, &amp; 5th Street </t>
  </si>
  <si>
    <t>TD518929, TD518927</t>
  </si>
  <si>
    <t xml:space="preserve">Oxnard Blvd s/o Gonzales Road </t>
  </si>
  <si>
    <t>TD518924, TD518921, TD703258</t>
  </si>
  <si>
    <t>Victoria/ Melrose - Curlew, Silverstrand Ph 1</t>
  </si>
  <si>
    <t>800017137, 800039554,800038693</t>
  </si>
  <si>
    <t xml:space="preserve">Victoria/ Melrose - Curlew, Silverstrand Ph </t>
  </si>
  <si>
    <t>Port Hueneme</t>
  </si>
  <si>
    <t xml:space="preserve">Bard Road/ J Street to Park Avenue </t>
  </si>
  <si>
    <t>TD593217, TD593209</t>
  </si>
  <si>
    <t xml:space="preserve">Contamination contributed to the cost variance of this project. </t>
  </si>
  <si>
    <t>Unexpected easement requirement caused delay to construction start.</t>
  </si>
  <si>
    <t>Santa Paula</t>
  </si>
  <si>
    <t xml:space="preserve">Main St/ Cameron Dr-Steckel Dr </t>
  </si>
  <si>
    <t>TD256561, TD256559</t>
  </si>
  <si>
    <t>Simi Valley</t>
  </si>
  <si>
    <t>Cochran/ Stow to Yosemite</t>
  </si>
  <si>
    <t>6435-6265, 800026137, 6035-6263, 800055414</t>
  </si>
  <si>
    <t>2004-23</t>
  </si>
  <si>
    <t>Tapo Canyon/ Avenida Simi - Cochran - DIST</t>
  </si>
  <si>
    <t>64635-6260, 6435-6261, 6035-6261, 800055411</t>
  </si>
  <si>
    <t>2004-21</t>
  </si>
  <si>
    <t>Thousand Oaks</t>
  </si>
  <si>
    <t>Moorpark Rd/Wilbur to Columbia</t>
  </si>
  <si>
    <t>6435-6251, 6435-6252, 6035-6253</t>
  </si>
  <si>
    <t>93-166</t>
  </si>
  <si>
    <t xml:space="preserve">Ventura </t>
  </si>
  <si>
    <t>Unincorporated Ventura</t>
  </si>
  <si>
    <t xml:space="preserve">Silverstrand Beach, Ph 3 </t>
  </si>
  <si>
    <t>TD206628, TD206646</t>
  </si>
  <si>
    <t xml:space="preserve">Roosevelt Blvd/ San Nicolas Ave to Malibu Avenue </t>
  </si>
  <si>
    <t>Stanley/ Ventura Ave - Hwy 33</t>
  </si>
  <si>
    <t>6439-6273</t>
  </si>
  <si>
    <t>2003-043</t>
  </si>
  <si>
    <t xml:space="preserve">Island View/Roosevelt-Oxnard, Silverstrand Ph 2 </t>
  </si>
  <si>
    <t>TD206363, TD206434</t>
  </si>
  <si>
    <r>
      <t>u</t>
    </r>
    <r>
      <rPr>
        <b/>
        <sz val="10"/>
        <color theme="1"/>
        <rFont val="Calibri"/>
        <family val="2"/>
        <scheme val="minor"/>
      </rPr>
      <t xml:space="preserve"> -Pending further research to determine miles converted from overhead to underground </t>
    </r>
  </si>
  <si>
    <r>
      <t xml:space="preserve">u </t>
    </r>
    <r>
      <rPr>
        <sz val="10"/>
        <rFont val="Calibri"/>
        <family val="2"/>
        <scheme val="minor"/>
      </rPr>
      <t>Project expenditures less than ROM estimate, but within +/- 40% of ROM estimate as provided to the city</t>
    </r>
  </si>
  <si>
    <r>
      <t xml:space="preserve">u </t>
    </r>
    <r>
      <rPr>
        <sz val="10"/>
        <rFont val="Calibri"/>
        <family val="2"/>
        <scheme val="minor"/>
      </rPr>
      <t xml:space="preserve">Total expenditures less than project estimate. Allocation credit provided to agency during reconcilation. </t>
    </r>
  </si>
  <si>
    <r>
      <t xml:space="preserve">u </t>
    </r>
    <r>
      <rPr>
        <sz val="10"/>
        <color theme="1"/>
        <rFont val="Calibri"/>
        <family val="2"/>
        <scheme val="minor"/>
      </rPr>
      <t>- This data is unavailable for one of the following reasons: the project has not completed design; the project is too old ; we do not have a way of obtaining the information</t>
    </r>
  </si>
  <si>
    <r>
      <t xml:space="preserve">v </t>
    </r>
    <r>
      <rPr>
        <sz val="10"/>
        <rFont val="Calibri"/>
        <family val="2"/>
        <scheme val="minor"/>
      </rPr>
      <t>Project expenditures greater than ROM estimate, but within +/- 40% of ROM estimate as provided to the city</t>
    </r>
  </si>
  <si>
    <t xml:space="preserve">** Description for Qualifer </t>
  </si>
  <si>
    <r>
      <t xml:space="preserve">v </t>
    </r>
    <r>
      <rPr>
        <sz val="10"/>
        <rFont val="Calibri"/>
        <family val="2"/>
        <scheme val="minor"/>
      </rPr>
      <t>Total expenditures greater than project estimate. Allocation credit provided to agency during reconciliation.</t>
    </r>
  </si>
  <si>
    <t>**Conversion factor used to account for number of phases.</t>
  </si>
  <si>
    <r>
      <t xml:space="preserve">u </t>
    </r>
    <r>
      <rPr>
        <sz val="10"/>
        <color theme="1"/>
        <rFont val="Calibri"/>
        <family val="2"/>
        <scheme val="minor"/>
      </rPr>
      <t>This data is unavailable for one of the following reasons: the project has not completed design; the project is too old ; we do not have a way of obtaining the information</t>
    </r>
  </si>
  <si>
    <r>
      <rPr>
        <b/>
        <sz val="10"/>
        <color theme="1"/>
        <rFont val="Calibri"/>
        <family val="2"/>
        <scheme val="minor"/>
      </rPr>
      <t>1 -</t>
    </r>
    <r>
      <rPr>
        <sz val="10"/>
        <color theme="1"/>
        <rFont val="Calibri"/>
        <family val="2"/>
        <scheme val="minor"/>
      </rPr>
      <t xml:space="preserve"> Heavy concentrations of overhead electrical facilities defined as two or more primary circuits on a pole line
</t>
    </r>
  </si>
  <si>
    <t>**Allocations are deducted at the time Underground Utility District (Resolution) is formed. City may accumulate additional allocations by the time of construction</t>
  </si>
  <si>
    <r>
      <rPr>
        <b/>
        <sz val="10"/>
        <color theme="1"/>
        <rFont val="Calibri"/>
        <family val="2"/>
        <scheme val="minor"/>
      </rPr>
      <t xml:space="preserve">2 </t>
    </r>
    <r>
      <rPr>
        <sz val="10"/>
        <color theme="1"/>
        <rFont val="Calibri"/>
        <family val="2"/>
        <scheme val="minor"/>
      </rPr>
      <t xml:space="preserve">-Street/road carries heavy vehicular or pedestrian traffic
</t>
    </r>
  </si>
  <si>
    <r>
      <rPr>
        <b/>
        <sz val="10"/>
        <color theme="1"/>
        <rFont val="Calibri"/>
        <family val="2"/>
        <scheme val="minor"/>
      </rPr>
      <t xml:space="preserve">3 - </t>
    </r>
    <r>
      <rPr>
        <sz val="10"/>
        <color theme="1"/>
        <rFont val="Calibri"/>
        <family val="2"/>
        <scheme val="minor"/>
      </rPr>
      <t xml:space="preserve">Overhead facilities located within or passes through a civic, recreational, or scenic area
</t>
    </r>
  </si>
  <si>
    <r>
      <rPr>
        <b/>
        <sz val="10"/>
        <color theme="1"/>
        <rFont val="Calibri"/>
        <family val="2"/>
        <scheme val="minor"/>
      </rPr>
      <t xml:space="preserve">4 - </t>
    </r>
    <r>
      <rPr>
        <sz val="10"/>
        <color theme="1"/>
        <rFont val="Calibri"/>
        <family val="2"/>
        <scheme val="minor"/>
      </rPr>
      <t xml:space="preserve">Street/road is identified as an arterial street or major collector road
</t>
    </r>
  </si>
  <si>
    <r>
      <rPr>
        <b/>
        <sz val="10"/>
        <color theme="1"/>
        <rFont val="Calibri"/>
        <family val="2"/>
        <scheme val="minor"/>
      </rPr>
      <t>All Projects -</t>
    </r>
    <r>
      <rPr>
        <sz val="10"/>
        <color theme="1"/>
        <rFont val="Calibri"/>
        <family val="2"/>
        <scheme val="minor"/>
      </rPr>
      <t xml:space="preserve"> Projects must also be a minimum distance of one block or 600 feet, whichever is less.</t>
    </r>
  </si>
  <si>
    <t>Residential</t>
  </si>
  <si>
    <t xml:space="preserve">Urban </t>
  </si>
  <si>
    <t>Eligible</t>
  </si>
  <si>
    <t>Commercial</t>
  </si>
  <si>
    <t xml:space="preserve">Suburban </t>
  </si>
  <si>
    <t>Ineligible</t>
  </si>
  <si>
    <t>Unsure</t>
  </si>
  <si>
    <t xml:space="preserve">Industrial </t>
  </si>
  <si>
    <t>Rural</t>
  </si>
  <si>
    <t>Agricultural</t>
  </si>
  <si>
    <t>Mixed</t>
  </si>
  <si>
    <t>Other</t>
  </si>
  <si>
    <t>Uncertain</t>
  </si>
  <si>
    <t>City/County</t>
  </si>
  <si>
    <t>SA</t>
  </si>
  <si>
    <t>Care</t>
  </si>
  <si>
    <t>percent</t>
  </si>
  <si>
    <t>ADELANTO</t>
  </si>
  <si>
    <t>AGOURA HILLS</t>
  </si>
  <si>
    <t>ALHAMBRA</t>
  </si>
  <si>
    <t>ALISO VIEJO</t>
  </si>
  <si>
    <t>ANAHEIM</t>
  </si>
  <si>
    <t>APPLE VALLEY</t>
  </si>
  <si>
    <t>ARCADIA</t>
  </si>
  <si>
    <t>ARTESIA</t>
  </si>
  <si>
    <t>AVALON</t>
  </si>
  <si>
    <t>AZUSA</t>
  </si>
  <si>
    <t>BALDWIN PARK</t>
  </si>
  <si>
    <t>BANNING</t>
  </si>
  <si>
    <t>BARSTOW</t>
  </si>
  <si>
    <t>BEAUMONT</t>
  </si>
  <si>
    <t>BELL</t>
  </si>
  <si>
    <t>BELL GARDENS</t>
  </si>
  <si>
    <t>BELLFLOWER</t>
  </si>
  <si>
    <t>BEVERLY HILLS</t>
  </si>
  <si>
    <t>BISHOP</t>
  </si>
  <si>
    <t>BLYTHE</t>
  </si>
  <si>
    <t>BRADBURY</t>
  </si>
  <si>
    <t>BREA</t>
  </si>
  <si>
    <t>BUENA PARK</t>
  </si>
  <si>
    <t>CALABASAS</t>
  </si>
  <si>
    <t>CALIFORNIA CITY</t>
  </si>
  <si>
    <t>CALIMESA</t>
  </si>
  <si>
    <t>CAMARILLO</t>
  </si>
  <si>
    <t>CANYON LAKE</t>
  </si>
  <si>
    <t>CARPINTERIA</t>
  </si>
  <si>
    <t>CARSON</t>
  </si>
  <si>
    <t>CATHEDRAL CITY</t>
  </si>
  <si>
    <t>CERRITOS</t>
  </si>
  <si>
    <t>CHINO</t>
  </si>
  <si>
    <t>CHINO HILLS</t>
  </si>
  <si>
    <t>CLAREMONT</t>
  </si>
  <si>
    <t>COLTON</t>
  </si>
  <si>
    <t>COMMERCE</t>
  </si>
  <si>
    <t>COMPTON</t>
  </si>
  <si>
    <t>CORONA</t>
  </si>
  <si>
    <t>COSTA MESA</t>
  </si>
  <si>
    <t>COVINA</t>
  </si>
  <si>
    <t>CUDAHY</t>
  </si>
  <si>
    <t>CULVER CITY</t>
  </si>
  <si>
    <t>CYPRESS</t>
  </si>
  <si>
    <t>DELANO</t>
  </si>
  <si>
    <t>DESERT HOT SPRINGS</t>
  </si>
  <si>
    <t>DIAMOND BAR</t>
  </si>
  <si>
    <t>DOWNEY</t>
  </si>
  <si>
    <t>DUARTE</t>
  </si>
  <si>
    <t>EASTVALE</t>
  </si>
  <si>
    <t>EL MONTE</t>
  </si>
  <si>
    <t>EL SEGUNDO</t>
  </si>
  <si>
    <t>elsinore, lake</t>
  </si>
  <si>
    <t>EXETER</t>
  </si>
  <si>
    <t>FARMERSVILLE</t>
  </si>
  <si>
    <t>FILLMORE</t>
  </si>
  <si>
    <t>FONTANA</t>
  </si>
  <si>
    <t>FOUNTAIN VALLEY</t>
  </si>
  <si>
    <t>FULLERTON</t>
  </si>
  <si>
    <t>GARDEN GROVE</t>
  </si>
  <si>
    <t>GARDENA</t>
  </si>
  <si>
    <t>GLENDORA</t>
  </si>
  <si>
    <t>GOLETA</t>
  </si>
  <si>
    <t>GRAND TERRACE</t>
  </si>
  <si>
    <t>HANFORD</t>
  </si>
  <si>
    <t>HAWAIIAN GARDENS</t>
  </si>
  <si>
    <t>HAWTHORNE</t>
  </si>
  <si>
    <t>HEMET</t>
  </si>
  <si>
    <t>HERMOSA BEACH</t>
  </si>
  <si>
    <t>HESPERIA</t>
  </si>
  <si>
    <t>HIDDEN HILLS</t>
  </si>
  <si>
    <t>HIGHLAND</t>
  </si>
  <si>
    <t>HUNTINGTON BEACH</t>
  </si>
  <si>
    <t>HUNTINGTON PARK</t>
  </si>
  <si>
    <t>INDIAN WELLS</t>
  </si>
  <si>
    <t>INGLEWOOD</t>
  </si>
  <si>
    <t>IRVINE</t>
  </si>
  <si>
    <t>IRWINDALE</t>
  </si>
  <si>
    <t>LA HABRA</t>
  </si>
  <si>
    <t>LA HABRA HEIGHTS</t>
  </si>
  <si>
    <t>LA MIRADA</t>
  </si>
  <si>
    <t>LA PALMA</t>
  </si>
  <si>
    <t>LA PUENTE</t>
  </si>
  <si>
    <t>LA VERNE</t>
  </si>
  <si>
    <t>LAGUNA BEACH</t>
  </si>
  <si>
    <t>LAGUNA HILLS</t>
  </si>
  <si>
    <t>LAGUNA NIGUEL</t>
  </si>
  <si>
    <t>LAGUNA WOODS</t>
  </si>
  <si>
    <t>LAKE FOREST</t>
  </si>
  <si>
    <t>LAKEWOOD</t>
  </si>
  <si>
    <t>LANCASTER</t>
  </si>
  <si>
    <t>LAWNDALE</t>
  </si>
  <si>
    <t>LINDSAY</t>
  </si>
  <si>
    <t>LOMA LINDA</t>
  </si>
  <si>
    <t>LOMITA</t>
  </si>
  <si>
    <t>LONG BEACH</t>
  </si>
  <si>
    <t>LOS ALAMITOS</t>
  </si>
  <si>
    <t>LYNWOOD</t>
  </si>
  <si>
    <t>MALIBU</t>
  </si>
  <si>
    <t>MAMMOTH LAKES</t>
  </si>
  <si>
    <t>MANHATTAN BEACH</t>
  </si>
  <si>
    <t>MAYWOOD</t>
  </si>
  <si>
    <t>mcfarland</t>
  </si>
  <si>
    <t>MENIFEE</t>
  </si>
  <si>
    <t>MISSION VIEJO</t>
  </si>
  <si>
    <t>MONROVIA</t>
  </si>
  <si>
    <t>MONTCLAIR</t>
  </si>
  <si>
    <t>MONTEBELLO</t>
  </si>
  <si>
    <t>MONTEREY PARK</t>
  </si>
  <si>
    <t>MOORPARK</t>
  </si>
  <si>
    <t>MORENO VALLEY</t>
  </si>
  <si>
    <t>MURRIETA</t>
  </si>
  <si>
    <t>NEWPORT BEACH</t>
  </si>
  <si>
    <t>NORCO</t>
  </si>
  <si>
    <t>NORWALK</t>
  </si>
  <si>
    <t>OJAI</t>
  </si>
  <si>
    <t>ONTARIO</t>
  </si>
  <si>
    <t>ORANGE</t>
  </si>
  <si>
    <t>OXNARD</t>
  </si>
  <si>
    <t>PALM DESERT</t>
  </si>
  <si>
    <t>PALM SPRINGS</t>
  </si>
  <si>
    <t>PALMDALE</t>
  </si>
  <si>
    <t>PALOS VERDES ESTATES</t>
  </si>
  <si>
    <t>PARAMOUNT</t>
  </si>
  <si>
    <t>PASADENA</t>
  </si>
  <si>
    <t>PERRIS</t>
  </si>
  <si>
    <t>PICO RIVERA</t>
  </si>
  <si>
    <t>PLACENTIA</t>
  </si>
  <si>
    <t>POMONA</t>
  </si>
  <si>
    <t>PORT HUENEME</t>
  </si>
  <si>
    <t>PORTERVILLE</t>
  </si>
  <si>
    <t>RANCHO MIRAGE</t>
  </si>
  <si>
    <t>RANCHO PALOS VERDES</t>
  </si>
  <si>
    <t>RANCHO SANTA MARGARITA</t>
  </si>
  <si>
    <t>REDLANDS</t>
  </si>
  <si>
    <t>REDONDO BEACH</t>
  </si>
  <si>
    <t>RIALTO</t>
  </si>
  <si>
    <t>RIDGECREST</t>
  </si>
  <si>
    <t>RIVERSIDE</t>
  </si>
  <si>
    <t>ROLLING HILLS</t>
  </si>
  <si>
    <t>ROLLING HILLS ESTATES</t>
  </si>
  <si>
    <t>ROSEMEAD</t>
  </si>
  <si>
    <t>SAN BERNARDINO</t>
  </si>
  <si>
    <t>SAN DIMAS</t>
  </si>
  <si>
    <t>SAN FERNANDO</t>
  </si>
  <si>
    <t>SAN GABRIEL</t>
  </si>
  <si>
    <t>SAN JACINTO</t>
  </si>
  <si>
    <t>SAN MARINO</t>
  </si>
  <si>
    <t>SANTA ANA</t>
  </si>
  <si>
    <t>SANTA BARBARA</t>
  </si>
  <si>
    <t>SANTA CLARITA</t>
  </si>
  <si>
    <t>SANTA FE SPRINGS</t>
  </si>
  <si>
    <t>SANTA MONICA</t>
  </si>
  <si>
    <t>SANTA PAULA</t>
  </si>
  <si>
    <t>SEAL BEACH</t>
  </si>
  <si>
    <t>SIERRA MADRE</t>
  </si>
  <si>
    <t>SIGNAL HILL</t>
  </si>
  <si>
    <t>SIMI VALLEY</t>
  </si>
  <si>
    <t>SOUTH EL MONTE</t>
  </si>
  <si>
    <t>SOUTH GATE</t>
  </si>
  <si>
    <t>SOUTH PASADENA</t>
  </si>
  <si>
    <t>STANTON</t>
  </si>
  <si>
    <t>TEHACHAPI</t>
  </si>
  <si>
    <t>TEMECULA</t>
  </si>
  <si>
    <t>TEMPLE CITY</t>
  </si>
  <si>
    <t>THOUSAND OAKS</t>
  </si>
  <si>
    <t>TORRANCE</t>
  </si>
  <si>
    <t>TULARE</t>
  </si>
  <si>
    <t>TUSTIN</t>
  </si>
  <si>
    <t>TWENTYNINE PALMS</t>
  </si>
  <si>
    <t>UPLAND</t>
  </si>
  <si>
    <t>VENTURA</t>
  </si>
  <si>
    <t>VICTORVILLE</t>
  </si>
  <si>
    <t>VILLA PARK</t>
  </si>
  <si>
    <t>VISALIA</t>
  </si>
  <si>
    <t>WALNUT</t>
  </si>
  <si>
    <t>WEST COVINA</t>
  </si>
  <si>
    <t>WEST HOLLYWOOD</t>
  </si>
  <si>
    <t>WESTLAKE VILLAGE</t>
  </si>
  <si>
    <t>WESTMINSTER</t>
  </si>
  <si>
    <t>WHITTIER</t>
  </si>
  <si>
    <t>WILDOMAR</t>
  </si>
  <si>
    <t>WOODLAKE</t>
  </si>
  <si>
    <t>YORBA LINDA</t>
  </si>
  <si>
    <t>YUCAIPA</t>
  </si>
  <si>
    <t>YUCCA VALLEY</t>
  </si>
  <si>
    <t>Grand Total</t>
  </si>
  <si>
    <t>Year</t>
  </si>
  <si>
    <t xml:space="preserve">*Provided are the average precentages, by year, depicting portions of projects completed by SCE versus Contractors. Project specific data is unavailable. </t>
  </si>
  <si>
    <t>Rule 20A Municipality</t>
  </si>
  <si>
    <t xml:space="preserve">Is the Community Eligible? Y/N </t>
  </si>
  <si>
    <t>Allocation Factor Type* and Meter Totals by Year</t>
  </si>
  <si>
    <t>Allocation Factor and Meters 2005</t>
  </si>
  <si>
    <t>Allocation Factor and Meters 2006</t>
  </si>
  <si>
    <t>Allocation Factor and Meters 2007</t>
  </si>
  <si>
    <t>Allocation Factor and Meters 2008</t>
  </si>
  <si>
    <t>Allocation Factor and Meters 2009</t>
  </si>
  <si>
    <t>Allocation Factor and Meters 2010</t>
  </si>
  <si>
    <t>Allocation Factor and Meters 2011</t>
  </si>
  <si>
    <t>Allocation Factor and Meters 2012</t>
  </si>
  <si>
    <t>Allocation Factor and Meters 2013</t>
  </si>
  <si>
    <t>Allocation Factor and Meters 2014</t>
  </si>
  <si>
    <t>Allocation Factor and Meters 2015</t>
  </si>
  <si>
    <t>Allocation Factor and Meters 2016</t>
  </si>
  <si>
    <t>Allocation Factor and Meters 2017</t>
  </si>
  <si>
    <t>Allocation Factor and Meters 2018</t>
  </si>
  <si>
    <t>Allocation Factor and Meters 2019</t>
  </si>
  <si>
    <t>a. % Overhead</t>
  </si>
  <si>
    <t>b. % Total</t>
  </si>
  <si>
    <t>Community Total Overhead Meters</t>
  </si>
  <si>
    <t>Community Total  Meters</t>
  </si>
  <si>
    <t>Fresno County</t>
  </si>
  <si>
    <t xml:space="preserve">     Unincorporated Fresno</t>
  </si>
  <si>
    <t>TOTAL Fresno County</t>
  </si>
  <si>
    <t>Imperial County</t>
  </si>
  <si>
    <t xml:space="preserve">    Unincorporated Imperial</t>
  </si>
  <si>
    <t>TOTAL Imperial County</t>
  </si>
  <si>
    <t>Inyo County</t>
  </si>
  <si>
    <t xml:space="preserve">    Bishop</t>
  </si>
  <si>
    <t xml:space="preserve">    Unincorporated Inyo</t>
  </si>
  <si>
    <t>TOTAL Inyo County</t>
  </si>
  <si>
    <t>Kern County</t>
  </si>
  <si>
    <t xml:space="preserve">    California City</t>
  </si>
  <si>
    <t xml:space="preserve">    Delano</t>
  </si>
  <si>
    <t xml:space="preserve">    McFarland</t>
  </si>
  <si>
    <t xml:space="preserve">    Ridgecrest</t>
  </si>
  <si>
    <t xml:space="preserve">    Tehachapi</t>
  </si>
  <si>
    <t xml:space="preserve">    Unincorporated Kern</t>
  </si>
  <si>
    <t>TOTAL Kern County</t>
  </si>
  <si>
    <t>Kings County</t>
  </si>
  <si>
    <t xml:space="preserve">    Hanford</t>
  </si>
  <si>
    <t xml:space="preserve">    Unincorporated Kings</t>
  </si>
  <si>
    <t>TOTAL Kings County</t>
  </si>
  <si>
    <t>Los Angeles County</t>
  </si>
  <si>
    <t xml:space="preserve">    Agoura Hills</t>
  </si>
  <si>
    <t xml:space="preserve">    Alhambra</t>
  </si>
  <si>
    <t xml:space="preserve">    Arcadia</t>
  </si>
  <si>
    <t xml:space="preserve">    Artesia</t>
  </si>
  <si>
    <t xml:space="preserve">    Avalon</t>
  </si>
  <si>
    <t xml:space="preserve">    Azusa</t>
  </si>
  <si>
    <t xml:space="preserve">    Baldwin Park</t>
  </si>
  <si>
    <t xml:space="preserve">    Bell</t>
  </si>
  <si>
    <t xml:space="preserve">    Bell Gardens</t>
  </si>
  <si>
    <t xml:space="preserve">    Bellflower</t>
  </si>
  <si>
    <t xml:space="preserve">    Beverly Hills</t>
  </si>
  <si>
    <t xml:space="preserve">    Bradbury</t>
  </si>
  <si>
    <t xml:space="preserve">    Calabasas</t>
  </si>
  <si>
    <t xml:space="preserve">    Carson</t>
  </si>
  <si>
    <t xml:space="preserve">    Cerritos</t>
  </si>
  <si>
    <t xml:space="preserve">    Claremont</t>
  </si>
  <si>
    <t xml:space="preserve">    Commerce</t>
  </si>
  <si>
    <t xml:space="preserve">    Compton</t>
  </si>
  <si>
    <t xml:space="preserve">    Covina</t>
  </si>
  <si>
    <t xml:space="preserve">    Cudahy</t>
  </si>
  <si>
    <t xml:space="preserve">    Culver City</t>
  </si>
  <si>
    <t xml:space="preserve">    Diamond Bar</t>
  </si>
  <si>
    <t xml:space="preserve">    Downey</t>
  </si>
  <si>
    <t xml:space="preserve">    Duarte</t>
  </si>
  <si>
    <t xml:space="preserve">    El Monte</t>
  </si>
  <si>
    <t xml:space="preserve">    El Segundo</t>
  </si>
  <si>
    <t xml:space="preserve">    Gardena</t>
  </si>
  <si>
    <t xml:space="preserve">    Glendale</t>
  </si>
  <si>
    <t xml:space="preserve">    Glendora</t>
  </si>
  <si>
    <t xml:space="preserve">    Hawaiian Gardens</t>
  </si>
  <si>
    <t xml:space="preserve">    Hawthorne</t>
  </si>
  <si>
    <t xml:space="preserve">    Hermosa Beach</t>
  </si>
  <si>
    <t xml:space="preserve">    Hidden Hills</t>
  </si>
  <si>
    <t xml:space="preserve">    Huntington Park</t>
  </si>
  <si>
    <t xml:space="preserve">    Industry</t>
  </si>
  <si>
    <t xml:space="preserve">    Inglewood</t>
  </si>
  <si>
    <t xml:space="preserve">    Irwindale</t>
  </si>
  <si>
    <t xml:space="preserve">    La Canada-Flintridge</t>
  </si>
  <si>
    <t xml:space="preserve">    La Habra Heights</t>
  </si>
  <si>
    <t xml:space="preserve">    La Mirada</t>
  </si>
  <si>
    <t xml:space="preserve">    La Puente</t>
  </si>
  <si>
    <t xml:space="preserve">    La Verne</t>
  </si>
  <si>
    <t xml:space="preserve">    Lakewood</t>
  </si>
  <si>
    <t xml:space="preserve">    Lancaster</t>
  </si>
  <si>
    <t xml:space="preserve">    Lawndale</t>
  </si>
  <si>
    <t xml:space="preserve">    Lomita</t>
  </si>
  <si>
    <t xml:space="preserve">    Long Beach</t>
  </si>
  <si>
    <t xml:space="preserve">    Los Angeles, City of</t>
  </si>
  <si>
    <t xml:space="preserve">    Lynwood</t>
  </si>
  <si>
    <t xml:space="preserve">    Malibu</t>
  </si>
  <si>
    <t xml:space="preserve">    Manhattan Beach</t>
  </si>
  <si>
    <t xml:space="preserve">    Maywood</t>
  </si>
  <si>
    <t xml:space="preserve">    Monrovia</t>
  </si>
  <si>
    <t xml:space="preserve">    Montebello</t>
  </si>
  <si>
    <t xml:space="preserve">    Monterey Park</t>
  </si>
  <si>
    <t xml:space="preserve">    Norwalk</t>
  </si>
  <si>
    <t xml:space="preserve">    Palmdale</t>
  </si>
  <si>
    <t xml:space="preserve">    Palos Verdes Estates</t>
  </si>
  <si>
    <t xml:space="preserve">    Paramount</t>
  </si>
  <si>
    <t xml:space="preserve">    Pasadena</t>
  </si>
  <si>
    <t xml:space="preserve">    Pico Rivera</t>
  </si>
  <si>
    <t xml:space="preserve">    Pomona</t>
  </si>
  <si>
    <t xml:space="preserve">    Rancho Palos Verdes</t>
  </si>
  <si>
    <t xml:space="preserve">    Redondo Beach</t>
  </si>
  <si>
    <t xml:space="preserve">    Rolling Hills</t>
  </si>
  <si>
    <t xml:space="preserve">    Rolling Hills Estates</t>
  </si>
  <si>
    <t xml:space="preserve">    Rosemead</t>
  </si>
  <si>
    <t xml:space="preserve">    San Dimas</t>
  </si>
  <si>
    <t xml:space="preserve">    San Fernando</t>
  </si>
  <si>
    <t xml:space="preserve">    San Gabriel</t>
  </si>
  <si>
    <t xml:space="preserve">    San Marino</t>
  </si>
  <si>
    <t xml:space="preserve">    Santa Clarita</t>
  </si>
  <si>
    <t xml:space="preserve">    Santa Fe Springs</t>
  </si>
  <si>
    <t xml:space="preserve">    Santa Monica</t>
  </si>
  <si>
    <t xml:space="preserve">    Sierra Madre</t>
  </si>
  <si>
    <t xml:space="preserve">    Signal Hill</t>
  </si>
  <si>
    <t xml:space="preserve">    South El Monte</t>
  </si>
  <si>
    <t xml:space="preserve">    South Gate</t>
  </si>
  <si>
    <t xml:space="preserve">    South Pasadena</t>
  </si>
  <si>
    <t xml:space="preserve">    Temple City</t>
  </si>
  <si>
    <t xml:space="preserve">    Torrance</t>
  </si>
  <si>
    <t xml:space="preserve">    Walnut</t>
  </si>
  <si>
    <t xml:space="preserve">    West Covina</t>
  </si>
  <si>
    <t xml:space="preserve">    West Hollywood</t>
  </si>
  <si>
    <t xml:space="preserve">    Westlake Village</t>
  </si>
  <si>
    <t xml:space="preserve">    Whittier</t>
  </si>
  <si>
    <t xml:space="preserve">    Unincorporated Los Angeles</t>
  </si>
  <si>
    <t>TOTAL Los Angeles County</t>
  </si>
  <si>
    <t>Madera County</t>
  </si>
  <si>
    <t xml:space="preserve">    Unincorporated Madera</t>
  </si>
  <si>
    <t>TOTAL Madera County</t>
  </si>
  <si>
    <t>Mono County</t>
  </si>
  <si>
    <t xml:space="preserve">    Mammoth Lakes</t>
  </si>
  <si>
    <t xml:space="preserve">    Unincorporated Mono</t>
  </si>
  <si>
    <t>TOTAL Mono County</t>
  </si>
  <si>
    <t>Orange County</t>
  </si>
  <si>
    <t xml:space="preserve">    Aliso Viejo</t>
  </si>
  <si>
    <t xml:space="preserve">    Anaheim</t>
  </si>
  <si>
    <t xml:space="preserve">    Brea</t>
  </si>
  <si>
    <t xml:space="preserve">    Buena Park</t>
  </si>
  <si>
    <t xml:space="preserve">    Costa Mesa</t>
  </si>
  <si>
    <t xml:space="preserve">    Cypress</t>
  </si>
  <si>
    <t xml:space="preserve">    Fountain Valley</t>
  </si>
  <si>
    <t xml:space="preserve">    Fullerton</t>
  </si>
  <si>
    <t xml:space="preserve">    Garden Grove</t>
  </si>
  <si>
    <t xml:space="preserve">    Huntington Beach</t>
  </si>
  <si>
    <t xml:space="preserve">    Irvine</t>
  </si>
  <si>
    <t xml:space="preserve">    La Habra</t>
  </si>
  <si>
    <t xml:space="preserve">    La Palma</t>
  </si>
  <si>
    <t xml:space="preserve">    Laguna Beach</t>
  </si>
  <si>
    <t xml:space="preserve">    Laguna Hills</t>
  </si>
  <si>
    <t xml:space="preserve">    Laguna Niguel</t>
  </si>
  <si>
    <t xml:space="preserve">    Laguna Woods</t>
  </si>
  <si>
    <t xml:space="preserve">    Lake Forest</t>
  </si>
  <si>
    <t xml:space="preserve">    Los Alamitos</t>
  </si>
  <si>
    <t xml:space="preserve">    Mission Viejo</t>
  </si>
  <si>
    <t xml:space="preserve">    Newport Beach</t>
  </si>
  <si>
    <t xml:space="preserve">    Orange</t>
  </si>
  <si>
    <t xml:space="preserve">    Placentia</t>
  </si>
  <si>
    <t xml:space="preserve">    Rancho Santa Margarita</t>
  </si>
  <si>
    <t xml:space="preserve">    Santa Ana</t>
  </si>
  <si>
    <t xml:space="preserve">    Seal Beach</t>
  </si>
  <si>
    <t xml:space="preserve">    Stanton</t>
  </si>
  <si>
    <t xml:space="preserve">    Tustin</t>
  </si>
  <si>
    <t xml:space="preserve">    Villa Park</t>
  </si>
  <si>
    <t xml:space="preserve">    Westminster</t>
  </si>
  <si>
    <t xml:space="preserve">    Yorba Linda</t>
  </si>
  <si>
    <t xml:space="preserve">    Unincorporated Orange</t>
  </si>
  <si>
    <t>TOTAL Orange County</t>
  </si>
  <si>
    <t>Riverside County</t>
  </si>
  <si>
    <t xml:space="preserve">    Beaumont</t>
  </si>
  <si>
    <t xml:space="preserve">    Blythe</t>
  </si>
  <si>
    <t xml:space="preserve">    Calimesa</t>
  </si>
  <si>
    <t xml:space="preserve">    Canyon Lake</t>
  </si>
  <si>
    <t xml:space="preserve">    Cathedral City</t>
  </si>
  <si>
    <t xml:space="preserve">    Corona</t>
  </si>
  <si>
    <t xml:space="preserve">    Desert Hot Springs</t>
  </si>
  <si>
    <t xml:space="preserve">    Eastvale</t>
  </si>
  <si>
    <t xml:space="preserve">    Hemet</t>
  </si>
  <si>
    <t xml:space="preserve">    Indian Wells</t>
  </si>
  <si>
    <t xml:space="preserve">    Jurupa Valley </t>
  </si>
  <si>
    <t xml:space="preserve">    Elsinore, Lake</t>
  </si>
  <si>
    <t xml:space="preserve">    Menifee</t>
  </si>
  <si>
    <t xml:space="preserve">    Moreno Valley</t>
  </si>
  <si>
    <t xml:space="preserve">    Murrieta</t>
  </si>
  <si>
    <t xml:space="preserve">    Norco</t>
  </si>
  <si>
    <t xml:space="preserve">    Palm Desert</t>
  </si>
  <si>
    <t xml:space="preserve">    Palm Springs</t>
  </si>
  <si>
    <t xml:space="preserve">    Perris</t>
  </si>
  <si>
    <t xml:space="preserve">    Rancho Mirage</t>
  </si>
  <si>
    <t xml:space="preserve">    Riverside, City of</t>
  </si>
  <si>
    <t xml:space="preserve">    San Jacinto</t>
  </si>
  <si>
    <t xml:space="preserve">    Temecula</t>
  </si>
  <si>
    <t xml:space="preserve">    Wildomar</t>
  </si>
  <si>
    <t xml:space="preserve">    Unincorporated Riverside</t>
  </si>
  <si>
    <t>TOTAL Riverside County</t>
  </si>
  <si>
    <t>San Bernardino County</t>
  </si>
  <si>
    <t xml:space="preserve">    Adelanto</t>
  </si>
  <si>
    <t xml:space="preserve">    Apple Valley</t>
  </si>
  <si>
    <t xml:space="preserve">    Banning</t>
  </si>
  <si>
    <t xml:space="preserve">    Barstow</t>
  </si>
  <si>
    <t xml:space="preserve">    Chino</t>
  </si>
  <si>
    <t xml:space="preserve">    Chino Hills</t>
  </si>
  <si>
    <t xml:space="preserve">    Colton</t>
  </si>
  <si>
    <t xml:space="preserve">    Fontana</t>
  </si>
  <si>
    <t xml:space="preserve">    Grand Terrace</t>
  </si>
  <si>
    <t xml:space="preserve">    Hesperia</t>
  </si>
  <si>
    <t xml:space="preserve">    Highland</t>
  </si>
  <si>
    <t xml:space="preserve">    Loma Linda</t>
  </si>
  <si>
    <t xml:space="preserve">    Montclair</t>
  </si>
  <si>
    <t xml:space="preserve">    Ontario</t>
  </si>
  <si>
    <t xml:space="preserve">    Rancho Cucamonga</t>
  </si>
  <si>
    <t xml:space="preserve">    Redlands</t>
  </si>
  <si>
    <t xml:space="preserve">    Rialto</t>
  </si>
  <si>
    <t xml:space="preserve">    San Bernardino</t>
  </si>
  <si>
    <t xml:space="preserve">    Twentynine Palms</t>
  </si>
  <si>
    <t xml:space="preserve">    Upland</t>
  </si>
  <si>
    <t xml:space="preserve">    Victorville</t>
  </si>
  <si>
    <t xml:space="preserve">    Yucaipa</t>
  </si>
  <si>
    <t xml:space="preserve">    Yucca Valley</t>
  </si>
  <si>
    <t xml:space="preserve">    Unincorporated San Bernardino</t>
  </si>
  <si>
    <t>TOTAL San Bernardino County</t>
  </si>
  <si>
    <t>San Diego County</t>
  </si>
  <si>
    <t xml:space="preserve">    Unincorporated San Diego</t>
  </si>
  <si>
    <t>TOTAL San Diego County</t>
  </si>
  <si>
    <t>Santa Barbara County</t>
  </si>
  <si>
    <t xml:space="preserve">    Carpinteria</t>
  </si>
  <si>
    <t xml:space="preserve">    Goleta</t>
  </si>
  <si>
    <t xml:space="preserve">    Santa Barbara</t>
  </si>
  <si>
    <t xml:space="preserve">    Unincorporated Santa Barbara</t>
  </si>
  <si>
    <t>TOTAL Santa Barbara County</t>
  </si>
  <si>
    <t>Tulare County</t>
  </si>
  <si>
    <t xml:space="preserve">    Exeter</t>
  </si>
  <si>
    <t xml:space="preserve">    Farmersville</t>
  </si>
  <si>
    <t xml:space="preserve">    Lindsay</t>
  </si>
  <si>
    <t xml:space="preserve">    Porterville</t>
  </si>
  <si>
    <t xml:space="preserve">    Tulare</t>
  </si>
  <si>
    <t xml:space="preserve">    Visalia</t>
  </si>
  <si>
    <t xml:space="preserve">    Woodlake</t>
  </si>
  <si>
    <t xml:space="preserve">    Unincorporated Tulare</t>
  </si>
  <si>
    <t>TOTAL Tulare County</t>
  </si>
  <si>
    <t xml:space="preserve">Tuolumne County </t>
  </si>
  <si>
    <t xml:space="preserve">    Unincorporated Tuolumne</t>
  </si>
  <si>
    <t>TOTAL Tuolumne County</t>
  </si>
  <si>
    <t>Ventura County</t>
  </si>
  <si>
    <t xml:space="preserve">    Camarillo</t>
  </si>
  <si>
    <t xml:space="preserve">    Fillmore</t>
  </si>
  <si>
    <t xml:space="preserve">    Moorpark</t>
  </si>
  <si>
    <t xml:space="preserve">    Ojai</t>
  </si>
  <si>
    <t xml:space="preserve">    Oxnard</t>
  </si>
  <si>
    <t xml:space="preserve">    Port Hueneme</t>
  </si>
  <si>
    <t xml:space="preserve">    Santa Paula</t>
  </si>
  <si>
    <t xml:space="preserve">    Simi Valley</t>
  </si>
  <si>
    <t xml:space="preserve">    Thousand Oaks</t>
  </si>
  <si>
    <t xml:space="preserve">    Ventura</t>
  </si>
  <si>
    <t xml:space="preserve">    Unincorporated Ventura</t>
  </si>
  <si>
    <t>TOTAL Ventura County</t>
  </si>
  <si>
    <t>TOTAL SOUTHERN CALIFORNIA EDISON:</t>
  </si>
  <si>
    <t>I d) Dollar Value of Total Work Credit Allocations Available to Each Community Each Year (Nominal Terms)</t>
  </si>
  <si>
    <t>Clovis</t>
  </si>
  <si>
    <t>Coalinga</t>
  </si>
  <si>
    <t>Fresno</t>
  </si>
  <si>
    <t>Unincorporated Fresno County</t>
  </si>
  <si>
    <t>Fresno County Total</t>
  </si>
  <si>
    <t>PG&amp;E Total</t>
  </si>
  <si>
    <t>I g) Number of Projects per Community</t>
  </si>
  <si>
    <t xml:space="preserve">Initiated for the next ten years* </t>
  </si>
  <si>
    <t>In planning phase with a Utilities Conversion Plan</t>
  </si>
  <si>
    <t>In progress (construction)</t>
  </si>
  <si>
    <t>Disadvantaged Community? (Y/N)</t>
  </si>
  <si>
    <t>* process has started but no Utilities Conversion Plan</t>
  </si>
  <si>
    <t xml:space="preserve">                          Additional Project Information </t>
  </si>
  <si>
    <t>Project Resolution Pass Date</t>
  </si>
  <si>
    <t xml:space="preserve">Project Completed </t>
  </si>
  <si>
    <t>Date Final Funds are Transferred</t>
  </si>
  <si>
    <t>Total Business Days</t>
  </si>
  <si>
    <t>Current Age of Equipment (list by item)</t>
  </si>
  <si>
    <t>Years to Replacement for Equipment (list by item)</t>
  </si>
  <si>
    <t>Funds allocated to project covered by Rule 20A</t>
  </si>
  <si>
    <t>Were Contractors Hired? Yes/No</t>
  </si>
  <si>
    <t>% of Project Performed by Electric Utility (In-house)</t>
  </si>
  <si>
    <t>% of Project Performed by Contractors</t>
  </si>
  <si>
    <t>Communic-ation Utility Cost</t>
  </si>
  <si>
    <t>Total Applicant's Cost</t>
  </si>
  <si>
    <t>Total Project Cost</t>
  </si>
  <si>
    <t>Challenges to Project Completion (if Unfinished) and Experienced by Projects (if completed)</t>
  </si>
  <si>
    <t xml:space="preserve">Laguna Niguel </t>
  </si>
  <si>
    <t>Project A</t>
  </si>
  <si>
    <t>U_1234-E</t>
  </si>
  <si>
    <t>Main St.</t>
  </si>
  <si>
    <t>Project B</t>
  </si>
  <si>
    <t>320 C St. and 777 Sunshine Blvd along Masonic Rd.</t>
  </si>
  <si>
    <t>Project C</t>
  </si>
  <si>
    <t>Unincorporated OC</t>
  </si>
  <si>
    <t>Project W</t>
  </si>
  <si>
    <t>Orange County Total</t>
  </si>
  <si>
    <t>Carlsbad</t>
  </si>
  <si>
    <t>Project Z</t>
  </si>
  <si>
    <t>SDG&amp;E Total</t>
  </si>
  <si>
    <t>Thru y/e 2016</t>
  </si>
  <si>
    <t>Thru 2016</t>
  </si>
  <si>
    <t>Thru 2017</t>
  </si>
  <si>
    <t>2017 Alloc Bal</t>
  </si>
  <si>
    <t>(a)</t>
  </si>
  <si>
    <t>(b)</t>
  </si>
  <si>
    <t>(c)</t>
  </si>
  <si>
    <t>(d)</t>
  </si>
  <si>
    <t>(g)</t>
  </si>
  <si>
    <t>(f)</t>
  </si>
  <si>
    <t>(h)</t>
  </si>
  <si>
    <t>(i)</t>
  </si>
  <si>
    <t>(j)</t>
  </si>
  <si>
    <t>(k)</t>
  </si>
  <si>
    <t>(l)</t>
  </si>
  <si>
    <t>(m)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</si>
  <si>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</si>
  <si>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</si>
  <si>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</si>
  <si>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</si>
  <si>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</si>
  <si>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</si>
  <si>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</si>
  <si>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</si>
  <si>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</si>
  <si>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</si>
  <si>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</si>
  <si>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</si>
  <si>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Government Agency</t>
  </si>
  <si>
    <t>Historical Allocation</t>
  </si>
  <si>
    <t>Annual Allocation</t>
  </si>
  <si>
    <t>Total Allocation (b) + (c)</t>
  </si>
  <si>
    <t xml:space="preserve">Historical Transfer </t>
  </si>
  <si>
    <t>Annual Transfer</t>
  </si>
  <si>
    <t>Total Transfer (e) + (f)</t>
  </si>
  <si>
    <t>Adjusted Allocation Total             (d) + (g)</t>
  </si>
  <si>
    <t>Historical Approved Funds to Subsidize R20B Engin. Fees</t>
  </si>
  <si>
    <t>Historical Complete</t>
  </si>
  <si>
    <t>ANNUAL Approved Funds to Subsidize R20B Engin. Fees</t>
  </si>
  <si>
    <t>Annual 20A Complete</t>
  </si>
  <si>
    <t>R20B Total Complete         (i) + (k)</t>
  </si>
  <si>
    <t>R20A Total Complete                  (j) + (l)</t>
  </si>
  <si>
    <t>Total Complete      (m) +(n)</t>
  </si>
  <si>
    <t>Incomplete</t>
  </si>
  <si>
    <t>Total Expend       (m) + (n)</t>
  </si>
  <si>
    <t>Over Expend neg. value    (h) - (o)</t>
  </si>
  <si>
    <t>Under Expend     pos. value      (h) - (o)</t>
  </si>
  <si>
    <t>The "GAP" Total (p) + (q)</t>
  </si>
  <si>
    <t>Committed Incomplete</t>
  </si>
  <si>
    <t>Committed Pending</t>
  </si>
  <si>
    <t>Total Committed       (s) + (t)</t>
  </si>
  <si>
    <t>Reserve Amount     pos. value     (r) - (u) &gt; (0)</t>
  </si>
  <si>
    <t>Mortgage Amount       neg. value       (r) - (u) &lt; (0)</t>
  </si>
  <si>
    <t>Future Project</t>
  </si>
  <si>
    <t>Case 9365</t>
  </si>
  <si>
    <t xml:space="preserve">Years Mortgaged </t>
  </si>
  <si>
    <t>Ventura</t>
  </si>
  <si>
    <t>Grand Totals</t>
  </si>
  <si>
    <t>Use for Historical Complete on Exhibit A (4)</t>
  </si>
  <si>
    <t>CK</t>
  </si>
  <si>
    <t>Line 9 - If expenditures are greater than allocations (a negative number)</t>
  </si>
  <si>
    <t>Line 10 - If allocations are greater than expenditures (a positive number)</t>
  </si>
  <si>
    <t>IMPORTANT INFORMATION:</t>
  </si>
  <si>
    <t>Adjusted Allocation Total minus Total Expenditures</t>
  </si>
  <si>
    <t>*City of Orange has Requested $60,000 of Rule 20A Work Credits towards the Tustin Rule 20B Assessment District Project - NOT deducted from Allocation a/o 04/23/2009</t>
  </si>
  <si>
    <t>** City of Villa Park has agreed to transfer back future annual allocations totalling $120,000 to the City of Laguna Woods once Villa Park no longer has a mortgaged balance, beginning in 2017 (see files for request and confirmation letters.)</t>
  </si>
  <si>
    <t>RPTD $5,222,970 for 2011 for Cliff Dr. Project in Santa Barbara. Credited $72,970 to recorded costs to cap total project costs at $5,150,000. NO add'tl $ should be deducted from their allocations for this project. 5/16/2012</t>
  </si>
  <si>
    <t>*City of Palo Verdes Estate allocation balance has increased $282,595 for 2014  . The formula in the Historical R20B Seed Money (column i)  column was deducted multiple times. Formula corrected to account for 20B and 20A by adding additional columns .</t>
  </si>
  <si>
    <t xml:space="preserve">4/2015 Tony Mathis determined that the incurred costs of $44,271.25 should be deducted from Hemet's balance to account for the cancelled Acia/ Lyon Ave project. </t>
  </si>
  <si>
    <t>(I.a-b) Eligible and Ineligible Communities</t>
  </si>
  <si>
    <t>Total number of ratepayers</t>
  </si>
  <si>
    <t>Total number of Overhead Meters</t>
  </si>
  <si>
    <t>Total number of Meters</t>
  </si>
  <si>
    <t>Eligible/ Ineligible</t>
  </si>
  <si>
    <t>If Ineligible, Why?</t>
  </si>
  <si>
    <t xml:space="preserve">% of Total Overhead Meters Relative to SCE System Overhead Meters </t>
  </si>
  <si>
    <t xml:space="preserve">% of Total Meters Relative to SCE System Meters </t>
  </si>
  <si>
    <t>Is this a DAC?* Yes/No/Uncertain</t>
  </si>
  <si>
    <t>Urban/ Suburban/Rural</t>
  </si>
  <si>
    <t xml:space="preserve">If Has Never Completed a Project Explanation Why  </t>
  </si>
  <si>
    <t>(County and Total Service Territory only): Percent of Meters that are ineligible</t>
  </si>
  <si>
    <t>(County and Total Service Territory only): Percent of Ratepayers that are in Communities that are ineligible</t>
  </si>
  <si>
    <t xml:space="preserve">Eligible </t>
  </si>
  <si>
    <t>Number of Communities and Number of Ratepayers from DACs (total Fresno County)</t>
  </si>
  <si>
    <t>1 Community, 3,080 Ratepayers</t>
  </si>
  <si>
    <t>Total Number of Communities and Number of Ratepayers (total Fresno County)</t>
  </si>
  <si>
    <t xml:space="preserve">Allocation Balance less than required for minimim project </t>
  </si>
  <si>
    <t>Imperial County Total</t>
  </si>
  <si>
    <t>Number of Communities and Number of Ratepayers from DACs (total Imperial County)</t>
  </si>
  <si>
    <t>1 Community, 430 Ratepayers</t>
  </si>
  <si>
    <t>Total Number of Communities and Number of Ratepayers (total Imperial County)</t>
  </si>
  <si>
    <t>Number of Communities and Number of Ratepayers from DACs (total Inyo County)</t>
  </si>
  <si>
    <t xml:space="preserve">0 Communites, 0 Ratepayers </t>
  </si>
  <si>
    <t>Total Number of Communities and Number of Ratepayers (total Inyo County)</t>
  </si>
  <si>
    <t xml:space="preserve">2 Communite; 5,985 Ratepayers </t>
  </si>
  <si>
    <t>Number of Communities and Number of Ratepayers from DACs (total Kern County)</t>
  </si>
  <si>
    <t>4 Communites; 65,997  Ratepayers</t>
  </si>
  <si>
    <t>Total Number of Communities and Number of Ratepayers (total Kern County)</t>
  </si>
  <si>
    <t xml:space="preserve">6 Communites; 84,015 Ratepayers </t>
  </si>
  <si>
    <t>Number of Communities and Number of Ratepayers from DACs (total Kings County)</t>
  </si>
  <si>
    <t>Total Number of Communities and Number of Ratepayers (total Kings County)</t>
  </si>
  <si>
    <t xml:space="preserve">2 Communites; 27,789 Ratepayers </t>
  </si>
  <si>
    <t xml:space="preserve">Uknown </t>
  </si>
  <si>
    <t>Number of Communities and Number of Ratepayers from DACs (total Los Angeles County)</t>
  </si>
  <si>
    <t>52 Communities; 1,529,726 Ratepayers</t>
  </si>
  <si>
    <t>Total Number of Communities and Number of Ratepayers (total Los Angeles County)</t>
  </si>
  <si>
    <t>87 Communites, 2,056,393 Ratepayers</t>
  </si>
  <si>
    <t>Number of Communities and Number of Ratepayers from DACs (total Madera County)</t>
  </si>
  <si>
    <t>1 Comminity; 22 Ratepayers</t>
  </si>
  <si>
    <t>Total Number of Communities and Number of Ratepayers (total Madera County)</t>
  </si>
  <si>
    <t>Number of Communities and Number of Ratepayers from DACs (total Mono County)</t>
  </si>
  <si>
    <t>Total Number of Communities and Number of Ratepayers (total Mono County)</t>
  </si>
  <si>
    <t xml:space="preserve">2 Communites; 14,701 Ratepayers </t>
  </si>
  <si>
    <t>Number of Communities and Number of Ratepayers from DACs (total Orange County)</t>
  </si>
  <si>
    <t xml:space="preserve">13 Communites; 5337,190 Ratepayers </t>
  </si>
  <si>
    <t>Total Number of Communities and Number of Ratepayers (total Orange County)</t>
  </si>
  <si>
    <t xml:space="preserve">32 Communites, 993,212 Ratepayers </t>
  </si>
  <si>
    <t>Number of Communities and Number of Ratepayers from DACs (total Riverside County)</t>
  </si>
  <si>
    <t xml:space="preserve">13 Communites; 401,229Ratepayers </t>
  </si>
  <si>
    <t>Total Number of Communities and Number of Ratepayers (total Riverside County)</t>
  </si>
  <si>
    <t xml:space="preserve">25 Communities; 670,095 Ratepayers </t>
  </si>
  <si>
    <t>Number of Communities and Number of Ratepayers from DACs (total San Bernardino County)</t>
  </si>
  <si>
    <t xml:space="preserve">18 Communites; 647,602Ratepayers </t>
  </si>
  <si>
    <t>Total Number of Communities and Number of Ratepayers (total San Bernardino County)</t>
  </si>
  <si>
    <t xml:space="preserve">24 Communities; 742,197 Ratepayers </t>
  </si>
  <si>
    <t>Number of Communities and Number of Ratepayers from DACs (total San Diego County)</t>
  </si>
  <si>
    <t xml:space="preserve">1 Community; 16 Ratepayers </t>
  </si>
  <si>
    <t>Total Number of Communities and Number San Diego County)</t>
  </si>
  <si>
    <t>Number of Communities and Number of Ratepayers from DACs (total Santa Barbara County)</t>
  </si>
  <si>
    <t>Total Number of Communities and Number Santa Barbara County)</t>
  </si>
  <si>
    <t xml:space="preserve">4 Communities; 87,688 Ratepayers </t>
  </si>
  <si>
    <t>Number of Communities and Number of Ratepayers from DACs (total Tulare County)</t>
  </si>
  <si>
    <t>6 Communities; 163,282Ratepayers</t>
  </si>
  <si>
    <t>Total Number of Communities and Number Tulare County)</t>
  </si>
  <si>
    <t xml:space="preserve">8 Communities; 169,743 Ratepayers </t>
  </si>
  <si>
    <t>Unincorporated Tuolumne</t>
  </si>
  <si>
    <t>Number of Communities and Number of Ratepayers from DACs (total Tuolumne County)</t>
  </si>
  <si>
    <t>Total Number of Communities and Number Tuolumne County)</t>
  </si>
  <si>
    <t xml:space="preserve">1 Community; 29 Ratepayers </t>
  </si>
  <si>
    <t>Number of Communities and Number of Ratepayers from DACs (total Ventura County)</t>
  </si>
  <si>
    <t>3 Communities; 145,513 Ratepayers</t>
  </si>
  <si>
    <t>Total Number of Communities and Number Ventura County)</t>
  </si>
  <si>
    <t xml:space="preserve">11 Communites; 319,662 Ratepayers </t>
  </si>
  <si>
    <t>(I.h) Historical Project Data Since Program Inception</t>
  </si>
  <si>
    <t>Community</t>
  </si>
  <si>
    <t>Unique Project Identifier</t>
  </si>
  <si>
    <t>County</t>
  </si>
  <si>
    <t>Dollar Amount (Nominal) provided via Rule 20A</t>
  </si>
  <si>
    <t>Year Completed</t>
  </si>
  <si>
    <t>Date Paid</t>
  </si>
  <si>
    <t>Los Angeles</t>
  </si>
  <si>
    <t>6544-6257, 6544,6247, 61446233, 8455-4996</t>
  </si>
  <si>
    <t>Mono</t>
  </si>
  <si>
    <t>Riverside</t>
  </si>
  <si>
    <t>8000022744, 800022986, 6047-6213</t>
  </si>
  <si>
    <t>800016365, 800016364, 60266295</t>
  </si>
  <si>
    <t xml:space="preserve">San Bernardino </t>
  </si>
  <si>
    <t>8000039548, 800039547, 800239549, 800055406</t>
  </si>
  <si>
    <t xml:space="preserve">Kern </t>
  </si>
  <si>
    <t>800030499, 80031204, 800025811, 800055006</t>
  </si>
  <si>
    <t>TD358886, TD358885,800887793</t>
  </si>
  <si>
    <t>800023329, 80029773, 800030879, 800055011</t>
  </si>
  <si>
    <t>TD646181, TD646178, 8011</t>
  </si>
  <si>
    <t>TD977713, TD977111</t>
  </si>
  <si>
    <t>TD45496, TD654186, 800721962</t>
  </si>
  <si>
    <t>TD812414, TD731314, TD31315</t>
  </si>
  <si>
    <t>TD1015088, TD1015087</t>
  </si>
  <si>
    <t>TD984642, TD374983, 800657632</t>
  </si>
  <si>
    <t xml:space="preserve">Bell Gardens </t>
  </si>
  <si>
    <t>Park to Playa - Distribution</t>
  </si>
  <si>
    <t xml:space="preserve">Park to Playa - Transmission </t>
  </si>
  <si>
    <t>TD1231095</t>
  </si>
  <si>
    <t>TD1432109</t>
  </si>
  <si>
    <t>TD1076073, TD1076072</t>
  </si>
  <si>
    <t xml:space="preserve">II a)-d) Cost and Credit Allocations by Community (Nominal Terms) </t>
  </si>
  <si>
    <t>Estimated Cost of Projects Initiated/ in Progress</t>
  </si>
  <si>
    <t>Ratepayer Costs</t>
  </si>
  <si>
    <t>Non-Ratepayer City Department Staff Time Costs</t>
  </si>
  <si>
    <t>Total Non-Ratepayer Costs</t>
  </si>
  <si>
    <t>Total Cost of Completed Project</t>
  </si>
  <si>
    <t>Value of Mortgaged Credits</t>
  </si>
  <si>
    <t xml:space="preserve">Value of Traded/ Transferred/ Purchased from other communities </t>
  </si>
  <si>
    <t>Total Credits Borrowed Net of Transfers</t>
  </si>
  <si>
    <t>Did the Project (completed or underway) rely on purchased / traded credits from other communities? Yes=1, No=0</t>
  </si>
  <si>
    <t>Percent of Ratepayer Project Funding from Credits Bought/ Traded</t>
  </si>
  <si>
    <t>Cost of Acquiring Those Credits (e.g. $0.50 per each $1 of Credits)</t>
  </si>
  <si>
    <t>(I. h) Historical Community Data Since Program Inception</t>
  </si>
  <si>
    <t>Number of work credits at beginning of year</t>
  </si>
  <si>
    <t>The Rule 20A work credit allocation amount (per allocation rule)</t>
  </si>
  <si>
    <t>Budgeted amount (internally at IOU)</t>
  </si>
  <si>
    <t>Number of work credits added through borrowing forward from Utility</t>
  </si>
  <si>
    <t>Number of work credits added through trading with another community</t>
  </si>
  <si>
    <t xml:space="preserve">Breakdown of trading amounts by trading partners </t>
  </si>
  <si>
    <t>Amount of work credits spent</t>
  </si>
  <si>
    <t>Value of total projects in a community completed for the year (estimated if not known)</t>
  </si>
  <si>
    <t>Internal Adjustments</t>
  </si>
  <si>
    <t xml:space="preserve">Ending number of credits </t>
  </si>
  <si>
    <t xml:space="preserve">Explain Negative Balance </t>
  </si>
  <si>
    <t>Nominal $ &amp; (Name)</t>
  </si>
  <si>
    <t>Planned future borrowing of allocations at initiation of project. Project managed to within a 5 year mortgage.</t>
  </si>
  <si>
    <t>Mc Farland</t>
  </si>
  <si>
    <t>$641,718 (Unincorporated Kings County)</t>
  </si>
  <si>
    <t>$(641,718) Hanford</t>
  </si>
  <si>
    <t>Grandfathered, project initiated and in construction prior to  Resolution E-4001 regarding borrowing of future allocations.</t>
  </si>
  <si>
    <t>Grandfathered, project in construction prior to  Resolution E-4001 regarding borrowing of future allocations. No data available due to records retention.</t>
  </si>
  <si>
    <t>Grandfathered, project initiated and in construction prior to  Resolution E-4001 regarding borrowing of future allocations. No data available due to records retention.</t>
  </si>
  <si>
    <t>$(200,000) Glendora</t>
  </si>
  <si>
    <t>Minor cost overrun of less than 5%</t>
  </si>
  <si>
    <t xml:space="preserve">Planned future borrowing of allocations at initiation of project </t>
  </si>
  <si>
    <t xml:space="preserve">Planned future borrowing of allocations at initiation of project. Project managed to within a 5 year mortgage </t>
  </si>
  <si>
    <t xml:space="preserve">Planned future borrowing of allocations at initiation of project. Project managed to within a 5 year mortgage. </t>
  </si>
  <si>
    <t>$(3,100,000) La Verne</t>
  </si>
  <si>
    <t xml:space="preserve">(2,095,572) Laguna Beach </t>
  </si>
  <si>
    <t>Project Redesigned and additional trench footage added. Project completed within 5 year mortgage.</t>
  </si>
  <si>
    <t>(3,157,150) West Hollywood</t>
  </si>
  <si>
    <t>Grandfathered, project initiated and in construction prior to  Resolution E-4001 regarding borrowing of future allocations.  Project redesigned after conflicts with Chevron oil lines encountered during construction.</t>
  </si>
  <si>
    <t>$200,000 Azusa</t>
  </si>
  <si>
    <t>Planned future borrowing of allocations at initiation of project. Project managed to within 5 year mortgage.</t>
  </si>
  <si>
    <t xml:space="preserve">Planned future borrowing of allocations at initiation of project. Project managed to within 5 year mortgage. </t>
  </si>
  <si>
    <t>$500,000 Unincorporated Los Angeles</t>
  </si>
  <si>
    <t>$3,100,000 Covina</t>
  </si>
  <si>
    <t>(2,722,215) Newport Beach</t>
  </si>
  <si>
    <t>No project data available due to records retention. Project managed to within a five-year mortgage.</t>
  </si>
  <si>
    <t xml:space="preserve">(1,125,491) Rolling Hills </t>
  </si>
  <si>
    <t xml:space="preserve">1,125,491 Palos Verdes Estates </t>
  </si>
  <si>
    <t>(1,1142,180) Laguna Beach</t>
  </si>
  <si>
    <t>3,157,150 (El Monte)</t>
  </si>
  <si>
    <t>$(500,000) La Mirada</t>
  </si>
  <si>
    <t>$360,040 Mono County</t>
  </si>
  <si>
    <t>$(360,040) Mammoth Lakes</t>
  </si>
  <si>
    <t>$(643,334) Laguna Beach</t>
  </si>
  <si>
    <t>$(97,720) Laguna Beach</t>
  </si>
  <si>
    <t>$(64,897) Laguna Beach</t>
  </si>
  <si>
    <t>$(137,053) Laguna Beach</t>
  </si>
  <si>
    <t>$(89,479) Laguna Beach</t>
  </si>
  <si>
    <t>(95,961)  Yorba Linda</t>
  </si>
  <si>
    <t>Additional scope and trenching added during design. Currently under review.</t>
  </si>
  <si>
    <t>(4,373,354) Laguna Beach</t>
  </si>
  <si>
    <t>$ (500,00) Wesminister</t>
  </si>
  <si>
    <t>$91,847,982) Garden Grove</t>
  </si>
  <si>
    <t>52,557 (Aliso Viejo, 7,593 ( Bishop), 48,055 (California City), 28,346 ( Industry), 12,022 (Laguna Hills), 29,775 (Laguna Niguel), 37,424 (Laguna Woods), 5,673 (McFarland), 54,402 (Norco), 53,632 (Unincorp. Fresno), 13,791 ( Unincorp. Imperial), 557 (Unincorp . Tuolumne), 56,534 (Woodlake)</t>
  </si>
  <si>
    <t xml:space="preserve">Resolution E-4146 ordered SCE to transfer unused allocations from inactive communities to bring the La Habra project to within a five-year mortgage. </t>
  </si>
  <si>
    <t>$643,334 Laguna Beach; $795,547 (Rancho Santa Margarita</t>
  </si>
  <si>
    <t>$97,720 Aliso Viejo</t>
  </si>
  <si>
    <t>$(64,897) Aliso Viejo; $(117,344) Laguna Niguel; $(173,649) Rancho Santa Margarita</t>
  </si>
  <si>
    <t>$(137,053) Aliso Viejo; $(144,290) Rancho Sanrta Margarita</t>
  </si>
  <si>
    <t>$(89,479) Aliso Viejo; $(97,468)Rancho Santa Margarita</t>
  </si>
  <si>
    <t>(2,095,572) Covina                                (4,373,354) Fullerton                (265,605) Indian Wells               (574,623) Laguna Woods          (1,142,180) Sierra Madre</t>
  </si>
  <si>
    <t xml:space="preserve">Indian Wells </t>
  </si>
  <si>
    <t>$117,344 Laguna Beach</t>
  </si>
  <si>
    <t xml:space="preserve">  $(80,000) Villa Park</t>
  </si>
  <si>
    <t>18,960 Villa Park ;                    (574,623) Laguna Beach</t>
  </si>
  <si>
    <t xml:space="preserve">10,372 Villa Park </t>
  </si>
  <si>
    <t>$(188,255) Newport Beach</t>
  </si>
  <si>
    <t>$(169,968) Newport Beach</t>
  </si>
  <si>
    <t xml:space="preserve">$(99,143) Newport Beach </t>
  </si>
  <si>
    <t>$(100,957) Newport Beach</t>
  </si>
  <si>
    <t>$(131,762) Newport Beach</t>
  </si>
  <si>
    <t xml:space="preserve">(142,009) Newport Beach </t>
  </si>
  <si>
    <t>$188,255 Mission Viejo</t>
  </si>
  <si>
    <t>$1,847,982 Garden Grove</t>
  </si>
  <si>
    <t>$169,968 Mission Viejo</t>
  </si>
  <si>
    <t>$100,957 Mission Viejo</t>
  </si>
  <si>
    <t>$131,762 Mission Viejo</t>
  </si>
  <si>
    <t>2,722,215 Lynwood                           142,009 Mission Viejo</t>
  </si>
  <si>
    <t>$(1,117,793) Indian Wells</t>
  </si>
  <si>
    <t>$(795,547) Laguna Beach</t>
  </si>
  <si>
    <t>$(173,649) Laguna Beach</t>
  </si>
  <si>
    <t>$(144,290) Laguna Beach</t>
  </si>
  <si>
    <t>$97,468) Laguna Beach</t>
  </si>
  <si>
    <t>$(50,000) Villa Park</t>
  </si>
  <si>
    <t>$50,000 Stanton; $80,000 Laguna Woods</t>
  </si>
  <si>
    <t xml:space="preserve">(18,960) Laguna Woods </t>
  </si>
  <si>
    <t xml:space="preserve">(10,372) Laguna Woods </t>
  </si>
  <si>
    <t>$500,000 (Garden Grove)</t>
  </si>
  <si>
    <t xml:space="preserve">95,961 Aliso Viejo </t>
  </si>
  <si>
    <t>Project Redesigned and re-scoped into Rule 20A and Rule 20B portions.</t>
  </si>
  <si>
    <t>Project Redesigned and additional trench footage added. Project managed to within 5 year mortgage</t>
  </si>
  <si>
    <t>$ 225,000 Laguna Niguel; $1,117,793 Placentia; $600,000 Woodlake</t>
  </si>
  <si>
    <t>(265,605) Laguna Beach</t>
  </si>
  <si>
    <t xml:space="preserve">Elsinore, Lake </t>
  </si>
  <si>
    <t>$99,143 Mission Viejo</t>
  </si>
  <si>
    <t>Project Redesigned and additional trench footage added. Project managed to within 5 year mortgage.</t>
  </si>
  <si>
    <t>Less than 1 year mortgage</t>
  </si>
  <si>
    <t>$(600,000) Indian Wells</t>
  </si>
  <si>
    <t>TUOLOMNE County</t>
  </si>
  <si>
    <t>TuolOmne County</t>
  </si>
  <si>
    <t>Planned future borrowing of allocations at initiation of project . Cost increase due to high water level and the need for dewatering.</t>
  </si>
  <si>
    <t>(II.e) Annual Rule 20A Spending by Community (Nominal Terms)</t>
  </si>
  <si>
    <t>Utility's total Rule 20A spending by Community</t>
  </si>
  <si>
    <t xml:space="preserve">Total Dollar Value of projects completed </t>
  </si>
  <si>
    <t>Inyo County Total</t>
  </si>
  <si>
    <t>Kern County Total</t>
  </si>
  <si>
    <t>Kings County Total</t>
  </si>
  <si>
    <t>Los Angeles County Total</t>
  </si>
  <si>
    <t>MADERA County Total</t>
  </si>
  <si>
    <t>Mono County Total</t>
  </si>
  <si>
    <t>Riverside County Total</t>
  </si>
  <si>
    <t>San Bernardino County Total</t>
  </si>
  <si>
    <t>San Diego County Total</t>
  </si>
  <si>
    <t>Santa Barbara County Total</t>
  </si>
  <si>
    <t>Tulare County Total</t>
  </si>
  <si>
    <t>Tuolumne County Total</t>
  </si>
  <si>
    <t>Ventura County Total</t>
  </si>
  <si>
    <t xml:space="preserve">SCE Totals </t>
  </si>
  <si>
    <t>VI a) Non-Participating Communities</t>
  </si>
  <si>
    <t>Total Number of Ratepayers</t>
  </si>
  <si>
    <t>Is this a DAC? Y/N</t>
  </si>
  <si>
    <t>Urban/ Suburban/ Rural</t>
  </si>
  <si>
    <t>Explanation Why Never Completed a Project</t>
  </si>
  <si>
    <t>Community X</t>
  </si>
  <si>
    <t>County Z</t>
  </si>
  <si>
    <t>Y</t>
  </si>
  <si>
    <t xml:space="preserve">Rural </t>
  </si>
  <si>
    <t>"Community X has only 5 residences and a gas station"</t>
  </si>
  <si>
    <t>Community Y</t>
  </si>
  <si>
    <t>N</t>
  </si>
  <si>
    <t>"Community Y has not established an undergrounding district"</t>
  </si>
  <si>
    <t>Number of Communities and Number of Ratepayers from DACs</t>
  </si>
  <si>
    <t>30 Communities, 4000 Ratepayers</t>
  </si>
  <si>
    <t>Total Number of Communities and Number of Ratepayers</t>
  </si>
  <si>
    <t>50 Communities, 7000 Ratepayers</t>
  </si>
  <si>
    <t>* Note: a project is in a DAC if it is if it is “in or partially in a Disadvantaged Community”</t>
  </si>
  <si>
    <t>(II.f) Allocations and Borrowing Report Year 2016</t>
  </si>
  <si>
    <t>Jusridiction Accounting</t>
  </si>
  <si>
    <t>Project Accounting</t>
  </si>
  <si>
    <t>5-Year Plan? Y/N</t>
  </si>
  <si>
    <t>Utility Underground District? (Y/N)</t>
  </si>
  <si>
    <t>Balance            (3-31-15)</t>
  </si>
  <si>
    <t xml:space="preserve">2016 Allocation </t>
  </si>
  <si>
    <t>Balance            (3-31-16)</t>
  </si>
  <si>
    <t>Allocations Borrowed Forward</t>
  </si>
  <si>
    <t xml:space="preserve">Value of Allocation Change through Trading </t>
  </si>
  <si>
    <t>Balance + Borrow + Trading</t>
  </si>
  <si>
    <t>Total Amount Owe/Owed ($ of Credits Traded)</t>
  </si>
  <si>
    <t>Community That Owes/ Owed To</t>
  </si>
  <si>
    <t>Balance Due</t>
  </si>
  <si>
    <t>Year Balance Projected to be Paid Off</t>
  </si>
  <si>
    <t>Project Cost</t>
  </si>
  <si>
    <t>Remaining Balance</t>
  </si>
  <si>
    <t>20A Funds used for 20B Priojects</t>
  </si>
  <si>
    <t>20A Funds used for 20C Priojects</t>
  </si>
  <si>
    <t>20A Funds used for 20D Priojects</t>
  </si>
  <si>
    <t>Years</t>
  </si>
  <si>
    <t>$ X</t>
  </si>
  <si>
    <t>Tuolumne County</t>
  </si>
  <si>
    <t>check</t>
  </si>
  <si>
    <t>(II.f) Allocations and Borrowing Report Year 2017</t>
  </si>
  <si>
    <t xml:space="preserve">2017 Allocation </t>
  </si>
  <si>
    <t>Balance          (3-31-17)</t>
  </si>
  <si>
    <t>(II.f) Allocations and Borrowing Report Year 2018</t>
  </si>
  <si>
    <t>Balance            (3-31-17)</t>
  </si>
  <si>
    <t xml:space="preserve">2018 Allocation </t>
  </si>
  <si>
    <t>Balance          (3-31-18)</t>
  </si>
  <si>
    <t>(II.f) Allocations and Borrowing Report Year 2019</t>
  </si>
  <si>
    <t>Balance            (3-31-18)</t>
  </si>
  <si>
    <t xml:space="preserve">2019 Allocation </t>
  </si>
  <si>
    <t xml:space="preserve">Balance          (03-31-19) </t>
  </si>
  <si>
    <t>(II.f) Allocations and Borrowing Report Year 2020</t>
  </si>
  <si>
    <t xml:space="preserve">2020 Annual Allocation </t>
  </si>
  <si>
    <t xml:space="preserve">Balance          (03-31-20) </t>
  </si>
  <si>
    <t xml:space="preserve"> Inception of Program to 2019</t>
  </si>
  <si>
    <t>(VII.) Annual Rule 20A Spending by Community (Nominal Terms)</t>
  </si>
  <si>
    <t>Date of Transaction</t>
  </si>
  <si>
    <t>Trade Recipient</t>
  </si>
  <si>
    <t>Trader</t>
  </si>
  <si>
    <t>Number of Credits Received</t>
  </si>
  <si>
    <t xml:space="preserve">What the Trader Received </t>
  </si>
  <si>
    <t>Please Cite Document(s) by Name in Which Utility Granted Approval of Credit Purchasing Transaction Between Communities***</t>
  </si>
  <si>
    <t>(Date)</t>
  </si>
  <si>
    <t>(Full Date)</t>
  </si>
  <si>
    <t>(Name)</t>
  </si>
  <si>
    <t>(Number)</t>
  </si>
  <si>
    <t>(Nomial $)</t>
  </si>
  <si>
    <t xml:space="preserve">(Explanantion) </t>
  </si>
  <si>
    <t xml:space="preserve">Hawaiian Gardens </t>
  </si>
  <si>
    <t xml:space="preserve">Alllocation Transfer Request Letter </t>
  </si>
  <si>
    <t xml:space="preserve"> CPUC Resolution E-4101</t>
  </si>
  <si>
    <t xml:space="preserve">Placentia </t>
  </si>
  <si>
    <t xml:space="preserve">Laguna Beach </t>
  </si>
  <si>
    <t xml:space="preserve">Rancho Santa Margarita </t>
  </si>
  <si>
    <t xml:space="preserve">Villa Park </t>
  </si>
  <si>
    <t xml:space="preserve">La Mirada </t>
  </si>
  <si>
    <t xml:space="preserve">Covina </t>
  </si>
  <si>
    <t xml:space="preserve">Palos Verde Estates </t>
  </si>
  <si>
    <t xml:space="preserve">Rolling Hills </t>
  </si>
  <si>
    <t xml:space="preserve">Sierra Madre </t>
  </si>
  <si>
    <t xml:space="preserve">Laguna Woods </t>
  </si>
  <si>
    <t xml:space="preserve">West Hollywood </t>
  </si>
  <si>
    <t xml:space="preserve">Lynwood </t>
  </si>
  <si>
    <t xml:space="preserve">*** SCE is unaware of any cost associated with transfers between agencies. Documentation provided request transfer completion. </t>
  </si>
  <si>
    <t>(VIII.)  Community Rule 20 A Credits Redeemed (Nominal Terms)</t>
  </si>
  <si>
    <t>Is the Community a DAC?</t>
  </si>
  <si>
    <t>Number of Overhead Line Miles Converted to Underground</t>
  </si>
  <si>
    <t>Number of Credits Redeemed</t>
  </si>
  <si>
    <t>Rank</t>
  </si>
  <si>
    <t>Yes/No/Unsure</t>
  </si>
  <si>
    <t>Inyo</t>
  </si>
  <si>
    <t>Kern</t>
  </si>
  <si>
    <t>Kings</t>
  </si>
  <si>
    <t>Imperial</t>
  </si>
  <si>
    <t>Madera</t>
  </si>
  <si>
    <t>San Diego</t>
  </si>
  <si>
    <t>Tuolomne</t>
  </si>
  <si>
    <t xml:space="preserve">DISADVANTAGED COMMUNITY </t>
  </si>
  <si>
    <t xml:space="preserve">JURISDICTION </t>
  </si>
  <si>
    <t>Last updated:</t>
  </si>
  <si>
    <t xml:space="preserve">(IX.) Cost of Rule 20 A Program per Residential Customer </t>
  </si>
  <si>
    <t>Monthly cost per average residential customer</t>
  </si>
  <si>
    <t>Annual cost per average residential customer</t>
  </si>
  <si>
    <t xml:space="preserve">Number of Residential Electrical Meters </t>
  </si>
  <si>
    <t>Annual gross cost to residential customers (as SCE reported to Jonathan)</t>
  </si>
  <si>
    <t>Percent of Total Annual Cost that annual gross cost to residential  customers represents (Column G/I shown as a %)</t>
  </si>
  <si>
    <r>
      <t xml:space="preserve">Total Annual cost (from Completion Reports, Line 5)
</t>
    </r>
    <r>
      <rPr>
        <sz val="11"/>
        <color rgb="FFFF0000"/>
        <rFont val="Calibri"/>
        <family val="2"/>
        <scheme val="minor"/>
      </rPr>
      <t>[</t>
    </r>
    <r>
      <rPr>
        <b/>
        <u val="singleAccounting"/>
        <sz val="11"/>
        <color rgb="FFFF0000"/>
        <rFont val="Calibri"/>
        <family val="2"/>
        <scheme val="minor"/>
      </rPr>
      <t>SCE PLEASE CONFIRM</t>
    </r>
    <r>
      <rPr>
        <sz val="11"/>
        <color rgb="FFFF0000"/>
        <rFont val="Calibri"/>
        <family val="2"/>
        <scheme val="minor"/>
      </rPr>
      <t xml:space="preserve"> as there are number in column F that are larger than in this column for the same year]</t>
    </r>
  </si>
  <si>
    <t xml:space="preserve">Total residential customers </t>
  </si>
  <si>
    <t>Total non-residential customers (e.g. C&amp;I customers)</t>
  </si>
  <si>
    <t xml:space="preserve">Send Note to Kathy and Louise </t>
  </si>
  <si>
    <t xml:space="preserve">HIGH PRIORITY PROJECT PROPOSALS </t>
  </si>
  <si>
    <t xml:space="preserve"> (Current Projects with approved UUD)   </t>
  </si>
  <si>
    <t xml:space="preserve">(Future Projects without an approved UUD)   </t>
  </si>
  <si>
    <t xml:space="preserve">Project Location </t>
  </si>
  <si>
    <t xml:space="preserve">Cost Estimate </t>
  </si>
  <si>
    <t xml:space="preserve"># OH Line Miles Converted </t>
  </si>
  <si>
    <t>Commonwealth - Olive to Palm</t>
  </si>
  <si>
    <t>Chapel - S/O Mission to N/O Los Higos</t>
  </si>
  <si>
    <t>Chapel - San Marino to S/O E. Linda</t>
  </si>
  <si>
    <t>Baldwin Park Blvd - Kenmore to Bresee</t>
  </si>
  <si>
    <t>Shoemaker - Droxford to 183rd St</t>
  </si>
  <si>
    <t>Culver Blvd - s/o Sepulveda to Commonwealth</t>
  </si>
  <si>
    <t>Foothill Blvd - Valencia to w/o Grand Ave.</t>
  </si>
  <si>
    <t>Civic Center Dr. - Norwalk Blvd to Juan Ave.</t>
  </si>
  <si>
    <t>Amar Road - Puente Ave to Willow Ave</t>
  </si>
  <si>
    <t>White Ave. - Town Center Drive to 1st St</t>
  </si>
  <si>
    <t>Beverly Blvd - Montebello to E. City Boundary</t>
  </si>
  <si>
    <t>Pioneer Blvd St - Alondra to 166th</t>
  </si>
  <si>
    <t>Hamilton Blvd - West 1st to West Orange Grove</t>
  </si>
  <si>
    <t>Palos Verdes Dr So - La Rotonda Dr to E city limits</t>
  </si>
  <si>
    <t>Crenshaw Blvd - Crest Road to s/o Valley View</t>
  </si>
  <si>
    <t>Pacific Coast Highway - Prospect, E to city Boundary</t>
  </si>
  <si>
    <t xml:space="preserve">Crest Road - Cabelleros to E. city limits </t>
  </si>
  <si>
    <t>Walnut Grove - Marshall Ave to Valley Blvd</t>
  </si>
  <si>
    <t>San Dimas - E. Commercial to E. Bonita</t>
  </si>
  <si>
    <t>Del Mar - Robin Road to Loraine Road</t>
  </si>
  <si>
    <t>Santa Anita - Tyler to Merced</t>
  </si>
  <si>
    <t>Park Ave - MissionSt  to Grevelia St</t>
  </si>
  <si>
    <t>Hawthorne Blvd - Del Amo to 186th St</t>
  </si>
  <si>
    <t>Melrose Ave - San Vincente Blvd to Doheny Dr Ph2</t>
  </si>
  <si>
    <t>La Cienega - Sunset to Holloway Dr.</t>
  </si>
  <si>
    <t>Colima Road - Whittier Blvd to Lambert Road</t>
  </si>
  <si>
    <t xml:space="preserve">Broadway - Whittier Blvd to Pickering Ave </t>
  </si>
  <si>
    <t>Greenway Trail 5 Points</t>
  </si>
  <si>
    <t>Park to Playa</t>
  </si>
  <si>
    <t>Whittier Blvd - Indiana to Downey</t>
  </si>
  <si>
    <t>Adams - Mesa Verde Dr to Placentia Ave.</t>
  </si>
  <si>
    <t xml:space="preserve">Magnolia - Garden Grove Blvd to Orangewood </t>
  </si>
  <si>
    <t>Pacific Coast Hwy - Agate to Arches</t>
  </si>
  <si>
    <t>Balboa Blvd - PCH to 28th St.</t>
  </si>
  <si>
    <t>Placentia - Crowther 600' East of Melrose St</t>
  </si>
  <si>
    <t xml:space="preserve">Warner Ave. - Main St to Oak (2-66kV, 1-12kV) </t>
  </si>
  <si>
    <t>Beach Blvd - Garden Grove Blvd to Lampson</t>
  </si>
  <si>
    <t>Bolsa and Brookhurst - single ckt 66kV</t>
  </si>
  <si>
    <t>Lakeview - Yorba Linda to Lemon Drive</t>
  </si>
  <si>
    <t>Highway 133 - El Toro Road to San Joaquin Hills</t>
  </si>
  <si>
    <t>Ramon Road - Cerritos Road to E. Cielo Road</t>
  </si>
  <si>
    <t>Rimrock Road - Higgins to Rushmore</t>
  </si>
  <si>
    <t>Montevista - Holt Blvd to State St.</t>
  </si>
  <si>
    <t>Baseline Road - Carnelian to Vineyard</t>
  </si>
  <si>
    <t>Cypress Ave.- Lakeside to San Jacinto</t>
  </si>
  <si>
    <t>Nevada Ave - Lugonia to Interstate 10</t>
  </si>
  <si>
    <t>Riverside Ave - Easton St to Walnut Ave.</t>
  </si>
  <si>
    <t>40th St - Electric Ave to Johnson St</t>
  </si>
  <si>
    <t>Project Phoenix</t>
  </si>
  <si>
    <t>Highway 18 - Custer to Ladera, Lucerne Valley</t>
  </si>
  <si>
    <t>East Valley Road - Hot Springs to Pimento Lane</t>
  </si>
  <si>
    <t>Las Posas - Marcos St to Antonio Ave.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</si>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</sst>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F800]dddd\,\ mmmm\ dd\,\ yyyy"/>
    <numFmt numFmtId="165" formatCode="0#"/>
    <numFmt numFmtId="166" formatCode="_(* #,##0_);_(* \(#,##0\);_(* &quot;-&quot;??_);_(@_)"/>
    <numFmt numFmtId="167" formatCode="_(* #,##0.0_);_(* \(#,##0.0\);_(* &quot;-&quot;_);_(@_)"/>
    <numFmt numFmtId="168" formatCode="_(&quot;$&quot;* #,##0_);_(&quot;$&quot;* \(#,##0\);_(&quot;$&quot;* &quot;-&quot;??_);_(@_)"/>
    <numFmt numFmtId="169" formatCode="_-* #,##0.00\ &quot;DM&quot;_-;\-* #,##0.00\ &quot;DM&quot;_-;_-* &quot;-&quot;??\ &quot;DM&quot;_-;_-@_-"/>
    <numFmt numFmtId="170" formatCode="_-* #,##0.00\ _D_M_-;\-* #,##0.00\ _D_M_-;_-* &quot;-&quot;??\ _D_M_-;_-@_-"/>
    <numFmt numFmtId="171" formatCode="0_);\(0\)"/>
    <numFmt numFmtId="172" formatCode="_(* #,##0_);_(* \(#,##0\);_(* &quot;-&quot;?????????_);_(@_)"/>
    <numFmt numFmtId="173" formatCode="_(* #,##0.000_);_(* \(#,##0.000\);_(* &quot;-&quot;_);_(@_)"/>
    <numFmt numFmtId="174" formatCode="_-* #,##0\ _D_M_-;\-* #,##0\ _D_M_-;_-* &quot;-&quot;??\ _D_M_-;_-@_-"/>
    <numFmt numFmtId="175" formatCode="0.0%"/>
    <numFmt numFmtId="176" formatCode="#,###\'"/>
    <numFmt numFmtId="177" formatCode="###,000"/>
    <numFmt numFmtId="178" formatCode="[$-409]mmmm\ d\,\ yyyy;@"/>
    <numFmt numFmtId="179" formatCode="m\-d\-yy"/>
    <numFmt numFmtId="180" formatCode="_-* #,##0.0_-;\-* #,##0.0_-;_-* &quot;-&quot;_-;_-@_-"/>
    <numFmt numFmtId="181" formatCode="_-* #,##0.0_-;\-* #,##0.0_-;_-* &quot;-&quot;??_-;_-@_-"/>
    <numFmt numFmtId="182" formatCode="#,##0.00&quot; $&quot;;\-#,##0.00&quot; $&quot;"/>
    <numFmt numFmtId="183" formatCode="0.00_)"/>
    <numFmt numFmtId="184" formatCode="_(&quot;$&quot;* #,##0.0_);_(&quot;$&quot;* \(#,##0.0\);_(&quot;$&quot;* &quot;-&quot;??_);_(@_)"/>
    <numFmt numFmtId="185" formatCode="0.000"/>
    <numFmt numFmtId="186" formatCode="#,##0;[Red]#,##0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b/>
      <sz val="12"/>
      <color theme="1"/>
      <name val="Times New Roman"/>
      <family val="1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8.5"/>
      <name val="MS Sans Serif"/>
      <family val="2"/>
    </font>
    <font>
      <b/>
      <sz val="8.5"/>
      <color indexed="12"/>
      <name val="MS Sans Serif"/>
      <family val="2"/>
    </font>
    <font>
      <b/>
      <sz val="7"/>
      <name val="MS Sans Serif"/>
      <family val="2"/>
    </font>
    <font>
      <b/>
      <sz val="8.5"/>
      <color indexed="8"/>
      <name val="MS Sans Serif"/>
      <family val="2"/>
    </font>
    <font>
      <b/>
      <sz val="8.5"/>
      <color theme="0"/>
      <name val="MS Sans Serif"/>
      <family val="2"/>
    </font>
    <font>
      <sz val="8.5"/>
      <name val="MS Sans Serif"/>
      <family val="2"/>
    </font>
    <font>
      <b/>
      <sz val="8.5"/>
      <color rgb="FFFF0000"/>
      <name val="MS Sans Serif"/>
      <family val="2"/>
    </font>
    <font>
      <b/>
      <sz val="8.5"/>
      <color indexed="10"/>
      <name val="MS Sans Serif"/>
      <family val="2"/>
    </font>
    <font>
      <b/>
      <sz val="8.5"/>
      <color rgb="FF0000FF"/>
      <name val="MS Sans Serif"/>
      <family val="2"/>
    </font>
    <font>
      <b/>
      <sz val="7"/>
      <color indexed="12"/>
      <name val="MS Sans Serif"/>
      <family val="2"/>
    </font>
    <font>
      <b/>
      <sz val="6"/>
      <name val="MS Sans Serif"/>
      <family val="2"/>
    </font>
    <font>
      <b/>
      <sz val="6"/>
      <color indexed="12"/>
      <name val="MS Sans Serif"/>
      <family val="2"/>
    </font>
    <font>
      <b/>
      <sz val="6"/>
      <color indexed="10"/>
      <name val="MS Sans Serif"/>
      <family val="2"/>
    </font>
    <font>
      <sz val="8.5"/>
      <color indexed="12"/>
      <name val="MS Sans Serif"/>
      <family val="2"/>
    </font>
    <font>
      <b/>
      <sz val="12"/>
      <name val="Arial"/>
      <family val="2"/>
    </font>
    <font>
      <b/>
      <sz val="8.5"/>
      <color indexed="20"/>
      <name val="MS Sans Serif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b/>
      <sz val="8.5"/>
      <color rgb="FFFF0000"/>
      <name val="Arial"/>
      <family val="2"/>
    </font>
    <font>
      <b/>
      <u val="singleAccounting"/>
      <sz val="8.5"/>
      <name val="MS Sans Serif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i/>
      <sz val="10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name val="Wingdings 2"/>
      <family val="1"/>
      <charset val="2"/>
    </font>
    <font>
      <sz val="10"/>
      <color theme="1"/>
      <name val="Wingdings 2"/>
      <family val="1"/>
      <charset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1"/>
      <name val="??"/>
      <family val="3"/>
      <charset val="129"/>
    </font>
    <font>
      <i/>
      <sz val="10"/>
      <color indexed="23"/>
      <name val="Arial"/>
      <family val="2"/>
    </font>
    <font>
      <i/>
      <sz val="10"/>
      <color indexed="18"/>
      <name val="Arial"/>
      <family val="2"/>
    </font>
    <font>
      <i/>
      <sz val="11"/>
      <color indexed="18"/>
      <name val="Calibri"/>
      <family val="2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0"/>
      <color theme="1" tint="0.34998626667073579"/>
      <name val="Cambria"/>
      <family val="2"/>
      <scheme val="maj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10"/>
      <color theme="1"/>
      <name val="Calibri"/>
      <family val="2"/>
    </font>
    <font>
      <sz val="11"/>
      <name val="Arial"/>
      <family val="2"/>
    </font>
    <font>
      <b/>
      <sz val="10"/>
      <color rgb="FFC00000"/>
      <name val="Calibri"/>
      <family val="2"/>
      <scheme val="minor"/>
    </font>
    <font>
      <b/>
      <sz val="10"/>
      <color theme="1"/>
      <name val="Wingdings 2"/>
      <family val="1"/>
      <charset val="2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theme="1"/>
      <name val="Wingdings"/>
      <charset val="2"/>
    </font>
    <font>
      <b/>
      <i/>
      <sz val="10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 val="singleAccounting"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FF0000"/>
      <name val="Times New Roman"/>
      <family val="1"/>
    </font>
    <font>
      <sz val="8"/>
      <color rgb="FFFF0000"/>
      <name val="Calibri"/>
      <family val="2"/>
      <scheme val="minor"/>
    </font>
    <font>
      <sz val="8"/>
      <color rgb="FF0000FF"/>
      <name val="Calibri"/>
      <family val="2"/>
      <scheme val="minor"/>
    </font>
  </fonts>
  <fills count="10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58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B7CFE8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indexed="29"/>
      </patternFill>
    </fill>
    <fill>
      <patternFill patternType="solid">
        <fgColor indexed="35"/>
      </patternFill>
    </fill>
    <fill>
      <patternFill patternType="solid">
        <fgColor indexed="47"/>
      </patternFill>
    </fill>
    <fill>
      <patternFill patternType="solid">
        <fgColor indexed="2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rgb="FFDBE5F1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DBE5F2"/>
        <bgColor rgb="FF00000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4"/>
      </right>
      <top style="thin">
        <color indexed="64"/>
      </top>
      <bottom style="thin">
        <color indexed="6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 style="thin">
        <color indexed="64"/>
      </top>
      <bottom/>
      <diagonal/>
    </border>
    <border>
      <left/>
      <right style="thick">
        <color theme="4"/>
      </right>
      <top style="thin">
        <color indexed="64"/>
      </top>
      <bottom/>
      <diagonal/>
    </border>
    <border>
      <left style="thick">
        <color theme="4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       <color indexed="64"/>
      </top>
      <bottom style="thin">
        <color indexed="64"/>
      </bottom>
      <diagonal/>
    </border>
  </borders>
  <cellStyleXfs count="1185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  <xf numFmtId="0" fontId="16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/>
    <xf numFmtId="169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0" fontId="16" fillId="0" borderId="0"/>
    <xf numFmtId="0" fontId="59" fillId="17" borderId="0"/>
    <xf numFmtId="0" fontId="65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5" fillId="25" borderId="0" applyNumberFormat="0" applyBorder="0" applyAlignment="0" applyProtection="0"/>
    <xf numFmtId="0" fontId="65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28" borderId="0" applyNumberFormat="0" applyBorder="0" applyAlignment="0" applyProtection="0"/>
    <xf numFmtId="0" fontId="65" fillId="29" borderId="0" applyNumberFormat="0" applyBorder="0" applyAlignment="0" applyProtection="0"/>
    <xf numFmtId="0" fontId="65" fillId="30" borderId="0" applyNumberFormat="0" applyBorder="0" applyAlignment="0" applyProtection="0"/>
    <xf numFmtId="0" fontId="66" fillId="23" borderId="0" applyNumberFormat="0" applyBorder="0" applyAlignment="0" applyProtection="0"/>
    <xf numFmtId="0" fontId="66" fillId="31" borderId="0" applyNumberFormat="0" applyBorder="0" applyAlignment="0" applyProtection="0"/>
    <xf numFmtId="0" fontId="65" fillId="24" borderId="0" applyNumberFormat="0" applyBorder="0" applyAlignment="0" applyProtection="0"/>
    <xf numFmtId="0" fontId="65" fillId="21" borderId="0" applyNumberFormat="0" applyBorder="0" applyAlignment="0" applyProtection="0"/>
    <xf numFmtId="0" fontId="66" fillId="32" borderId="0" applyNumberFormat="0" applyBorder="0" applyAlignment="0" applyProtection="0"/>
    <xf numFmtId="0" fontId="66" fillId="33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66" fillId="35" borderId="0" applyNumberFormat="0" applyBorder="0" applyAlignment="0" applyProtection="0"/>
    <xf numFmtId="0" fontId="66" fillId="36" borderId="0" applyNumberFormat="0" applyBorder="0" applyAlignment="0" applyProtection="0"/>
    <xf numFmtId="0" fontId="65" fillId="37" borderId="0" applyNumberFormat="0" applyBorder="0" applyAlignment="0" applyProtection="0"/>
    <xf numFmtId="0" fontId="67" fillId="35" borderId="0" applyNumberFormat="0" applyBorder="0" applyAlignment="0" applyProtection="0"/>
    <xf numFmtId="0" fontId="68" fillId="38" borderId="47" applyNumberFormat="0" applyAlignment="0" applyProtection="0"/>
    <xf numFmtId="0" fontId="69" fillId="30" borderId="48" applyNumberFormat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0" fontId="70" fillId="41" borderId="0" applyNumberFormat="0" applyBorder="0" applyAlignment="0" applyProtection="0"/>
    <xf numFmtId="0" fontId="66" fillId="28" borderId="0" applyNumberFormat="0" applyBorder="0" applyAlignment="0" applyProtection="0"/>
    <xf numFmtId="0" fontId="71" fillId="0" borderId="49" applyNumberFormat="0" applyFill="0" applyAlignment="0" applyProtection="0"/>
    <xf numFmtId="0" fontId="72" fillId="0" borderId="50" applyNumberFormat="0" applyFill="0" applyAlignment="0" applyProtection="0"/>
    <xf numFmtId="0" fontId="73" fillId="0" borderId="51" applyNumberFormat="0" applyFill="0" applyAlignment="0" applyProtection="0"/>
    <xf numFmtId="0" fontId="73" fillId="0" borderId="0" applyNumberFormat="0" applyFill="0" applyBorder="0" applyAlignment="0" applyProtection="0"/>
    <xf numFmtId="0" fontId="74" fillId="36" borderId="47" applyNumberFormat="0" applyAlignment="0" applyProtection="0"/>
    <xf numFmtId="0" fontId="75" fillId="0" borderId="52" applyNumberFormat="0" applyFill="0" applyAlignment="0" applyProtection="0"/>
    <xf numFmtId="0" fontId="75" fillId="36" borderId="0" applyNumberFormat="0" applyBorder="0" applyAlignment="0" applyProtection="0"/>
    <xf numFmtId="0" fontId="59" fillId="35" borderId="47" applyNumberFormat="0" applyFont="0" applyAlignment="0" applyProtection="0"/>
    <xf numFmtId="0" fontId="76" fillId="38" borderId="53" applyNumberFormat="0" applyAlignment="0" applyProtection="0"/>
    <xf numFmtId="4" fontId="59" fillId="42" borderId="47" applyNumberFormat="0" applyProtection="0">
      <alignment vertical="center"/>
    </xf>
    <xf numFmtId="4" fontId="79" fillId="13" borderId="47" applyNumberFormat="0" applyProtection="0">
      <alignment vertical="center"/>
    </xf>
    <xf numFmtId="4" fontId="59" fillId="13" borderId="47" applyNumberFormat="0" applyProtection="0">
      <alignment horizontal="left" vertical="center" indent="1"/>
    </xf>
    <xf numFmtId="0" fontId="62" fillId="42" borderId="54" applyNumberFormat="0" applyProtection="0">
      <alignment horizontal="left" vertical="top" indent="1"/>
    </xf>
    <xf numFmtId="4" fontId="59" fillId="43" borderId="47" applyNumberFormat="0" applyProtection="0">
      <alignment horizontal="left" vertical="center" indent="1"/>
    </xf>
    <xf numFmtId="4" fontId="59" fillId="44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3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59" fillId="55" borderId="47" applyNumberFormat="0" applyProtection="0">
      <alignment horizontal="right" vertical="center"/>
    </xf>
    <xf numFmtId="4" fontId="59" fillId="56" borderId="55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59" fillId="54" borderId="54" applyNumberFormat="0" applyProtection="0">
      <alignment horizontal="left" vertical="top" indent="1"/>
    </xf>
    <xf numFmtId="0" fontId="59" fillId="58" borderId="47" applyNumberFormat="0" applyProtection="0">
      <alignment horizontal="left" vertical="center" indent="1"/>
    </xf>
    <xf numFmtId="0" fontId="59" fillId="55" borderId="54" applyNumberFormat="0" applyProtection="0">
      <alignment horizontal="left" vertical="top" indent="1"/>
    </xf>
    <xf numFmtId="0" fontId="59" fillId="59" borderId="47" applyNumberFormat="0" applyProtection="0">
      <alignment horizontal="left" vertical="center" indent="1"/>
    </xf>
    <xf numFmtId="0" fontId="59" fillId="59" borderId="54" applyNumberFormat="0" applyProtection="0">
      <alignment horizontal="left" vertical="top" indent="1"/>
    </xf>
    <xf numFmtId="0" fontId="59" fillId="56" borderId="47" applyNumberFormat="0" applyProtection="0">
      <alignment horizontal="left" vertical="center" indent="1"/>
    </xf>
    <xf numFmtId="0" fontId="59" fillId="56" borderId="54" applyNumberFormat="0" applyProtection="0">
      <alignment horizontal="left" vertical="top" indent="1"/>
    </xf>
    <xf numFmtId="0" fontId="59" fillId="60" borderId="56" applyNumberFormat="0">
      <protection locked="0"/>
    </xf>
    <xf numFmtId="0" fontId="60" fillId="54" borderId="57" applyBorder="0"/>
    <xf numFmtId="4" fontId="61" fillId="61" borderId="54" applyNumberFormat="0" applyProtection="0">
      <alignment vertical="center"/>
    </xf>
    <xf numFmtId="4" fontId="79" fillId="62" borderId="1" applyNumberFormat="0" applyProtection="0">
      <alignment vertical="center"/>
    </xf>
    <xf numFmtId="4" fontId="61" fillId="57" borderId="54" applyNumberFormat="0" applyProtection="0">
      <alignment horizontal="left" vertical="center" indent="1"/>
    </xf>
    <xf numFmtId="0" fontId="61" fillId="61" borderId="54" applyNumberFormat="0" applyProtection="0">
      <alignment horizontal="left" vertical="top" indent="1"/>
    </xf>
    <xf numFmtId="4" fontId="59" fillId="0" borderId="47" applyNumberFormat="0" applyProtection="0">
      <alignment horizontal="right" vertical="center"/>
    </xf>
    <xf numFmtId="4" fontId="79" fillId="63" borderId="47" applyNumberFormat="0" applyProtection="0">
      <alignment horizontal="right" vertical="center"/>
    </xf>
    <xf numFmtId="4" fontId="59" fillId="43" borderId="47" applyNumberFormat="0" applyProtection="0">
      <alignment horizontal="left" vertical="center" indent="1"/>
    </xf>
    <xf numFmtId="0" fontId="61" fillId="55" borderId="54" applyNumberFormat="0" applyProtection="0">
      <alignment horizontal="left" vertical="top" indent="1"/>
    </xf>
    <xf numFmtId="4" fontId="63" fillId="64" borderId="55" applyNumberFormat="0" applyProtection="0">
      <alignment horizontal="left" vertical="center" indent="1"/>
    </xf>
    <xf numFmtId="0" fontId="59" fillId="65" borderId="1"/>
    <xf numFmtId="4" fontId="64" fillId="60" borderId="47" applyNumberFormat="0" applyProtection="0">
      <alignment horizontal="right" vertical="center"/>
    </xf>
    <xf numFmtId="0" fontId="77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8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1" fillId="67" borderId="59" applyNumberFormat="0" applyAlignment="0" applyProtection="0">
      <alignment horizontal="left" vertical="center" indent="1"/>
    </xf>
    <xf numFmtId="177" fontId="82" fillId="67" borderId="60" applyNumberFormat="0" applyAlignment="0" applyProtection="0">
      <alignment horizontal="left" vertical="center" indent="1"/>
    </xf>
    <xf numFmtId="0" fontId="82" fillId="68" borderId="59" applyNumberFormat="0" applyAlignment="0" applyProtection="0">
      <alignment horizontal="left" vertical="center" indent="1"/>
    </xf>
    <xf numFmtId="0" fontId="82" fillId="69" borderId="59" applyNumberFormat="0" applyAlignment="0" applyProtection="0">
      <alignment horizontal="left" vertical="center" indent="1"/>
    </xf>
    <xf numFmtId="177" fontId="82" fillId="70" borderId="59" applyNumberFormat="0" applyAlignment="0" applyProtection="0">
      <alignment horizontal="left" vertical="center" indent="1"/>
    </xf>
    <xf numFmtId="0" fontId="82" fillId="71" borderId="59" applyNumberFormat="0" applyAlignment="0" applyProtection="0">
      <alignment horizontal="left" vertical="center" indent="1"/>
    </xf>
    <xf numFmtId="0" fontId="82" fillId="72" borderId="59" applyNumberFormat="0" applyAlignmen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4" fontId="59" fillId="0" borderId="47" applyNumberFormat="0" applyProtection="0">
      <alignment horizontal="right" vertical="center"/>
    </xf>
    <xf numFmtId="0" fontId="59" fillId="58" borderId="47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65" fillId="18" borderId="0" applyNumberFormat="0" applyBorder="0" applyAlignment="0" applyProtection="0"/>
    <xf numFmtId="178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178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66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178" fontId="83" fillId="55" borderId="0" applyNumberFormat="0" applyBorder="0" applyAlignment="0" applyProtection="0"/>
    <xf numFmtId="178" fontId="83" fillId="55" borderId="0" applyNumberFormat="0" applyBorder="0" applyAlignment="0" applyProtection="0"/>
    <xf numFmtId="178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178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66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178" fontId="83" fillId="73" borderId="0" applyNumberFormat="0" applyBorder="0" applyAlignment="0" applyProtection="0"/>
    <xf numFmtId="178" fontId="83" fillId="73" borderId="0" applyNumberFormat="0" applyBorder="0" applyAlignment="0" applyProtection="0"/>
    <xf numFmtId="178" fontId="83" fillId="61" borderId="0" applyNumberFormat="0" applyBorder="0" applyAlignment="0" applyProtection="0"/>
    <xf numFmtId="0" fontId="83" fillId="5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1" borderId="0" applyNumberFormat="0" applyBorder="0" applyAlignment="0" applyProtection="0"/>
    <xf numFmtId="0" fontId="83" fillId="61" borderId="0" applyNumberFormat="0" applyBorder="0" applyAlignment="0" applyProtection="0"/>
    <xf numFmtId="0" fontId="83" fillId="51" borderId="0" applyNumberFormat="0" applyBorder="0" applyAlignment="0" applyProtection="0"/>
    <xf numFmtId="0" fontId="83" fillId="6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61" borderId="0" applyNumberFormat="0" applyBorder="0" applyAlignment="0" applyProtection="0"/>
    <xf numFmtId="0" fontId="83" fillId="51" borderId="0" applyNumberFormat="0" applyBorder="0" applyAlignment="0" applyProtection="0"/>
    <xf numFmtId="178" fontId="83" fillId="6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66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178" fontId="83" fillId="61" borderId="0" applyNumberFormat="0" applyBorder="0" applyAlignment="0" applyProtection="0"/>
    <xf numFmtId="178" fontId="83" fillId="61" borderId="0" applyNumberFormat="0" applyBorder="0" applyAlignment="0" applyProtection="0"/>
    <xf numFmtId="178" fontId="83" fillId="60" borderId="0" applyNumberFormat="0" applyBorder="0" applyAlignment="0" applyProtection="0"/>
    <xf numFmtId="0" fontId="83" fillId="74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74" borderId="0" applyNumberFormat="0" applyBorder="0" applyAlignment="0" applyProtection="0"/>
    <xf numFmtId="0" fontId="83" fillId="60" borderId="0" applyNumberFormat="0" applyBorder="0" applyAlignment="0" applyProtection="0"/>
    <xf numFmtId="0" fontId="83" fillId="74" borderId="0" applyNumberFormat="0" applyBorder="0" applyAlignment="0" applyProtection="0"/>
    <xf numFmtId="0" fontId="83" fillId="60" borderId="0" applyNumberFormat="0" applyBorder="0" applyAlignment="0" applyProtection="0"/>
    <xf numFmtId="0" fontId="83" fillId="74" borderId="0" applyNumberFormat="0" applyBorder="0" applyAlignment="0" applyProtection="0"/>
    <xf numFmtId="0" fontId="83" fillId="74" borderId="0" applyNumberFormat="0" applyBorder="0" applyAlignment="0" applyProtection="0"/>
    <xf numFmtId="0" fontId="83" fillId="60" borderId="0" applyNumberFormat="0" applyBorder="0" applyAlignment="0" applyProtection="0"/>
    <xf numFmtId="0" fontId="83" fillId="74" borderId="0" applyNumberFormat="0" applyBorder="0" applyAlignment="0" applyProtection="0"/>
    <xf numFmtId="178" fontId="83" fillId="60" borderId="0" applyNumberFormat="0" applyBorder="0" applyAlignment="0" applyProtection="0"/>
    <xf numFmtId="0" fontId="83" fillId="74" borderId="0" applyNumberFormat="0" applyBorder="0" applyAlignment="0" applyProtection="0"/>
    <xf numFmtId="0" fontId="83" fillId="74" borderId="0" applyNumberFormat="0" applyBorder="0" applyAlignment="0" applyProtection="0"/>
    <xf numFmtId="0" fontId="66" fillId="74" borderId="0" applyNumberFormat="0" applyBorder="0" applyAlignment="0" applyProtection="0"/>
    <xf numFmtId="0" fontId="83" fillId="74" borderId="0" applyNumberFormat="0" applyBorder="0" applyAlignment="0" applyProtection="0"/>
    <xf numFmtId="0" fontId="83" fillId="74" borderId="0" applyNumberFormat="0" applyBorder="0" applyAlignment="0" applyProtection="0"/>
    <xf numFmtId="178" fontId="83" fillId="60" borderId="0" applyNumberFormat="0" applyBorder="0" applyAlignment="0" applyProtection="0"/>
    <xf numFmtId="178" fontId="83" fillId="60" borderId="0" applyNumberFormat="0" applyBorder="0" applyAlignment="0" applyProtection="0"/>
    <xf numFmtId="178" fontId="83" fillId="59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59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56" borderId="0" applyNumberFormat="0" applyBorder="0" applyAlignment="0" applyProtection="0"/>
    <xf numFmtId="178" fontId="83" fillId="59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0" fontId="66" fillId="56" borderId="0" applyNumberFormat="0" applyBorder="0" applyAlignment="0" applyProtection="0"/>
    <xf numFmtId="0" fontId="83" fillId="56" borderId="0" applyNumberFormat="0" applyBorder="0" applyAlignment="0" applyProtection="0"/>
    <xf numFmtId="0" fontId="83" fillId="56" borderId="0" applyNumberFormat="0" applyBorder="0" applyAlignment="0" applyProtection="0"/>
    <xf numFmtId="178" fontId="83" fillId="59" borderId="0" applyNumberFormat="0" applyBorder="0" applyAlignment="0" applyProtection="0"/>
    <xf numFmtId="178" fontId="83" fillId="59" borderId="0" applyNumberFormat="0" applyBorder="0" applyAlignment="0" applyProtection="0"/>
    <xf numFmtId="178" fontId="83" fillId="44" borderId="0" applyNumberFormat="0" applyBorder="0" applyAlignment="0" applyProtection="0"/>
    <xf numFmtId="0" fontId="83" fillId="75" borderId="0" applyNumberFormat="0" applyBorder="0" applyAlignment="0" applyProtection="0"/>
    <xf numFmtId="0" fontId="83" fillId="44" borderId="0" applyNumberFormat="0" applyBorder="0" applyAlignment="0" applyProtection="0"/>
    <xf numFmtId="0" fontId="83" fillId="44" borderId="0" applyNumberFormat="0" applyBorder="0" applyAlignment="0" applyProtection="0"/>
    <xf numFmtId="0" fontId="83" fillId="75" borderId="0" applyNumberFormat="0" applyBorder="0" applyAlignment="0" applyProtection="0"/>
    <xf numFmtId="0" fontId="83" fillId="44" borderId="0" applyNumberFormat="0" applyBorder="0" applyAlignment="0" applyProtection="0"/>
    <xf numFmtId="0" fontId="83" fillId="75" borderId="0" applyNumberFormat="0" applyBorder="0" applyAlignment="0" applyProtection="0"/>
    <xf numFmtId="0" fontId="83" fillId="44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0" fontId="83" fillId="44" borderId="0" applyNumberFormat="0" applyBorder="0" applyAlignment="0" applyProtection="0"/>
    <xf numFmtId="0" fontId="83" fillId="75" borderId="0" applyNumberFormat="0" applyBorder="0" applyAlignment="0" applyProtection="0"/>
    <xf numFmtId="178" fontId="83" fillId="44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0" fontId="66" fillId="75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178" fontId="83" fillId="44" borderId="0" applyNumberFormat="0" applyBorder="0" applyAlignment="0" applyProtection="0"/>
    <xf numFmtId="178" fontId="83" fillId="44" borderId="0" applyNumberFormat="0" applyBorder="0" applyAlignment="0" applyProtection="0"/>
    <xf numFmtId="0" fontId="84" fillId="63" borderId="6" applyNumberFormat="0"/>
    <xf numFmtId="178" fontId="83" fillId="54" borderId="0" applyNumberFormat="0" applyBorder="0" applyAlignment="0" applyProtection="0"/>
    <xf numFmtId="0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7" borderId="0" applyNumberFormat="0" applyBorder="0" applyAlignment="0" applyProtection="0"/>
    <xf numFmtId="178" fontId="83" fillId="54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66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178" fontId="83" fillId="54" borderId="0" applyNumberFormat="0" applyBorder="0" applyAlignment="0" applyProtection="0"/>
    <xf numFmtId="178" fontId="83" fillId="54" borderId="0" applyNumberFormat="0" applyBorder="0" applyAlignment="0" applyProtection="0"/>
    <xf numFmtId="178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73" borderId="0" applyNumberFormat="0" applyBorder="0" applyAlignment="0" applyProtection="0"/>
    <xf numFmtId="0" fontId="83" fillId="55" borderId="0" applyNumberFormat="0" applyBorder="0" applyAlignment="0" applyProtection="0"/>
    <xf numFmtId="178" fontId="83" fillId="73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66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178" fontId="83" fillId="73" borderId="0" applyNumberFormat="0" applyBorder="0" applyAlignment="0" applyProtection="0"/>
    <xf numFmtId="178" fontId="83" fillId="73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178" fontId="83" fillId="50" borderId="0" applyNumberFormat="0" applyBorder="0" applyAlignment="0" applyProtection="0"/>
    <xf numFmtId="0" fontId="66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178" fontId="83" fillId="57" borderId="0" applyNumberFormat="0" applyBorder="0" applyAlignment="0" applyProtection="0"/>
    <xf numFmtId="0" fontId="83" fillId="76" borderId="0" applyNumberFormat="0" applyBorder="0" applyAlignment="0" applyProtection="0"/>
    <xf numFmtId="0" fontId="83" fillId="57" borderId="0" applyNumberFormat="0" applyBorder="0" applyAlignment="0" applyProtection="0"/>
    <xf numFmtId="0" fontId="83" fillId="57" borderId="0" applyNumberFormat="0" applyBorder="0" applyAlignment="0" applyProtection="0"/>
    <xf numFmtId="0" fontId="83" fillId="76" borderId="0" applyNumberFormat="0" applyBorder="0" applyAlignment="0" applyProtection="0"/>
    <xf numFmtId="0" fontId="83" fillId="57" borderId="0" applyNumberFormat="0" applyBorder="0" applyAlignment="0" applyProtection="0"/>
    <xf numFmtId="0" fontId="83" fillId="76" borderId="0" applyNumberFormat="0" applyBorder="0" applyAlignment="0" applyProtection="0"/>
    <xf numFmtId="0" fontId="83" fillId="57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57" borderId="0" applyNumberFormat="0" applyBorder="0" applyAlignment="0" applyProtection="0"/>
    <xf numFmtId="0" fontId="83" fillId="76" borderId="0" applyNumberFormat="0" applyBorder="0" applyAlignment="0" applyProtection="0"/>
    <xf numFmtId="178" fontId="83" fillId="57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0" fontId="66" fillId="76" borderId="0" applyNumberFormat="0" applyBorder="0" applyAlignment="0" applyProtection="0"/>
    <xf numFmtId="0" fontId="83" fillId="76" borderId="0" applyNumberFormat="0" applyBorder="0" applyAlignment="0" applyProtection="0"/>
    <xf numFmtId="0" fontId="83" fillId="76" borderId="0" applyNumberFormat="0" applyBorder="0" applyAlignment="0" applyProtection="0"/>
    <xf numFmtId="178" fontId="83" fillId="57" borderId="0" applyNumberFormat="0" applyBorder="0" applyAlignment="0" applyProtection="0"/>
    <xf numFmtId="178" fontId="83" fillId="57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178" fontId="83" fillId="54" borderId="0" applyNumberFormat="0" applyBorder="0" applyAlignment="0" applyProtection="0"/>
    <xf numFmtId="0" fontId="66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178" fontId="83" fillId="75" borderId="0" applyNumberFormat="0" applyBorder="0" applyAlignment="0" applyProtection="0"/>
    <xf numFmtId="0" fontId="66" fillId="75" borderId="0" applyNumberFormat="0" applyBorder="0" applyAlignment="0" applyProtection="0"/>
    <xf numFmtId="0" fontId="83" fillId="75" borderId="0" applyNumberFormat="0" applyBorder="0" applyAlignment="0" applyProtection="0"/>
    <xf numFmtId="0" fontId="83" fillId="75" borderId="0" applyNumberFormat="0" applyBorder="0" applyAlignment="0" applyProtection="0"/>
    <xf numFmtId="178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178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6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178" fontId="85" fillId="54" borderId="0" applyNumberFormat="0" applyBorder="0" applyAlignment="0" applyProtection="0"/>
    <xf numFmtId="178" fontId="85" fillId="54" borderId="0" applyNumberFormat="0" applyBorder="0" applyAlignment="0" applyProtection="0"/>
    <xf numFmtId="178" fontId="85" fillId="73" borderId="0" applyNumberFormat="0" applyBorder="0" applyAlignment="0" applyProtection="0"/>
    <xf numFmtId="0" fontId="85" fillId="55" borderId="0" applyNumberFormat="0" applyBorder="0" applyAlignment="0" applyProtection="0"/>
    <xf numFmtId="0" fontId="85" fillId="73" borderId="0" applyNumberFormat="0" applyBorder="0" applyAlignment="0" applyProtection="0"/>
    <xf numFmtId="0" fontId="85" fillId="73" borderId="0" applyNumberFormat="0" applyBorder="0" applyAlignment="0" applyProtection="0"/>
    <xf numFmtId="0" fontId="85" fillId="55" borderId="0" applyNumberFormat="0" applyBorder="0" applyAlignment="0" applyProtection="0"/>
    <xf numFmtId="0" fontId="85" fillId="73" borderId="0" applyNumberFormat="0" applyBorder="0" applyAlignment="0" applyProtection="0"/>
    <xf numFmtId="0" fontId="85" fillId="55" borderId="0" applyNumberFormat="0" applyBorder="0" applyAlignment="0" applyProtection="0"/>
    <xf numFmtId="0" fontId="85" fillId="73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73" borderId="0" applyNumberFormat="0" applyBorder="0" applyAlignment="0" applyProtection="0"/>
    <xf numFmtId="0" fontId="85" fillId="55" borderId="0" applyNumberFormat="0" applyBorder="0" applyAlignment="0" applyProtection="0"/>
    <xf numFmtId="178" fontId="85" fillId="73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6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178" fontId="85" fillId="73" borderId="0" applyNumberFormat="0" applyBorder="0" applyAlignment="0" applyProtection="0"/>
    <xf numFmtId="178" fontId="85" fillId="73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178" fontId="85" fillId="50" borderId="0" applyNumberFormat="0" applyBorder="0" applyAlignment="0" applyProtection="0"/>
    <xf numFmtId="0" fontId="6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178" fontId="85" fillId="57" borderId="0" applyNumberFormat="0" applyBorder="0" applyAlignment="0" applyProtection="0"/>
    <xf numFmtId="0" fontId="85" fillId="76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76" borderId="0" applyNumberFormat="0" applyBorder="0" applyAlignment="0" applyProtection="0"/>
    <xf numFmtId="0" fontId="85" fillId="57" borderId="0" applyNumberFormat="0" applyBorder="0" applyAlignment="0" applyProtection="0"/>
    <xf numFmtId="0" fontId="85" fillId="76" borderId="0" applyNumberFormat="0" applyBorder="0" applyAlignment="0" applyProtection="0"/>
    <xf numFmtId="0" fontId="85" fillId="57" borderId="0" applyNumberFormat="0" applyBorder="0" applyAlignment="0" applyProtection="0"/>
    <xf numFmtId="0" fontId="85" fillId="76" borderId="0" applyNumberFormat="0" applyBorder="0" applyAlignment="0" applyProtection="0"/>
    <xf numFmtId="0" fontId="85" fillId="76" borderId="0" applyNumberFormat="0" applyBorder="0" applyAlignment="0" applyProtection="0"/>
    <xf numFmtId="0" fontId="85" fillId="57" borderId="0" applyNumberFormat="0" applyBorder="0" applyAlignment="0" applyProtection="0"/>
    <xf numFmtId="0" fontId="85" fillId="76" borderId="0" applyNumberFormat="0" applyBorder="0" applyAlignment="0" applyProtection="0"/>
    <xf numFmtId="178" fontId="85" fillId="57" borderId="0" applyNumberFormat="0" applyBorder="0" applyAlignment="0" applyProtection="0"/>
    <xf numFmtId="0" fontId="85" fillId="76" borderId="0" applyNumberFormat="0" applyBorder="0" applyAlignment="0" applyProtection="0"/>
    <xf numFmtId="0" fontId="85" fillId="76" borderId="0" applyNumberFormat="0" applyBorder="0" applyAlignment="0" applyProtection="0"/>
    <xf numFmtId="0" fontId="65" fillId="76" borderId="0" applyNumberFormat="0" applyBorder="0" applyAlignment="0" applyProtection="0"/>
    <xf numFmtId="0" fontId="85" fillId="76" borderId="0" applyNumberFormat="0" applyBorder="0" applyAlignment="0" applyProtection="0"/>
    <xf numFmtId="0" fontId="85" fillId="76" borderId="0" applyNumberFormat="0" applyBorder="0" applyAlignment="0" applyProtection="0"/>
    <xf numFmtId="178" fontId="85" fillId="57" borderId="0" applyNumberFormat="0" applyBorder="0" applyAlignment="0" applyProtection="0"/>
    <xf numFmtId="178" fontId="85" fillId="57" borderId="0" applyNumberFormat="0" applyBorder="0" applyAlignment="0" applyProtection="0"/>
    <xf numFmtId="178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54" borderId="0" applyNumberFormat="0" applyBorder="0" applyAlignment="0" applyProtection="0"/>
    <xf numFmtId="0" fontId="85" fillId="66" borderId="0" applyNumberFormat="0" applyBorder="0" applyAlignment="0" applyProtection="0"/>
    <xf numFmtId="178" fontId="85" fillId="54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0" fontId="65" fillId="66" borderId="0" applyNumberFormat="0" applyBorder="0" applyAlignment="0" applyProtection="0"/>
    <xf numFmtId="0" fontId="85" fillId="66" borderId="0" applyNumberFormat="0" applyBorder="0" applyAlignment="0" applyProtection="0"/>
    <xf numFmtId="0" fontId="85" fillId="66" borderId="0" applyNumberFormat="0" applyBorder="0" applyAlignment="0" applyProtection="0"/>
    <xf numFmtId="178" fontId="85" fillId="54" borderId="0" applyNumberFormat="0" applyBorder="0" applyAlignment="0" applyProtection="0"/>
    <xf numFmtId="178" fontId="85" fillId="54" borderId="0" applyNumberFormat="0" applyBorder="0" applyAlignment="0" applyProtection="0"/>
    <xf numFmtId="178" fontId="85" fillId="75" borderId="0" applyNumberFormat="0" applyBorder="0" applyAlignment="0" applyProtection="0"/>
    <xf numFmtId="0" fontId="85" fillId="47" borderId="0" applyNumberFormat="0" applyBorder="0" applyAlignment="0" applyProtection="0"/>
    <xf numFmtId="0" fontId="85" fillId="75" borderId="0" applyNumberFormat="0" applyBorder="0" applyAlignment="0" applyProtection="0"/>
    <xf numFmtId="0" fontId="85" fillId="75" borderId="0" applyNumberFormat="0" applyBorder="0" applyAlignment="0" applyProtection="0"/>
    <xf numFmtId="0" fontId="85" fillId="47" borderId="0" applyNumberFormat="0" applyBorder="0" applyAlignment="0" applyProtection="0"/>
    <xf numFmtId="0" fontId="85" fillId="75" borderId="0" applyNumberFormat="0" applyBorder="0" applyAlignment="0" applyProtection="0"/>
    <xf numFmtId="0" fontId="85" fillId="47" borderId="0" applyNumberFormat="0" applyBorder="0" applyAlignment="0" applyProtection="0"/>
    <xf numFmtId="0" fontId="85" fillId="75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75" borderId="0" applyNumberFormat="0" applyBorder="0" applyAlignment="0" applyProtection="0"/>
    <xf numFmtId="0" fontId="85" fillId="47" borderId="0" applyNumberFormat="0" applyBorder="0" applyAlignment="0" applyProtection="0"/>
    <xf numFmtId="178" fontId="85" fillId="75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6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178" fontId="85" fillId="75" borderId="0" applyNumberFormat="0" applyBorder="0" applyAlignment="0" applyProtection="0"/>
    <xf numFmtId="178" fontId="85" fillId="75" borderId="0" applyNumberFormat="0" applyBorder="0" applyAlignment="0" applyProtection="0"/>
    <xf numFmtId="0" fontId="66" fillId="77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77" borderId="0" applyNumberFormat="0" applyBorder="0" applyAlignment="0" applyProtection="0"/>
    <xf numFmtId="0" fontId="66" fillId="19" borderId="0" applyNumberFormat="0" applyBorder="0" applyAlignment="0" applyProtection="0"/>
    <xf numFmtId="0" fontId="66" fillId="77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77" borderId="0" applyNumberFormat="0" applyBorder="0" applyAlignment="0" applyProtection="0"/>
    <xf numFmtId="0" fontId="66" fillId="19" borderId="0" applyNumberFormat="0" applyBorder="0" applyAlignment="0" applyProtection="0"/>
    <xf numFmtId="0" fontId="66" fillId="77" borderId="0" applyNumberFormat="0" applyBorder="0" applyAlignment="0" applyProtection="0"/>
    <xf numFmtId="0" fontId="66" fillId="19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0" fontId="66" fillId="33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33" borderId="0" applyNumberFormat="0" applyBorder="0" applyAlignment="0" applyProtection="0"/>
    <xf numFmtId="0" fontId="66" fillId="20" borderId="0" applyNumberFormat="0" applyBorder="0" applyAlignment="0" applyProtection="0"/>
    <xf numFmtId="0" fontId="66" fillId="33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33" borderId="0" applyNumberFormat="0" applyBorder="0" applyAlignment="0" applyProtection="0"/>
    <xf numFmtId="0" fontId="66" fillId="20" borderId="0" applyNumberFormat="0" applyBorder="0" applyAlignment="0" applyProtection="0"/>
    <xf numFmtId="0" fontId="66" fillId="33" borderId="0" applyNumberFormat="0" applyBorder="0" applyAlignment="0" applyProtection="0"/>
    <xf numFmtId="0" fontId="66" fillId="20" borderId="0" applyNumberFormat="0" applyBorder="0" applyAlignment="0" applyProtection="0"/>
    <xf numFmtId="178" fontId="66" fillId="33" borderId="0" applyNumberFormat="0" applyBorder="0" applyAlignment="0" applyProtection="0"/>
    <xf numFmtId="178" fontId="66" fillId="33" borderId="0" applyNumberFormat="0" applyBorder="0" applyAlignment="0" applyProtection="0"/>
    <xf numFmtId="178" fontId="66" fillId="33" borderId="0" applyNumberFormat="0" applyBorder="0" applyAlignment="0" applyProtection="0"/>
    <xf numFmtId="178" fontId="66" fillId="33" borderId="0" applyNumberFormat="0" applyBorder="0" applyAlignment="0" applyProtection="0"/>
    <xf numFmtId="178" fontId="66" fillId="33" borderId="0" applyNumberFormat="0" applyBorder="0" applyAlignment="0" applyProtection="0"/>
    <xf numFmtId="0" fontId="65" fillId="78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78" borderId="0" applyNumberFormat="0" applyBorder="0" applyAlignment="0" applyProtection="0"/>
    <xf numFmtId="0" fontId="65" fillId="21" borderId="0" applyNumberFormat="0" applyBorder="0" applyAlignment="0" applyProtection="0"/>
    <xf numFmtId="0" fontId="65" fillId="78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78" borderId="0" applyNumberFormat="0" applyBorder="0" applyAlignment="0" applyProtection="0"/>
    <xf numFmtId="0" fontId="65" fillId="78" borderId="0" applyNumberFormat="0" applyBorder="0" applyAlignment="0" applyProtection="0"/>
    <xf numFmtId="0" fontId="65" fillId="78" borderId="0" applyNumberFormat="0" applyBorder="0" applyAlignment="0" applyProtection="0"/>
    <xf numFmtId="178" fontId="65" fillId="78" borderId="0" applyNumberFormat="0" applyBorder="0" applyAlignment="0" applyProtection="0"/>
    <xf numFmtId="178" fontId="65" fillId="78" borderId="0" applyNumberFormat="0" applyBorder="0" applyAlignment="0" applyProtection="0"/>
    <xf numFmtId="178" fontId="65" fillId="78" borderId="0" applyNumberFormat="0" applyBorder="0" applyAlignment="0" applyProtection="0"/>
    <xf numFmtId="178" fontId="65" fillId="78" borderId="0" applyNumberFormat="0" applyBorder="0" applyAlignment="0" applyProtection="0"/>
    <xf numFmtId="178" fontId="65" fillId="7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178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178" fontId="65" fillId="18" borderId="0" applyNumberFormat="0" applyBorder="0" applyAlignment="0" applyProtection="0"/>
    <xf numFmtId="178" fontId="65" fillId="18" borderId="0" applyNumberFormat="0" applyBorder="0" applyAlignment="0" applyProtection="0"/>
    <xf numFmtId="178" fontId="65" fillId="18" borderId="0" applyNumberFormat="0" applyBorder="0" applyAlignment="0" applyProtection="0"/>
    <xf numFmtId="0" fontId="65" fillId="18" borderId="0" applyNumberFormat="0" applyBorder="0" applyAlignment="0" applyProtection="0"/>
    <xf numFmtId="178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178" fontId="65" fillId="18" borderId="0" applyNumberFormat="0" applyBorder="0" applyAlignment="0" applyProtection="0"/>
    <xf numFmtId="0" fontId="66" fillId="79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79" borderId="0" applyNumberFormat="0" applyBorder="0" applyAlignment="0" applyProtection="0"/>
    <xf numFmtId="0" fontId="66" fillId="23" borderId="0" applyNumberFormat="0" applyBorder="0" applyAlignment="0" applyProtection="0"/>
    <xf numFmtId="0" fontId="66" fillId="79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79" borderId="0" applyNumberFormat="0" applyBorder="0" applyAlignment="0" applyProtection="0"/>
    <xf numFmtId="0" fontId="66" fillId="23" borderId="0" applyNumberFormat="0" applyBorder="0" applyAlignment="0" applyProtection="0"/>
    <xf numFmtId="0" fontId="66" fillId="79" borderId="0" applyNumberFormat="0" applyBorder="0" applyAlignment="0" applyProtection="0"/>
    <xf numFmtId="0" fontId="66" fillId="23" borderId="0" applyNumberFormat="0" applyBorder="0" applyAlignment="0" applyProtection="0"/>
    <xf numFmtId="178" fontId="66" fillId="79" borderId="0" applyNumberFormat="0" applyBorder="0" applyAlignment="0" applyProtection="0"/>
    <xf numFmtId="178" fontId="66" fillId="79" borderId="0" applyNumberFormat="0" applyBorder="0" applyAlignment="0" applyProtection="0"/>
    <xf numFmtId="178" fontId="66" fillId="79" borderId="0" applyNumberFormat="0" applyBorder="0" applyAlignment="0" applyProtection="0"/>
    <xf numFmtId="178" fontId="66" fillId="79" borderId="0" applyNumberFormat="0" applyBorder="0" applyAlignment="0" applyProtection="0"/>
    <xf numFmtId="178" fontId="66" fillId="79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0" fontId="65" fillId="3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31" borderId="0" applyNumberFormat="0" applyBorder="0" applyAlignment="0" applyProtection="0"/>
    <xf numFmtId="0" fontId="65" fillId="25" borderId="0" applyNumberFormat="0" applyBorder="0" applyAlignment="0" applyProtection="0"/>
    <xf numFmtId="0" fontId="65" fillId="3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178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178" fontId="65" fillId="22" borderId="0" applyNumberFormat="0" applyBorder="0" applyAlignment="0" applyProtection="0"/>
    <xf numFmtId="178" fontId="65" fillId="22" borderId="0" applyNumberFormat="0" applyBorder="0" applyAlignment="0" applyProtection="0"/>
    <xf numFmtId="178" fontId="65" fillId="22" borderId="0" applyNumberFormat="0" applyBorder="0" applyAlignment="0" applyProtection="0"/>
    <xf numFmtId="0" fontId="65" fillId="22" borderId="0" applyNumberFormat="0" applyBorder="0" applyAlignment="0" applyProtection="0"/>
    <xf numFmtId="178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178" fontId="65" fillId="22" borderId="0" applyNumberFormat="0" applyBorder="0" applyAlignment="0" applyProtection="0"/>
    <xf numFmtId="0" fontId="66" fillId="32" borderId="0" applyNumberFormat="0" applyBorder="0" applyAlignment="0" applyProtection="0"/>
    <xf numFmtId="0" fontId="66" fillId="27" borderId="0" applyNumberFormat="0" applyBorder="0" applyAlignment="0" applyProtection="0"/>
    <xf numFmtId="0" fontId="66" fillId="27" borderId="0" applyNumberFormat="0" applyBorder="0" applyAlignment="0" applyProtection="0"/>
    <xf numFmtId="0" fontId="66" fillId="32" borderId="0" applyNumberFormat="0" applyBorder="0" applyAlignment="0" applyProtection="0"/>
    <xf numFmtId="0" fontId="66" fillId="27" borderId="0" applyNumberFormat="0" applyBorder="0" applyAlignment="0" applyProtection="0"/>
    <xf numFmtId="0" fontId="66" fillId="32" borderId="0" applyNumberFormat="0" applyBorder="0" applyAlignment="0" applyProtection="0"/>
    <xf numFmtId="0" fontId="66" fillId="27" borderId="0" applyNumberFormat="0" applyBorder="0" applyAlignment="0" applyProtection="0"/>
    <xf numFmtId="0" fontId="66" fillId="27" borderId="0" applyNumberFormat="0" applyBorder="0" applyAlignment="0" applyProtection="0"/>
    <xf numFmtId="0" fontId="66" fillId="32" borderId="0" applyNumberFormat="0" applyBorder="0" applyAlignment="0" applyProtection="0"/>
    <xf numFmtId="0" fontId="66" fillId="27" borderId="0" applyNumberFormat="0" applyBorder="0" applyAlignment="0" applyProtection="0"/>
    <xf numFmtId="0" fontId="66" fillId="32" borderId="0" applyNumberFormat="0" applyBorder="0" applyAlignment="0" applyProtection="0"/>
    <xf numFmtId="0" fontId="66" fillId="27" borderId="0" applyNumberFormat="0" applyBorder="0" applyAlignment="0" applyProtection="0"/>
    <xf numFmtId="178" fontId="66" fillId="32" borderId="0" applyNumberFormat="0" applyBorder="0" applyAlignment="0" applyProtection="0"/>
    <xf numFmtId="178" fontId="66" fillId="32" borderId="0" applyNumberFormat="0" applyBorder="0" applyAlignment="0" applyProtection="0"/>
    <xf numFmtId="178" fontId="66" fillId="32" borderId="0" applyNumberFormat="0" applyBorder="0" applyAlignment="0" applyProtection="0"/>
    <xf numFmtId="178" fontId="66" fillId="32" borderId="0" applyNumberFormat="0" applyBorder="0" applyAlignment="0" applyProtection="0"/>
    <xf numFmtId="178" fontId="66" fillId="32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0" fontId="65" fillId="20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0" borderId="0" applyNumberFormat="0" applyBorder="0" applyAlignment="0" applyProtection="0"/>
    <xf numFmtId="0" fontId="65" fillId="29" borderId="0" applyNumberFormat="0" applyBorder="0" applyAlignment="0" applyProtection="0"/>
    <xf numFmtId="0" fontId="65" fillId="20" borderId="0" applyNumberFormat="0" applyBorder="0" applyAlignment="0" applyProtection="0"/>
    <xf numFmtId="0" fontId="65" fillId="29" borderId="0" applyNumberFormat="0" applyBorder="0" applyAlignment="0" applyProtection="0"/>
    <xf numFmtId="0" fontId="65" fillId="29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178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0" fontId="65" fillId="26" borderId="0" applyNumberFormat="0" applyBorder="0" applyAlignment="0" applyProtection="0"/>
    <xf numFmtId="0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178" fontId="66" fillId="24" borderId="0" applyNumberFormat="0" applyBorder="0" applyAlignment="0" applyProtection="0"/>
    <xf numFmtId="0" fontId="66" fillId="20" borderId="0" applyNumberFormat="0" applyBorder="0" applyAlignment="0" applyProtection="0"/>
    <xf numFmtId="0" fontId="66" fillId="31" borderId="0" applyNumberFormat="0" applyBorder="0" applyAlignment="0" applyProtection="0"/>
    <xf numFmtId="0" fontId="66" fillId="31" borderId="0" applyNumberFormat="0" applyBorder="0" applyAlignment="0" applyProtection="0"/>
    <xf numFmtId="0" fontId="66" fillId="20" borderId="0" applyNumberFormat="0" applyBorder="0" applyAlignment="0" applyProtection="0"/>
    <xf numFmtId="0" fontId="66" fillId="31" borderId="0" applyNumberFormat="0" applyBorder="0" applyAlignment="0" applyProtection="0"/>
    <xf numFmtId="0" fontId="66" fillId="20" borderId="0" applyNumberFormat="0" applyBorder="0" applyAlignment="0" applyProtection="0"/>
    <xf numFmtId="0" fontId="66" fillId="31" borderId="0" applyNumberFormat="0" applyBorder="0" applyAlignment="0" applyProtection="0"/>
    <xf numFmtId="0" fontId="66" fillId="31" borderId="0" applyNumberFormat="0" applyBorder="0" applyAlignment="0" applyProtection="0"/>
    <xf numFmtId="0" fontId="66" fillId="20" borderId="0" applyNumberFormat="0" applyBorder="0" applyAlignment="0" applyProtection="0"/>
    <xf numFmtId="0" fontId="66" fillId="31" borderId="0" applyNumberFormat="0" applyBorder="0" applyAlignment="0" applyProtection="0"/>
    <xf numFmtId="0" fontId="66" fillId="20" borderId="0" applyNumberFormat="0" applyBorder="0" applyAlignment="0" applyProtection="0"/>
    <xf numFmtId="0" fontId="66" fillId="31" borderId="0" applyNumberFormat="0" applyBorder="0" applyAlignment="0" applyProtection="0"/>
    <xf numFmtId="178" fontId="66" fillId="20" borderId="0" applyNumberFormat="0" applyBorder="0" applyAlignment="0" applyProtection="0"/>
    <xf numFmtId="178" fontId="66" fillId="20" borderId="0" applyNumberFormat="0" applyBorder="0" applyAlignment="0" applyProtection="0"/>
    <xf numFmtId="178" fontId="66" fillId="20" borderId="0" applyNumberFormat="0" applyBorder="0" applyAlignment="0" applyProtection="0"/>
    <xf numFmtId="178" fontId="66" fillId="20" borderId="0" applyNumberFormat="0" applyBorder="0" applyAlignment="0" applyProtection="0"/>
    <xf numFmtId="178" fontId="66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0" borderId="0" applyNumberFormat="0" applyBorder="0" applyAlignment="0" applyProtection="0"/>
    <xf numFmtId="0" fontId="65" fillId="24" borderId="0" applyNumberFormat="0" applyBorder="0" applyAlignment="0" applyProtection="0"/>
    <xf numFmtId="0" fontId="65" fillId="20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2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178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178" fontId="65" fillId="80" borderId="0" applyNumberFormat="0" applyBorder="0" applyAlignment="0" applyProtection="0"/>
    <xf numFmtId="178" fontId="65" fillId="80" borderId="0" applyNumberFormat="0" applyBorder="0" applyAlignment="0" applyProtection="0"/>
    <xf numFmtId="178" fontId="65" fillId="80" borderId="0" applyNumberFormat="0" applyBorder="0" applyAlignment="0" applyProtection="0"/>
    <xf numFmtId="178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0" fontId="65" fillId="30" borderId="0" applyNumberFormat="0" applyBorder="0" applyAlignment="0" applyProtection="0"/>
    <xf numFmtId="0" fontId="65" fillId="80" borderId="0" applyNumberFormat="0" applyBorder="0" applyAlignment="0" applyProtection="0"/>
    <xf numFmtId="178" fontId="65" fillId="80" borderId="0" applyNumberFormat="0" applyBorder="0" applyAlignment="0" applyProtection="0"/>
    <xf numFmtId="178" fontId="65" fillId="80" borderId="0" applyNumberFormat="0" applyBorder="0" applyAlignment="0" applyProtection="0"/>
    <xf numFmtId="0" fontId="66" fillId="77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77" borderId="0" applyNumberFormat="0" applyBorder="0" applyAlignment="0" applyProtection="0"/>
    <xf numFmtId="0" fontId="66" fillId="32" borderId="0" applyNumberFormat="0" applyBorder="0" applyAlignment="0" applyProtection="0"/>
    <xf numFmtId="0" fontId="66" fillId="77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77" borderId="0" applyNumberFormat="0" applyBorder="0" applyAlignment="0" applyProtection="0"/>
    <xf numFmtId="0" fontId="66" fillId="32" borderId="0" applyNumberFormat="0" applyBorder="0" applyAlignment="0" applyProtection="0"/>
    <xf numFmtId="0" fontId="66" fillId="77" borderId="0" applyNumberFormat="0" applyBorder="0" applyAlignment="0" applyProtection="0"/>
    <xf numFmtId="0" fontId="66" fillId="32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178" fontId="66" fillId="77" borderId="0" applyNumberFormat="0" applyBorder="0" applyAlignment="0" applyProtection="0"/>
    <xf numFmtId="0" fontId="66" fillId="33" borderId="0" applyNumberFormat="0" applyBorder="0" applyAlignment="0" applyProtection="0"/>
    <xf numFmtId="178" fontId="66" fillId="33" borderId="0" applyNumberFormat="0" applyBorder="0" applyAlignment="0" applyProtection="0"/>
    <xf numFmtId="0" fontId="65" fillId="33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33" borderId="0" applyNumberFormat="0" applyBorder="0" applyAlignment="0" applyProtection="0"/>
    <xf numFmtId="0" fontId="65" fillId="21" borderId="0" applyNumberFormat="0" applyBorder="0" applyAlignment="0" applyProtection="0"/>
    <xf numFmtId="0" fontId="65" fillId="33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0" fontId="65" fillId="33" borderId="0" applyNumberFormat="0" applyBorder="0" applyAlignment="0" applyProtection="0"/>
    <xf numFmtId="178" fontId="65" fillId="33" borderId="0" applyNumberFormat="0" applyBorder="0" applyAlignment="0" applyProtection="0"/>
    <xf numFmtId="178" fontId="65" fillId="33" borderId="0" applyNumberFormat="0" applyBorder="0" applyAlignment="0" applyProtection="0"/>
    <xf numFmtId="178" fontId="65" fillId="33" borderId="0" applyNumberFormat="0" applyBorder="0" applyAlignment="0" applyProtection="0"/>
    <xf numFmtId="178" fontId="65" fillId="33" borderId="0" applyNumberFormat="0" applyBorder="0" applyAlignment="0" applyProtection="0"/>
    <xf numFmtId="178" fontId="65" fillId="33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178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178" fontId="65" fillId="81" borderId="0" applyNumberFormat="0" applyBorder="0" applyAlignment="0" applyProtection="0"/>
    <xf numFmtId="178" fontId="65" fillId="81" borderId="0" applyNumberFormat="0" applyBorder="0" applyAlignment="0" applyProtection="0"/>
    <xf numFmtId="178" fontId="65" fillId="81" borderId="0" applyNumberFormat="0" applyBorder="0" applyAlignment="0" applyProtection="0"/>
    <xf numFmtId="178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0" fontId="65" fillId="21" borderId="0" applyNumberFormat="0" applyBorder="0" applyAlignment="0" applyProtection="0"/>
    <xf numFmtId="0" fontId="65" fillId="81" borderId="0" applyNumberFormat="0" applyBorder="0" applyAlignment="0" applyProtection="0"/>
    <xf numFmtId="178" fontId="65" fillId="81" borderId="0" applyNumberFormat="0" applyBorder="0" applyAlignment="0" applyProtection="0"/>
    <xf numFmtId="178" fontId="65" fillId="81" borderId="0" applyNumberFormat="0" applyBorder="0" applyAlignment="0" applyProtection="0"/>
    <xf numFmtId="0" fontId="66" fillId="35" borderId="0" applyNumberFormat="0" applyBorder="0" applyAlignment="0" applyProtection="0"/>
    <xf numFmtId="178" fontId="66" fillId="35" borderId="0" applyNumberFormat="0" applyBorder="0" applyAlignment="0" applyProtection="0"/>
    <xf numFmtId="0" fontId="66" fillId="25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25" borderId="0" applyNumberFormat="0" applyBorder="0" applyAlignment="0" applyProtection="0"/>
    <xf numFmtId="0" fontId="66" fillId="36" borderId="0" applyNumberFormat="0" applyBorder="0" applyAlignment="0" applyProtection="0"/>
    <xf numFmtId="0" fontId="66" fillId="25" borderId="0" applyNumberFormat="0" applyBorder="0" applyAlignment="0" applyProtection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6" fillId="25" borderId="0" applyNumberFormat="0" applyBorder="0" applyAlignment="0" applyProtection="0"/>
    <xf numFmtId="0" fontId="66" fillId="36" borderId="0" applyNumberFormat="0" applyBorder="0" applyAlignment="0" applyProtection="0"/>
    <xf numFmtId="0" fontId="66" fillId="25" borderId="0" applyNumberFormat="0" applyBorder="0" applyAlignment="0" applyProtection="0"/>
    <xf numFmtId="0" fontId="66" fillId="36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178" fontId="66" fillId="25" borderId="0" applyNumberFormat="0" applyBorder="0" applyAlignment="0" applyProtection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178" fontId="65" fillId="36" borderId="0" applyNumberFormat="0" applyBorder="0" applyAlignment="0" applyProtection="0"/>
    <xf numFmtId="178" fontId="65" fillId="36" borderId="0" applyNumberFormat="0" applyBorder="0" applyAlignment="0" applyProtection="0"/>
    <xf numFmtId="178" fontId="65" fillId="36" borderId="0" applyNumberFormat="0" applyBorder="0" applyAlignment="0" applyProtection="0"/>
    <xf numFmtId="178" fontId="65" fillId="36" borderId="0" applyNumberFormat="0" applyBorder="0" applyAlignment="0" applyProtection="0"/>
    <xf numFmtId="178" fontId="65" fillId="36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178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178" fontId="65" fillId="82" borderId="0" applyNumberFormat="0" applyBorder="0" applyAlignment="0" applyProtection="0"/>
    <xf numFmtId="178" fontId="65" fillId="82" borderId="0" applyNumberFormat="0" applyBorder="0" applyAlignment="0" applyProtection="0"/>
    <xf numFmtId="178" fontId="65" fillId="82" borderId="0" applyNumberFormat="0" applyBorder="0" applyAlignment="0" applyProtection="0"/>
    <xf numFmtId="178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0" fontId="65" fillId="34" borderId="0" applyNumberFormat="0" applyBorder="0" applyAlignment="0" applyProtection="0"/>
    <xf numFmtId="0" fontId="65" fillId="82" borderId="0" applyNumberFormat="0" applyBorder="0" applyAlignment="0" applyProtection="0"/>
    <xf numFmtId="178" fontId="65" fillId="82" borderId="0" applyNumberFormat="0" applyBorder="0" applyAlignment="0" applyProtection="0"/>
    <xf numFmtId="178" fontId="65" fillId="82" borderId="0" applyNumberFormat="0" applyBorder="0" applyAlignment="0" applyProtection="0"/>
    <xf numFmtId="179" fontId="25" fillId="9" borderId="62">
      <alignment horizontal="center" vertical="center"/>
    </xf>
    <xf numFmtId="180" fontId="16" fillId="9" borderId="62">
      <alignment horizontal="center" vertical="center"/>
    </xf>
    <xf numFmtId="180" fontId="16" fillId="9" borderId="62">
      <alignment horizontal="center" vertical="center"/>
    </xf>
    <xf numFmtId="179" fontId="25" fillId="9" borderId="62">
      <alignment horizontal="center" vertical="center"/>
    </xf>
    <xf numFmtId="180" fontId="16" fillId="9" borderId="62">
      <alignment horizontal="center" vertical="center"/>
    </xf>
    <xf numFmtId="179" fontId="25" fillId="9" borderId="62">
      <alignment horizontal="center" vertical="center"/>
    </xf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67" fillId="35" borderId="0" applyNumberFormat="0" applyBorder="0" applyAlignment="0" applyProtection="0"/>
    <xf numFmtId="0" fontId="67" fillId="35" borderId="0" applyNumberFormat="0" applyBorder="0" applyAlignment="0" applyProtection="0"/>
    <xf numFmtId="0" fontId="86" fillId="25" borderId="0" applyNumberFormat="0" applyBorder="0" applyAlignment="0" applyProtection="0"/>
    <xf numFmtId="0" fontId="67" fillId="3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67" fillId="3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178" fontId="86" fillId="25" borderId="0" applyNumberFormat="0" applyBorder="0" applyAlignment="0" applyProtection="0"/>
    <xf numFmtId="0" fontId="86" fillId="25" borderId="0" applyNumberFormat="0" applyBorder="0" applyAlignment="0" applyProtection="0"/>
    <xf numFmtId="178" fontId="86" fillId="25" borderId="0" applyNumberFormat="0" applyBorder="0" applyAlignment="0" applyProtection="0"/>
    <xf numFmtId="178" fontId="86" fillId="25" borderId="0" applyNumberFormat="0" applyBorder="0" applyAlignment="0" applyProtection="0"/>
    <xf numFmtId="178" fontId="86" fillId="25" borderId="0" applyNumberFormat="0" applyBorder="0" applyAlignment="0" applyProtection="0"/>
    <xf numFmtId="178" fontId="86" fillId="25" borderId="0" applyNumberFormat="0" applyBorder="0" applyAlignment="0" applyProtection="0"/>
    <xf numFmtId="0" fontId="87" fillId="83" borderId="63" applyNumberFormat="0" applyAlignment="0" applyProtection="0"/>
    <xf numFmtId="0" fontId="87" fillId="83" borderId="63" applyNumberFormat="0" applyAlignment="0" applyProtection="0"/>
    <xf numFmtId="0" fontId="68" fillId="38" borderId="47" applyNumberFormat="0" applyAlignment="0" applyProtection="0"/>
    <xf numFmtId="0" fontId="68" fillId="38" borderId="47" applyNumberFormat="0" applyAlignment="0" applyProtection="0"/>
    <xf numFmtId="0" fontId="87" fillId="83" borderId="63" applyNumberFormat="0" applyAlignment="0" applyProtection="0"/>
    <xf numFmtId="0" fontId="68" fillId="38" borderId="47" applyNumberFormat="0" applyAlignment="0" applyProtection="0"/>
    <xf numFmtId="0" fontId="87" fillId="83" borderId="63" applyNumberFormat="0" applyAlignment="0" applyProtection="0"/>
    <xf numFmtId="0" fontId="87" fillId="83" borderId="63" applyNumberFormat="0" applyAlignment="0" applyProtection="0"/>
    <xf numFmtId="0" fontId="68" fillId="38" borderId="47" applyNumberFormat="0" applyAlignment="0" applyProtection="0"/>
    <xf numFmtId="0" fontId="87" fillId="83" borderId="63" applyNumberFormat="0" applyAlignment="0" applyProtection="0"/>
    <xf numFmtId="0" fontId="87" fillId="83" borderId="63" applyNumberFormat="0" applyAlignment="0" applyProtection="0"/>
    <xf numFmtId="0" fontId="87" fillId="83" borderId="63" applyNumberFormat="0" applyAlignment="0" applyProtection="0"/>
    <xf numFmtId="178" fontId="87" fillId="83" borderId="63" applyNumberFormat="0" applyAlignment="0" applyProtection="0"/>
    <xf numFmtId="0" fontId="87" fillId="83" borderId="63" applyNumberFormat="0" applyAlignment="0" applyProtection="0"/>
    <xf numFmtId="178" fontId="87" fillId="83" borderId="63" applyNumberFormat="0" applyAlignment="0" applyProtection="0"/>
    <xf numFmtId="178" fontId="87" fillId="83" borderId="63" applyNumberFormat="0" applyAlignment="0" applyProtection="0"/>
    <xf numFmtId="178" fontId="87" fillId="83" borderId="63" applyNumberFormat="0" applyAlignment="0" applyProtection="0"/>
    <xf numFmtId="178" fontId="87" fillId="83" borderId="63" applyNumberFormat="0" applyAlignment="0" applyProtection="0"/>
    <xf numFmtId="0" fontId="69" fillId="31" borderId="48" applyNumberFormat="0" applyAlignment="0" applyProtection="0"/>
    <xf numFmtId="0" fontId="69" fillId="31" borderId="48" applyNumberFormat="0" applyAlignment="0" applyProtection="0"/>
    <xf numFmtId="0" fontId="69" fillId="30" borderId="48" applyNumberFormat="0" applyAlignment="0" applyProtection="0"/>
    <xf numFmtId="0" fontId="69" fillId="30" borderId="48" applyNumberFormat="0" applyAlignment="0" applyProtection="0"/>
    <xf numFmtId="0" fontId="69" fillId="31" borderId="48" applyNumberFormat="0" applyAlignment="0" applyProtection="0"/>
    <xf numFmtId="0" fontId="69" fillId="30" borderId="48" applyNumberFormat="0" applyAlignment="0" applyProtection="0"/>
    <xf numFmtId="0" fontId="69" fillId="31" borderId="48" applyNumberFormat="0" applyAlignment="0" applyProtection="0"/>
    <xf numFmtId="0" fontId="69" fillId="31" borderId="48" applyNumberFormat="0" applyAlignment="0" applyProtection="0"/>
    <xf numFmtId="0" fontId="69" fillId="30" borderId="48" applyNumberFormat="0" applyAlignment="0" applyProtection="0"/>
    <xf numFmtId="0" fontId="69" fillId="31" borderId="48" applyNumberFormat="0" applyAlignment="0" applyProtection="0"/>
    <xf numFmtId="0" fontId="69" fillId="31" borderId="48" applyNumberFormat="0" applyAlignment="0" applyProtection="0"/>
    <xf numFmtId="0" fontId="69" fillId="31" borderId="48" applyNumberFormat="0" applyAlignment="0" applyProtection="0"/>
    <xf numFmtId="178" fontId="69" fillId="31" borderId="48" applyNumberFormat="0" applyAlignment="0" applyProtection="0"/>
    <xf numFmtId="0" fontId="69" fillId="31" borderId="48" applyNumberFormat="0" applyAlignment="0" applyProtection="0"/>
    <xf numFmtId="178" fontId="69" fillId="31" borderId="48" applyNumberFormat="0" applyAlignment="0" applyProtection="0"/>
    <xf numFmtId="178" fontId="69" fillId="31" borderId="48" applyNumberFormat="0" applyAlignment="0" applyProtection="0"/>
    <xf numFmtId="178" fontId="69" fillId="31" borderId="48" applyNumberFormat="0" applyAlignment="0" applyProtection="0"/>
    <xf numFmtId="178" fontId="69" fillId="31" borderId="48" applyNumberFormat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6" fontId="88" fillId="0" borderId="0">
      <protection locked="0"/>
    </xf>
    <xf numFmtId="0" fontId="70" fillId="8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84" borderId="0" applyNumberFormat="0" applyBorder="0" applyAlignment="0" applyProtection="0"/>
    <xf numFmtId="0" fontId="70" fillId="39" borderId="0" applyNumberFormat="0" applyBorder="0" applyAlignment="0" applyProtection="0"/>
    <xf numFmtId="0" fontId="70" fillId="84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178" fontId="70" fillId="84" borderId="0" applyNumberFormat="0" applyBorder="0" applyAlignment="0" applyProtection="0"/>
    <xf numFmtId="178" fontId="70" fillId="84" borderId="0" applyNumberFormat="0" applyBorder="0" applyAlignment="0" applyProtection="0"/>
    <xf numFmtId="178" fontId="70" fillId="84" borderId="0" applyNumberFormat="0" applyBorder="0" applyAlignment="0" applyProtection="0"/>
    <xf numFmtId="178" fontId="70" fillId="84" borderId="0" applyNumberFormat="0" applyBorder="0" applyAlignment="0" applyProtection="0"/>
    <xf numFmtId="178" fontId="70" fillId="84" borderId="0" applyNumberFormat="0" applyBorder="0" applyAlignment="0" applyProtection="0"/>
    <xf numFmtId="0" fontId="70" fillId="85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85" borderId="0" applyNumberFormat="0" applyBorder="0" applyAlignment="0" applyProtection="0"/>
    <xf numFmtId="0" fontId="70" fillId="40" borderId="0" applyNumberFormat="0" applyBorder="0" applyAlignment="0" applyProtection="0"/>
    <xf numFmtId="0" fontId="70" fillId="85" borderId="0" applyNumberFormat="0" applyBorder="0" applyAlignment="0" applyProtection="0"/>
    <xf numFmtId="0" fontId="70" fillId="40" borderId="0" applyNumberFormat="0" applyBorder="0" applyAlignment="0" applyProtection="0"/>
    <xf numFmtId="0" fontId="70" fillId="40" borderId="0" applyNumberFormat="0" applyBorder="0" applyAlignment="0" applyProtection="0"/>
    <xf numFmtId="0" fontId="70" fillId="85" borderId="0" applyNumberFormat="0" applyBorder="0" applyAlignment="0" applyProtection="0"/>
    <xf numFmtId="0" fontId="70" fillId="85" borderId="0" applyNumberFormat="0" applyBorder="0" applyAlignment="0" applyProtection="0"/>
    <xf numFmtId="0" fontId="70" fillId="85" borderId="0" applyNumberFormat="0" applyBorder="0" applyAlignment="0" applyProtection="0"/>
    <xf numFmtId="178" fontId="70" fillId="85" borderId="0" applyNumberFormat="0" applyBorder="0" applyAlignment="0" applyProtection="0"/>
    <xf numFmtId="178" fontId="70" fillId="85" borderId="0" applyNumberFormat="0" applyBorder="0" applyAlignment="0" applyProtection="0"/>
    <xf numFmtId="178" fontId="70" fillId="85" borderId="0" applyNumberFormat="0" applyBorder="0" applyAlignment="0" applyProtection="0"/>
    <xf numFmtId="178" fontId="70" fillId="85" borderId="0" applyNumberFormat="0" applyBorder="0" applyAlignment="0" applyProtection="0"/>
    <xf numFmtId="178" fontId="70" fillId="85" borderId="0" applyNumberFormat="0" applyBorder="0" applyAlignment="0" applyProtection="0"/>
    <xf numFmtId="178" fontId="70" fillId="41" borderId="0" applyNumberFormat="0" applyBorder="0" applyAlignment="0" applyProtection="0"/>
    <xf numFmtId="0" fontId="70" fillId="41" borderId="0" applyNumberFormat="0" applyBorder="0" applyAlignment="0" applyProtection="0"/>
    <xf numFmtId="0" fontId="70" fillId="41" borderId="0" applyNumberFormat="0" applyBorder="0" applyAlignment="0" applyProtection="0"/>
    <xf numFmtId="178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81" fontId="16" fillId="0" borderId="0">
      <protection locked="0"/>
    </xf>
    <xf numFmtId="181" fontId="16" fillId="0" borderId="0">
      <protection locked="0"/>
    </xf>
    <xf numFmtId="181" fontId="16" fillId="0" borderId="0">
      <protection locked="0"/>
    </xf>
    <xf numFmtId="181" fontId="16" fillId="0" borderId="0">
      <protection locked="0"/>
    </xf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75" fillId="86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78" fontId="75" fillId="86" borderId="0" applyNumberFormat="0" applyBorder="0" applyAlignment="0" applyProtection="0"/>
    <xf numFmtId="0" fontId="75" fillId="86" borderId="0" applyNumberFormat="0" applyBorder="0" applyAlignment="0" applyProtection="0"/>
    <xf numFmtId="178" fontId="75" fillId="86" borderId="0" applyNumberFormat="0" applyBorder="0" applyAlignment="0" applyProtection="0"/>
    <xf numFmtId="178" fontId="75" fillId="86" borderId="0" applyNumberFormat="0" applyBorder="0" applyAlignment="0" applyProtection="0"/>
    <xf numFmtId="178" fontId="75" fillId="86" borderId="0" applyNumberFormat="0" applyBorder="0" applyAlignment="0" applyProtection="0"/>
    <xf numFmtId="178" fontId="75" fillId="86" borderId="0" applyNumberFormat="0" applyBorder="0" applyAlignment="0" applyProtection="0"/>
    <xf numFmtId="38" fontId="59" fillId="11" borderId="0" applyNumberFormat="0" applyBorder="0" applyAlignment="0" applyProtection="0"/>
    <xf numFmtId="38" fontId="59" fillId="11" borderId="0" applyNumberFormat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8" fontId="92" fillId="0" borderId="0" applyNumberFormat="0" applyFill="0" applyBorder="0" applyAlignment="0" applyProtection="0"/>
    <xf numFmtId="0" fontId="46" fillId="0" borderId="4" applyNumberFormat="0" applyAlignment="0" applyProtection="0">
      <alignment horizontal="left" vertical="center"/>
    </xf>
    <xf numFmtId="0" fontId="46" fillId="0" borderId="14">
      <alignment horizontal="left" vertical="center"/>
    </xf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178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71" fillId="0" borderId="49" applyNumberFormat="0" applyFill="0" applyAlignment="0" applyProtection="0"/>
    <xf numFmtId="0" fontId="72" fillId="0" borderId="64" applyNumberFormat="0" applyFill="0" applyAlignment="0" applyProtection="0"/>
    <xf numFmtId="0" fontId="72" fillId="0" borderId="64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64" applyNumberFormat="0" applyFill="0" applyAlignment="0" applyProtection="0"/>
    <xf numFmtId="0" fontId="72" fillId="0" borderId="50" applyNumberFormat="0" applyFill="0" applyAlignment="0" applyProtection="0"/>
    <xf numFmtId="0" fontId="72" fillId="0" borderId="64" applyNumberFormat="0" applyFill="0" applyAlignment="0" applyProtection="0"/>
    <xf numFmtId="0" fontId="72" fillId="0" borderId="64" applyNumberFormat="0" applyFill="0" applyAlignment="0" applyProtection="0"/>
    <xf numFmtId="0" fontId="72" fillId="0" borderId="50" applyNumberFormat="0" applyFill="0" applyAlignment="0" applyProtection="0"/>
    <xf numFmtId="0" fontId="72" fillId="0" borderId="64" applyNumberFormat="0" applyFill="0" applyAlignment="0" applyProtection="0"/>
    <xf numFmtId="0" fontId="72" fillId="0" borderId="64" applyNumberFormat="0" applyFill="0" applyAlignment="0" applyProtection="0"/>
    <xf numFmtId="0" fontId="72" fillId="0" borderId="64" applyNumberFormat="0" applyFill="0" applyAlignment="0" applyProtection="0"/>
    <xf numFmtId="178" fontId="72" fillId="0" borderId="64" applyNumberFormat="0" applyFill="0" applyAlignment="0" applyProtection="0"/>
    <xf numFmtId="0" fontId="72" fillId="0" borderId="64" applyNumberFormat="0" applyFill="0" applyAlignment="0" applyProtection="0"/>
    <xf numFmtId="178" fontId="72" fillId="0" borderId="64" applyNumberFormat="0" applyFill="0" applyAlignment="0" applyProtection="0"/>
    <xf numFmtId="178" fontId="72" fillId="0" borderId="64" applyNumberFormat="0" applyFill="0" applyAlignment="0" applyProtection="0"/>
    <xf numFmtId="178" fontId="72" fillId="0" borderId="64" applyNumberFormat="0" applyFill="0" applyAlignment="0" applyProtection="0"/>
    <xf numFmtId="178" fontId="72" fillId="0" borderId="64" applyNumberFormat="0" applyFill="0" applyAlignment="0" applyProtection="0"/>
    <xf numFmtId="0" fontId="73" fillId="0" borderId="65" applyNumberFormat="0" applyFill="0" applyAlignment="0" applyProtection="0"/>
    <xf numFmtId="0" fontId="73" fillId="0" borderId="65" applyNumberFormat="0" applyFill="0" applyAlignment="0" applyProtection="0"/>
    <xf numFmtId="0" fontId="73" fillId="0" borderId="51" applyNumberFormat="0" applyFill="0" applyAlignment="0" applyProtection="0"/>
    <xf numFmtId="0" fontId="73" fillId="0" borderId="51" applyNumberFormat="0" applyFill="0" applyAlignment="0" applyProtection="0"/>
    <xf numFmtId="0" fontId="73" fillId="0" borderId="65" applyNumberFormat="0" applyFill="0" applyAlignment="0" applyProtection="0"/>
    <xf numFmtId="0" fontId="73" fillId="0" borderId="51" applyNumberFormat="0" applyFill="0" applyAlignment="0" applyProtection="0"/>
    <xf numFmtId="0" fontId="73" fillId="0" borderId="65" applyNumberFormat="0" applyFill="0" applyAlignment="0" applyProtection="0"/>
    <xf numFmtId="0" fontId="73" fillId="0" borderId="65" applyNumberFormat="0" applyFill="0" applyAlignment="0" applyProtection="0"/>
    <xf numFmtId="0" fontId="73" fillId="0" borderId="51" applyNumberFormat="0" applyFill="0" applyAlignment="0" applyProtection="0"/>
    <xf numFmtId="0" fontId="73" fillId="0" borderId="65" applyNumberFormat="0" applyFill="0" applyAlignment="0" applyProtection="0"/>
    <xf numFmtId="0" fontId="73" fillId="0" borderId="65" applyNumberFormat="0" applyFill="0" applyAlignment="0" applyProtection="0"/>
    <xf numFmtId="0" fontId="73" fillId="0" borderId="65" applyNumberFormat="0" applyFill="0" applyAlignment="0" applyProtection="0"/>
    <xf numFmtId="178" fontId="73" fillId="0" borderId="65" applyNumberFormat="0" applyFill="0" applyAlignment="0" applyProtection="0"/>
    <xf numFmtId="0" fontId="73" fillId="0" borderId="65" applyNumberFormat="0" applyFill="0" applyAlignment="0" applyProtection="0"/>
    <xf numFmtId="178" fontId="73" fillId="0" borderId="65" applyNumberFormat="0" applyFill="0" applyAlignment="0" applyProtection="0"/>
    <xf numFmtId="178" fontId="73" fillId="0" borderId="65" applyNumberFormat="0" applyFill="0" applyAlignment="0" applyProtection="0"/>
    <xf numFmtId="178" fontId="73" fillId="0" borderId="65" applyNumberFormat="0" applyFill="0" applyAlignment="0" applyProtection="0"/>
    <xf numFmtId="178" fontId="73" fillId="0" borderId="65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7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0" fontId="93" fillId="0" borderId="66" applyNumberFormat="0" applyFill="0" applyAlignment="0" applyProtection="0"/>
    <xf numFmtId="0" fontId="93" fillId="0" borderId="66" applyNumberFormat="0" applyFill="0" applyAlignment="0" applyProtection="0"/>
    <xf numFmtId="178" fontId="93" fillId="0" borderId="66" applyNumberFormat="0" applyFill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178" fontId="94" fillId="0" borderId="0" applyNumberFormat="0" applyFill="0" applyBorder="0" applyAlignment="0" applyProtection="0">
      <alignment vertical="top"/>
      <protection locked="0"/>
    </xf>
    <xf numFmtId="10" fontId="59" fillId="62" borderId="1" applyNumberFormat="0" applyBorder="0" applyAlignment="0" applyProtection="0"/>
    <xf numFmtId="10" fontId="59" fillId="62" borderId="1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178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63" applyNumberFormat="0" applyAlignment="0" applyProtection="0"/>
    <xf numFmtId="0" fontId="74" fillId="36" borderId="47" applyNumberFormat="0" applyAlignment="0" applyProtection="0"/>
    <xf numFmtId="178" fontId="74" fillId="36" borderId="63" applyNumberFormat="0" applyAlignment="0" applyProtection="0"/>
    <xf numFmtId="178" fontId="74" fillId="36" borderId="63" applyNumberFormat="0" applyAlignment="0" applyProtection="0"/>
    <xf numFmtId="178" fontId="74" fillId="36" borderId="63" applyNumberFormat="0" applyAlignment="0" applyProtection="0"/>
    <xf numFmtId="178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47" applyNumberFormat="0" applyAlignment="0" applyProtection="0"/>
    <xf numFmtId="0" fontId="74" fillId="36" borderId="63" applyNumberFormat="0" applyAlignment="0" applyProtection="0"/>
    <xf numFmtId="0" fontId="74" fillId="36" borderId="47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178" fontId="74" fillId="36" borderId="63" applyNumberFormat="0" applyAlignment="0" applyProtection="0"/>
    <xf numFmtId="178" fontId="74" fillId="36" borderId="63" applyNumberFormat="0" applyAlignment="0" applyProtection="0"/>
    <xf numFmtId="0" fontId="74" fillId="36" borderId="63" applyNumberFormat="0" applyAlignment="0" applyProtection="0"/>
    <xf numFmtId="0" fontId="95" fillId="0" borderId="67" applyNumberFormat="0" applyFill="0" applyAlignment="0" applyProtection="0"/>
    <xf numFmtId="0" fontId="95" fillId="0" borderId="67" applyNumberFormat="0" applyFill="0" applyAlignment="0" applyProtection="0"/>
    <xf numFmtId="0" fontId="75" fillId="0" borderId="52" applyNumberFormat="0" applyFill="0" applyAlignment="0" applyProtection="0"/>
    <xf numFmtId="0" fontId="75" fillId="0" borderId="52" applyNumberFormat="0" applyFill="0" applyAlignment="0" applyProtection="0"/>
    <xf numFmtId="0" fontId="95" fillId="0" borderId="67" applyNumberFormat="0" applyFill="0" applyAlignment="0" applyProtection="0"/>
    <xf numFmtId="0" fontId="75" fillId="0" borderId="52" applyNumberFormat="0" applyFill="0" applyAlignment="0" applyProtection="0"/>
    <xf numFmtId="0" fontId="95" fillId="0" borderId="67" applyNumberFormat="0" applyFill="0" applyAlignment="0" applyProtection="0"/>
    <xf numFmtId="0" fontId="95" fillId="0" borderId="67" applyNumberFormat="0" applyFill="0" applyAlignment="0" applyProtection="0"/>
    <xf numFmtId="0" fontId="75" fillId="0" borderId="52" applyNumberFormat="0" applyFill="0" applyAlignment="0" applyProtection="0"/>
    <xf numFmtId="0" fontId="95" fillId="0" borderId="67" applyNumberFormat="0" applyFill="0" applyAlignment="0" applyProtection="0"/>
    <xf numFmtId="0" fontId="95" fillId="0" borderId="67" applyNumberFormat="0" applyFill="0" applyAlignment="0" applyProtection="0"/>
    <xf numFmtId="0" fontId="95" fillId="0" borderId="67" applyNumberFormat="0" applyFill="0" applyAlignment="0" applyProtection="0"/>
    <xf numFmtId="178" fontId="95" fillId="0" borderId="67" applyNumberFormat="0" applyFill="0" applyAlignment="0" applyProtection="0"/>
    <xf numFmtId="0" fontId="95" fillId="0" borderId="67" applyNumberFormat="0" applyFill="0" applyAlignment="0" applyProtection="0"/>
    <xf numFmtId="178" fontId="95" fillId="0" borderId="67" applyNumberFormat="0" applyFill="0" applyAlignment="0" applyProtection="0"/>
    <xf numFmtId="178" fontId="95" fillId="0" borderId="67" applyNumberFormat="0" applyFill="0" applyAlignment="0" applyProtection="0"/>
    <xf numFmtId="178" fontId="95" fillId="0" borderId="67" applyNumberFormat="0" applyFill="0" applyAlignment="0" applyProtection="0"/>
    <xf numFmtId="178" fontId="95" fillId="0" borderId="67" applyNumberFormat="0" applyFill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96" fillId="36" borderId="0" applyNumberFormat="0" applyBorder="0" applyAlignment="0" applyProtection="0"/>
    <xf numFmtId="0" fontId="75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75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0" fontId="96" fillId="36" borderId="0" applyNumberFormat="0" applyBorder="0" applyAlignment="0" applyProtection="0"/>
    <xf numFmtId="178" fontId="96" fillId="36" borderId="0" applyNumberFormat="0" applyBorder="0" applyAlignment="0" applyProtection="0"/>
    <xf numFmtId="0" fontId="96" fillId="36" borderId="0" applyNumberFormat="0" applyBorder="0" applyAlignment="0" applyProtection="0"/>
    <xf numFmtId="178" fontId="96" fillId="36" borderId="0" applyNumberFormat="0" applyBorder="0" applyAlignment="0" applyProtection="0"/>
    <xf numFmtId="178" fontId="96" fillId="36" borderId="0" applyNumberFormat="0" applyBorder="0" applyAlignment="0" applyProtection="0"/>
    <xf numFmtId="178" fontId="96" fillId="36" borderId="0" applyNumberFormat="0" applyBorder="0" applyAlignment="0" applyProtection="0"/>
    <xf numFmtId="178" fontId="96" fillId="36" borderId="0" applyNumberFormat="0" applyBorder="0" applyAlignment="0" applyProtection="0"/>
    <xf numFmtId="37" fontId="97" fillId="0" borderId="0"/>
    <xf numFmtId="183" fontId="98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6" fillId="0" borderId="0"/>
    <xf numFmtId="0" fontId="16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6" fillId="0" borderId="0"/>
    <xf numFmtId="0" fontId="16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6" fillId="0" borderId="0"/>
    <xf numFmtId="0" fontId="16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8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9" fillId="17" borderId="0"/>
    <xf numFmtId="0" fontId="59" fillId="17" borderId="0"/>
    <xf numFmtId="0" fontId="16" fillId="0" borderId="0"/>
    <xf numFmtId="0" fontId="59" fillId="17" borderId="0"/>
    <xf numFmtId="0" fontId="16" fillId="0" borderId="0"/>
    <xf numFmtId="0" fontId="16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6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83" fillId="0" borderId="0"/>
    <xf numFmtId="178" fontId="6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3" fillId="0" borderId="0"/>
    <xf numFmtId="0" fontId="59" fillId="17" borderId="0"/>
    <xf numFmtId="0" fontId="59" fillId="17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3" fillId="0" borderId="0"/>
    <xf numFmtId="0" fontId="59" fillId="17" borderId="0"/>
    <xf numFmtId="0" fontId="59" fillId="17" borderId="0"/>
    <xf numFmtId="0" fontId="16" fillId="0" borderId="0"/>
    <xf numFmtId="0" fontId="59" fillId="17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9" fillId="17" borderId="0"/>
    <xf numFmtId="0" fontId="59" fillId="17" borderId="0"/>
    <xf numFmtId="0" fontId="59" fillId="17" borderId="0"/>
    <xf numFmtId="178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6" fillId="0" borderId="0"/>
    <xf numFmtId="0" fontId="59" fillId="17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3" fillId="0" borderId="0"/>
    <xf numFmtId="0" fontId="59" fillId="17" borderId="0"/>
    <xf numFmtId="0" fontId="59" fillId="17" borderId="0"/>
    <xf numFmtId="0" fontId="16" fillId="0" borderId="0"/>
    <xf numFmtId="0" fontId="59" fillId="17" borderId="0"/>
    <xf numFmtId="0" fontId="8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59" fillId="17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83" fillId="0" borderId="0"/>
    <xf numFmtId="0" fontId="59" fillId="17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59" fillId="17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17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0" fontId="59" fillId="17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178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59" fillId="35" borderId="47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59" fillId="35" borderId="47" applyNumberFormat="0" applyFont="0" applyAlignment="0" applyProtection="0"/>
    <xf numFmtId="0" fontId="59" fillId="35" borderId="47" applyNumberFormat="0" applyFont="0" applyAlignment="0" applyProtection="0"/>
    <xf numFmtId="0" fontId="59" fillId="35" borderId="47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178" fontId="16" fillId="35" borderId="68" applyNumberFormat="0" applyFont="0" applyAlignment="0" applyProtection="0"/>
    <xf numFmtId="178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76" fillId="83" borderId="53" applyNumberFormat="0" applyAlignment="0" applyProtection="0"/>
    <xf numFmtId="0" fontId="76" fillId="83" borderId="53" applyNumberFormat="0" applyAlignment="0" applyProtection="0"/>
    <xf numFmtId="0" fontId="76" fillId="38" borderId="53" applyNumberFormat="0" applyAlignment="0" applyProtection="0"/>
    <xf numFmtId="0" fontId="76" fillId="38" borderId="53" applyNumberFormat="0" applyAlignment="0" applyProtection="0"/>
    <xf numFmtId="0" fontId="76" fillId="83" borderId="53" applyNumberFormat="0" applyAlignment="0" applyProtection="0"/>
    <xf numFmtId="0" fontId="76" fillId="38" borderId="53" applyNumberFormat="0" applyAlignment="0" applyProtection="0"/>
    <xf numFmtId="0" fontId="76" fillId="83" borderId="53" applyNumberFormat="0" applyAlignment="0" applyProtection="0"/>
    <xf numFmtId="0" fontId="76" fillId="83" borderId="53" applyNumberFormat="0" applyAlignment="0" applyProtection="0"/>
    <xf numFmtId="0" fontId="76" fillId="38" borderId="53" applyNumberFormat="0" applyAlignment="0" applyProtection="0"/>
    <xf numFmtId="0" fontId="76" fillId="83" borderId="53" applyNumberFormat="0" applyAlignment="0" applyProtection="0"/>
    <xf numFmtId="0" fontId="76" fillId="83" borderId="53" applyNumberFormat="0" applyAlignment="0" applyProtection="0"/>
    <xf numFmtId="0" fontId="76" fillId="83" borderId="53" applyNumberFormat="0" applyAlignment="0" applyProtection="0"/>
    <xf numFmtId="178" fontId="76" fillId="83" borderId="53" applyNumberFormat="0" applyAlignment="0" applyProtection="0"/>
    <xf numFmtId="0" fontId="76" fillId="83" borderId="53" applyNumberFormat="0" applyAlignment="0" applyProtection="0"/>
    <xf numFmtId="178" fontId="76" fillId="83" borderId="53" applyNumberFormat="0" applyAlignment="0" applyProtection="0"/>
    <xf numFmtId="178" fontId="76" fillId="83" borderId="53" applyNumberFormat="0" applyAlignment="0" applyProtection="0"/>
    <xf numFmtId="178" fontId="76" fillId="83" borderId="53" applyNumberFormat="0" applyAlignment="0" applyProtection="0"/>
    <xf numFmtId="178" fontId="76" fillId="83" borderId="53" applyNumberFormat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9" fillId="42" borderId="47" applyNumberFormat="0" applyProtection="0">
      <alignment vertical="center"/>
    </xf>
    <xf numFmtId="4" fontId="99" fillId="42" borderId="54" applyNumberFormat="0" applyProtection="0">
      <alignment vertical="center"/>
    </xf>
    <xf numFmtId="4" fontId="99" fillId="42" borderId="54" applyNumberFormat="0" applyProtection="0">
      <alignment vertical="center"/>
    </xf>
    <xf numFmtId="4" fontId="59" fillId="42" borderId="47" applyNumberFormat="0" applyProtection="0">
      <alignment vertical="center"/>
    </xf>
    <xf numFmtId="4" fontId="59" fillId="42" borderId="47" applyNumberFormat="0" applyProtection="0">
      <alignment vertical="center"/>
    </xf>
    <xf numFmtId="4" fontId="99" fillId="42" borderId="54" applyNumberFormat="0" applyProtection="0">
      <alignment vertical="center"/>
    </xf>
    <xf numFmtId="4" fontId="59" fillId="42" borderId="47" applyNumberFormat="0" applyProtection="0">
      <alignment vertical="center"/>
    </xf>
    <xf numFmtId="4" fontId="59" fillId="42" borderId="47" applyNumberFormat="0" applyProtection="0">
      <alignment vertical="center"/>
    </xf>
    <xf numFmtId="4" fontId="99" fillId="42" borderId="54" applyNumberFormat="0" applyProtection="0">
      <alignment vertical="center"/>
    </xf>
    <xf numFmtId="4" fontId="99" fillId="42" borderId="54" applyNumberFormat="0" applyProtection="0">
      <alignment vertical="center"/>
    </xf>
    <xf numFmtId="4" fontId="59" fillId="42" borderId="47" applyNumberFormat="0" applyProtection="0">
      <alignment vertical="center"/>
    </xf>
    <xf numFmtId="4" fontId="59" fillId="42" borderId="47" applyNumberFormat="0" applyProtection="0">
      <alignment vertical="center"/>
    </xf>
    <xf numFmtId="4" fontId="59" fillId="42" borderId="47" applyNumberFormat="0" applyProtection="0">
      <alignment vertical="center"/>
    </xf>
    <xf numFmtId="4" fontId="99" fillId="42" borderId="54" applyNumberFormat="0" applyProtection="0">
      <alignment vertical="center"/>
    </xf>
    <xf numFmtId="4" fontId="59" fillId="42" borderId="47" applyNumberFormat="0" applyProtection="0">
      <alignment vertical="center"/>
    </xf>
    <xf numFmtId="4" fontId="100" fillId="42" borderId="54" applyNumberFormat="0" applyProtection="0">
      <alignment vertical="center"/>
    </xf>
    <xf numFmtId="4" fontId="100" fillId="42" borderId="54" applyNumberFormat="0" applyProtection="0">
      <alignment vertical="center"/>
    </xf>
    <xf numFmtId="4" fontId="79" fillId="13" borderId="47" applyNumberFormat="0" applyProtection="0">
      <alignment vertical="center"/>
    </xf>
    <xf numFmtId="4" fontId="79" fillId="13" borderId="47" applyNumberFormat="0" applyProtection="0">
      <alignment vertical="center"/>
    </xf>
    <xf numFmtId="4" fontId="100" fillId="42" borderId="54" applyNumberFormat="0" applyProtection="0">
      <alignment vertical="center"/>
    </xf>
    <xf numFmtId="4" fontId="79" fillId="13" borderId="47" applyNumberFormat="0" applyProtection="0">
      <alignment vertical="center"/>
    </xf>
    <xf numFmtId="4" fontId="79" fillId="13" borderId="47" applyNumberFormat="0" applyProtection="0">
      <alignment vertical="center"/>
    </xf>
    <xf numFmtId="4" fontId="100" fillId="42" borderId="54" applyNumberFormat="0" applyProtection="0">
      <alignment vertical="center"/>
    </xf>
    <xf numFmtId="4" fontId="100" fillId="42" borderId="54" applyNumberFormat="0" applyProtection="0">
      <alignment vertical="center"/>
    </xf>
    <xf numFmtId="4" fontId="59" fillId="13" borderId="47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4" fontId="99" fillId="42" borderId="54" applyNumberFormat="0" applyProtection="0">
      <alignment horizontal="left" vertical="center" indent="1"/>
    </xf>
    <xf numFmtId="4" fontId="59" fillId="13" borderId="47" applyNumberFormat="0" applyProtection="0">
      <alignment horizontal="left" vertical="center" indent="1"/>
    </xf>
    <xf numFmtId="0" fontId="99" fillId="42" borderId="54" applyNumberFormat="0" applyProtection="0">
      <alignment horizontal="left" vertical="top" indent="1"/>
    </xf>
    <xf numFmtId="0" fontId="99" fillId="42" borderId="54" applyNumberFormat="0" applyProtection="0">
      <alignment horizontal="left" vertical="top" indent="1"/>
    </xf>
    <xf numFmtId="0" fontId="62" fillId="42" borderId="54" applyNumberFormat="0" applyProtection="0">
      <alignment horizontal="left" vertical="top" indent="1"/>
    </xf>
    <xf numFmtId="0" fontId="62" fillId="42" borderId="54" applyNumberFormat="0" applyProtection="0">
      <alignment horizontal="left" vertical="top" indent="1"/>
    </xf>
    <xf numFmtId="0" fontId="99" fillId="42" borderId="54" applyNumberFormat="0" applyProtection="0">
      <alignment horizontal="left" vertical="top" indent="1"/>
    </xf>
    <xf numFmtId="0" fontId="62" fillId="42" borderId="54" applyNumberFormat="0" applyProtection="0">
      <alignment horizontal="left" vertical="top" indent="1"/>
    </xf>
    <xf numFmtId="0" fontId="62" fillId="42" borderId="54" applyNumberFormat="0" applyProtection="0">
      <alignment horizontal="left" vertical="top" indent="1"/>
    </xf>
    <xf numFmtId="0" fontId="99" fillId="42" borderId="54" applyNumberFormat="0" applyProtection="0">
      <alignment horizontal="left" vertical="top" indent="1"/>
    </xf>
    <xf numFmtId="0" fontId="99" fillId="42" borderId="54" applyNumberFormat="0" applyProtection="0">
      <alignment horizontal="left" vertical="top" indent="1"/>
    </xf>
    <xf numFmtId="178" fontId="99" fillId="42" borderId="54" applyNumberFormat="0" applyProtection="0">
      <alignment horizontal="left" vertical="top" indent="1"/>
    </xf>
    <xf numFmtId="178" fontId="99" fillId="42" borderId="54" applyNumberFormat="0" applyProtection="0">
      <alignment horizontal="left" vertical="top" indent="1"/>
    </xf>
    <xf numFmtId="178" fontId="99" fillId="42" borderId="54" applyNumberFormat="0" applyProtection="0">
      <alignment horizontal="left" vertical="top" indent="1"/>
    </xf>
    <xf numFmtId="178" fontId="99" fillId="42" borderId="54" applyNumberFormat="0" applyProtection="0">
      <alignment horizontal="left" vertical="top" indent="1"/>
    </xf>
    <xf numFmtId="178" fontId="99" fillId="42" borderId="54" applyNumberFormat="0" applyProtection="0">
      <alignment horizontal="left" vertical="top" indent="1"/>
    </xf>
    <xf numFmtId="4" fontId="99" fillId="55" borderId="0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99" fillId="55" borderId="0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99" fillId="55" borderId="0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99" fillId="55" borderId="0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99" fillId="55" borderId="0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4" borderId="47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83" fillId="44" borderId="54" applyNumberFormat="0" applyProtection="0">
      <alignment horizontal="right" vertical="center"/>
    </xf>
    <xf numFmtId="4" fontId="59" fillId="44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83" fillId="73" borderId="54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83" fillId="46" borderId="54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83" fillId="47" borderId="54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83" fillId="48" borderId="54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83" fillId="49" borderId="54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83" fillId="50" borderId="54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83" fillId="51" borderId="54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83" fillId="52" borderId="54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3" borderId="55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59" fillId="53" borderId="55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101" fillId="54" borderId="0" applyNumberFormat="0" applyProtection="0">
      <alignment horizontal="left" vertical="center" indent="1"/>
    </xf>
    <xf numFmtId="4" fontId="59" fillId="55" borderId="47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83" fillId="55" borderId="54" applyNumberFormat="0" applyProtection="0">
      <alignment horizontal="right" vertical="center"/>
    </xf>
    <xf numFmtId="4" fontId="59" fillId="55" borderId="47" applyNumberFormat="0" applyProtection="0">
      <alignment horizontal="right" vertical="center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83" fillId="56" borderId="0" applyNumberFormat="0" applyProtection="0">
      <alignment horizontal="left" vertical="center" indent="1"/>
    </xf>
    <xf numFmtId="4" fontId="59" fillId="56" borderId="55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83" fillId="55" borderId="0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59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59" fillId="58" borderId="47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59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59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178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178" fontId="16" fillId="60" borderId="1" applyNumberFormat="0">
      <protection locked="0"/>
    </xf>
    <xf numFmtId="178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60" fillId="54" borderId="57" applyBorder="0"/>
    <xf numFmtId="4" fontId="83" fillId="61" borderId="54" applyNumberFormat="0" applyProtection="0">
      <alignment vertical="center"/>
    </xf>
    <xf numFmtId="4" fontId="83" fillId="61" borderId="54" applyNumberFormat="0" applyProtection="0">
      <alignment vertical="center"/>
    </xf>
    <xf numFmtId="4" fontId="61" fillId="61" borderId="54" applyNumberFormat="0" applyProtection="0">
      <alignment vertical="center"/>
    </xf>
    <xf numFmtId="4" fontId="61" fillId="61" borderId="54" applyNumberFormat="0" applyProtection="0">
      <alignment vertical="center"/>
    </xf>
    <xf numFmtId="4" fontId="83" fillId="61" borderId="54" applyNumberFormat="0" applyProtection="0">
      <alignment vertical="center"/>
    </xf>
    <xf numFmtId="4" fontId="61" fillId="61" borderId="54" applyNumberFormat="0" applyProtection="0">
      <alignment vertical="center"/>
    </xf>
    <xf numFmtId="4" fontId="61" fillId="61" borderId="54" applyNumberFormat="0" applyProtection="0">
      <alignment vertical="center"/>
    </xf>
    <xf numFmtId="4" fontId="83" fillId="61" borderId="54" applyNumberFormat="0" applyProtection="0">
      <alignment vertical="center"/>
    </xf>
    <xf numFmtId="4" fontId="83" fillId="61" borderId="54" applyNumberFormat="0" applyProtection="0">
      <alignment vertical="center"/>
    </xf>
    <xf numFmtId="4" fontId="102" fillId="61" borderId="54" applyNumberFormat="0" applyProtection="0">
      <alignment vertical="center"/>
    </xf>
    <xf numFmtId="4" fontId="102" fillId="61" borderId="54" applyNumberFormat="0" applyProtection="0">
      <alignment vertical="center"/>
    </xf>
    <xf numFmtId="4" fontId="79" fillId="62" borderId="1" applyNumberFormat="0" applyProtection="0">
      <alignment vertical="center"/>
    </xf>
    <xf numFmtId="4" fontId="79" fillId="62" borderId="1" applyNumberFormat="0" applyProtection="0">
      <alignment vertical="center"/>
    </xf>
    <xf numFmtId="4" fontId="102" fillId="61" borderId="54" applyNumberFormat="0" applyProtection="0">
      <alignment vertical="center"/>
    </xf>
    <xf numFmtId="4" fontId="79" fillId="62" borderId="1" applyNumberFormat="0" applyProtection="0">
      <alignment vertical="center"/>
    </xf>
    <xf numFmtId="4" fontId="79" fillId="62" borderId="1" applyNumberFormat="0" applyProtection="0">
      <alignment vertical="center"/>
    </xf>
    <xf numFmtId="4" fontId="102" fillId="61" borderId="54" applyNumberFormat="0" applyProtection="0">
      <alignment vertical="center"/>
    </xf>
    <xf numFmtId="4" fontId="102" fillId="61" borderId="54" applyNumberFormat="0" applyProtection="0">
      <alignment vertical="center"/>
    </xf>
    <xf numFmtId="4" fontId="83" fillId="61" borderId="54" applyNumberFormat="0" applyProtection="0">
      <alignment horizontal="left" vertical="center" indent="1"/>
    </xf>
    <xf numFmtId="4" fontId="83" fillId="61" borderId="54" applyNumberFormat="0" applyProtection="0">
      <alignment horizontal="left" vertical="center" indent="1"/>
    </xf>
    <xf numFmtId="4" fontId="61" fillId="57" borderId="54" applyNumberFormat="0" applyProtection="0">
      <alignment horizontal="left" vertical="center" indent="1"/>
    </xf>
    <xf numFmtId="4" fontId="61" fillId="57" borderId="54" applyNumberFormat="0" applyProtection="0">
      <alignment horizontal="left" vertical="center" indent="1"/>
    </xf>
    <xf numFmtId="4" fontId="83" fillId="61" borderId="54" applyNumberFormat="0" applyProtection="0">
      <alignment horizontal="left" vertical="center" indent="1"/>
    </xf>
    <xf numFmtId="4" fontId="61" fillId="57" borderId="54" applyNumberFormat="0" applyProtection="0">
      <alignment horizontal="left" vertical="center" indent="1"/>
    </xf>
    <xf numFmtId="4" fontId="61" fillId="57" borderId="54" applyNumberFormat="0" applyProtection="0">
      <alignment horizontal="left" vertical="center" indent="1"/>
    </xf>
    <xf numFmtId="4" fontId="83" fillId="61" borderId="54" applyNumberFormat="0" applyProtection="0">
      <alignment horizontal="left" vertical="center" indent="1"/>
    </xf>
    <xf numFmtId="4" fontId="83" fillId="61" borderId="54" applyNumberFormat="0" applyProtection="0">
      <alignment horizontal="left" vertical="center" indent="1"/>
    </xf>
    <xf numFmtId="0" fontId="83" fillId="61" borderId="54" applyNumberFormat="0" applyProtection="0">
      <alignment horizontal="left" vertical="top" indent="1"/>
    </xf>
    <xf numFmtId="0" fontId="83" fillId="61" borderId="54" applyNumberFormat="0" applyProtection="0">
      <alignment horizontal="left" vertical="top" indent="1"/>
    </xf>
    <xf numFmtId="0" fontId="61" fillId="61" borderId="54" applyNumberFormat="0" applyProtection="0">
      <alignment horizontal="left" vertical="top" indent="1"/>
    </xf>
    <xf numFmtId="0" fontId="61" fillId="61" borderId="54" applyNumberFormat="0" applyProtection="0">
      <alignment horizontal="left" vertical="top" indent="1"/>
    </xf>
    <xf numFmtId="0" fontId="83" fillId="61" borderId="54" applyNumberFormat="0" applyProtection="0">
      <alignment horizontal="left" vertical="top" indent="1"/>
    </xf>
    <xf numFmtId="0" fontId="61" fillId="61" borderId="54" applyNumberFormat="0" applyProtection="0">
      <alignment horizontal="left" vertical="top" indent="1"/>
    </xf>
    <xf numFmtId="0" fontId="61" fillId="61" borderId="54" applyNumberFormat="0" applyProtection="0">
      <alignment horizontal="left" vertical="top" indent="1"/>
    </xf>
    <xf numFmtId="0" fontId="83" fillId="61" borderId="54" applyNumberFormat="0" applyProtection="0">
      <alignment horizontal="left" vertical="top" indent="1"/>
    </xf>
    <xf numFmtId="0" fontId="83" fillId="61" borderId="54" applyNumberFormat="0" applyProtection="0">
      <alignment horizontal="left" vertical="top" indent="1"/>
    </xf>
    <xf numFmtId="178" fontId="83" fillId="61" borderId="54" applyNumberFormat="0" applyProtection="0">
      <alignment horizontal="left" vertical="top" indent="1"/>
    </xf>
    <xf numFmtId="178" fontId="83" fillId="61" borderId="54" applyNumberFormat="0" applyProtection="0">
      <alignment horizontal="left" vertical="top" indent="1"/>
    </xf>
    <xf numFmtId="178" fontId="83" fillId="61" borderId="54" applyNumberFormat="0" applyProtection="0">
      <alignment horizontal="left" vertical="top" indent="1"/>
    </xf>
    <xf numFmtId="178" fontId="83" fillId="61" borderId="54" applyNumberFormat="0" applyProtection="0">
      <alignment horizontal="left" vertical="top" indent="1"/>
    </xf>
    <xf numFmtId="178" fontId="83" fillId="61" borderId="54" applyNumberFormat="0" applyProtection="0">
      <alignment horizontal="left" vertical="top" indent="1"/>
    </xf>
    <xf numFmtId="4" fontId="83" fillId="56" borderId="54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83" fillId="56" borderId="54" applyNumberFormat="0" applyProtection="0">
      <alignment horizontal="right" vertical="center"/>
    </xf>
    <xf numFmtId="4" fontId="59" fillId="0" borderId="47" applyNumberFormat="0" applyProtection="0">
      <alignment horizontal="right" vertical="center"/>
    </xf>
    <xf numFmtId="4" fontId="102" fillId="56" borderId="54" applyNumberFormat="0" applyProtection="0">
      <alignment horizontal="right" vertical="center"/>
    </xf>
    <xf numFmtId="4" fontId="102" fillId="56" borderId="54" applyNumberFormat="0" applyProtection="0">
      <alignment horizontal="right" vertical="center"/>
    </xf>
    <xf numFmtId="4" fontId="79" fillId="63" borderId="47" applyNumberFormat="0" applyProtection="0">
      <alignment horizontal="right" vertical="center"/>
    </xf>
    <xf numFmtId="4" fontId="79" fillId="63" borderId="47" applyNumberFormat="0" applyProtection="0">
      <alignment horizontal="right" vertical="center"/>
    </xf>
    <xf numFmtId="4" fontId="102" fillId="56" borderId="54" applyNumberFormat="0" applyProtection="0">
      <alignment horizontal="right" vertical="center"/>
    </xf>
    <xf numFmtId="4" fontId="79" fillId="63" borderId="47" applyNumberFormat="0" applyProtection="0">
      <alignment horizontal="right" vertical="center"/>
    </xf>
    <xf numFmtId="4" fontId="79" fillId="63" borderId="47" applyNumberFormat="0" applyProtection="0">
      <alignment horizontal="right" vertical="center"/>
    </xf>
    <xf numFmtId="4" fontId="102" fillId="56" borderId="54" applyNumberFormat="0" applyProtection="0">
      <alignment horizontal="right" vertical="center"/>
    </xf>
    <xf numFmtId="4" fontId="102" fillId="56" borderId="54" applyNumberFormat="0" applyProtection="0">
      <alignment horizontal="right" vertical="center"/>
    </xf>
    <xf numFmtId="4" fontId="83" fillId="55" borderId="54" applyNumberFormat="0" applyProtection="0">
      <alignment horizontal="left" vertical="center" indent="1"/>
    </xf>
    <xf numFmtId="4" fontId="83" fillId="55" borderId="54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83" fillId="55" borderId="54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83" fillId="55" borderId="54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83" fillId="55" borderId="54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83" fillId="55" borderId="54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0" fontId="83" fillId="55" borderId="54" applyNumberFormat="0" applyProtection="0">
      <alignment horizontal="left" vertical="top" indent="1"/>
    </xf>
    <xf numFmtId="0" fontId="83" fillId="55" borderId="54" applyNumberFormat="0" applyProtection="0">
      <alignment horizontal="left" vertical="top" indent="1"/>
    </xf>
    <xf numFmtId="0" fontId="61" fillId="55" borderId="54" applyNumberFormat="0" applyProtection="0">
      <alignment horizontal="left" vertical="top" indent="1"/>
    </xf>
    <xf numFmtId="0" fontId="61" fillId="55" borderId="54" applyNumberFormat="0" applyProtection="0">
      <alignment horizontal="left" vertical="top" indent="1"/>
    </xf>
    <xf numFmtId="0" fontId="83" fillId="55" borderId="54" applyNumberFormat="0" applyProtection="0">
      <alignment horizontal="left" vertical="top" indent="1"/>
    </xf>
    <xf numFmtId="0" fontId="61" fillId="55" borderId="54" applyNumberFormat="0" applyProtection="0">
      <alignment horizontal="left" vertical="top" indent="1"/>
    </xf>
    <xf numFmtId="0" fontId="61" fillId="55" borderId="54" applyNumberFormat="0" applyProtection="0">
      <alignment horizontal="left" vertical="top" indent="1"/>
    </xf>
    <xf numFmtId="0" fontId="83" fillId="55" borderId="54" applyNumberFormat="0" applyProtection="0">
      <alignment horizontal="left" vertical="top" indent="1"/>
    </xf>
    <xf numFmtId="0" fontId="83" fillId="55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4" fontId="103" fillId="64" borderId="0" applyNumberFormat="0" applyProtection="0">
      <alignment horizontal="left" vertical="center" indent="1"/>
    </xf>
    <xf numFmtId="4" fontId="63" fillId="64" borderId="55" applyNumberFormat="0" applyProtection="0">
      <alignment horizontal="left" vertical="center" indent="1"/>
    </xf>
    <xf numFmtId="4" fontId="63" fillId="64" borderId="55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63" fillId="64" borderId="55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63" fillId="64" borderId="55" applyNumberFormat="0" applyProtection="0">
      <alignment horizontal="left" vertical="center" indent="1"/>
    </xf>
    <xf numFmtId="4" fontId="63" fillId="64" borderId="55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4" fontId="103" fillId="64" borderId="0" applyNumberFormat="0" applyProtection="0">
      <alignment horizontal="left" vertical="center" indent="1"/>
    </xf>
    <xf numFmtId="0" fontId="59" fillId="65" borderId="1"/>
    <xf numFmtId="0" fontId="59" fillId="65" borderId="1"/>
    <xf numFmtId="4" fontId="104" fillId="56" borderId="54" applyNumberFormat="0" applyProtection="0">
      <alignment horizontal="right" vertical="center"/>
    </xf>
    <xf numFmtId="4" fontId="104" fillId="56" borderId="54" applyNumberFormat="0" applyProtection="0">
      <alignment horizontal="right" vertical="center"/>
    </xf>
    <xf numFmtId="4" fontId="64" fillId="60" borderId="47" applyNumberFormat="0" applyProtection="0">
      <alignment horizontal="right" vertical="center"/>
    </xf>
    <xf numFmtId="4" fontId="64" fillId="60" borderId="47" applyNumberFormat="0" applyProtection="0">
      <alignment horizontal="right" vertical="center"/>
    </xf>
    <xf numFmtId="4" fontId="104" fillId="56" borderId="54" applyNumberFormat="0" applyProtection="0">
      <alignment horizontal="right" vertical="center"/>
    </xf>
    <xf numFmtId="4" fontId="104" fillId="56" borderId="54" applyNumberFormat="0" applyProtection="0">
      <alignment horizontal="right" vertical="center"/>
    </xf>
    <xf numFmtId="4" fontId="64" fillId="60" borderId="47" applyNumberFormat="0" applyProtection="0">
      <alignment horizontal="right" vertical="center"/>
    </xf>
    <xf numFmtId="4" fontId="64" fillId="60" borderId="47" applyNumberFormat="0" applyProtection="0">
      <alignment horizontal="right" vertical="center"/>
    </xf>
    <xf numFmtId="4" fontId="104" fillId="56" borderId="54" applyNumberFormat="0" applyProtection="0">
      <alignment horizontal="right" vertical="center"/>
    </xf>
    <xf numFmtId="4" fontId="104" fillId="56" borderId="54" applyNumberFormat="0" applyProtection="0">
      <alignment horizontal="right" vertical="center"/>
    </xf>
    <xf numFmtId="178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78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182" fontId="16" fillId="0" borderId="61">
      <protection locked="0"/>
    </xf>
    <xf numFmtId="182" fontId="16" fillId="0" borderId="61">
      <protection locked="0"/>
    </xf>
    <xf numFmtId="182" fontId="16" fillId="0" borderId="61">
      <protection locked="0"/>
    </xf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0" fontId="70" fillId="0" borderId="58" applyNumberFormat="0" applyFill="0" applyAlignment="0" applyProtection="0"/>
    <xf numFmtId="178" fontId="70" fillId="0" borderId="58" applyNumberFormat="0" applyFill="0" applyAlignment="0" applyProtection="0"/>
    <xf numFmtId="0" fontId="70" fillId="0" borderId="58" applyNumberFormat="0" applyFill="0" applyAlignment="0" applyProtection="0"/>
    <xf numFmtId="178" fontId="70" fillId="0" borderId="58" applyNumberFormat="0" applyFill="0" applyAlignment="0" applyProtection="0"/>
    <xf numFmtId="178" fontId="70" fillId="0" borderId="58" applyNumberFormat="0" applyFill="0" applyAlignment="0" applyProtection="0"/>
    <xf numFmtId="178" fontId="70" fillId="0" borderId="58" applyNumberFormat="0" applyFill="0" applyAlignment="0" applyProtection="0"/>
    <xf numFmtId="178" fontId="70" fillId="0" borderId="58" applyNumberFormat="0" applyFill="0" applyAlignment="0" applyProtection="0"/>
    <xf numFmtId="37" fontId="59" fillId="13" borderId="0" applyNumberFormat="0" applyBorder="0" applyAlignment="0" applyProtection="0"/>
    <xf numFmtId="37" fontId="59" fillId="13" borderId="0" applyNumberFormat="0" applyBorder="0" applyAlignment="0" applyProtection="0"/>
    <xf numFmtId="37" fontId="59" fillId="0" borderId="0"/>
    <xf numFmtId="37" fontId="59" fillId="0" borderId="0"/>
    <xf numFmtId="37" fontId="59" fillId="0" borderId="0"/>
    <xf numFmtId="3" fontId="105" fillId="0" borderId="66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178" fontId="10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07" fillId="0" borderId="0" applyFill="0" applyBorder="0">
      <alignment vertical="center"/>
    </xf>
    <xf numFmtId="9" fontId="107" fillId="0" borderId="0" applyFont="0" applyFill="0" applyBorder="0" applyAlignment="0" applyProtection="0"/>
    <xf numFmtId="0" fontId="59" fillId="17" borderId="0"/>
    <xf numFmtId="0" fontId="65" fillId="18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34" borderId="0" applyNumberFormat="0" applyBorder="0" applyAlignment="0" applyProtection="0"/>
    <xf numFmtId="0" fontId="65" fillId="26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34" borderId="0" applyNumberFormat="0" applyBorder="0" applyAlignment="0" applyProtection="0"/>
    <xf numFmtId="4" fontId="16" fillId="54" borderId="55" applyNumberFormat="0" applyProtection="0">
      <alignment horizontal="left" vertical="center" indent="1"/>
    </xf>
    <xf numFmtId="0" fontId="65" fillId="21" borderId="0" applyNumberFormat="0" applyBorder="0" applyAlignment="0" applyProtection="0"/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0" fontId="65" fillId="34" borderId="0" applyNumberFormat="0" applyBorder="0" applyAlignment="0" applyProtection="0"/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0" fontId="65" fillId="34" borderId="0" applyNumberFormat="0" applyBorder="0" applyAlignment="0" applyProtection="0"/>
    <xf numFmtId="4" fontId="16" fillId="54" borderId="55" applyNumberFormat="0" applyProtection="0">
      <alignment horizontal="left" vertical="center" indent="1"/>
    </xf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59" fillId="60" borderId="56" applyNumberFormat="0">
      <protection locked="0"/>
    </xf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34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21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21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0" fontId="16" fillId="0" borderId="0"/>
    <xf numFmtId="0" fontId="16" fillId="35" borderId="68" applyNumberFormat="0" applyFont="0" applyAlignment="0" applyProtection="0"/>
    <xf numFmtId="4" fontId="99" fillId="53" borderId="69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178" fontId="16" fillId="0" borderId="0"/>
    <xf numFmtId="178" fontId="65" fillId="18" borderId="0" applyNumberFormat="0" applyBorder="0" applyAlignment="0" applyProtection="0"/>
    <xf numFmtId="178" fontId="66" fillId="77" borderId="0" applyNumberFormat="0" applyBorder="0" applyAlignment="0" applyProtection="0"/>
    <xf numFmtId="178" fontId="66" fillId="33" borderId="0" applyNumberFormat="0" applyBorder="0" applyAlignment="0" applyProtection="0"/>
    <xf numFmtId="178" fontId="65" fillId="78" borderId="0" applyNumberFormat="0" applyBorder="0" applyAlignment="0" applyProtection="0"/>
    <xf numFmtId="178" fontId="65" fillId="22" borderId="0" applyNumberFormat="0" applyBorder="0" applyAlignment="0" applyProtection="0"/>
    <xf numFmtId="178" fontId="66" fillId="79" borderId="0" applyNumberFormat="0" applyBorder="0" applyAlignment="0" applyProtection="0"/>
    <xf numFmtId="178" fontId="66" fillId="25" borderId="0" applyNumberFormat="0" applyBorder="0" applyAlignment="0" applyProtection="0"/>
    <xf numFmtId="178" fontId="65" fillId="31" borderId="0" applyNumberFormat="0" applyBorder="0" applyAlignment="0" applyProtection="0"/>
    <xf numFmtId="178" fontId="65" fillId="31" borderId="0" applyNumberFormat="0" applyBorder="0" applyAlignment="0" applyProtection="0"/>
    <xf numFmtId="178" fontId="66" fillId="32" borderId="0" applyNumberFormat="0" applyBorder="0" applyAlignment="0" applyProtection="0"/>
    <xf numFmtId="178" fontId="66" fillId="24" borderId="0" applyNumberFormat="0" applyBorder="0" applyAlignment="0" applyProtection="0"/>
    <xf numFmtId="178" fontId="65" fillId="20" borderId="0" applyNumberFormat="0" applyBorder="0" applyAlignment="0" applyProtection="0"/>
    <xf numFmtId="178" fontId="65" fillId="80" borderId="0" applyNumberFormat="0" applyBorder="0" applyAlignment="0" applyProtection="0"/>
    <xf numFmtId="178" fontId="66" fillId="24" borderId="0" applyNumberFormat="0" applyBorder="0" applyAlignment="0" applyProtection="0"/>
    <xf numFmtId="178" fontId="66" fillId="20" borderId="0" applyNumberFormat="0" applyBorder="0" applyAlignment="0" applyProtection="0"/>
    <xf numFmtId="178" fontId="65" fillId="20" borderId="0" applyNumberFormat="0" applyBorder="0" applyAlignment="0" applyProtection="0"/>
    <xf numFmtId="178" fontId="65" fillId="81" borderId="0" applyNumberFormat="0" applyBorder="0" applyAlignment="0" applyProtection="0"/>
    <xf numFmtId="178" fontId="66" fillId="77" borderId="0" applyNumberFormat="0" applyBorder="0" applyAlignment="0" applyProtection="0"/>
    <xf numFmtId="178" fontId="65" fillId="33" borderId="0" applyNumberFormat="0" applyBorder="0" applyAlignment="0" applyProtection="0"/>
    <xf numFmtId="178" fontId="65" fillId="82" borderId="0" applyNumberFormat="0" applyBorder="0" applyAlignment="0" applyProtection="0"/>
    <xf numFmtId="178" fontId="66" fillId="25" borderId="0" applyNumberFormat="0" applyBorder="0" applyAlignment="0" applyProtection="0"/>
    <xf numFmtId="178" fontId="65" fillId="36" borderId="0" applyNumberFormat="0" applyBorder="0" applyAlignment="0" applyProtection="0"/>
    <xf numFmtId="178" fontId="86" fillId="25" borderId="0" applyNumberFormat="0" applyBorder="0" applyAlignment="0" applyProtection="0"/>
    <xf numFmtId="178" fontId="87" fillId="83" borderId="63" applyNumberFormat="0" applyAlignment="0" applyProtection="0"/>
    <xf numFmtId="178" fontId="69" fillId="31" borderId="48" applyNumberFormat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70" fillId="84" borderId="0" applyNumberFormat="0" applyBorder="0" applyAlignment="0" applyProtection="0"/>
    <xf numFmtId="178" fontId="70" fillId="85" borderId="0" applyNumberFormat="0" applyBorder="0" applyAlignment="0" applyProtection="0"/>
    <xf numFmtId="181" fontId="16" fillId="0" borderId="0">
      <protection locked="0"/>
    </xf>
    <xf numFmtId="178" fontId="75" fillId="86" borderId="0" applyNumberFormat="0" applyBorder="0" applyAlignment="0" applyProtection="0"/>
    <xf numFmtId="178" fontId="72" fillId="0" borderId="64" applyNumberFormat="0" applyFill="0" applyAlignment="0" applyProtection="0"/>
    <xf numFmtId="178" fontId="73" fillId="0" borderId="65" applyNumberFormat="0" applyFill="0" applyAlignment="0" applyProtection="0"/>
    <xf numFmtId="182" fontId="16" fillId="0" borderId="0">
      <protection locked="0"/>
    </xf>
    <xf numFmtId="182" fontId="16" fillId="0" borderId="0">
      <protection locked="0"/>
    </xf>
    <xf numFmtId="178" fontId="74" fillId="36" borderId="63" applyNumberFormat="0" applyAlignment="0" applyProtection="0"/>
    <xf numFmtId="178" fontId="95" fillId="0" borderId="67" applyNumberFormat="0" applyFill="0" applyAlignment="0" applyProtection="0"/>
    <xf numFmtId="178" fontId="96" fillId="36" borderId="0" applyNumberFormat="0" applyBorder="0" applyAlignment="0" applyProtection="0"/>
    <xf numFmtId="178" fontId="16" fillId="35" borderId="68" applyNumberFormat="0" applyFont="0" applyAlignment="0" applyProtection="0"/>
    <xf numFmtId="178" fontId="76" fillId="83" borderId="53" applyNumberFormat="0" applyAlignment="0" applyProtection="0"/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78" fontId="99" fillId="42" borderId="54" applyNumberFormat="0" applyProtection="0">
      <alignment horizontal="left" vertical="top" indent="1"/>
    </xf>
    <xf numFmtId="4" fontId="99" fillId="53" borderId="69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top" indent="1"/>
    </xf>
    <xf numFmtId="178" fontId="16" fillId="60" borderId="1" applyNumberFormat="0">
      <protection locked="0"/>
    </xf>
    <xf numFmtId="178" fontId="83" fillId="61" borderId="54" applyNumberFormat="0" applyProtection="0">
      <alignment horizontal="left" vertical="top" indent="1"/>
    </xf>
    <xf numFmtId="178" fontId="83" fillId="55" borderId="54" applyNumberFormat="0" applyProtection="0">
      <alignment horizontal="left" vertical="top" indent="1"/>
    </xf>
    <xf numFmtId="178" fontId="70" fillId="0" borderId="58" applyNumberFormat="0" applyFill="0" applyAlignment="0" applyProtection="0"/>
    <xf numFmtId="178" fontId="106" fillId="0" borderId="0" applyNumberForma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46" fillId="0" borderId="4" applyNumberFormat="0" applyAlignment="0" applyProtection="0">
      <alignment horizontal="left" vertical="center"/>
    </xf>
    <xf numFmtId="0" fontId="16" fillId="0" borderId="0"/>
    <xf numFmtId="0" fontId="16" fillId="0" borderId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9" fontId="16" fillId="0" borderId="0" applyFont="0" applyFill="0" applyBorder="0" applyAlignment="0" applyProtection="0"/>
    <xf numFmtId="4" fontId="99" fillId="53" borderId="69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0" borderId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1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0" fontId="16" fillId="0" borderId="0"/>
    <xf numFmtId="0" fontId="59" fillId="17" borderId="0"/>
    <xf numFmtId="0" fontId="59" fillId="17" borderId="0"/>
    <xf numFmtId="0" fontId="59" fillId="17" borderId="0"/>
    <xf numFmtId="0" fontId="59" fillId="17" borderId="0"/>
    <xf numFmtId="0" fontId="59" fillId="17" borderId="0"/>
    <xf numFmtId="10" fontId="16" fillId="0" borderId="0" applyFont="0" applyFill="0" applyBorder="0" applyAlignment="0" applyProtection="0"/>
    <xf numFmtId="182" fontId="16" fillId="0" borderId="61">
      <protection locked="0"/>
    </xf>
    <xf numFmtId="44" fontId="16" fillId="0" borderId="0" applyFont="0" applyFill="0" applyBorder="0" applyAlignment="0" applyProtection="0"/>
    <xf numFmtId="0" fontId="16" fillId="0" borderId="0"/>
    <xf numFmtId="178" fontId="16" fillId="0" borderId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60" borderId="1" applyNumberFormat="0">
      <protection locked="0"/>
    </xf>
    <xf numFmtId="178" fontId="16" fillId="0" borderId="0"/>
    <xf numFmtId="0" fontId="84" fillId="63" borderId="6" applyNumberFormat="0"/>
    <xf numFmtId="180" fontId="16" fillId="9" borderId="62">
      <alignment horizontal="center" vertical="center"/>
    </xf>
    <xf numFmtId="180" fontId="16" fillId="9" borderId="62">
      <alignment horizontal="center" vertical="center"/>
    </xf>
    <xf numFmtId="180" fontId="16" fillId="9" borderId="62">
      <alignment horizontal="center" vertical="center"/>
    </xf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81" fontId="16" fillId="0" borderId="0">
      <protection locked="0"/>
    </xf>
    <xf numFmtId="181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182" fontId="16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178" fontId="16" fillId="0" borderId="0"/>
    <xf numFmtId="178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8" fontId="16" fillId="0" borderId="0"/>
    <xf numFmtId="0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178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178" fontId="16" fillId="35" borderId="68" applyNumberFormat="0" applyFont="0" applyAlignment="0" applyProtection="0"/>
    <xf numFmtId="178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" fontId="99" fillId="53" borderId="69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99" fillId="53" borderId="69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178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178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178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178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178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178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178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178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178" fontId="16" fillId="60" borderId="1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59" fillId="60" borderId="56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178" fontId="16" fillId="60" borderId="1" applyNumberFormat="0">
      <protection locked="0"/>
    </xf>
    <xf numFmtId="178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60" borderId="1" applyNumberFormat="0">
      <protection locked="0"/>
    </xf>
    <xf numFmtId="182" fontId="16" fillId="0" borderId="61">
      <protection locked="0"/>
    </xf>
    <xf numFmtId="182" fontId="16" fillId="0" borderId="61">
      <protection locked="0"/>
    </xf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5" fillId="21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5" fillId="25" borderId="0" applyNumberFormat="0" applyBorder="0" applyAlignment="0" applyProtection="0"/>
    <xf numFmtId="0" fontId="66" fillId="27" borderId="0" applyNumberFormat="0" applyBorder="0" applyAlignment="0" applyProtection="0"/>
    <xf numFmtId="0" fontId="66" fillId="28" borderId="0" applyNumberFormat="0" applyBorder="0" applyAlignment="0" applyProtection="0"/>
    <xf numFmtId="0" fontId="65" fillId="29" borderId="0" applyNumberFormat="0" applyBorder="0" applyAlignment="0" applyProtection="0"/>
    <xf numFmtId="0" fontId="66" fillId="23" borderId="0" applyNumberFormat="0" applyBorder="0" applyAlignment="0" applyProtection="0"/>
    <xf numFmtId="0" fontId="66" fillId="31" borderId="0" applyNumberFormat="0" applyBorder="0" applyAlignment="0" applyProtection="0"/>
    <xf numFmtId="0" fontId="65" fillId="24" borderId="0" applyNumberFormat="0" applyBorder="0" applyAlignment="0" applyProtection="0"/>
    <xf numFmtId="0" fontId="66" fillId="32" borderId="0" applyNumberFormat="0" applyBorder="0" applyAlignment="0" applyProtection="0"/>
    <xf numFmtId="0" fontId="65" fillId="21" borderId="0" applyNumberFormat="0" applyBorder="0" applyAlignment="0" applyProtection="0"/>
    <xf numFmtId="0" fontId="66" fillId="36" borderId="0" applyNumberFormat="0" applyBorder="0" applyAlignment="0" applyProtection="0"/>
    <xf numFmtId="0" fontId="65" fillId="37" borderId="0" applyNumberFormat="0" applyBorder="0" applyAlignment="0" applyProtection="0"/>
    <xf numFmtId="0" fontId="70" fillId="39" borderId="0" applyNumberFormat="0" applyBorder="0" applyAlignment="0" applyProtection="0"/>
    <xf numFmtId="0" fontId="70" fillId="40" borderId="0" applyNumberFormat="0" applyBorder="0" applyAlignment="0" applyProtection="0"/>
    <xf numFmtId="4" fontId="59" fillId="42" borderId="47" applyNumberFormat="0" applyProtection="0">
      <alignment vertical="center"/>
    </xf>
    <xf numFmtId="4" fontId="79" fillId="13" borderId="47" applyNumberFormat="0" applyProtection="0">
      <alignment vertical="center"/>
    </xf>
    <xf numFmtId="4" fontId="59" fillId="13" borderId="47" applyNumberFormat="0" applyProtection="0">
      <alignment horizontal="left" vertical="center" indent="1"/>
    </xf>
    <xf numFmtId="0" fontId="62" fillId="42" borderId="54" applyNumberFormat="0" applyProtection="0">
      <alignment horizontal="left" vertical="top" indent="1"/>
    </xf>
    <xf numFmtId="4" fontId="59" fillId="44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4" fontId="59" fillId="47" borderId="47" applyNumberFormat="0" applyProtection="0">
      <alignment horizontal="right" vertical="center"/>
    </xf>
    <xf numFmtId="4" fontId="59" fillId="48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3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16" fillId="54" borderId="55" applyNumberFormat="0" applyProtection="0">
      <alignment horizontal="left" vertical="center" indent="1"/>
    </xf>
    <xf numFmtId="4" fontId="59" fillId="55" borderId="47" applyNumberFormat="0" applyProtection="0">
      <alignment horizontal="right" vertical="center"/>
    </xf>
    <xf numFmtId="4" fontId="59" fillId="56" borderId="55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0" fontId="59" fillId="54" borderId="54" applyNumberFormat="0" applyProtection="0">
      <alignment horizontal="left" vertical="top" indent="1"/>
    </xf>
    <xf numFmtId="0" fontId="59" fillId="55" borderId="54" applyNumberFormat="0" applyProtection="0">
      <alignment horizontal="left" vertical="top" indent="1"/>
    </xf>
    <xf numFmtId="0" fontId="59" fillId="59" borderId="47" applyNumberFormat="0" applyProtection="0">
      <alignment horizontal="left" vertical="center" indent="1"/>
    </xf>
    <xf numFmtId="0" fontId="59" fillId="59" borderId="54" applyNumberFormat="0" applyProtection="0">
      <alignment horizontal="left" vertical="top" indent="1"/>
    </xf>
    <xf numFmtId="0" fontId="59" fillId="56" borderId="47" applyNumberFormat="0" applyProtection="0">
      <alignment horizontal="left" vertical="center" indent="1"/>
    </xf>
    <xf numFmtId="0" fontId="59" fillId="56" borderId="54" applyNumberFormat="0" applyProtection="0">
      <alignment horizontal="left" vertical="top" indent="1"/>
    </xf>
    <xf numFmtId="0" fontId="59" fillId="60" borderId="56" applyNumberFormat="0">
      <protection locked="0"/>
    </xf>
    <xf numFmtId="4" fontId="61" fillId="61" borderId="54" applyNumberFormat="0" applyProtection="0">
      <alignment vertical="center"/>
    </xf>
    <xf numFmtId="4" fontId="79" fillId="62" borderId="1" applyNumberFormat="0" applyProtection="0">
      <alignment vertical="center"/>
    </xf>
    <xf numFmtId="4" fontId="61" fillId="57" borderId="54" applyNumberFormat="0" applyProtection="0">
      <alignment horizontal="left" vertical="center" indent="1"/>
    </xf>
    <xf numFmtId="0" fontId="61" fillId="61" borderId="54" applyNumberFormat="0" applyProtection="0">
      <alignment horizontal="left" vertical="top" indent="1"/>
    </xf>
    <xf numFmtId="4" fontId="79" fillId="63" borderId="47" applyNumberFormat="0" applyProtection="0">
      <alignment horizontal="right" vertical="center"/>
    </xf>
    <xf numFmtId="0" fontId="61" fillId="55" borderId="54" applyNumberFormat="0" applyProtection="0">
      <alignment horizontal="left" vertical="top" indent="1"/>
    </xf>
    <xf numFmtId="4" fontId="63" fillId="64" borderId="55" applyNumberFormat="0" applyProtection="0">
      <alignment horizontal="left" vertical="center" indent="1"/>
    </xf>
    <xf numFmtId="4" fontId="64" fillId="60" borderId="47" applyNumberFormat="0" applyProtection="0">
      <alignment horizontal="right" vertical="center"/>
    </xf>
    <xf numFmtId="0" fontId="65" fillId="26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65" fillId="34" borderId="0" applyNumberFormat="0" applyBorder="0" applyAlignment="0" applyProtection="0"/>
    <xf numFmtId="0" fontId="67" fillId="35" borderId="0" applyNumberFormat="0" applyBorder="0" applyAlignment="0" applyProtection="0"/>
    <xf numFmtId="0" fontId="68" fillId="38" borderId="47" applyNumberFormat="0" applyAlignment="0" applyProtection="0"/>
    <xf numFmtId="0" fontId="69" fillId="30" borderId="48" applyNumberFormat="0" applyAlignment="0" applyProtection="0"/>
    <xf numFmtId="0" fontId="66" fillId="28" borderId="0" applyNumberFormat="0" applyBorder="0" applyAlignment="0" applyProtection="0"/>
    <xf numFmtId="0" fontId="72" fillId="0" borderId="50" applyNumberFormat="0" applyFill="0" applyAlignment="0" applyProtection="0"/>
    <xf numFmtId="0" fontId="73" fillId="0" borderId="51" applyNumberFormat="0" applyFill="0" applyAlignment="0" applyProtection="0"/>
    <xf numFmtId="0" fontId="74" fillId="36" borderId="47" applyNumberFormat="0" applyAlignment="0" applyProtection="0"/>
    <xf numFmtId="0" fontId="75" fillId="0" borderId="52" applyNumberFormat="0" applyFill="0" applyAlignment="0" applyProtection="0"/>
    <xf numFmtId="0" fontId="75" fillId="36" borderId="0" applyNumberFormat="0" applyBorder="0" applyAlignment="0" applyProtection="0"/>
    <xf numFmtId="0" fontId="59" fillId="35" borderId="47" applyNumberFormat="0" applyFont="0" applyAlignment="0" applyProtection="0"/>
    <xf numFmtId="0" fontId="76" fillId="38" borderId="53" applyNumberFormat="0" applyAlignment="0" applyProtection="0"/>
    <xf numFmtId="0" fontId="78" fillId="0" borderId="0" applyNumberFormat="0" applyFill="0" applyBorder="0" applyAlignment="0" applyProtection="0"/>
    <xf numFmtId="0" fontId="59" fillId="17" borderId="0"/>
    <xf numFmtId="0" fontId="65" fillId="18" borderId="0" applyNumberFormat="0" applyBorder="0" applyAlignment="0" applyProtection="0"/>
    <xf numFmtId="177" fontId="108" fillId="69" borderId="59" applyNumberFormat="0" applyProtection="0">
      <alignment horizontal="right" vertical="center"/>
    </xf>
    <xf numFmtId="177" fontId="108" fillId="88" borderId="59" applyNumberFormat="0" applyBorder="0" applyProtection="0">
      <alignment horizontal="right" vertical="center"/>
    </xf>
    <xf numFmtId="177" fontId="110" fillId="89" borderId="71" applyNumberFormat="0" applyBorder="0" applyAlignment="0" applyProtection="0">
      <alignment horizontal="right" vertical="center" indent="1"/>
    </xf>
    <xf numFmtId="0" fontId="65" fillId="22" borderId="0" applyNumberFormat="0" applyBorder="0" applyAlignment="0" applyProtection="0"/>
    <xf numFmtId="177" fontId="111" fillId="90" borderId="71" applyNumberFormat="0" applyBorder="0" applyAlignment="0" applyProtection="0">
      <alignment horizontal="right" vertical="center" indent="1"/>
    </xf>
    <xf numFmtId="177" fontId="111" fillId="91" borderId="71" applyNumberFormat="0" applyBorder="0" applyAlignment="0" applyProtection="0">
      <alignment horizontal="right" vertical="center" indent="1"/>
    </xf>
    <xf numFmtId="177" fontId="112" fillId="92" borderId="71" applyNumberFormat="0" applyBorder="0" applyAlignment="0" applyProtection="0">
      <alignment horizontal="right" vertical="center" indent="1"/>
    </xf>
    <xf numFmtId="0" fontId="65" fillId="26" borderId="0" applyNumberFormat="0" applyBorder="0" applyAlignment="0" applyProtection="0"/>
    <xf numFmtId="177" fontId="112" fillId="93" borderId="71" applyNumberFormat="0" applyBorder="0" applyAlignment="0" applyProtection="0">
      <alignment horizontal="right" vertical="center" indent="1"/>
    </xf>
    <xf numFmtId="177" fontId="112" fillId="94" borderId="71" applyNumberFormat="0" applyBorder="0" applyAlignment="0" applyProtection="0">
      <alignment horizontal="right" vertical="center" indent="1"/>
    </xf>
    <xf numFmtId="177" fontId="113" fillId="95" borderId="71" applyNumberFormat="0" applyBorder="0" applyAlignment="0" applyProtection="0">
      <alignment horizontal="right" vertical="center" indent="1"/>
    </xf>
    <xf numFmtId="0" fontId="65" fillId="30" borderId="0" applyNumberFormat="0" applyBorder="0" applyAlignment="0" applyProtection="0"/>
    <xf numFmtId="177" fontId="113" fillId="96" borderId="71" applyNumberFormat="0" applyBorder="0" applyAlignment="0" applyProtection="0">
      <alignment horizontal="right" vertical="center" indent="1"/>
    </xf>
    <xf numFmtId="177" fontId="113" fillId="97" borderId="71" applyNumberFormat="0" applyBorder="0" applyAlignment="0" applyProtection="0">
      <alignment horizontal="right" vertical="center" indent="1"/>
    </xf>
    <xf numFmtId="0" fontId="114" fillId="0" borderId="60" applyNumberFormat="0" applyFont="0" applyFill="0" applyAlignment="0" applyProtection="0"/>
    <xf numFmtId="0" fontId="65" fillId="21" borderId="0" applyNumberFormat="0" applyBorder="0" applyAlignment="0" applyProtection="0"/>
    <xf numFmtId="177" fontId="109" fillId="98" borderId="60" applyNumberFormat="0" applyAlignment="0" applyProtection="0">
      <alignment horizontal="left" vertical="center" indent="1"/>
    </xf>
    <xf numFmtId="0" fontId="108" fillId="87" borderId="59" applyNumberFormat="0" applyAlignment="0" applyProtection="0">
      <alignment horizontal="left" vertical="center" indent="1"/>
    </xf>
    <xf numFmtId="0" fontId="82" fillId="68" borderId="60" applyNumberFormat="0" applyAlignment="0" applyProtection="0">
      <alignment horizontal="left" vertical="center" indent="1"/>
    </xf>
    <xf numFmtId="0" fontId="65" fillId="34" borderId="0" applyNumberFormat="0" applyBorder="0" applyAlignment="0" applyProtection="0"/>
    <xf numFmtId="0" fontId="82" fillId="71" borderId="60" applyNumberFormat="0" applyAlignment="0" applyProtection="0">
      <alignment horizontal="left" vertical="center" indent="1"/>
    </xf>
    <xf numFmtId="0" fontId="82" fillId="99" borderId="60" applyNumberFormat="0" applyAlignment="0" applyProtection="0">
      <alignment horizontal="left" vertical="center" indent="1"/>
    </xf>
    <xf numFmtId="0" fontId="82" fillId="88" borderId="60" applyNumberFormat="0" applyAlignment="0" applyProtection="0">
      <alignment horizontal="left" vertical="center" indent="1"/>
    </xf>
    <xf numFmtId="0" fontId="82" fillId="69" borderId="59" applyNumberFormat="0" applyAlignment="0" applyProtection="0">
      <alignment horizontal="left" vertical="center" indent="1"/>
    </xf>
    <xf numFmtId="0" fontId="115" fillId="0" borderId="72" applyNumberFormat="0" applyFill="0" applyBorder="0" applyAlignment="0" applyProtection="0"/>
    <xf numFmtId="0" fontId="116" fillId="0" borderId="72" applyBorder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82" fillId="70" borderId="59" applyNumberFormat="0" applyAlignment="0" applyProtection="0">
      <alignment horizontal="left" vertical="center" indent="1"/>
    </xf>
    <xf numFmtId="177" fontId="109" fillId="88" borderId="70" applyNumberFormat="0" applyBorder="0" applyProtection="0">
      <alignment horizontal="right" vertical="center"/>
    </xf>
    <xf numFmtId="0" fontId="82" fillId="70" borderId="59" applyNumberFormat="0" applyAlignment="0" applyProtection="0">
      <alignment horizontal="left" vertical="center" indent="1"/>
    </xf>
    <xf numFmtId="177" fontId="108" fillId="0" borderId="59" applyNumberFormat="0" applyProtection="0">
      <alignment horizontal="right" vertical="center"/>
    </xf>
    <xf numFmtId="177" fontId="109" fillId="0" borderId="70" applyNumberFormat="0" applyProtection="0">
      <alignment horizontal="right" vertical="center"/>
    </xf>
    <xf numFmtId="0" fontId="108" fillId="87" borderId="60" applyNumberFormat="0" applyAlignment="0" applyProtection="0">
      <alignment horizontal="left" vertical="center" indent="1"/>
    </xf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16" fillId="0" borderId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22" borderId="0" applyNumberFormat="0" applyBorder="0" applyAlignment="0" applyProtection="0"/>
    <xf numFmtId="0" fontId="16" fillId="0" borderId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8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170" fontId="16" fillId="0" borderId="0" applyFont="0" applyFill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16" fillId="60" borderId="1" applyNumberFormat="0">
      <protection locked="0"/>
    </xf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0" borderId="0"/>
    <xf numFmtId="0" fontId="65" fillId="18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center" indent="1"/>
    </xf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170" fontId="16" fillId="0" borderId="0" applyFont="0" applyFill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65" fillId="18" borderId="0" applyNumberFormat="0" applyBorder="0" applyAlignment="0" applyProtection="0"/>
    <xf numFmtId="0" fontId="16" fillId="0" borderId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65" fillId="80" borderId="0" applyNumberFormat="0" applyBorder="0" applyAlignment="0" applyProtection="0"/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80" fillId="0" borderId="0"/>
    <xf numFmtId="43" fontId="80" fillId="0" borderId="0" applyFont="0" applyFill="0" applyBorder="0" applyAlignment="0" applyProtection="0"/>
    <xf numFmtId="44" fontId="117" fillId="0" borderId="0" applyFont="0" applyFill="0" applyBorder="0" applyAlignment="0" applyProtection="0"/>
    <xf numFmtId="0" fontId="16" fillId="0" borderId="0"/>
    <xf numFmtId="0" fontId="65" fillId="18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0" borderId="0"/>
    <xf numFmtId="0" fontId="65" fillId="18" borderId="0" applyNumberFormat="0" applyBorder="0" applyAlignment="0" applyProtection="0"/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59" fillId="17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4" fontId="59" fillId="43" borderId="47" applyNumberFormat="0" applyProtection="0">
      <alignment horizontal="left" vertical="center" indent="1"/>
    </xf>
    <xf numFmtId="4" fontId="59" fillId="43" borderId="47" applyNumberFormat="0" applyProtection="0">
      <alignment horizontal="left" vertical="center" indent="1"/>
    </xf>
    <xf numFmtId="0" fontId="59" fillId="57" borderId="47" applyNumberFormat="0" applyProtection="0">
      <alignment horizontal="left" vertical="center" indent="1"/>
    </xf>
    <xf numFmtId="4" fontId="59" fillId="0" borderId="47" applyNumberFormat="0" applyProtection="0">
      <alignment horizontal="right" vertical="center"/>
    </xf>
    <xf numFmtId="0" fontId="59" fillId="58" borderId="47" applyNumberFormat="0" applyProtection="0">
      <alignment horizontal="left" vertical="center" indent="1"/>
    </xf>
    <xf numFmtId="0" fontId="59" fillId="59" borderId="47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0" fontId="74" fillId="36" borderId="47" applyNumberFormat="0" applyAlignment="0" applyProtection="0"/>
    <xf numFmtId="0" fontId="59" fillId="17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4" fontId="59" fillId="42" borderId="47" applyNumberFormat="0" applyProtection="0">
      <alignment vertical="center"/>
    </xf>
    <xf numFmtId="4" fontId="59" fillId="13" borderId="47" applyNumberFormat="0" applyProtection="0">
      <alignment horizontal="left" vertical="center" indent="1"/>
    </xf>
    <xf numFmtId="4" fontId="59" fillId="44" borderId="47" applyNumberFormat="0" applyProtection="0">
      <alignment horizontal="right" vertical="center"/>
    </xf>
    <xf numFmtId="4" fontId="59" fillId="45" borderId="47" applyNumberFormat="0" applyProtection="0">
      <alignment horizontal="right" vertical="center"/>
    </xf>
    <xf numFmtId="4" fontId="59" fillId="46" borderId="55" applyNumberFormat="0" applyProtection="0">
      <alignment horizontal="right" vertical="center"/>
    </xf>
    <xf numFmtId="0" fontId="65" fillId="34" borderId="0" applyNumberFormat="0" applyBorder="0" applyAlignment="0" applyProtection="0"/>
    <xf numFmtId="4" fontId="59" fillId="47" borderId="47" applyNumberFormat="0" applyProtection="0">
      <alignment horizontal="right" vertical="center"/>
    </xf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4" fontId="59" fillId="48" borderId="47" applyNumberFormat="0" applyProtection="0">
      <alignment horizontal="right" vertical="center"/>
    </xf>
    <xf numFmtId="4" fontId="59" fillId="49" borderId="47" applyNumberFormat="0" applyProtection="0">
      <alignment horizontal="right" vertical="center"/>
    </xf>
    <xf numFmtId="4" fontId="59" fillId="50" borderId="47" applyNumberFormat="0" applyProtection="0">
      <alignment horizontal="right" vertical="center"/>
    </xf>
    <xf numFmtId="4" fontId="59" fillId="51" borderId="47" applyNumberFormat="0" applyProtection="0">
      <alignment horizontal="right" vertical="center"/>
    </xf>
    <xf numFmtId="4" fontId="59" fillId="52" borderId="47" applyNumberFormat="0" applyProtection="0">
      <alignment horizontal="right" vertical="center"/>
    </xf>
    <xf numFmtId="4" fontId="59" fillId="53" borderId="55" applyNumberFormat="0" applyProtection="0">
      <alignment horizontal="left" vertical="center" indent="1"/>
    </xf>
    <xf numFmtId="4" fontId="59" fillId="55" borderId="47" applyNumberFormat="0" applyProtection="0">
      <alignment horizontal="right" vertical="center"/>
    </xf>
    <xf numFmtId="4" fontId="59" fillId="56" borderId="55" applyNumberFormat="0" applyProtection="0">
      <alignment horizontal="left" vertical="center" indent="1"/>
    </xf>
    <xf numFmtId="4" fontId="59" fillId="55" borderId="55" applyNumberFormat="0" applyProtection="0">
      <alignment horizontal="left" vertical="center" indent="1"/>
    </xf>
    <xf numFmtId="0" fontId="59" fillId="56" borderId="47" applyNumberFormat="0" applyProtection="0">
      <alignment horizontal="left" vertical="center" inden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65" borderId="1"/>
    <xf numFmtId="0" fontId="1" fillId="0" borderId="0"/>
    <xf numFmtId="9" fontId="1" fillId="0" borderId="0" applyFont="0" applyFill="0" applyBorder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" fillId="0" borderId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74" fillId="36" borderId="47" applyNumberFormat="0" applyAlignment="0" applyProtection="0"/>
    <xf numFmtId="0" fontId="65" fillId="21" borderId="0" applyNumberFormat="0" applyBorder="0" applyAlignment="0" applyProtection="0"/>
    <xf numFmtId="0" fontId="59" fillId="17" borderId="0"/>
    <xf numFmtId="0" fontId="59" fillId="17" borderId="0"/>
    <xf numFmtId="9" fontId="1" fillId="0" borderId="0" applyFont="0" applyFill="0" applyBorder="0" applyAlignment="0" applyProtection="0"/>
    <xf numFmtId="0" fontId="16" fillId="0" borderId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170" fontId="16" fillId="0" borderId="0" applyFont="0" applyFill="0" applyBorder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60" borderId="1" applyNumberFormat="0">
      <protection locked="0"/>
    </xf>
    <xf numFmtId="0" fontId="16" fillId="0" borderId="0"/>
    <xf numFmtId="0" fontId="16" fillId="60" borderId="1" applyNumberFormat="0">
      <protection locked="0"/>
    </xf>
    <xf numFmtId="0" fontId="16" fillId="0" borderId="0"/>
    <xf numFmtId="0" fontId="16" fillId="0" borderId="0"/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center" indent="1"/>
    </xf>
    <xf numFmtId="170" fontId="16" fillId="0" borderId="0" applyFont="0" applyFill="0" applyBorder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0" borderId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center" indent="1"/>
    </xf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/>
    <xf numFmtId="0" fontId="65" fillId="18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center" indent="1"/>
    </xf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170" fontId="16" fillId="0" borderId="0" applyFont="0" applyFill="0" applyBorder="0" applyAlignment="0" applyProtection="0"/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22" borderId="0" applyNumberFormat="0" applyBorder="0" applyAlignment="0" applyProtection="0"/>
    <xf numFmtId="170" fontId="16" fillId="0" borderId="0" applyFont="0" applyFill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18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22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2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18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2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22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1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4" borderId="54" applyNumberFormat="0" applyProtection="0">
      <alignment horizontal="left" vertical="top" indent="1"/>
    </xf>
    <xf numFmtId="0" fontId="16" fillId="0" borderId="0"/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16" fillId="55" borderId="54" applyNumberFormat="0" applyProtection="0">
      <alignment horizontal="left" vertical="center" indent="1"/>
    </xf>
    <xf numFmtId="0" fontId="65" fillId="80" borderId="0" applyNumberFormat="0" applyBorder="0" applyAlignment="0" applyProtection="0"/>
    <xf numFmtId="170" fontId="16" fillId="0" borderId="0" applyFont="0" applyFill="0" applyBorder="0" applyAlignment="0" applyProtection="0"/>
    <xf numFmtId="0" fontId="65" fillId="18" borderId="0" applyNumberFormat="0" applyBorder="0" applyAlignment="0" applyProtection="0"/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65" fillId="18" borderId="0" applyNumberFormat="0" applyBorder="0" applyAlignment="0" applyProtection="0"/>
    <xf numFmtId="0" fontId="16" fillId="0" borderId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22" borderId="0" applyNumberFormat="0" applyBorder="0" applyAlignment="0" applyProtection="0"/>
    <xf numFmtId="0" fontId="16" fillId="0" borderId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18" borderId="0" applyNumberFormat="0" applyBorder="0" applyAlignment="0" applyProtection="0"/>
    <xf numFmtId="170" fontId="16" fillId="0" borderId="0" applyFont="0" applyFill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2" borderId="0" applyNumberFormat="0" applyBorder="0" applyAlignment="0" applyProtection="0"/>
    <xf numFmtId="0" fontId="65" fillId="18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74" fillId="36" borderId="63" applyNumberFormat="0" applyAlignment="0" applyProtection="0"/>
    <xf numFmtId="0" fontId="16" fillId="0" borderId="0"/>
    <xf numFmtId="0" fontId="65" fillId="18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59" fillId="17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74" fillId="36" borderId="47" applyNumberFormat="0" applyAlignment="0" applyProtection="0"/>
    <xf numFmtId="0" fontId="59" fillId="17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2" borderId="0" applyNumberFormat="0" applyBorder="0" applyAlignment="0" applyProtection="0"/>
    <xf numFmtId="0" fontId="16" fillId="0" borderId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16" fillId="0" borderId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18" borderId="0" applyNumberFormat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18" borderId="0" applyNumberFormat="0" applyBorder="0" applyAlignment="0" applyProtection="0"/>
    <xf numFmtId="0" fontId="65" fillId="80" borderId="0" applyNumberFormat="0" applyBorder="0" applyAlignment="0" applyProtection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3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65" fillId="18" borderId="0" applyNumberFormat="0" applyBorder="0" applyAlignment="0" applyProtection="0"/>
    <xf numFmtId="0" fontId="16" fillId="0" borderId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0" borderId="0"/>
    <xf numFmtId="0" fontId="65" fillId="18" borderId="0" applyNumberFormat="0" applyBorder="0" applyAlignment="0" applyProtection="0"/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0" borderId="0" applyNumberFormat="0" applyBorder="0" applyAlignment="0" applyProtection="0"/>
    <xf numFmtId="0" fontId="65" fillId="31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81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65" fillId="18" borderId="0" applyNumberFormat="0" applyBorder="0" applyAlignment="0" applyProtection="0"/>
    <xf numFmtId="0" fontId="16" fillId="0" borderId="0"/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16" fillId="0" borderId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65" fillId="3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59" fillId="17" borderId="0"/>
    <xf numFmtId="0" fontId="65" fillId="18" borderId="0" applyNumberFormat="0" applyBorder="0" applyAlignment="0" applyProtection="0"/>
    <xf numFmtId="0" fontId="65" fillId="30" borderId="0" applyNumberFormat="0" applyBorder="0" applyAlignment="0" applyProtection="0"/>
    <xf numFmtId="0" fontId="65" fillId="22" borderId="0" applyNumberFormat="0" applyBorder="0" applyAlignment="0" applyProtection="0"/>
    <xf numFmtId="0" fontId="65" fillId="21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  <xf numFmtId="0" fontId="16" fillId="54" borderId="54" applyNumberFormat="0" applyProtection="0">
      <alignment horizontal="left" vertical="top" indent="1"/>
    </xf>
    <xf numFmtId="0" fontId="16" fillId="54" borderId="54" applyNumberFormat="0" applyProtection="0">
      <alignment horizontal="left" vertical="center" indent="1"/>
    </xf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18" borderId="0" applyNumberFormat="0" applyBorder="0" applyAlignment="0" applyProtection="0"/>
    <xf numFmtId="0" fontId="65" fillId="22" borderId="0" applyNumberFormat="0" applyBorder="0" applyAlignment="0" applyProtection="0"/>
    <xf numFmtId="0" fontId="16" fillId="0" borderId="0"/>
    <xf numFmtId="0" fontId="65" fillId="31" borderId="0" applyNumberFormat="0" applyBorder="0" applyAlignment="0" applyProtection="0"/>
    <xf numFmtId="0" fontId="16" fillId="55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35" borderId="68" applyNumberFormat="0" applyFont="0" applyAlignment="0" applyProtection="0"/>
    <xf numFmtId="0" fontId="74" fillId="36" borderId="63" applyNumberFormat="0" applyAlignment="0" applyProtection="0"/>
    <xf numFmtId="0" fontId="74" fillId="36" borderId="63" applyNumberFormat="0" applyAlignment="0" applyProtection="0"/>
    <xf numFmtId="0" fontId="16" fillId="35" borderId="68" applyNumberFormat="0" applyFont="0" applyAlignment="0" applyProtection="0"/>
    <xf numFmtId="0" fontId="65" fillId="82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16" fillId="54" borderId="54" applyNumberFormat="0" applyProtection="0">
      <alignment horizontal="left" vertical="center" indent="1"/>
    </xf>
    <xf numFmtId="0" fontId="16" fillId="54" borderId="54" applyNumberFormat="0" applyProtection="0">
      <alignment horizontal="left" vertical="top" indent="1"/>
    </xf>
    <xf numFmtId="0" fontId="16" fillId="55" borderId="54" applyNumberFormat="0" applyProtection="0">
      <alignment horizontal="left" vertical="center" indent="1"/>
    </xf>
    <xf numFmtId="0" fontId="16" fillId="55" borderId="54" applyNumberFormat="0" applyProtection="0">
      <alignment horizontal="left" vertical="top" indent="1"/>
    </xf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31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16" fillId="0" borderId="0"/>
    <xf numFmtId="0" fontId="16" fillId="59" borderId="54" applyNumberFormat="0" applyProtection="0">
      <alignment horizontal="left" vertical="center" indent="1"/>
    </xf>
    <xf numFmtId="0" fontId="16" fillId="59" borderId="54" applyNumberFormat="0" applyProtection="0">
      <alignment horizontal="left" vertical="top" indent="1"/>
    </xf>
    <xf numFmtId="0" fontId="16" fillId="56" borderId="54" applyNumberFormat="0" applyProtection="0">
      <alignment horizontal="left" vertical="center" indent="1"/>
    </xf>
    <xf numFmtId="0" fontId="16" fillId="56" borderId="54" applyNumberFormat="0" applyProtection="0">
      <alignment horizontal="left" vertical="top" indent="1"/>
    </xf>
    <xf numFmtId="0" fontId="16" fillId="60" borderId="1" applyNumberFormat="0">
      <protection locked="0"/>
    </xf>
    <xf numFmtId="0" fontId="65" fillId="22" borderId="0" applyNumberFormat="0" applyBorder="0" applyAlignment="0" applyProtection="0"/>
    <xf numFmtId="0" fontId="65" fillId="26" borderId="0" applyNumberFormat="0" applyBorder="0" applyAlignment="0" applyProtection="0"/>
    <xf numFmtId="0" fontId="65" fillId="30" borderId="0" applyNumberFormat="0" applyBorder="0" applyAlignment="0" applyProtection="0"/>
    <xf numFmtId="0" fontId="65" fillId="21" borderId="0" applyNumberFormat="0" applyBorder="0" applyAlignment="0" applyProtection="0"/>
    <xf numFmtId="0" fontId="65" fillId="34" borderId="0" applyNumberFormat="0" applyBorder="0" applyAlignment="0" applyProtection="0"/>
    <xf numFmtId="0" fontId="74" fillId="36" borderId="47" applyNumberFormat="0" applyAlignment="0" applyProtection="0"/>
    <xf numFmtId="0" fontId="74" fillId="36" borderId="47" applyNumberFormat="0" applyAlignment="0" applyProtection="0"/>
    <xf numFmtId="0" fontId="65" fillId="34" borderId="0" applyNumberFormat="0" applyBorder="0" applyAlignment="0" applyProtection="0"/>
    <xf numFmtId="0" fontId="65" fillId="21" borderId="0" applyNumberFormat="0" applyBorder="0" applyAlignment="0" applyProtection="0"/>
    <xf numFmtId="0" fontId="65" fillId="30" borderId="0" applyNumberFormat="0" applyBorder="0" applyAlignment="0" applyProtection="0"/>
    <xf numFmtId="0" fontId="65" fillId="26" borderId="0" applyNumberFormat="0" applyBorder="0" applyAlignment="0" applyProtection="0"/>
    <xf numFmtId="0" fontId="65" fillId="22" borderId="0" applyNumberFormat="0" applyBorder="0" applyAlignment="0" applyProtection="0"/>
    <xf numFmtId="0" fontId="65" fillId="18" borderId="0" applyNumberFormat="0" applyBorder="0" applyAlignment="0" applyProtection="0"/>
    <xf numFmtId="0" fontId="59" fillId="17" borderId="0"/>
  </cellStyleXfs>
  <cellXfs count="1216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2" fillId="2" borderId="3" xfId="0" applyFont="1" applyFill="1" applyBorder="1" applyAlignment="1">
      <alignment horizontal="center" vertical="center"/>
    </xf>
    <xf numFmtId="44" fontId="0" fillId="0" borderId="1" xfId="1" applyFont="1" applyBorder="1"/>
    <xf numFmtId="0" fontId="2" fillId="0" borderId="13" xfId="0" applyFont="1" applyBorder="1" applyAlignment="1"/>
    <xf numFmtId="0" fontId="2" fillId="0" borderId="14" xfId="0" applyFont="1" applyBorder="1" applyAlignment="1"/>
    <xf numFmtId="0" fontId="2" fillId="0" borderId="9" xfId="0" applyFont="1" applyBorder="1" applyAlignment="1"/>
    <xf numFmtId="0" fontId="0" fillId="0" borderId="13" xfId="0" applyBorder="1"/>
    <xf numFmtId="0" fontId="0" fillId="0" borderId="0" xfId="0" applyBorder="1"/>
    <xf numFmtId="0" fontId="0" fillId="0" borderId="18" xfId="0" applyBorder="1" applyAlignment="1">
      <alignment wrapText="1"/>
    </xf>
    <xf numFmtId="0" fontId="0" fillId="0" borderId="18" xfId="0" applyBorder="1"/>
    <xf numFmtId="0" fontId="0" fillId="0" borderId="11" xfId="0" applyBorder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0" fillId="0" borderId="1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44" fontId="0" fillId="0" borderId="1" xfId="1" applyFont="1" applyBorder="1" applyAlignment="1">
      <alignment wrapText="1"/>
    </xf>
    <xf numFmtId="0" fontId="2" fillId="0" borderId="15" xfId="0" applyFont="1" applyBorder="1" applyAlignment="1"/>
    <xf numFmtId="0" fontId="2" fillId="0" borderId="16" xfId="0" applyFont="1" applyBorder="1" applyAlignment="1"/>
    <xf numFmtId="0" fontId="2" fillId="0" borderId="11" xfId="0" applyFont="1" applyBorder="1" applyAlignment="1"/>
    <xf numFmtId="0" fontId="0" fillId="0" borderId="1" xfId="0" applyBorder="1" applyAlignment="1">
      <alignment horizontal="center" vertical="center"/>
    </xf>
    <xf numFmtId="0" fontId="2" fillId="0" borderId="10" xfId="0" applyFont="1" applyBorder="1" applyAlignment="1"/>
    <xf numFmtId="0" fontId="2" fillId="0" borderId="1" xfId="0" applyFont="1" applyBorder="1" applyAlignment="1"/>
    <xf numFmtId="0" fontId="0" fillId="0" borderId="10" xfId="0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4" fillId="0" borderId="0" xfId="0" applyFont="1" applyBorder="1" applyAlignment="1">
      <alignment vertical="center" wrapText="1"/>
    </xf>
    <xf numFmtId="0" fontId="3" fillId="0" borderId="15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6" fillId="0" borderId="0" xfId="0" applyFont="1"/>
    <xf numFmtId="0" fontId="8" fillId="0" borderId="10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9" fillId="0" borderId="10" xfId="0" applyFont="1" applyBorder="1" applyAlignment="1">
      <alignment vertical="center" wrapText="1"/>
    </xf>
    <xf numFmtId="0" fontId="9" fillId="0" borderId="15" xfId="0" applyFont="1" applyBorder="1" applyAlignment="1">
      <alignment vertical="center" wrapText="1"/>
    </xf>
    <xf numFmtId="0" fontId="9" fillId="0" borderId="10" xfId="0" applyFont="1" applyFill="1" applyBorder="1" applyAlignment="1">
      <alignment vertical="center" wrapText="1"/>
    </xf>
    <xf numFmtId="0" fontId="7" fillId="0" borderId="15" xfId="0" applyFont="1" applyBorder="1" applyAlignment="1"/>
    <xf numFmtId="0" fontId="7" fillId="0" borderId="16" xfId="0" applyFont="1" applyBorder="1" applyAlignment="1"/>
    <xf numFmtId="0" fontId="7" fillId="0" borderId="11" xfId="0" applyFont="1" applyBorder="1" applyAlignment="1"/>
    <xf numFmtId="0" fontId="7" fillId="0" borderId="10" xfId="0" applyFont="1" applyBorder="1" applyAlignment="1"/>
    <xf numFmtId="0" fontId="7" fillId="0" borderId="1" xfId="0" applyFont="1" applyBorder="1" applyAlignment="1"/>
    <xf numFmtId="0" fontId="6" fillId="0" borderId="1" xfId="0" applyFont="1" applyBorder="1"/>
    <xf numFmtId="0" fontId="6" fillId="0" borderId="18" xfId="0" applyFont="1" applyBorder="1" applyAlignment="1">
      <alignment horizontal="center" vertical="center"/>
    </xf>
    <xf numFmtId="44" fontId="6" fillId="0" borderId="1" xfId="1" applyFont="1" applyBorder="1" applyAlignment="1">
      <alignment wrapText="1"/>
    </xf>
    <xf numFmtId="0" fontId="6" fillId="0" borderId="22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 wrapText="1"/>
    </xf>
    <xf numFmtId="0" fontId="7" fillId="0" borderId="13" xfId="0" applyFont="1" applyBorder="1" applyAlignment="1"/>
    <xf numFmtId="0" fontId="7" fillId="0" borderId="14" xfId="0" applyFont="1" applyBorder="1" applyAlignment="1"/>
    <xf numFmtId="0" fontId="7" fillId="0" borderId="9" xfId="0" applyFont="1" applyBorder="1" applyAlignment="1"/>
    <xf numFmtId="0" fontId="6" fillId="0" borderId="1" xfId="0" applyFont="1" applyBorder="1" applyAlignment="1">
      <alignment horizontal="center" vertical="center"/>
    </xf>
    <xf numFmtId="0" fontId="0" fillId="0" borderId="23" xfId="0" applyFill="1" applyBorder="1"/>
    <xf numFmtId="0" fontId="6" fillId="0" borderId="11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vertical="center" wrapText="1"/>
    </xf>
    <xf numFmtId="0" fontId="10" fillId="3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6" xfId="0" applyBorder="1"/>
    <xf numFmtId="0" fontId="5" fillId="0" borderId="26" xfId="0" applyFont="1" applyBorder="1" applyAlignment="1">
      <alignment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5" fillId="0" borderId="25" xfId="0" applyFont="1" applyBorder="1" applyAlignment="1">
      <alignment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21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2" fillId="0" borderId="13" xfId="0" applyFont="1" applyBorder="1" applyAlignment="1">
      <alignment horizontal="left"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/>
    <xf numFmtId="0" fontId="6" fillId="0" borderId="1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0" fillId="0" borderId="27" xfId="0" applyBorder="1" applyAlignment="1">
      <alignment wrapText="1"/>
    </xf>
    <xf numFmtId="44" fontId="6" fillId="0" borderId="0" xfId="1" applyFont="1" applyFill="1" applyBorder="1" applyAlignment="1">
      <alignment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44" fontId="0" fillId="0" borderId="13" xfId="1" applyFont="1" applyFill="1" applyBorder="1" applyAlignment="1">
      <alignment wrapText="1"/>
    </xf>
    <xf numFmtId="0" fontId="0" fillId="0" borderId="1" xfId="0" applyFont="1" applyFill="1" applyBorder="1" applyAlignment="1">
      <alignment horizontal="center" vertical="center" wrapText="1"/>
    </xf>
    <xf numFmtId="44" fontId="1" fillId="0" borderId="1" xfId="1" applyFont="1" applyFill="1" applyBorder="1" applyAlignment="1">
      <alignment wrapText="1"/>
    </xf>
    <xf numFmtId="0" fontId="17" fillId="6" borderId="0" xfId="4" applyFont="1" applyFill="1"/>
    <xf numFmtId="0" fontId="1" fillId="6" borderId="0" xfId="5" applyFont="1" applyFill="1"/>
    <xf numFmtId="0" fontId="18" fillId="7" borderId="0" xfId="4" applyFont="1" applyFill="1" applyBorder="1" applyAlignment="1">
      <alignment horizontal="center" vertical="center"/>
    </xf>
    <xf numFmtId="0" fontId="1" fillId="0" borderId="0" xfId="5" applyFont="1"/>
    <xf numFmtId="0" fontId="17" fillId="0" borderId="0" xfId="4" quotePrefix="1" applyFont="1" applyFill="1" applyBorder="1" applyAlignment="1">
      <alignment horizontal="left"/>
    </xf>
    <xf numFmtId="0" fontId="17" fillId="0" borderId="0" xfId="4" applyFont="1" applyFill="1" applyBorder="1"/>
    <xf numFmtId="0" fontId="17" fillId="0" borderId="0" xfId="4" applyFont="1"/>
    <xf numFmtId="0" fontId="23" fillId="0" borderId="0" xfId="0" applyFont="1" applyBorder="1"/>
    <xf numFmtId="0" fontId="23" fillId="0" borderId="0" xfId="0" applyFont="1" applyFill="1" applyBorder="1"/>
    <xf numFmtId="166" fontId="23" fillId="0" borderId="0" xfId="2" applyNumberFormat="1" applyFont="1" applyFill="1" applyAlignment="1">
      <alignment horizontal="center" vertical="center"/>
    </xf>
    <xf numFmtId="0" fontId="2" fillId="0" borderId="0" xfId="0" applyFont="1" applyFill="1" applyBorder="1"/>
    <xf numFmtId="44" fontId="0" fillId="0" borderId="1" xfId="1" applyFont="1" applyFill="1" applyBorder="1" applyAlignment="1">
      <alignment wrapText="1"/>
    </xf>
    <xf numFmtId="0" fontId="0" fillId="0" borderId="0" xfId="0" applyFill="1"/>
    <xf numFmtId="0" fontId="19" fillId="0" borderId="16" xfId="3" applyFont="1" applyFill="1" applyBorder="1"/>
    <xf numFmtId="0" fontId="2" fillId="0" borderId="16" xfId="0" applyFont="1" applyFill="1" applyBorder="1"/>
    <xf numFmtId="0" fontId="0" fillId="0" borderId="0" xfId="0" applyFill="1" applyBorder="1"/>
    <xf numFmtId="0" fontId="2" fillId="0" borderId="0" xfId="0" applyFont="1"/>
    <xf numFmtId="14" fontId="0" fillId="0" borderId="1" xfId="0" applyNumberFormat="1" applyFont="1" applyFill="1" applyBorder="1" applyAlignment="1">
      <alignment vertical="center" wrapText="1"/>
    </xf>
    <xf numFmtId="166" fontId="0" fillId="0" borderId="0" xfId="2" applyNumberFormat="1" applyFont="1"/>
    <xf numFmtId="166" fontId="0" fillId="0" borderId="1" xfId="2" applyNumberFormat="1" applyFont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4" fontId="0" fillId="0" borderId="1" xfId="0" applyNumberFormat="1" applyBorder="1"/>
    <xf numFmtId="166" fontId="0" fillId="0" borderId="1" xfId="2" applyNumberFormat="1" applyFont="1" applyBorder="1"/>
    <xf numFmtId="0" fontId="0" fillId="0" borderId="1" xfId="0" applyFont="1" applyBorder="1" applyAlignment="1">
      <alignment horizontal="left" wrapText="1"/>
    </xf>
    <xf numFmtId="166" fontId="0" fillId="0" borderId="1" xfId="2" applyNumberFormat="1" applyFont="1" applyFill="1" applyBorder="1"/>
    <xf numFmtId="44" fontId="2" fillId="4" borderId="1" xfId="1" applyFont="1" applyFill="1" applyBorder="1" applyAlignment="1">
      <alignment wrapText="1"/>
    </xf>
    <xf numFmtId="0" fontId="10" fillId="4" borderId="1" xfId="0" applyFont="1" applyFill="1" applyBorder="1" applyAlignment="1">
      <alignment vertical="center" wrapText="1"/>
    </xf>
    <xf numFmtId="44" fontId="2" fillId="4" borderId="1" xfId="1" applyFont="1" applyFill="1" applyBorder="1" applyAlignment="1">
      <alignment horizontal="center" vertical="center" wrapText="1"/>
    </xf>
    <xf numFmtId="3" fontId="0" fillId="0" borderId="0" xfId="0" applyNumberFormat="1"/>
    <xf numFmtId="9" fontId="0" fillId="0" borderId="0" xfId="11" applyFont="1"/>
    <xf numFmtId="10" fontId="0" fillId="0" borderId="0" xfId="11" applyNumberFormat="1" applyFont="1"/>
    <xf numFmtId="10" fontId="0" fillId="0" borderId="0" xfId="11" applyNumberFormat="1" applyFont="1" applyAlignment="1">
      <alignment horizontal="right"/>
    </xf>
    <xf numFmtId="10" fontId="10" fillId="4" borderId="1" xfId="11" applyNumberFormat="1" applyFont="1" applyFill="1" applyBorder="1" applyAlignment="1">
      <alignment horizontal="right" vertical="center" wrapText="1"/>
    </xf>
    <xf numFmtId="3" fontId="0" fillId="0" borderId="0" xfId="0" applyNumberFormat="1" applyAlignment="1">
      <alignment horizontal="right"/>
    </xf>
    <xf numFmtId="3" fontId="10" fillId="4" borderId="1" xfId="0" applyNumberFormat="1" applyFont="1" applyFill="1" applyBorder="1" applyAlignment="1">
      <alignment horizontal="right" vertical="center" wrapText="1"/>
    </xf>
    <xf numFmtId="3" fontId="0" fillId="0" borderId="24" xfId="0" applyNumberFormat="1" applyBorder="1" applyAlignment="1">
      <alignment horizontal="center" vertical="center" wrapText="1"/>
    </xf>
    <xf numFmtId="10" fontId="0" fillId="0" borderId="24" xfId="11" applyNumberFormat="1" applyFont="1" applyBorder="1" applyAlignment="1">
      <alignment horizontal="center" vertical="center" wrapText="1"/>
    </xf>
    <xf numFmtId="37" fontId="10" fillId="4" borderId="1" xfId="2" applyNumberFormat="1" applyFont="1" applyFill="1" applyBorder="1" applyAlignment="1">
      <alignment horizontal="right" vertical="center" wrapText="1"/>
    </xf>
    <xf numFmtId="37" fontId="0" fillId="0" borderId="0" xfId="2" applyNumberFormat="1" applyFont="1" applyAlignment="1">
      <alignment horizontal="right"/>
    </xf>
    <xf numFmtId="44" fontId="28" fillId="0" borderId="1" xfId="1" applyFont="1" applyBorder="1" applyAlignment="1">
      <alignment wrapText="1"/>
    </xf>
    <xf numFmtId="3" fontId="2" fillId="8" borderId="1" xfId="1" applyNumberFormat="1" applyFont="1" applyFill="1" applyBorder="1" applyAlignment="1">
      <alignment wrapText="1"/>
    </xf>
    <xf numFmtId="3" fontId="2" fillId="0" borderId="16" xfId="0" applyNumberFormat="1" applyFont="1" applyFill="1" applyBorder="1"/>
    <xf numFmtId="9" fontId="1" fillId="0" borderId="1" xfId="11" applyFont="1" applyFill="1" applyBorder="1" applyAlignment="1">
      <alignment wrapText="1"/>
    </xf>
    <xf numFmtId="9" fontId="2" fillId="0" borderId="16" xfId="11" applyFont="1" applyFill="1" applyBorder="1"/>
    <xf numFmtId="10" fontId="1" fillId="0" borderId="1" xfId="11" applyNumberFormat="1" applyFont="1" applyFill="1" applyBorder="1" applyAlignment="1">
      <alignment wrapText="1"/>
    </xf>
    <xf numFmtId="10" fontId="2" fillId="8" borderId="1" xfId="11" applyNumberFormat="1" applyFont="1" applyFill="1" applyBorder="1" applyAlignment="1">
      <alignment wrapText="1"/>
    </xf>
    <xf numFmtId="10" fontId="2" fillId="0" borderId="16" xfId="11" applyNumberFormat="1" applyFont="1" applyFill="1" applyBorder="1"/>
    <xf numFmtId="10" fontId="0" fillId="0" borderId="1" xfId="11" applyNumberFormat="1" applyFont="1" applyFill="1" applyBorder="1" applyAlignment="1">
      <alignment wrapText="1"/>
    </xf>
    <xf numFmtId="0" fontId="2" fillId="5" borderId="1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/>
    </xf>
    <xf numFmtId="14" fontId="30" fillId="5" borderId="1" xfId="0" applyNumberFormat="1" applyFont="1" applyFill="1" applyBorder="1" applyAlignment="1">
      <alignment horizontal="center" vertical="center" wrapText="1"/>
    </xf>
    <xf numFmtId="166" fontId="20" fillId="0" borderId="0" xfId="2" applyNumberFormat="1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42" fontId="2" fillId="5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5" xfId="0" applyBorder="1" applyAlignment="1">
      <alignment horizontal="center" vertical="center" wrapText="1"/>
    </xf>
    <xf numFmtId="44" fontId="28" fillId="0" borderId="1" xfId="1" applyFont="1" applyBorder="1" applyAlignment="1">
      <alignment horizontal="center" wrapText="1"/>
    </xf>
    <xf numFmtId="44" fontId="2" fillId="4" borderId="1" xfId="1" applyFont="1" applyFill="1" applyBorder="1" applyAlignment="1">
      <alignment horizontal="center" wrapText="1"/>
    </xf>
    <xf numFmtId="168" fontId="0" fillId="0" borderId="0" xfId="1" applyNumberFormat="1" applyFont="1"/>
    <xf numFmtId="41" fontId="20" fillId="5" borderId="1" xfId="0" applyNumberFormat="1" applyFont="1" applyFill="1" applyBorder="1" applyAlignment="1">
      <alignment horizontal="center" vertical="center" wrapText="1"/>
    </xf>
    <xf numFmtId="14" fontId="23" fillId="0" borderId="0" xfId="0" applyNumberFormat="1" applyFont="1" applyAlignment="1">
      <alignment horizontal="center" vertical="center"/>
    </xf>
    <xf numFmtId="0" fontId="30" fillId="5" borderId="1" xfId="0" applyFont="1" applyFill="1" applyBorder="1" applyAlignment="1">
      <alignment horizontal="center" vertical="center" wrapText="1"/>
    </xf>
    <xf numFmtId="14" fontId="23" fillId="0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41" fontId="23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166" fontId="1" fillId="0" borderId="0" xfId="2" applyNumberFormat="1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 wrapText="1"/>
    </xf>
    <xf numFmtId="41" fontId="23" fillId="0" borderId="0" xfId="0" applyNumberFormat="1" applyFont="1" applyFill="1" applyAlignment="1">
      <alignment horizontal="center" vertical="center"/>
    </xf>
    <xf numFmtId="0" fontId="2" fillId="0" borderId="0" xfId="1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41" fontId="2" fillId="0" borderId="0" xfId="1" applyNumberFormat="1" applyFont="1" applyFill="1" applyBorder="1" applyAlignment="1">
      <alignment horizontal="center" vertical="center" wrapText="1"/>
    </xf>
    <xf numFmtId="44" fontId="2" fillId="0" borderId="0" xfId="1" applyFont="1" applyFill="1" applyBorder="1" applyAlignment="1">
      <alignment horizontal="center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6" fontId="23" fillId="0" borderId="0" xfId="2" applyNumberFormat="1" applyFont="1" applyBorder="1" applyAlignment="1">
      <alignment horizontal="center" vertical="center"/>
    </xf>
    <xf numFmtId="166" fontId="2" fillId="0" borderId="0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0" fillId="0" borderId="0" xfId="5" applyFont="1" applyFill="1" applyAlignment="1">
      <alignment horizontal="left" vertical="center"/>
    </xf>
    <xf numFmtId="0" fontId="32" fillId="0" borderId="0" xfId="12" applyFont="1" applyFill="1" applyAlignment="1">
      <alignment horizontal="center"/>
    </xf>
    <xf numFmtId="44" fontId="32" fillId="0" borderId="0" xfId="12" applyNumberFormat="1" applyFont="1" applyFill="1" applyAlignment="1">
      <alignment horizontal="center"/>
    </xf>
    <xf numFmtId="0" fontId="32" fillId="0" borderId="0" xfId="9" applyNumberFormat="1" applyFont="1" applyAlignment="1">
      <alignment horizontal="center"/>
    </xf>
    <xf numFmtId="44" fontId="32" fillId="0" borderId="0" xfId="12" applyNumberFormat="1" applyFont="1" applyAlignment="1">
      <alignment horizontal="right"/>
    </xf>
    <xf numFmtId="171" fontId="32" fillId="0" borderId="0" xfId="12" applyNumberFormat="1" applyFont="1" applyAlignment="1">
      <alignment horizontal="center" vertical="center"/>
    </xf>
    <xf numFmtId="6" fontId="32" fillId="0" borderId="0" xfId="12" applyNumberFormat="1" applyFont="1" applyAlignment="1">
      <alignment horizontal="right"/>
    </xf>
    <xf numFmtId="41" fontId="33" fillId="0" borderId="0" xfId="12" applyNumberFormat="1" applyFont="1" applyAlignment="1">
      <alignment horizontal="center"/>
    </xf>
    <xf numFmtId="44" fontId="32" fillId="0" borderId="0" xfId="9" applyNumberFormat="1" applyFont="1" applyAlignment="1">
      <alignment horizontal="center"/>
    </xf>
    <xf numFmtId="41" fontId="32" fillId="0" borderId="0" xfId="12" applyNumberFormat="1" applyFont="1" applyAlignment="1">
      <alignment horizontal="justify"/>
    </xf>
    <xf numFmtId="8" fontId="32" fillId="0" borderId="0" xfId="12" applyNumberFormat="1" applyFont="1" applyAlignment="1">
      <alignment horizontal="center"/>
    </xf>
    <xf numFmtId="6" fontId="32" fillId="0" borderId="0" xfId="9" applyNumberFormat="1" applyFont="1" applyAlignment="1">
      <alignment horizontal="right"/>
    </xf>
    <xf numFmtId="38" fontId="32" fillId="0" borderId="0" xfId="12" applyNumberFormat="1" applyFont="1" applyFill="1" applyAlignment="1">
      <alignment horizontal="right"/>
    </xf>
    <xf numFmtId="8" fontId="33" fillId="0" borderId="0" xfId="12" applyNumberFormat="1" applyFont="1" applyAlignment="1">
      <alignment horizontal="right"/>
    </xf>
    <xf numFmtId="0" fontId="32" fillId="0" borderId="0" xfId="12" applyFont="1"/>
    <xf numFmtId="0" fontId="34" fillId="0" borderId="0" xfId="12" applyFont="1" applyFill="1" applyAlignment="1">
      <alignment horizontal="center"/>
    </xf>
    <xf numFmtId="44" fontId="34" fillId="0" borderId="0" xfId="12" applyNumberFormat="1" applyFont="1" applyFill="1" applyAlignment="1">
      <alignment horizontal="center"/>
    </xf>
    <xf numFmtId="44" fontId="34" fillId="0" borderId="0" xfId="12" applyNumberFormat="1" applyFont="1" applyAlignment="1">
      <alignment horizontal="center"/>
    </xf>
    <xf numFmtId="6" fontId="34" fillId="0" borderId="0" xfId="12" applyNumberFormat="1" applyFont="1" applyAlignment="1">
      <alignment horizontal="center"/>
    </xf>
    <xf numFmtId="172" fontId="34" fillId="0" borderId="0" xfId="12" applyNumberFormat="1" applyFont="1" applyAlignment="1">
      <alignment horizontal="justify" vertical="center"/>
    </xf>
    <xf numFmtId="41" fontId="34" fillId="0" borderId="0" xfId="12" applyNumberFormat="1" applyFont="1" applyFill="1" applyAlignment="1">
      <alignment horizontal="center"/>
    </xf>
    <xf numFmtId="8" fontId="34" fillId="0" borderId="0" xfId="12" applyNumberFormat="1" applyFont="1" applyFill="1" applyAlignment="1">
      <alignment horizontal="center"/>
    </xf>
    <xf numFmtId="6" fontId="34" fillId="0" borderId="0" xfId="12" applyNumberFormat="1" applyFont="1" applyFill="1" applyAlignment="1">
      <alignment horizontal="center"/>
    </xf>
    <xf numFmtId="6" fontId="34" fillId="0" borderId="0" xfId="9" applyNumberFormat="1" applyFont="1" applyFill="1" applyAlignment="1">
      <alignment horizontal="center"/>
    </xf>
    <xf numFmtId="44" fontId="34" fillId="0" borderId="0" xfId="9" applyNumberFormat="1" applyFont="1" applyFill="1" applyAlignment="1">
      <alignment horizontal="center"/>
    </xf>
    <xf numFmtId="38" fontId="34" fillId="0" borderId="0" xfId="12" applyNumberFormat="1" applyFont="1" applyFill="1" applyAlignment="1">
      <alignment horizontal="center"/>
    </xf>
    <xf numFmtId="0" fontId="34" fillId="0" borderId="0" xfId="12" applyFont="1" applyAlignment="1">
      <alignment horizontal="center"/>
    </xf>
    <xf numFmtId="0" fontId="32" fillId="9" borderId="2" xfId="12" applyNumberFormat="1" applyFont="1" applyFill="1" applyBorder="1" applyAlignment="1" applyProtection="1">
      <alignment horizontal="center" vertical="center" wrapText="1"/>
      <protection locked="0"/>
    </xf>
    <xf numFmtId="169" fontId="32" fillId="9" borderId="2" xfId="9" applyFont="1" applyFill="1" applyBorder="1" applyAlignment="1" applyProtection="1">
      <alignment horizontal="center" vertical="center" wrapText="1"/>
      <protection locked="0"/>
    </xf>
    <xf numFmtId="0" fontId="32" fillId="10" borderId="2" xfId="12" applyNumberFormat="1" applyFont="1" applyFill="1" applyBorder="1" applyAlignment="1" applyProtection="1">
      <alignment horizontal="center" vertical="center" wrapText="1"/>
      <protection locked="0"/>
    </xf>
    <xf numFmtId="172" fontId="32" fillId="10" borderId="2" xfId="12" applyNumberFormat="1" applyFont="1" applyFill="1" applyBorder="1" applyAlignment="1" applyProtection="1">
      <alignment horizontal="center" vertical="center" wrapText="1"/>
      <protection locked="0"/>
    </xf>
    <xf numFmtId="0" fontId="32" fillId="11" borderId="2" xfId="12" applyNumberFormat="1" applyFont="1" applyFill="1" applyBorder="1" applyAlignment="1" applyProtection="1">
      <alignment horizontal="center" vertical="center" wrapText="1"/>
      <protection locked="0"/>
    </xf>
    <xf numFmtId="0" fontId="35" fillId="12" borderId="2" xfId="12" applyNumberFormat="1" applyFont="1" applyFill="1" applyBorder="1" applyAlignment="1" applyProtection="1">
      <alignment horizontal="center" vertical="center" wrapText="1"/>
      <protection locked="0"/>
    </xf>
    <xf numFmtId="0" fontId="32" fillId="12" borderId="2" xfId="12" applyNumberFormat="1" applyFont="1" applyFill="1" applyBorder="1" applyAlignment="1" applyProtection="1">
      <alignment horizontal="center" vertical="center" wrapText="1"/>
      <protection locked="0"/>
    </xf>
    <xf numFmtId="41" fontId="32" fillId="12" borderId="2" xfId="12" applyNumberFormat="1" applyFont="1" applyFill="1" applyBorder="1" applyAlignment="1" applyProtection="1">
      <alignment horizontal="center" vertical="center" wrapText="1"/>
      <protection locked="0"/>
    </xf>
    <xf numFmtId="8" fontId="32" fillId="12" borderId="2" xfId="12" applyNumberFormat="1" applyFont="1" applyFill="1" applyBorder="1" applyAlignment="1" applyProtection="1">
      <alignment horizontal="center" vertical="center" wrapText="1"/>
      <protection locked="0"/>
    </xf>
    <xf numFmtId="0" fontId="32" fillId="13" borderId="2" xfId="12" applyNumberFormat="1" applyFont="1" applyFill="1" applyBorder="1" applyAlignment="1" applyProtection="1">
      <alignment horizontal="center" vertical="center" wrapText="1"/>
      <protection locked="0"/>
    </xf>
    <xf numFmtId="0" fontId="32" fillId="13" borderId="2" xfId="9" applyNumberFormat="1" applyFont="1" applyFill="1" applyBorder="1" applyAlignment="1" applyProtection="1">
      <alignment horizontal="center" vertical="center" wrapText="1"/>
      <protection locked="0"/>
    </xf>
    <xf numFmtId="0" fontId="32" fillId="12" borderId="2" xfId="9" applyNumberFormat="1" applyFont="1" applyFill="1" applyBorder="1" applyAlignment="1" applyProtection="1">
      <alignment horizontal="center" vertical="center" wrapText="1"/>
      <protection locked="0"/>
    </xf>
    <xf numFmtId="0" fontId="32" fillId="14" borderId="2" xfId="12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12" applyNumberFormat="1" applyFont="1" applyAlignment="1">
      <alignment horizontal="center" vertical="center" wrapText="1"/>
    </xf>
    <xf numFmtId="0" fontId="32" fillId="0" borderId="43" xfId="12" applyFont="1" applyFill="1" applyBorder="1" applyAlignment="1" applyProtection="1">
      <alignment vertical="center"/>
      <protection locked="0"/>
    </xf>
    <xf numFmtId="41" fontId="32" fillId="0" borderId="10" xfId="10" applyNumberFormat="1" applyFont="1" applyBorder="1" applyAlignment="1">
      <alignment horizontal="justify" vertical="center"/>
    </xf>
    <xf numFmtId="41" fontId="32" fillId="0" borderId="10" xfId="10" applyNumberFormat="1" applyFont="1" applyFill="1" applyBorder="1" applyAlignment="1">
      <alignment horizontal="justify" vertical="center"/>
    </xf>
    <xf numFmtId="41" fontId="32" fillId="0" borderId="10" xfId="10" applyNumberFormat="1" applyFont="1" applyFill="1" applyBorder="1" applyAlignment="1" applyProtection="1">
      <alignment horizontal="justify" vertical="center"/>
      <protection locked="0"/>
    </xf>
    <xf numFmtId="172" fontId="32" fillId="0" borderId="10" xfId="10" applyNumberFormat="1" applyFont="1" applyFill="1" applyBorder="1" applyAlignment="1">
      <alignment horizontal="justify" vertical="center"/>
    </xf>
    <xf numFmtId="41" fontId="32" fillId="0" borderId="25" xfId="10" applyNumberFormat="1" applyFont="1" applyBorder="1" applyAlignment="1">
      <alignment horizontal="justify" vertical="center"/>
    </xf>
    <xf numFmtId="41" fontId="36" fillId="0" borderId="10" xfId="10" applyNumberFormat="1" applyFont="1" applyFill="1" applyBorder="1" applyAlignment="1">
      <alignment horizontal="justify" vertical="center"/>
    </xf>
    <xf numFmtId="0" fontId="32" fillId="0" borderId="0" xfId="12" applyFont="1" applyAlignment="1">
      <alignment vertical="center"/>
    </xf>
    <xf numFmtId="0" fontId="32" fillId="0" borderId="27" xfId="12" applyFont="1" applyFill="1" applyBorder="1" applyAlignment="1" applyProtection="1">
      <alignment vertical="center"/>
      <protection locked="0"/>
    </xf>
    <xf numFmtId="41" fontId="32" fillId="0" borderId="1" xfId="10" applyNumberFormat="1" applyFont="1" applyBorder="1" applyAlignment="1">
      <alignment horizontal="justify" vertical="center"/>
    </xf>
    <xf numFmtId="41" fontId="32" fillId="0" borderId="1" xfId="10" applyNumberFormat="1" applyFont="1" applyFill="1" applyBorder="1" applyAlignment="1">
      <alignment horizontal="justify" vertical="center"/>
    </xf>
    <xf numFmtId="41" fontId="32" fillId="0" borderId="1" xfId="10" applyNumberFormat="1" applyFont="1" applyFill="1" applyBorder="1" applyAlignment="1" applyProtection="1">
      <alignment horizontal="justify" vertical="center"/>
      <protection locked="0"/>
    </xf>
    <xf numFmtId="172" fontId="32" fillId="0" borderId="1" xfId="10" applyNumberFormat="1" applyFont="1" applyFill="1" applyBorder="1" applyAlignment="1">
      <alignment horizontal="justify" vertical="center"/>
    </xf>
    <xf numFmtId="41" fontId="32" fillId="0" borderId="26" xfId="10" applyNumberFormat="1" applyFont="1" applyBorder="1" applyAlignment="1" applyProtection="1">
      <alignment horizontal="justify" vertical="center"/>
      <protection locked="0"/>
    </xf>
    <xf numFmtId="173" fontId="32" fillId="0" borderId="1" xfId="10" applyNumberFormat="1" applyFont="1" applyFill="1" applyBorder="1" applyAlignment="1">
      <alignment horizontal="justify" vertical="center"/>
    </xf>
    <xf numFmtId="41" fontId="32" fillId="0" borderId="26" xfId="10" applyNumberFormat="1" applyFont="1" applyBorder="1" applyAlignment="1">
      <alignment horizontal="justify" vertical="center"/>
    </xf>
    <xf numFmtId="41" fontId="36" fillId="0" borderId="1" xfId="10" applyNumberFormat="1" applyFont="1" applyFill="1" applyBorder="1" applyAlignment="1">
      <alignment horizontal="justify" vertical="center"/>
    </xf>
    <xf numFmtId="41" fontId="32" fillId="0" borderId="26" xfId="10" applyNumberFormat="1" applyFont="1" applyFill="1" applyBorder="1" applyAlignment="1" applyProtection="1">
      <alignment horizontal="justify" vertical="center"/>
      <protection locked="0"/>
    </xf>
    <xf numFmtId="0" fontId="32" fillId="0" borderId="0" xfId="12" applyFont="1" applyFill="1" applyAlignment="1">
      <alignment vertical="center"/>
    </xf>
    <xf numFmtId="0" fontId="32" fillId="0" borderId="27" xfId="12" applyFont="1" applyFill="1" applyBorder="1" applyAlignment="1" applyProtection="1">
      <alignment horizontal="left" vertical="center"/>
      <protection locked="0"/>
    </xf>
    <xf numFmtId="172" fontId="32" fillId="0" borderId="1" xfId="10" applyNumberFormat="1" applyFont="1" applyFill="1" applyBorder="1" applyAlignment="1" applyProtection="1">
      <alignment horizontal="justify" vertical="center"/>
      <protection locked="0"/>
    </xf>
    <xf numFmtId="41" fontId="32" fillId="0" borderId="26" xfId="10" applyNumberFormat="1" applyFont="1" applyFill="1" applyBorder="1" applyAlignment="1">
      <alignment horizontal="justify" vertical="center"/>
    </xf>
    <xf numFmtId="41" fontId="32" fillId="6" borderId="1" xfId="10" applyNumberFormat="1" applyFont="1" applyFill="1" applyBorder="1" applyAlignment="1">
      <alignment horizontal="justify" vertical="center"/>
    </xf>
    <xf numFmtId="41" fontId="32" fillId="0" borderId="0" xfId="12" applyNumberFormat="1" applyFont="1" applyAlignment="1">
      <alignment vertical="center"/>
    </xf>
    <xf numFmtId="0" fontId="32" fillId="0" borderId="27" xfId="13" applyFont="1" applyFill="1" applyBorder="1" applyAlignment="1" applyProtection="1">
      <alignment vertical="center"/>
      <protection locked="0"/>
    </xf>
    <xf numFmtId="41" fontId="32" fillId="0" borderId="0" xfId="12" applyNumberFormat="1" applyFont="1" applyAlignment="1">
      <alignment horizontal="justify" vertical="center"/>
    </xf>
    <xf numFmtId="41" fontId="37" fillId="0" borderId="26" xfId="10" applyNumberFormat="1" applyFont="1" applyFill="1" applyBorder="1" applyAlignment="1" applyProtection="1">
      <alignment horizontal="justify" vertical="center"/>
      <protection locked="0"/>
    </xf>
    <xf numFmtId="41" fontId="32" fillId="0" borderId="0" xfId="12" applyNumberFormat="1" applyFont="1" applyFill="1" applyAlignment="1">
      <alignment horizontal="justify" vertical="center"/>
    </xf>
    <xf numFmtId="41" fontId="32" fillId="0" borderId="1" xfId="10" quotePrefix="1" applyNumberFormat="1" applyFont="1" applyFill="1" applyBorder="1" applyAlignment="1">
      <alignment horizontal="justify" vertical="center"/>
    </xf>
    <xf numFmtId="167" fontId="36" fillId="0" borderId="1" xfId="10" applyNumberFormat="1" applyFont="1" applyFill="1" applyBorder="1" applyAlignment="1">
      <alignment horizontal="justify" vertical="center"/>
    </xf>
    <xf numFmtId="0" fontId="38" fillId="0" borderId="27" xfId="12" applyFont="1" applyFill="1" applyBorder="1" applyAlignment="1" applyProtection="1">
      <alignment vertical="center"/>
      <protection locked="0"/>
    </xf>
    <xf numFmtId="0" fontId="38" fillId="0" borderId="0" xfId="12" applyFont="1" applyAlignment="1">
      <alignment vertical="center"/>
    </xf>
    <xf numFmtId="41" fontId="39" fillId="0" borderId="1" xfId="10" applyNumberFormat="1" applyFont="1" applyFill="1" applyBorder="1" applyAlignment="1">
      <alignment horizontal="justify" vertical="center"/>
    </xf>
    <xf numFmtId="41" fontId="40" fillId="0" borderId="1" xfId="10" applyNumberFormat="1" applyFont="1" applyFill="1" applyBorder="1" applyAlignment="1">
      <alignment horizontal="justify" vertical="center"/>
    </xf>
    <xf numFmtId="41" fontId="38" fillId="0" borderId="1" xfId="10" applyNumberFormat="1" applyFont="1" applyFill="1" applyBorder="1" applyAlignment="1">
      <alignment horizontal="justify" vertical="center"/>
    </xf>
    <xf numFmtId="166" fontId="32" fillId="0" borderId="0" xfId="10" applyNumberFormat="1" applyFont="1" applyAlignment="1">
      <alignment vertical="center"/>
    </xf>
    <xf numFmtId="166" fontId="32" fillId="0" borderId="0" xfId="12" applyNumberFormat="1" applyFont="1" applyAlignment="1">
      <alignment vertical="center"/>
    </xf>
    <xf numFmtId="0" fontId="32" fillId="0" borderId="27" xfId="12" applyFont="1" applyFill="1" applyBorder="1" applyAlignment="1">
      <alignment vertical="center"/>
    </xf>
    <xf numFmtId="172" fontId="32" fillId="0" borderId="1" xfId="10" applyNumberFormat="1" applyFont="1" applyBorder="1" applyAlignment="1">
      <alignment horizontal="justify" vertical="center"/>
    </xf>
    <xf numFmtId="0" fontId="32" fillId="11" borderId="29" xfId="12" applyFont="1" applyFill="1" applyBorder="1" applyAlignment="1">
      <alignment horizontal="right" vertical="center"/>
    </xf>
    <xf numFmtId="41" fontId="32" fillId="11" borderId="30" xfId="10" applyNumberFormat="1" applyFont="1" applyFill="1" applyBorder="1" applyAlignment="1">
      <alignment horizontal="justify" vertical="center"/>
    </xf>
    <xf numFmtId="174" fontId="32" fillId="11" borderId="30" xfId="10" applyNumberFormat="1" applyFont="1" applyFill="1" applyBorder="1" applyAlignment="1">
      <alignment horizontal="justify" vertical="center"/>
    </xf>
    <xf numFmtId="41" fontId="32" fillId="11" borderId="31" xfId="10" applyNumberFormat="1" applyFont="1" applyFill="1" applyBorder="1" applyAlignment="1">
      <alignment horizontal="justify" vertical="center"/>
    </xf>
    <xf numFmtId="42" fontId="32" fillId="0" borderId="0" xfId="12" applyNumberFormat="1" applyFont="1" applyFill="1" applyAlignment="1">
      <alignment horizontal="justify"/>
    </xf>
    <xf numFmtId="169" fontId="32" fillId="0" borderId="0" xfId="9" applyFont="1" applyAlignment="1">
      <alignment horizontal="justify"/>
    </xf>
    <xf numFmtId="42" fontId="32" fillId="0" borderId="0" xfId="12" applyNumberFormat="1" applyFont="1" applyAlignment="1">
      <alignment horizontal="justify"/>
    </xf>
    <xf numFmtId="172" fontId="32" fillId="0" borderId="0" xfId="12" applyNumberFormat="1" applyFont="1" applyAlignment="1">
      <alignment horizontal="justify" vertical="center"/>
    </xf>
    <xf numFmtId="6" fontId="33" fillId="0" borderId="0" xfId="12" applyNumberFormat="1" applyFont="1" applyAlignment="1">
      <alignment horizontal="center"/>
    </xf>
    <xf numFmtId="41" fontId="41" fillId="0" borderId="0" xfId="12" applyNumberFormat="1" applyFont="1" applyAlignment="1">
      <alignment horizontal="justify"/>
    </xf>
    <xf numFmtId="41" fontId="33" fillId="0" borderId="0" xfId="12" applyNumberFormat="1" applyFont="1" applyAlignment="1">
      <alignment horizontal="justify"/>
    </xf>
    <xf numFmtId="8" fontId="33" fillId="0" borderId="0" xfId="12" applyNumberFormat="1" applyFont="1" applyAlignment="1">
      <alignment horizontal="justify"/>
    </xf>
    <xf numFmtId="42" fontId="33" fillId="0" borderId="0" xfId="12" applyNumberFormat="1" applyFont="1" applyAlignment="1">
      <alignment horizontal="justify"/>
    </xf>
    <xf numFmtId="42" fontId="33" fillId="0" borderId="0" xfId="9" applyNumberFormat="1" applyFont="1" applyAlignment="1">
      <alignment horizontal="justify"/>
    </xf>
    <xf numFmtId="42" fontId="33" fillId="0" borderId="0" xfId="9" applyNumberFormat="1" applyFont="1" applyFill="1" applyAlignment="1">
      <alignment horizontal="justify"/>
    </xf>
    <xf numFmtId="38" fontId="32" fillId="0" borderId="0" xfId="12" applyNumberFormat="1" applyFont="1" applyFill="1" applyAlignment="1">
      <alignment horizontal="justify"/>
    </xf>
    <xf numFmtId="0" fontId="42" fillId="0" borderId="0" xfId="12" applyNumberFormat="1" applyFont="1" applyAlignment="1">
      <alignment horizontal="right"/>
    </xf>
    <xf numFmtId="168" fontId="43" fillId="0" borderId="0" xfId="9" applyNumberFormat="1" applyFont="1" applyAlignment="1">
      <alignment horizontal="justify"/>
    </xf>
    <xf numFmtId="42" fontId="42" fillId="0" borderId="0" xfId="12" applyNumberFormat="1" applyFont="1" applyAlignment="1">
      <alignment horizontal="justify"/>
    </xf>
    <xf numFmtId="172" fontId="42" fillId="0" borderId="0" xfId="12" applyNumberFormat="1" applyFont="1" applyAlignment="1">
      <alignment horizontal="justify" vertical="center"/>
    </xf>
    <xf numFmtId="42" fontId="43" fillId="0" borderId="0" xfId="12" applyNumberFormat="1" applyFont="1" applyAlignment="1">
      <alignment horizontal="justify"/>
    </xf>
    <xf numFmtId="42" fontId="32" fillId="0" borderId="0" xfId="12" applyNumberFormat="1" applyFont="1" applyAlignment="1">
      <alignment horizontal="right"/>
    </xf>
    <xf numFmtId="166" fontId="32" fillId="11" borderId="2" xfId="12" applyNumberFormat="1" applyFont="1" applyFill="1" applyBorder="1" applyAlignment="1">
      <alignment horizontal="right"/>
    </xf>
    <xf numFmtId="41" fontId="43" fillId="0" borderId="0" xfId="12" applyNumberFormat="1" applyFont="1" applyAlignment="1">
      <alignment horizontal="justify"/>
    </xf>
    <xf numFmtId="8" fontId="43" fillId="0" borderId="0" xfId="12" applyNumberFormat="1" applyFont="1" applyAlignment="1">
      <alignment horizontal="justify"/>
    </xf>
    <xf numFmtId="42" fontId="43" fillId="0" borderId="0" xfId="9" applyNumberFormat="1" applyFont="1" applyFill="1" applyAlignment="1">
      <alignment horizontal="justify"/>
    </xf>
    <xf numFmtId="42" fontId="43" fillId="0" borderId="0" xfId="12" applyNumberFormat="1" applyFont="1" applyFill="1" applyAlignment="1">
      <alignment horizontal="justify"/>
    </xf>
    <xf numFmtId="42" fontId="33" fillId="11" borderId="2" xfId="12" applyNumberFormat="1" applyFont="1" applyFill="1" applyBorder="1" applyAlignment="1">
      <alignment horizontal="right"/>
    </xf>
    <xf numFmtId="6" fontId="43" fillId="0" borderId="0" xfId="12" applyNumberFormat="1" applyFont="1" applyFill="1" applyAlignment="1">
      <alignment horizontal="right"/>
    </xf>
    <xf numFmtId="38" fontId="44" fillId="0" borderId="0" xfId="12" applyNumberFormat="1" applyFont="1" applyFill="1" applyAlignment="1">
      <alignment horizontal="justify"/>
    </xf>
    <xf numFmtId="38" fontId="42" fillId="0" borderId="0" xfId="12" applyNumberFormat="1" applyFont="1" applyFill="1" applyAlignment="1">
      <alignment horizontal="justify"/>
    </xf>
    <xf numFmtId="166" fontId="42" fillId="0" borderId="0" xfId="12" applyNumberFormat="1" applyFont="1" applyFill="1" applyAlignment="1">
      <alignment horizontal="right"/>
    </xf>
    <xf numFmtId="8" fontId="45" fillId="0" borderId="0" xfId="12" applyNumberFormat="1" applyFont="1" applyAlignment="1">
      <alignment horizontal="right"/>
    </xf>
    <xf numFmtId="0" fontId="44" fillId="0" borderId="0" xfId="12" applyNumberFormat="1" applyFont="1" applyAlignment="1">
      <alignment horizontal="right"/>
    </xf>
    <xf numFmtId="42" fontId="44" fillId="0" borderId="0" xfId="12" applyNumberFormat="1" applyFont="1" applyFill="1" applyAlignment="1">
      <alignment horizontal="justify"/>
    </xf>
    <xf numFmtId="174" fontId="16" fillId="0" borderId="0" xfId="10" applyNumberFormat="1" applyFont="1" applyAlignment="1">
      <alignment horizontal="right"/>
    </xf>
    <xf numFmtId="41" fontId="44" fillId="0" borderId="0" xfId="12" applyNumberFormat="1" applyFont="1" applyFill="1" applyAlignment="1">
      <alignment horizontal="justify"/>
    </xf>
    <xf numFmtId="8" fontId="44" fillId="0" borderId="0" xfId="12" applyNumberFormat="1" applyFont="1" applyAlignment="1">
      <alignment horizontal="justify"/>
    </xf>
    <xf numFmtId="42" fontId="44" fillId="0" borderId="0" xfId="9" applyNumberFormat="1" applyFont="1" applyFill="1" applyAlignment="1">
      <alignment horizontal="justify"/>
    </xf>
    <xf numFmtId="40" fontId="44" fillId="0" borderId="0" xfId="12" applyNumberFormat="1" applyFont="1" applyFill="1" applyAlignment="1">
      <alignment horizontal="justify"/>
    </xf>
    <xf numFmtId="0" fontId="25" fillId="0" borderId="0" xfId="12" applyNumberFormat="1" applyFont="1" applyFill="1" applyAlignment="1">
      <alignment horizontal="left"/>
    </xf>
    <xf numFmtId="0" fontId="46" fillId="0" borderId="0" xfId="12" applyFont="1" applyAlignment="1">
      <alignment horizontal="center" vertical="center"/>
    </xf>
    <xf numFmtId="0" fontId="32" fillId="0" borderId="0" xfId="12" applyNumberFormat="1" applyFont="1" applyAlignment="1">
      <alignment horizontal="right"/>
    </xf>
    <xf numFmtId="41" fontId="32" fillId="0" borderId="0" xfId="12" applyNumberFormat="1" applyFont="1" applyAlignment="1">
      <alignment horizontal="right"/>
    </xf>
    <xf numFmtId="44" fontId="33" fillId="0" borderId="0" xfId="12" applyNumberFormat="1" applyFont="1" applyAlignment="1">
      <alignment horizontal="right"/>
    </xf>
    <xf numFmtId="6" fontId="33" fillId="0" borderId="0" xfId="9" applyNumberFormat="1" applyFont="1" applyFill="1" applyAlignment="1">
      <alignment horizontal="right"/>
    </xf>
    <xf numFmtId="6" fontId="33" fillId="0" borderId="0" xfId="12" applyNumberFormat="1" applyFont="1" applyFill="1" applyAlignment="1">
      <alignment horizontal="left"/>
    </xf>
    <xf numFmtId="38" fontId="45" fillId="0" borderId="0" xfId="12" applyNumberFormat="1" applyFont="1" applyFill="1" applyAlignment="1">
      <alignment horizontal="right"/>
    </xf>
    <xf numFmtId="44" fontId="33" fillId="0" borderId="0" xfId="9" applyNumberFormat="1" applyFont="1" applyFill="1" applyAlignment="1">
      <alignment horizontal="right"/>
    </xf>
    <xf numFmtId="8" fontId="33" fillId="0" borderId="0" xfId="12" applyNumberFormat="1" applyFont="1" applyFill="1" applyAlignment="1">
      <alignment horizontal="right"/>
    </xf>
    <xf numFmtId="38" fontId="39" fillId="0" borderId="0" xfId="12" applyNumberFormat="1" applyFont="1" applyFill="1" applyAlignment="1">
      <alignment horizontal="right"/>
    </xf>
    <xf numFmtId="38" fontId="47" fillId="0" borderId="0" xfId="12" applyNumberFormat="1" applyFont="1" applyFill="1" applyAlignment="1">
      <alignment horizontal="right"/>
    </xf>
    <xf numFmtId="42" fontId="47" fillId="0" borderId="0" xfId="12" applyNumberFormat="1" applyFont="1" applyAlignment="1">
      <alignment horizontal="right"/>
    </xf>
    <xf numFmtId="42" fontId="33" fillId="0" borderId="0" xfId="12" applyNumberFormat="1" applyFont="1" applyAlignment="1">
      <alignment horizontal="right"/>
    </xf>
    <xf numFmtId="0" fontId="48" fillId="0" borderId="0" xfId="12" applyFont="1" applyAlignment="1">
      <alignment horizontal="left" vertical="center"/>
    </xf>
    <xf numFmtId="166" fontId="38" fillId="0" borderId="0" xfId="12" applyNumberFormat="1" applyFont="1" applyFill="1" applyBorder="1" applyAlignment="1">
      <alignment horizontal="right"/>
    </xf>
    <xf numFmtId="169" fontId="38" fillId="0" borderId="0" xfId="9" applyFont="1" applyBorder="1" applyAlignment="1">
      <alignment horizontal="right"/>
    </xf>
    <xf numFmtId="44" fontId="38" fillId="0" borderId="0" xfId="12" applyNumberFormat="1" applyFont="1" applyBorder="1" applyAlignment="1">
      <alignment horizontal="right"/>
    </xf>
    <xf numFmtId="6" fontId="38" fillId="0" borderId="0" xfId="12" applyNumberFormat="1" applyFont="1" applyBorder="1" applyAlignment="1">
      <alignment horizontal="right"/>
    </xf>
    <xf numFmtId="172" fontId="38" fillId="0" borderId="0" xfId="12" applyNumberFormat="1" applyFont="1" applyAlignment="1">
      <alignment horizontal="justify" vertical="center"/>
    </xf>
    <xf numFmtId="6" fontId="38" fillId="0" borderId="0" xfId="12" applyNumberFormat="1" applyFont="1" applyAlignment="1">
      <alignment horizontal="right"/>
    </xf>
    <xf numFmtId="44" fontId="38" fillId="0" borderId="0" xfId="12" applyNumberFormat="1" applyFont="1" applyAlignment="1">
      <alignment horizontal="right"/>
    </xf>
    <xf numFmtId="44" fontId="38" fillId="0" borderId="0" xfId="12" applyNumberFormat="1" applyFont="1" applyFill="1" applyAlignment="1">
      <alignment horizontal="right"/>
    </xf>
    <xf numFmtId="41" fontId="38" fillId="0" borderId="0" xfId="12" applyNumberFormat="1" applyFont="1" applyAlignment="1">
      <alignment horizontal="justify"/>
    </xf>
    <xf numFmtId="8" fontId="38" fillId="0" borderId="0" xfId="12" applyNumberFormat="1" applyFont="1" applyAlignment="1">
      <alignment horizontal="right"/>
    </xf>
    <xf numFmtId="6" fontId="38" fillId="0" borderId="0" xfId="9" applyNumberFormat="1" applyFont="1" applyAlignment="1">
      <alignment horizontal="right"/>
    </xf>
    <xf numFmtId="44" fontId="38" fillId="0" borderId="0" xfId="9" applyNumberFormat="1" applyFont="1" applyFill="1" applyAlignment="1">
      <alignment horizontal="right"/>
    </xf>
    <xf numFmtId="38" fontId="38" fillId="0" borderId="0" xfId="12" applyNumberFormat="1" applyFont="1" applyFill="1" applyAlignment="1">
      <alignment horizontal="right"/>
    </xf>
    <xf numFmtId="42" fontId="38" fillId="0" borderId="0" xfId="12" applyNumberFormat="1" applyFont="1" applyAlignment="1">
      <alignment horizontal="right"/>
    </xf>
    <xf numFmtId="0" fontId="38" fillId="0" borderId="0" xfId="12" applyNumberFormat="1" applyFont="1" applyAlignment="1">
      <alignment horizontal="right"/>
    </xf>
    <xf numFmtId="169" fontId="38" fillId="0" borderId="0" xfId="9" applyFont="1" applyAlignment="1">
      <alignment horizontal="right"/>
    </xf>
    <xf numFmtId="44" fontId="38" fillId="0" borderId="0" xfId="9" applyNumberFormat="1" applyFont="1" applyAlignment="1">
      <alignment horizontal="right"/>
    </xf>
    <xf numFmtId="41" fontId="38" fillId="0" borderId="0" xfId="12" applyNumberFormat="1" applyFont="1" applyAlignment="1">
      <alignment horizontal="right"/>
    </xf>
    <xf numFmtId="0" fontId="38" fillId="0" borderId="0" xfId="12" applyFont="1"/>
    <xf numFmtId="0" fontId="49" fillId="0" borderId="0" xfId="12" applyFont="1" applyAlignment="1">
      <alignment horizontal="left" vertical="center"/>
    </xf>
    <xf numFmtId="166" fontId="32" fillId="0" borderId="0" xfId="10" applyNumberFormat="1" applyFont="1" applyFill="1" applyBorder="1" applyAlignment="1">
      <alignment horizontal="right"/>
    </xf>
    <xf numFmtId="0" fontId="32" fillId="0" borderId="0" xfId="9" applyNumberFormat="1" applyFont="1" applyBorder="1" applyAlignment="1">
      <alignment horizontal="left"/>
    </xf>
    <xf numFmtId="44" fontId="32" fillId="0" borderId="0" xfId="12" applyNumberFormat="1" applyFont="1" applyBorder="1" applyAlignment="1">
      <alignment horizontal="right"/>
    </xf>
    <xf numFmtId="6" fontId="32" fillId="0" borderId="0" xfId="12" applyNumberFormat="1" applyFont="1" applyBorder="1" applyAlignment="1">
      <alignment horizontal="right"/>
    </xf>
    <xf numFmtId="8" fontId="32" fillId="0" borderId="0" xfId="12" applyNumberFormat="1" applyFont="1" applyAlignment="1">
      <alignment horizontal="right"/>
    </xf>
    <xf numFmtId="44" fontId="32" fillId="0" borderId="0" xfId="9" applyNumberFormat="1" applyFont="1" applyFill="1" applyAlignment="1">
      <alignment horizontal="right"/>
    </xf>
    <xf numFmtId="44" fontId="32" fillId="0" borderId="0" xfId="9" applyNumberFormat="1" applyFont="1" applyAlignment="1">
      <alignment horizontal="right"/>
    </xf>
    <xf numFmtId="40" fontId="32" fillId="0" borderId="0" xfId="12" applyNumberFormat="1" applyFont="1" applyFill="1" applyAlignment="1">
      <alignment horizontal="right"/>
    </xf>
    <xf numFmtId="0" fontId="48" fillId="0" borderId="0" xfId="12" applyFont="1" applyBorder="1" applyAlignment="1"/>
    <xf numFmtId="0" fontId="50" fillId="0" borderId="0" xfId="12" applyNumberFormat="1" applyFont="1" applyBorder="1" applyAlignment="1">
      <alignment horizontal="left"/>
    </xf>
    <xf numFmtId="8" fontId="38" fillId="0" borderId="0" xfId="12" applyNumberFormat="1" applyFont="1" applyBorder="1" applyAlignment="1">
      <alignment horizontal="left"/>
    </xf>
    <xf numFmtId="42" fontId="38" fillId="0" borderId="0" xfId="9" applyNumberFormat="1" applyFont="1" applyAlignment="1">
      <alignment horizontal="right"/>
    </xf>
    <xf numFmtId="38" fontId="38" fillId="0" borderId="0" xfId="12" applyNumberFormat="1" applyFont="1" applyFill="1" applyBorder="1" applyAlignment="1">
      <alignment horizontal="right"/>
    </xf>
    <xf numFmtId="0" fontId="32" fillId="0" borderId="0" xfId="12" applyNumberFormat="1" applyFont="1" applyFill="1" applyBorder="1" applyAlignment="1">
      <alignment horizontal="right"/>
    </xf>
    <xf numFmtId="44" fontId="32" fillId="0" borderId="0" xfId="12" applyNumberFormat="1" applyFont="1" applyFill="1" applyBorder="1" applyAlignment="1">
      <alignment horizontal="right"/>
    </xf>
    <xf numFmtId="42" fontId="32" fillId="0" borderId="0" xfId="9" applyNumberFormat="1" applyFont="1" applyAlignment="1">
      <alignment horizontal="right"/>
    </xf>
    <xf numFmtId="38" fontId="32" fillId="0" borderId="0" xfId="12" applyNumberFormat="1" applyFont="1" applyFill="1" applyBorder="1" applyAlignment="1">
      <alignment horizontal="right"/>
    </xf>
    <xf numFmtId="42" fontId="32" fillId="0" borderId="0" xfId="12" applyNumberFormat="1" applyFont="1" applyBorder="1" applyAlignment="1">
      <alignment horizontal="right"/>
    </xf>
    <xf numFmtId="0" fontId="32" fillId="0" borderId="0" xfId="12" applyNumberFormat="1" applyFont="1" applyBorder="1" applyAlignment="1">
      <alignment horizontal="right"/>
    </xf>
    <xf numFmtId="0" fontId="32" fillId="0" borderId="0" xfId="12" applyFont="1" applyFill="1" applyBorder="1" applyProtection="1">
      <protection locked="0"/>
    </xf>
    <xf numFmtId="42" fontId="32" fillId="0" borderId="0" xfId="12" applyNumberFormat="1" applyFont="1" applyFill="1" applyBorder="1" applyAlignment="1">
      <alignment horizontal="right"/>
    </xf>
    <xf numFmtId="169" fontId="32" fillId="0" borderId="0" xfId="9" applyFont="1" applyBorder="1" applyAlignment="1">
      <alignment horizontal="right"/>
    </xf>
    <xf numFmtId="38" fontId="32" fillId="0" borderId="0" xfId="9" applyNumberFormat="1" applyFont="1" applyAlignment="1">
      <alignment horizontal="right"/>
    </xf>
    <xf numFmtId="166" fontId="32" fillId="0" borderId="0" xfId="9" applyNumberFormat="1" applyFont="1" applyBorder="1" applyAlignment="1">
      <alignment horizontal="left"/>
    </xf>
    <xf numFmtId="42" fontId="47" fillId="0" borderId="0" xfId="12" applyNumberFormat="1" applyFont="1" applyBorder="1" applyAlignment="1">
      <alignment horizontal="right"/>
    </xf>
    <xf numFmtId="172" fontId="47" fillId="0" borderId="0" xfId="12" applyNumberFormat="1" applyFont="1" applyAlignment="1">
      <alignment horizontal="justify" vertical="center"/>
    </xf>
    <xf numFmtId="41" fontId="47" fillId="0" borderId="0" xfId="12" applyNumberFormat="1" applyFont="1" applyAlignment="1">
      <alignment horizontal="justify"/>
    </xf>
    <xf numFmtId="8" fontId="47" fillId="0" borderId="0" xfId="12" applyNumberFormat="1" applyFont="1" applyAlignment="1">
      <alignment horizontal="right"/>
    </xf>
    <xf numFmtId="42" fontId="47" fillId="0" borderId="0" xfId="9" applyNumberFormat="1" applyFont="1" applyAlignment="1">
      <alignment horizontal="right"/>
    </xf>
    <xf numFmtId="41" fontId="32" fillId="0" borderId="0" xfId="12" applyNumberFormat="1" applyFont="1" applyFill="1" applyBorder="1" applyAlignment="1">
      <alignment horizontal="right"/>
    </xf>
    <xf numFmtId="0" fontId="32" fillId="0" borderId="0" xfId="12" applyFont="1" applyFill="1" applyBorder="1" applyAlignment="1">
      <alignment horizontal="right"/>
    </xf>
    <xf numFmtId="166" fontId="32" fillId="0" borderId="0" xfId="12" applyNumberFormat="1" applyFont="1" applyFill="1" applyBorder="1" applyAlignment="1">
      <alignment horizontal="right"/>
    </xf>
    <xf numFmtId="166" fontId="47" fillId="0" borderId="0" xfId="9" applyNumberFormat="1" applyFont="1" applyBorder="1" applyAlignment="1">
      <alignment horizontal="right"/>
    </xf>
    <xf numFmtId="38" fontId="47" fillId="0" borderId="0" xfId="12" applyNumberFormat="1" applyFont="1" applyFill="1" applyBorder="1" applyAlignment="1">
      <alignment horizontal="right"/>
    </xf>
    <xf numFmtId="166" fontId="32" fillId="0" borderId="0" xfId="9" applyNumberFormat="1" applyFont="1" applyBorder="1" applyAlignment="1">
      <alignment horizontal="right"/>
    </xf>
    <xf numFmtId="166" fontId="51" fillId="0" borderId="0" xfId="12" applyNumberFormat="1" applyFont="1" applyFill="1" applyBorder="1" applyAlignment="1">
      <alignment horizontal="right"/>
    </xf>
    <xf numFmtId="166" fontId="51" fillId="0" borderId="0" xfId="9" applyNumberFormat="1" applyFont="1" applyBorder="1" applyAlignment="1">
      <alignment horizontal="right"/>
    </xf>
    <xf numFmtId="168" fontId="32" fillId="0" borderId="0" xfId="12" applyNumberFormat="1" applyFont="1" applyBorder="1" applyAlignment="1">
      <alignment horizontal="right"/>
    </xf>
    <xf numFmtId="0" fontId="32" fillId="0" borderId="0" xfId="12" applyFont="1" applyFill="1" applyBorder="1" applyAlignment="1">
      <alignment horizontal="center"/>
    </xf>
    <xf numFmtId="44" fontId="32" fillId="0" borderId="0" xfId="12" applyNumberFormat="1" applyFont="1" applyFill="1" applyAlignment="1">
      <alignment horizontal="right"/>
    </xf>
    <xf numFmtId="169" fontId="32" fillId="0" borderId="0" xfId="9" applyFont="1" applyAlignment="1">
      <alignment horizontal="right"/>
    </xf>
    <xf numFmtId="0" fontId="5" fillId="0" borderId="33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9" fontId="28" fillId="0" borderId="1" xfId="11" applyFont="1" applyBorder="1" applyAlignment="1">
      <alignment wrapText="1"/>
    </xf>
    <xf numFmtId="9" fontId="10" fillId="4" borderId="1" xfId="11" applyFont="1" applyFill="1" applyBorder="1" applyAlignment="1">
      <alignment vertical="center" wrapText="1"/>
    </xf>
    <xf numFmtId="9" fontId="2" fillId="4" borderId="1" xfId="11" applyFont="1" applyFill="1" applyBorder="1" applyAlignment="1">
      <alignment wrapText="1"/>
    </xf>
    <xf numFmtId="41" fontId="0" fillId="0" borderId="0" xfId="2" applyNumberFormat="1" applyFont="1"/>
    <xf numFmtId="41" fontId="10" fillId="4" borderId="1" xfId="0" applyNumberFormat="1" applyFont="1" applyFill="1" applyBorder="1" applyAlignment="1">
      <alignment vertical="center" wrapText="1"/>
    </xf>
    <xf numFmtId="166" fontId="11" fillId="0" borderId="45" xfId="2" applyNumberFormat="1" applyFont="1" applyFill="1" applyBorder="1" applyAlignment="1">
      <alignment horizontal="center" vertical="center"/>
    </xf>
    <xf numFmtId="166" fontId="11" fillId="0" borderId="17" xfId="2" applyNumberFormat="1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41" fontId="11" fillId="0" borderId="17" xfId="2" applyNumberFormat="1" applyFont="1" applyFill="1" applyBorder="1" applyAlignment="1">
      <alignment horizontal="center" vertical="center"/>
    </xf>
    <xf numFmtId="3" fontId="11" fillId="0" borderId="17" xfId="0" applyNumberFormat="1" applyFont="1" applyFill="1" applyBorder="1" applyAlignment="1">
      <alignment horizontal="right" vertical="center"/>
    </xf>
    <xf numFmtId="10" fontId="11" fillId="0" borderId="17" xfId="11" applyNumberFormat="1" applyFont="1" applyFill="1" applyBorder="1" applyAlignment="1">
      <alignment horizontal="right" vertical="center"/>
    </xf>
    <xf numFmtId="37" fontId="11" fillId="0" borderId="17" xfId="2" applyNumberFormat="1" applyFont="1" applyFill="1" applyBorder="1" applyAlignment="1">
      <alignment horizontal="right" vertical="center"/>
    </xf>
    <xf numFmtId="0" fontId="11" fillId="0" borderId="17" xfId="0" applyFont="1" applyFill="1" applyBorder="1" applyAlignment="1">
      <alignment horizontal="left" vertical="center" wrapText="1"/>
    </xf>
    <xf numFmtId="9" fontId="12" fillId="0" borderId="17" xfId="11" applyFont="1" applyBorder="1" applyAlignment="1">
      <alignment horizontal="center" vertical="center" wrapText="1"/>
    </xf>
    <xf numFmtId="9" fontId="12" fillId="0" borderId="46" xfId="11" applyFont="1" applyBorder="1" applyAlignment="1">
      <alignment horizontal="center" vertical="center" wrapText="1"/>
    </xf>
    <xf numFmtId="0" fontId="21" fillId="0" borderId="1" xfId="3" quotePrefix="1" applyFont="1" applyFill="1" applyBorder="1" applyAlignment="1">
      <alignment horizontal="left"/>
    </xf>
    <xf numFmtId="166" fontId="28" fillId="0" borderId="1" xfId="2" applyNumberFormat="1" applyFont="1" applyBorder="1" applyAlignment="1">
      <alignment horizontal="center" vertical="center"/>
    </xf>
    <xf numFmtId="41" fontId="28" fillId="0" borderId="1" xfId="1" applyNumberFormat="1" applyFont="1" applyBorder="1" applyAlignment="1">
      <alignment wrapText="1"/>
    </xf>
    <xf numFmtId="166" fontId="0" fillId="0" borderId="1" xfId="2" applyNumberFormat="1" applyFont="1" applyBorder="1" applyAlignment="1">
      <alignment horizontal="center" vertical="center"/>
    </xf>
    <xf numFmtId="44" fontId="0" fillId="0" borderId="1" xfId="1" applyFont="1" applyBorder="1" applyAlignment="1">
      <alignment horizontal="center" wrapText="1"/>
    </xf>
    <xf numFmtId="41" fontId="5" fillId="0" borderId="1" xfId="2" applyNumberFormat="1" applyFont="1" applyBorder="1" applyAlignment="1">
      <alignment vertical="center" wrapText="1"/>
    </xf>
    <xf numFmtId="3" fontId="5" fillId="0" borderId="1" xfId="0" applyNumberFormat="1" applyFont="1" applyBorder="1" applyAlignment="1">
      <alignment horizontal="right" vertical="center" wrapText="1"/>
    </xf>
    <xf numFmtId="10" fontId="5" fillId="0" borderId="1" xfId="11" applyNumberFormat="1" applyFont="1" applyBorder="1" applyAlignment="1">
      <alignment horizontal="right" vertical="center" wrapText="1"/>
    </xf>
    <xf numFmtId="37" fontId="5" fillId="0" borderId="1" xfId="2" applyNumberFormat="1" applyFont="1" applyBorder="1" applyAlignment="1">
      <alignment horizontal="right" vertical="center" wrapText="1"/>
    </xf>
    <xf numFmtId="9" fontId="5" fillId="0" borderId="1" xfId="11" applyFont="1" applyBorder="1" applyAlignment="1">
      <alignment vertical="center" wrapText="1"/>
    </xf>
    <xf numFmtId="166" fontId="2" fillId="4" borderId="1" xfId="2" applyNumberFormat="1" applyFont="1" applyFill="1" applyBorder="1" applyAlignment="1">
      <alignment horizontal="center" vertical="center"/>
    </xf>
    <xf numFmtId="166" fontId="28" fillId="0" borderId="1" xfId="2" applyNumberFormat="1" applyFont="1" applyBorder="1" applyAlignment="1"/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/>
    <xf numFmtId="41" fontId="28" fillId="0" borderId="1" xfId="0" applyNumberFormat="1" applyFont="1" applyBorder="1" applyAlignment="1"/>
    <xf numFmtId="9" fontId="28" fillId="0" borderId="1" xfId="11" applyFont="1" applyBorder="1" applyAlignment="1"/>
    <xf numFmtId="3" fontId="0" fillId="0" borderId="1" xfId="1" applyNumberFormat="1" applyFont="1" applyBorder="1" applyAlignment="1">
      <alignment horizontal="right" wrapText="1"/>
    </xf>
    <xf numFmtId="10" fontId="0" fillId="0" borderId="1" xfId="11" applyNumberFormat="1" applyFont="1" applyBorder="1" applyAlignment="1">
      <alignment horizontal="right" wrapText="1"/>
    </xf>
    <xf numFmtId="37" fontId="0" fillId="0" borderId="1" xfId="2" applyNumberFormat="1" applyFont="1" applyBorder="1" applyAlignment="1">
      <alignment horizontal="right" wrapText="1"/>
    </xf>
    <xf numFmtId="41" fontId="2" fillId="4" borderId="1" xfId="1" applyNumberFormat="1" applyFont="1" applyFill="1" applyBorder="1" applyAlignment="1">
      <alignment wrapText="1"/>
    </xf>
    <xf numFmtId="3" fontId="2" fillId="4" borderId="1" xfId="1" applyNumberFormat="1" applyFont="1" applyFill="1" applyBorder="1" applyAlignment="1">
      <alignment horizontal="right" wrapText="1"/>
    </xf>
    <xf numFmtId="10" fontId="2" fillId="4" borderId="1" xfId="11" applyNumberFormat="1" applyFont="1" applyFill="1" applyBorder="1" applyAlignment="1">
      <alignment horizontal="right" wrapText="1"/>
    </xf>
    <xf numFmtId="37" fontId="2" fillId="4" borderId="1" xfId="2" applyNumberFormat="1" applyFont="1" applyFill="1" applyBorder="1" applyAlignment="1">
      <alignment horizontal="right" wrapText="1"/>
    </xf>
    <xf numFmtId="0" fontId="28" fillId="0" borderId="1" xfId="0" applyFont="1" applyBorder="1" applyAlignment="1">
      <alignment horizontal="center" vertical="center"/>
    </xf>
    <xf numFmtId="41" fontId="28" fillId="0" borderId="1" xfId="0" applyNumberFormat="1" applyFont="1" applyBorder="1" applyAlignment="1">
      <alignment horizontal="center" vertical="center"/>
    </xf>
    <xf numFmtId="9" fontId="28" fillId="0" borderId="1" xfId="11" applyFont="1" applyBorder="1" applyAlignment="1">
      <alignment horizontal="center" vertical="center"/>
    </xf>
    <xf numFmtId="41" fontId="0" fillId="0" borderId="1" xfId="2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right" vertical="center"/>
    </xf>
    <xf numFmtId="10" fontId="0" fillId="0" borderId="1" xfId="11" applyNumberFormat="1" applyFont="1" applyBorder="1" applyAlignment="1">
      <alignment horizontal="right" vertical="center"/>
    </xf>
    <xf numFmtId="37" fontId="0" fillId="0" borderId="1" xfId="2" applyNumberFormat="1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41" fontId="2" fillId="4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right" vertical="center"/>
    </xf>
    <xf numFmtId="10" fontId="2" fillId="4" borderId="1" xfId="11" applyNumberFormat="1" applyFont="1" applyFill="1" applyBorder="1" applyAlignment="1">
      <alignment horizontal="right" vertical="center"/>
    </xf>
    <xf numFmtId="37" fontId="2" fillId="4" borderId="1" xfId="2" applyNumberFormat="1" applyFont="1" applyFill="1" applyBorder="1" applyAlignment="1">
      <alignment horizontal="right" vertical="center"/>
    </xf>
    <xf numFmtId="9" fontId="2" fillId="4" borderId="1" xfId="11" applyFont="1" applyFill="1" applyBorder="1" applyAlignment="1">
      <alignment horizontal="center" vertical="center"/>
    </xf>
    <xf numFmtId="166" fontId="16" fillId="0" borderId="1" xfId="2" applyNumberFormat="1" applyFont="1" applyFill="1" applyBorder="1"/>
    <xf numFmtId="166" fontId="16" fillId="0" borderId="1" xfId="2" applyNumberFormat="1" applyFont="1" applyFill="1" applyBorder="1" applyAlignment="1">
      <alignment horizontal="right"/>
    </xf>
    <xf numFmtId="166" fontId="25" fillId="4" borderId="1" xfId="2" applyNumberFormat="1" applyFont="1" applyFill="1" applyBorder="1" applyAlignment="1">
      <alignment horizontal="right"/>
    </xf>
    <xf numFmtId="166" fontId="21" fillId="0" borderId="1" xfId="2" applyNumberFormat="1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41" fontId="0" fillId="0" borderId="1" xfId="2" applyNumberFormat="1" applyFont="1" applyBorder="1"/>
    <xf numFmtId="3" fontId="0" fillId="0" borderId="1" xfId="0" applyNumberFormat="1" applyBorder="1" applyAlignment="1">
      <alignment horizontal="right"/>
    </xf>
    <xf numFmtId="10" fontId="0" fillId="0" borderId="1" xfId="11" applyNumberFormat="1" applyFont="1" applyBorder="1" applyAlignment="1">
      <alignment horizontal="right"/>
    </xf>
    <xf numFmtId="37" fontId="0" fillId="0" borderId="1" xfId="2" applyNumberFormat="1" applyFont="1" applyBorder="1" applyAlignment="1">
      <alignment horizontal="right"/>
    </xf>
    <xf numFmtId="0" fontId="2" fillId="4" borderId="1" xfId="0" applyFont="1" applyFill="1" applyBorder="1"/>
    <xf numFmtId="166" fontId="2" fillId="4" borderId="1" xfId="2" applyNumberFormat="1" applyFont="1" applyFill="1" applyBorder="1"/>
    <xf numFmtId="0" fontId="2" fillId="4" borderId="1" xfId="0" applyFont="1" applyFill="1" applyBorder="1" applyAlignment="1">
      <alignment horizontal="center"/>
    </xf>
    <xf numFmtId="41" fontId="2" fillId="4" borderId="1" xfId="0" applyNumberFormat="1" applyFont="1" applyFill="1" applyBorder="1"/>
    <xf numFmtId="3" fontId="2" fillId="4" borderId="1" xfId="0" applyNumberFormat="1" applyFont="1" applyFill="1" applyBorder="1" applyAlignment="1">
      <alignment horizontal="right"/>
    </xf>
    <xf numFmtId="10" fontId="2" fillId="4" borderId="1" xfId="11" applyNumberFormat="1" applyFont="1" applyFill="1" applyBorder="1" applyAlignment="1">
      <alignment horizontal="right"/>
    </xf>
    <xf numFmtId="37" fontId="2" fillId="4" borderId="1" xfId="2" applyNumberFormat="1" applyFont="1" applyFill="1" applyBorder="1" applyAlignment="1">
      <alignment horizontal="right"/>
    </xf>
    <xf numFmtId="166" fontId="28" fillId="0" borderId="1" xfId="2" applyNumberFormat="1" applyFont="1" applyBorder="1"/>
    <xf numFmtId="0" fontId="28" fillId="0" borderId="1" xfId="0" applyFont="1" applyBorder="1"/>
    <xf numFmtId="41" fontId="28" fillId="0" borderId="1" xfId="0" applyNumberFormat="1" applyFont="1" applyBorder="1"/>
    <xf numFmtId="9" fontId="28" fillId="0" borderId="1" xfId="11" applyFont="1" applyBorder="1"/>
    <xf numFmtId="0" fontId="16" fillId="0" borderId="1" xfId="3" quotePrefix="1" applyFont="1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25" fillId="4" borderId="1" xfId="3" quotePrefix="1" applyFont="1" applyFill="1" applyBorder="1" applyAlignment="1">
      <alignment horizontal="left"/>
    </xf>
    <xf numFmtId="0" fontId="17" fillId="0" borderId="1" xfId="3" quotePrefix="1" applyFont="1" applyFill="1" applyBorder="1" applyAlignment="1">
      <alignment horizontal="left"/>
    </xf>
    <xf numFmtId="9" fontId="2" fillId="4" borderId="1" xfId="11" applyNumberFormat="1" applyFont="1" applyFill="1" applyBorder="1" applyAlignment="1">
      <alignment horizontal="right"/>
    </xf>
    <xf numFmtId="0" fontId="0" fillId="0" borderId="0" xfId="0" applyFont="1" applyFill="1" applyBorder="1"/>
    <xf numFmtId="166" fontId="0" fillId="0" borderId="1" xfId="2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1" fontId="0" fillId="0" borderId="1" xfId="2" applyNumberFormat="1" applyFon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right" vertical="center"/>
    </xf>
    <xf numFmtId="10" fontId="0" fillId="0" borderId="1" xfId="11" applyNumberFormat="1" applyFont="1" applyFill="1" applyBorder="1" applyAlignment="1">
      <alignment horizontal="right" vertical="center"/>
    </xf>
    <xf numFmtId="37" fontId="0" fillId="0" borderId="1" xfId="2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 wrapText="1"/>
    </xf>
    <xf numFmtId="9" fontId="5" fillId="0" borderId="1" xfId="1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1" fontId="0" fillId="0" borderId="1" xfId="2" applyNumberFormat="1" applyFont="1" applyFill="1" applyBorder="1"/>
    <xf numFmtId="3" fontId="0" fillId="0" borderId="1" xfId="0" applyNumberFormat="1" applyFill="1" applyBorder="1" applyAlignment="1">
      <alignment horizontal="right"/>
    </xf>
    <xf numFmtId="10" fontId="0" fillId="0" borderId="1" xfId="11" applyNumberFormat="1" applyFont="1" applyFill="1" applyBorder="1" applyAlignment="1">
      <alignment horizontal="right"/>
    </xf>
    <xf numFmtId="37" fontId="0" fillId="0" borderId="1" xfId="2" applyNumberFormat="1" applyFont="1" applyFill="1" applyBorder="1" applyAlignment="1">
      <alignment horizontal="right"/>
    </xf>
    <xf numFmtId="10" fontId="2" fillId="0" borderId="18" xfId="11" applyNumberFormat="1" applyFont="1" applyFill="1" applyBorder="1" applyAlignment="1">
      <alignment horizontal="center" wrapText="1"/>
    </xf>
    <xf numFmtId="44" fontId="2" fillId="0" borderId="18" xfId="1" applyFont="1" applyFill="1" applyBorder="1" applyAlignment="1">
      <alignment horizontal="center" wrapText="1"/>
    </xf>
    <xf numFmtId="9" fontId="2" fillId="0" borderId="18" xfId="11" applyFont="1" applyFill="1" applyBorder="1" applyAlignment="1">
      <alignment horizontal="center" wrapText="1"/>
    </xf>
    <xf numFmtId="44" fontId="2" fillId="0" borderId="22" xfId="1" applyFont="1" applyFill="1" applyBorder="1" applyAlignment="1">
      <alignment horizontal="center" wrapText="1"/>
    </xf>
    <xf numFmtId="0" fontId="12" fillId="0" borderId="1" xfId="3" quotePrefix="1" applyFont="1" applyFill="1" applyBorder="1" applyAlignment="1">
      <alignment horizontal="left"/>
    </xf>
    <xf numFmtId="0" fontId="2" fillId="0" borderId="1" xfId="0" applyFont="1" applyFill="1" applyBorder="1" applyAlignment="1">
      <alignment vertical="center"/>
    </xf>
    <xf numFmtId="10" fontId="2" fillId="0" borderId="1" xfId="11" applyNumberFormat="1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0" fontId="17" fillId="0" borderId="1" xfId="3" applyFont="1" applyFill="1" applyBorder="1"/>
    <xf numFmtId="0" fontId="0" fillId="0" borderId="1" xfId="0" applyFont="1" applyFill="1" applyBorder="1" applyAlignment="1">
      <alignment horizontal="left" vertical="center"/>
    </xf>
    <xf numFmtId="3" fontId="0" fillId="0" borderId="1" xfId="1" applyNumberFormat="1" applyFont="1" applyFill="1" applyBorder="1" applyAlignment="1">
      <alignment wrapText="1"/>
    </xf>
    <xf numFmtId="0" fontId="19" fillId="8" borderId="1" xfId="3" applyFont="1" applyFill="1" applyBorder="1"/>
    <xf numFmtId="0" fontId="2" fillId="8" borderId="1" xfId="0" applyFont="1" applyFill="1" applyBorder="1" applyAlignment="1">
      <alignment horizontal="center" vertical="center"/>
    </xf>
    <xf numFmtId="0" fontId="19" fillId="0" borderId="1" xfId="3" applyFont="1" applyFill="1" applyBorder="1"/>
    <xf numFmtId="0" fontId="2" fillId="0" borderId="1" xfId="0" applyFont="1" applyFill="1" applyBorder="1" applyAlignment="1">
      <alignment horizontal="center" vertical="center"/>
    </xf>
    <xf numFmtId="10" fontId="2" fillId="0" borderId="1" xfId="11" applyNumberFormat="1" applyFont="1" applyFill="1" applyBorder="1" applyAlignment="1">
      <alignment wrapText="1"/>
    </xf>
    <xf numFmtId="44" fontId="2" fillId="0" borderId="1" xfId="1" applyFont="1" applyFill="1" applyBorder="1" applyAlignment="1">
      <alignment wrapText="1"/>
    </xf>
    <xf numFmtId="3" fontId="2" fillId="0" borderId="1" xfId="1" applyNumberFormat="1" applyFont="1" applyFill="1" applyBorder="1" applyAlignment="1">
      <alignment wrapText="1"/>
    </xf>
    <xf numFmtId="10" fontId="1" fillId="0" borderId="1" xfId="11" applyNumberFormat="1" applyFont="1" applyFill="1" applyBorder="1" applyAlignment="1"/>
    <xf numFmtId="3" fontId="0" fillId="0" borderId="1" xfId="0" applyNumberFormat="1" applyFont="1" applyFill="1" applyBorder="1" applyAlignment="1"/>
    <xf numFmtId="0" fontId="12" fillId="8" borderId="1" xfId="3" quotePrefix="1" applyFont="1" applyFill="1" applyBorder="1" applyAlignment="1">
      <alignment horizontal="left"/>
    </xf>
    <xf numFmtId="0" fontId="2" fillId="8" borderId="1" xfId="0" applyFont="1" applyFill="1" applyBorder="1" applyAlignment="1">
      <alignment vertical="center"/>
    </xf>
    <xf numFmtId="44" fontId="2" fillId="0" borderId="1" xfId="1" applyFont="1" applyFill="1" applyBorder="1" applyAlignment="1">
      <alignment horizontal="center" wrapText="1"/>
    </xf>
    <xf numFmtId="10" fontId="2" fillId="0" borderId="1" xfId="11" applyNumberFormat="1" applyFont="1" applyFill="1" applyBorder="1" applyAlignment="1">
      <alignment horizontal="center" wrapText="1"/>
    </xf>
    <xf numFmtId="0" fontId="3" fillId="0" borderId="1" xfId="3" quotePrefix="1" applyFont="1" applyFill="1" applyBorder="1" applyAlignment="1">
      <alignment horizontal="left"/>
    </xf>
    <xf numFmtId="10" fontId="0" fillId="0" borderId="1" xfId="11" applyNumberFormat="1" applyFont="1" applyFill="1" applyBorder="1"/>
    <xf numFmtId="3" fontId="0" fillId="0" borderId="1" xfId="0" applyNumberFormat="1" applyFill="1" applyBorder="1"/>
    <xf numFmtId="0" fontId="2" fillId="8" borderId="1" xfId="0" applyFont="1" applyFill="1" applyBorder="1"/>
    <xf numFmtId="10" fontId="2" fillId="8" borderId="1" xfId="11" applyNumberFormat="1" applyFont="1" applyFill="1" applyBorder="1"/>
    <xf numFmtId="3" fontId="2" fillId="8" borderId="1" xfId="0" applyNumberFormat="1" applyFont="1" applyFill="1" applyBorder="1"/>
    <xf numFmtId="10" fontId="2" fillId="0" borderId="1" xfId="11" applyNumberFormat="1" applyFont="1" applyFill="1" applyBorder="1"/>
    <xf numFmtId="3" fontId="2" fillId="0" borderId="1" xfId="0" applyNumberFormat="1" applyFont="1" applyFill="1" applyBorder="1"/>
    <xf numFmtId="0" fontId="3" fillId="0" borderId="1" xfId="3" applyFont="1" applyFill="1" applyBorder="1"/>
    <xf numFmtId="0" fontId="19" fillId="0" borderId="1" xfId="3" quotePrefix="1" applyFont="1" applyFill="1" applyBorder="1" applyAlignment="1">
      <alignment horizontal="left"/>
    </xf>
    <xf numFmtId="0" fontId="17" fillId="0" borderId="1" xfId="3" applyFont="1" applyFill="1" applyBorder="1" applyAlignment="1">
      <alignment horizontal="left"/>
    </xf>
    <xf numFmtId="3" fontId="0" fillId="0" borderId="1" xfId="0" applyNumberFormat="1" applyFont="1" applyFill="1" applyBorder="1"/>
    <xf numFmtId="9" fontId="2" fillId="8" borderId="1" xfId="11" applyNumberFormat="1" applyFont="1" applyFill="1" applyBorder="1"/>
    <xf numFmtId="165" fontId="17" fillId="0" borderId="1" xfId="3" applyNumberFormat="1" applyFont="1" applyFill="1" applyBorder="1"/>
    <xf numFmtId="9" fontId="2" fillId="8" borderId="1" xfId="11" applyFont="1" applyFill="1" applyBorder="1"/>
    <xf numFmtId="175" fontId="2" fillId="8" borderId="1" xfId="11" applyNumberFormat="1" applyFont="1" applyFill="1" applyBorder="1"/>
    <xf numFmtId="0" fontId="20" fillId="2" borderId="4" xfId="0" applyFont="1" applyFill="1" applyBorder="1" applyAlignment="1">
      <alignment vertical="center"/>
    </xf>
    <xf numFmtId="0" fontId="20" fillId="2" borderId="5" xfId="0" applyFont="1" applyFill="1" applyBorder="1" applyAlignment="1">
      <alignment vertical="center"/>
    </xf>
    <xf numFmtId="166" fontId="20" fillId="2" borderId="4" xfId="2" applyNumberFormat="1" applyFont="1" applyFill="1" applyBorder="1" applyAlignment="1">
      <alignment vertical="center"/>
    </xf>
    <xf numFmtId="166" fontId="19" fillId="0" borderId="0" xfId="2" applyNumberFormat="1" applyFont="1" applyFill="1" applyBorder="1" applyAlignment="1">
      <alignment horizontal="center" vertical="center"/>
    </xf>
    <xf numFmtId="14" fontId="20" fillId="2" borderId="4" xfId="0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0" fillId="0" borderId="0" xfId="0" applyFont="1" applyFill="1" applyBorder="1" applyAlignment="1">
      <alignment vertical="center"/>
    </xf>
    <xf numFmtId="0" fontId="12" fillId="0" borderId="0" xfId="3" quotePrefix="1" applyFont="1" applyFill="1" applyBorder="1" applyAlignment="1">
      <alignment vertical="center"/>
    </xf>
    <xf numFmtId="0" fontId="17" fillId="0" borderId="0" xfId="3" applyFont="1" applyFill="1" applyBorder="1" applyAlignment="1">
      <alignment vertical="center"/>
    </xf>
    <xf numFmtId="0" fontId="19" fillId="4" borderId="14" xfId="3" applyFont="1" applyFill="1" applyBorder="1" applyAlignment="1">
      <alignment vertical="center"/>
    </xf>
    <xf numFmtId="0" fontId="17" fillId="0" borderId="0" xfId="3" applyFont="1" applyFill="1" applyAlignment="1">
      <alignment vertical="center"/>
    </xf>
    <xf numFmtId="0" fontId="12" fillId="0" borderId="0" xfId="3" applyFont="1" applyFill="1" applyBorder="1" applyAlignment="1">
      <alignment vertical="center"/>
    </xf>
    <xf numFmtId="0" fontId="17" fillId="0" borderId="0" xfId="3" quotePrefix="1" applyFont="1" applyFill="1" applyAlignment="1">
      <alignment vertical="center"/>
    </xf>
    <xf numFmtId="0" fontId="19" fillId="4" borderId="14" xfId="3" quotePrefix="1" applyFont="1" applyFill="1" applyBorder="1" applyAlignment="1">
      <alignment vertical="center"/>
    </xf>
    <xf numFmtId="165" fontId="17" fillId="0" borderId="0" xfId="3" applyNumberFormat="1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20" fillId="2" borderId="4" xfId="0" applyFont="1" applyFill="1" applyBorder="1" applyAlignment="1">
      <alignment vertical="center" wrapText="1"/>
    </xf>
    <xf numFmtId="166" fontId="22" fillId="0" borderId="16" xfId="2" applyNumberFormat="1" applyFont="1" applyFill="1" applyBorder="1" applyAlignment="1">
      <alignment vertical="center" wrapText="1"/>
    </xf>
    <xf numFmtId="44" fontId="0" fillId="0" borderId="1" xfId="1" applyFont="1" applyFill="1" applyBorder="1"/>
    <xf numFmtId="168" fontId="0" fillId="0" borderId="1" xfId="1" applyNumberFormat="1" applyFont="1" applyBorder="1"/>
    <xf numFmtId="168" fontId="0" fillId="0" borderId="1" xfId="0" applyNumberFormat="1" applyBorder="1"/>
    <xf numFmtId="166" fontId="23" fillId="0" borderId="0" xfId="0" applyNumberFormat="1" applyFont="1" applyFill="1" applyAlignment="1">
      <alignment horizontal="center" vertical="center"/>
    </xf>
    <xf numFmtId="49" fontId="23" fillId="0" borderId="0" xfId="0" applyNumberFormat="1" applyFont="1" applyAlignment="1">
      <alignment horizontal="center" vertical="center"/>
    </xf>
    <xf numFmtId="0" fontId="2" fillId="0" borderId="0" xfId="1" applyNumberFormat="1" applyFont="1" applyFill="1" applyBorder="1" applyAlignment="1">
      <alignment vertical="center" wrapText="1"/>
    </xf>
    <xf numFmtId="14" fontId="2" fillId="0" borderId="0" xfId="1" applyNumberFormat="1" applyFont="1" applyFill="1" applyBorder="1" applyAlignment="1">
      <alignment horizontal="center" vertical="center" wrapText="1"/>
    </xf>
    <xf numFmtId="14" fontId="23" fillId="0" borderId="0" xfId="1" applyNumberFormat="1" applyFont="1" applyFill="1" applyBorder="1" applyAlignment="1">
      <alignment horizontal="center" vertical="center" wrapText="1"/>
    </xf>
    <xf numFmtId="166" fontId="23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20" fillId="2" borderId="3" xfId="0" applyFont="1" applyFill="1" applyBorder="1" applyAlignment="1">
      <alignment horizontal="center" vertical="center"/>
    </xf>
    <xf numFmtId="44" fontId="0" fillId="0" borderId="1" xfId="1" applyFont="1" applyBorder="1" applyAlignment="1">
      <alignment horizontal="right" wrapText="1"/>
    </xf>
    <xf numFmtId="41" fontId="0" fillId="0" borderId="1" xfId="2" applyNumberFormat="1" applyFont="1" applyBorder="1" applyAlignment="1">
      <alignment horizontal="right" wrapText="1"/>
    </xf>
    <xf numFmtId="0" fontId="0" fillId="0" borderId="0" xfId="0" applyAlignment="1">
      <alignment horizontal="right"/>
    </xf>
    <xf numFmtId="166" fontId="0" fillId="0" borderId="1" xfId="2" applyNumberFormat="1" applyFont="1" applyBorder="1" applyAlignment="1">
      <alignment horizontal="right"/>
    </xf>
    <xf numFmtId="9" fontId="5" fillId="0" borderId="1" xfId="11" applyFont="1" applyBorder="1" applyAlignment="1">
      <alignment horizontal="right" wrapText="1"/>
    </xf>
    <xf numFmtId="0" fontId="2" fillId="2" borderId="32" xfId="0" applyFont="1" applyFill="1" applyBorder="1" applyAlignment="1">
      <alignment horizontal="center" vertical="center"/>
    </xf>
    <xf numFmtId="166" fontId="0" fillId="0" borderId="37" xfId="2" applyNumberFormat="1" applyFont="1" applyBorder="1" applyAlignment="1">
      <alignment horizontal="center" vertical="center" wrapText="1"/>
    </xf>
    <xf numFmtId="166" fontId="0" fillId="0" borderId="24" xfId="2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41" fontId="0" fillId="0" borderId="24" xfId="2" applyNumberFormat="1" applyFont="1" applyBorder="1" applyAlignment="1">
      <alignment horizontal="center" vertical="center" wrapText="1"/>
    </xf>
    <xf numFmtId="37" fontId="0" fillId="0" borderId="24" xfId="2" applyNumberFormat="1" applyFont="1" applyBorder="1" applyAlignment="1">
      <alignment horizontal="center" vertical="center" wrapText="1"/>
    </xf>
    <xf numFmtId="9" fontId="3" fillId="0" borderId="24" xfId="11" applyFont="1" applyBorder="1" applyAlignment="1">
      <alignment horizontal="center" vertical="center" wrapText="1"/>
    </xf>
    <xf numFmtId="9" fontId="3" fillId="0" borderId="38" xfId="11" applyFont="1" applyBorder="1" applyAlignment="1">
      <alignment horizontal="center" vertical="center" wrapText="1"/>
    </xf>
    <xf numFmtId="0" fontId="5" fillId="16" borderId="24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" fillId="2" borderId="44" xfId="0" applyFont="1" applyFill="1" applyBorder="1" applyAlignment="1">
      <alignment horizontal="left" vertical="center"/>
    </xf>
    <xf numFmtId="0" fontId="16" fillId="0" borderId="1" xfId="3" applyFont="1" applyFill="1" applyBorder="1" applyAlignment="1">
      <alignment horizontal="left"/>
    </xf>
    <xf numFmtId="0" fontId="25" fillId="4" borderId="1" xfId="3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1" fillId="0" borderId="1" xfId="3" applyFont="1" applyFill="1" applyBorder="1" applyAlignment="1">
      <alignment horizontal="left"/>
    </xf>
    <xf numFmtId="0" fontId="28" fillId="0" borderId="1" xfId="0" applyFont="1" applyBorder="1" applyAlignment="1">
      <alignment horizontal="left"/>
    </xf>
    <xf numFmtId="166" fontId="0" fillId="0" borderId="1" xfId="2" applyNumberFormat="1" applyFont="1" applyFill="1" applyBorder="1" applyAlignment="1">
      <alignment horizontal="center" wrapText="1"/>
    </xf>
    <xf numFmtId="0" fontId="0" fillId="0" borderId="0" xfId="0" applyFont="1"/>
    <xf numFmtId="0" fontId="17" fillId="0" borderId="12" xfId="4" applyFont="1" applyBorder="1"/>
    <xf numFmtId="0" fontId="17" fillId="0" borderId="1" xfId="4" applyFont="1" applyBorder="1"/>
    <xf numFmtId="14" fontId="6" fillId="0" borderId="1" xfId="1" applyNumberFormat="1" applyFont="1" applyBorder="1" applyAlignment="1">
      <alignment wrapText="1"/>
    </xf>
    <xf numFmtId="166" fontId="6" fillId="0" borderId="1" xfId="2" applyNumberFormat="1" applyFont="1" applyBorder="1" applyAlignment="1">
      <alignment wrapText="1"/>
    </xf>
    <xf numFmtId="1" fontId="6" fillId="0" borderId="1" xfId="1" applyNumberFormat="1" applyFont="1" applyBorder="1" applyAlignment="1">
      <alignment wrapText="1"/>
    </xf>
    <xf numFmtId="0" fontId="6" fillId="0" borderId="0" xfId="0" applyFont="1" applyAlignment="1">
      <alignment horizontal="center" vertical="center" wrapText="1"/>
    </xf>
    <xf numFmtId="166" fontId="6" fillId="0" borderId="0" xfId="2" applyNumberFormat="1" applyFont="1"/>
    <xf numFmtId="1" fontId="6" fillId="0" borderId="0" xfId="0" applyNumberFormat="1" applyFont="1"/>
    <xf numFmtId="14" fontId="6" fillId="0" borderId="0" xfId="0" applyNumberFormat="1" applyFont="1"/>
    <xf numFmtId="0" fontId="7" fillId="0" borderId="1" xfId="0" applyFont="1" applyBorder="1" applyAlignment="1">
      <alignment horizontal="center" vertical="center" wrapText="1"/>
    </xf>
    <xf numFmtId="166" fontId="7" fillId="0" borderId="1" xfId="2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66" fontId="6" fillId="0" borderId="1" xfId="2" applyNumberFormat="1" applyFont="1" applyBorder="1"/>
    <xf numFmtId="1" fontId="6" fillId="0" borderId="1" xfId="0" applyNumberFormat="1" applyFont="1" applyBorder="1"/>
    <xf numFmtId="14" fontId="6" fillId="0" borderId="1" xfId="0" applyNumberFormat="1" applyFont="1" applyBorder="1"/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49" fontId="20" fillId="2" borderId="4" xfId="0" applyNumberFormat="1" applyFont="1" applyFill="1" applyBorder="1" applyAlignment="1">
      <alignment vertical="center"/>
    </xf>
    <xf numFmtId="49" fontId="20" fillId="5" borderId="1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Alignment="1">
      <alignment horizontal="center" vertical="center"/>
    </xf>
    <xf numFmtId="0" fontId="23" fillId="0" borderId="0" xfId="5" applyFont="1" applyFill="1" applyAlignment="1">
      <alignment horizontal="left" vertical="center"/>
    </xf>
    <xf numFmtId="41" fontId="23" fillId="0" borderId="0" xfId="2" applyNumberFormat="1" applyFont="1" applyFill="1" applyAlignment="1">
      <alignment horizontal="center" vertical="center"/>
    </xf>
    <xf numFmtId="41" fontId="20" fillId="2" borderId="4" xfId="2" applyNumberFormat="1" applyFont="1" applyFill="1" applyBorder="1" applyAlignment="1">
      <alignment vertical="center"/>
    </xf>
    <xf numFmtId="41" fontId="22" fillId="0" borderId="16" xfId="2" applyNumberFormat="1" applyFont="1" applyFill="1" applyBorder="1" applyAlignment="1">
      <alignment horizontal="center" vertical="center" wrapText="1"/>
    </xf>
    <xf numFmtId="41" fontId="19" fillId="5" borderId="9" xfId="2" applyNumberFormat="1" applyFont="1" applyFill="1" applyBorder="1" applyAlignment="1">
      <alignment horizontal="center" vertical="center" wrapText="1"/>
    </xf>
    <xf numFmtId="41" fontId="23" fillId="0" borderId="0" xfId="1" applyNumberFormat="1" applyFont="1" applyFill="1" applyAlignment="1">
      <alignment horizontal="center" vertical="center"/>
    </xf>
    <xf numFmtId="41" fontId="2" fillId="0" borderId="0" xfId="1" applyNumberFormat="1" applyFont="1" applyFill="1" applyBorder="1" applyAlignment="1">
      <alignment horizontal="center" vertical="center"/>
    </xf>
    <xf numFmtId="41" fontId="23" fillId="0" borderId="0" xfId="2" applyNumberFormat="1" applyFont="1" applyFill="1" applyBorder="1" applyAlignment="1">
      <alignment horizontal="center" vertical="center"/>
    </xf>
    <xf numFmtId="41" fontId="23" fillId="0" borderId="0" xfId="1" applyNumberFormat="1" applyFont="1" applyFill="1" applyBorder="1" applyAlignment="1">
      <alignment horizontal="center" vertical="center"/>
    </xf>
    <xf numFmtId="38" fontId="30" fillId="5" borderId="1" xfId="0" applyNumberFormat="1" applyFont="1" applyFill="1" applyBorder="1" applyAlignment="1">
      <alignment horizontal="center" vertical="center" wrapText="1"/>
    </xf>
    <xf numFmtId="166" fontId="7" fillId="3" borderId="1" xfId="2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44" fontId="0" fillId="0" borderId="0" xfId="0" applyNumberFormat="1"/>
    <xf numFmtId="41" fontId="19" fillId="5" borderId="1" xfId="2" applyNumberFormat="1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center" vertical="center"/>
    </xf>
    <xf numFmtId="14" fontId="19" fillId="2" borderId="4" xfId="0" applyNumberFormat="1" applyFont="1" applyFill="1" applyBorder="1" applyAlignment="1">
      <alignment vertical="center"/>
    </xf>
    <xf numFmtId="14" fontId="17" fillId="0" borderId="0" xfId="0" applyNumberFormat="1" applyFont="1" applyFill="1" applyAlignment="1">
      <alignment horizontal="center" vertical="center"/>
    </xf>
    <xf numFmtId="37" fontId="23" fillId="0" borderId="0" xfId="0" applyNumberFormat="1" applyFont="1" applyAlignment="1">
      <alignment horizontal="center" vertical="center"/>
    </xf>
    <xf numFmtId="37" fontId="20" fillId="2" borderId="4" xfId="0" applyNumberFormat="1" applyFont="1" applyFill="1" applyBorder="1" applyAlignment="1">
      <alignment horizontal="center" vertical="center"/>
    </xf>
    <xf numFmtId="37" fontId="2" fillId="0" borderId="0" xfId="1" applyNumberFormat="1" applyFont="1" applyFill="1" applyBorder="1" applyAlignment="1">
      <alignment horizontal="center" vertical="center" wrapText="1"/>
    </xf>
    <xf numFmtId="37" fontId="23" fillId="0" borderId="0" xfId="0" applyNumberFormat="1" applyFont="1" applyFill="1" applyAlignment="1">
      <alignment horizontal="center" vertical="center"/>
    </xf>
    <xf numFmtId="166" fontId="23" fillId="0" borderId="0" xfId="2" applyNumberFormat="1" applyFont="1" applyFill="1" applyAlignment="1">
      <alignment horizontal="right" vertical="center"/>
    </xf>
    <xf numFmtId="0" fontId="23" fillId="0" borderId="0" xfId="0" applyFont="1" applyFill="1" applyAlignment="1">
      <alignment horizontal="right" vertical="center"/>
    </xf>
    <xf numFmtId="166" fontId="23" fillId="0" borderId="0" xfId="2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66" fontId="23" fillId="0" borderId="0" xfId="2" applyNumberFormat="1" applyFont="1" applyAlignment="1">
      <alignment horizontal="right" vertical="center"/>
    </xf>
    <xf numFmtId="176" fontId="23" fillId="0" borderId="0" xfId="2" applyNumberFormat="1" applyFont="1" applyAlignment="1">
      <alignment horizontal="right" vertical="center"/>
    </xf>
    <xf numFmtId="166" fontId="22" fillId="0" borderId="0" xfId="2" applyNumberFormat="1" applyFont="1" applyFill="1" applyBorder="1" applyAlignment="1">
      <alignment horizontal="right" vertical="center" wrapText="1"/>
    </xf>
    <xf numFmtId="166" fontId="20" fillId="2" borderId="4" xfId="2" applyNumberFormat="1" applyFont="1" applyFill="1" applyBorder="1" applyAlignment="1">
      <alignment horizontal="right" vertical="center"/>
    </xf>
    <xf numFmtId="176" fontId="20" fillId="2" borderId="4" xfId="2" applyNumberFormat="1" applyFont="1" applyFill="1" applyBorder="1" applyAlignment="1">
      <alignment horizontal="right" vertical="center"/>
    </xf>
    <xf numFmtId="166" fontId="22" fillId="0" borderId="16" xfId="2" applyNumberFormat="1" applyFont="1" applyFill="1" applyBorder="1" applyAlignment="1">
      <alignment horizontal="right" vertical="center" wrapText="1"/>
    </xf>
    <xf numFmtId="176" fontId="22" fillId="0" borderId="16" xfId="2" applyNumberFormat="1" applyFont="1" applyFill="1" applyBorder="1" applyAlignment="1">
      <alignment horizontal="right" vertical="center" wrapText="1"/>
    </xf>
    <xf numFmtId="44" fontId="2" fillId="0" borderId="0" xfId="1" applyFont="1" applyFill="1" applyBorder="1" applyAlignment="1">
      <alignment horizontal="right" vertical="center" wrapText="1"/>
    </xf>
    <xf numFmtId="176" fontId="23" fillId="0" borderId="0" xfId="0" applyNumberFormat="1" applyFont="1" applyFill="1" applyAlignment="1">
      <alignment horizontal="right" vertical="center"/>
    </xf>
    <xf numFmtId="176" fontId="23" fillId="0" borderId="0" xfId="2" applyNumberFormat="1" applyFont="1" applyFill="1" applyAlignment="1">
      <alignment horizontal="right" vertical="center"/>
    </xf>
    <xf numFmtId="176" fontId="23" fillId="0" borderId="0" xfId="2" applyNumberFormat="1" applyFont="1" applyFill="1" applyBorder="1" applyAlignment="1">
      <alignment horizontal="right" vertical="center"/>
    </xf>
    <xf numFmtId="2" fontId="23" fillId="0" borderId="0" xfId="2" applyNumberFormat="1" applyFont="1" applyAlignment="1">
      <alignment horizontal="right" vertical="center"/>
    </xf>
    <xf numFmtId="2" fontId="22" fillId="0" borderId="0" xfId="2" applyNumberFormat="1" applyFont="1" applyFill="1" applyBorder="1" applyAlignment="1">
      <alignment horizontal="right" vertical="center" wrapText="1"/>
    </xf>
    <xf numFmtId="2" fontId="20" fillId="2" borderId="4" xfId="2" applyNumberFormat="1" applyFont="1" applyFill="1" applyBorder="1" applyAlignment="1">
      <alignment horizontal="right" vertical="center"/>
    </xf>
    <xf numFmtId="2" fontId="22" fillId="0" borderId="16" xfId="2" applyNumberFormat="1" applyFont="1" applyFill="1" applyBorder="1" applyAlignment="1">
      <alignment horizontal="right" vertical="center" wrapText="1"/>
    </xf>
    <xf numFmtId="2" fontId="23" fillId="0" borderId="0" xfId="2" applyNumberFormat="1" applyFont="1" applyFill="1" applyAlignment="1">
      <alignment horizontal="right" vertical="center"/>
    </xf>
    <xf numFmtId="2" fontId="23" fillId="0" borderId="0" xfId="2" applyNumberFormat="1" applyFont="1" applyFill="1" applyBorder="1" applyAlignment="1">
      <alignment horizontal="right" vertical="center"/>
    </xf>
    <xf numFmtId="44" fontId="23" fillId="0" borderId="0" xfId="0" applyNumberFormat="1" applyFont="1" applyFill="1" applyAlignment="1">
      <alignment horizontal="center" vertical="center"/>
    </xf>
    <xf numFmtId="44" fontId="23" fillId="0" borderId="0" xfId="0" applyNumberFormat="1" applyFont="1" applyAlignment="1">
      <alignment horizontal="center" vertical="center"/>
    </xf>
    <xf numFmtId="44" fontId="20" fillId="2" borderId="4" xfId="0" applyNumberFormat="1" applyFont="1" applyFill="1" applyBorder="1" applyAlignment="1">
      <alignment vertical="center"/>
    </xf>
    <xf numFmtId="168" fontId="0" fillId="0" borderId="0" xfId="0" applyNumberFormat="1"/>
    <xf numFmtId="1" fontId="0" fillId="0" borderId="0" xfId="0" applyNumberFormat="1"/>
    <xf numFmtId="0" fontId="2" fillId="3" borderId="6" xfId="0" applyFont="1" applyFill="1" applyBorder="1" applyAlignment="1">
      <alignment vertical="center" wrapText="1"/>
    </xf>
    <xf numFmtId="168" fontId="0" fillId="0" borderId="1" xfId="0" applyNumberFormat="1" applyBorder="1" applyAlignment="1">
      <alignment wrapText="1"/>
    </xf>
    <xf numFmtId="44" fontId="0" fillId="0" borderId="1" xfId="0" applyNumberFormat="1" applyBorder="1" applyAlignment="1">
      <alignment wrapText="1"/>
    </xf>
    <xf numFmtId="168" fontId="0" fillId="0" borderId="26" xfId="0" applyNumberFormat="1" applyBorder="1" applyAlignment="1">
      <alignment wrapText="1"/>
    </xf>
    <xf numFmtId="0" fontId="2" fillId="3" borderId="41" xfId="0" applyFont="1" applyFill="1" applyBorder="1" applyAlignment="1">
      <alignment vertical="center" wrapText="1"/>
    </xf>
    <xf numFmtId="0" fontId="2" fillId="0" borderId="73" xfId="0" applyFont="1" applyBorder="1" applyAlignment="1">
      <alignment horizontal="center" wrapText="1"/>
    </xf>
    <xf numFmtId="168" fontId="2" fillId="0" borderId="73" xfId="0" applyNumberFormat="1" applyFont="1" applyBorder="1" applyAlignment="1">
      <alignment horizontal="center" wrapText="1"/>
    </xf>
    <xf numFmtId="168" fontId="2" fillId="0" borderId="18" xfId="0" applyNumberFormat="1" applyFont="1" applyBorder="1" applyAlignment="1">
      <alignment horizontal="center" wrapText="1"/>
    </xf>
    <xf numFmtId="0" fontId="2" fillId="0" borderId="18" xfId="0" applyFont="1" applyBorder="1" applyAlignment="1">
      <alignment horizontal="center" wrapText="1"/>
    </xf>
    <xf numFmtId="44" fontId="2" fillId="0" borderId="18" xfId="0" applyNumberFormat="1" applyFont="1" applyBorder="1" applyAlignment="1">
      <alignment horizontal="center" wrapText="1"/>
    </xf>
    <xf numFmtId="168" fontId="2" fillId="0" borderId="3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168" fontId="2" fillId="0" borderId="1" xfId="0" applyNumberFormat="1" applyFont="1" applyBorder="1" applyAlignment="1">
      <alignment horizontal="left" wrapText="1"/>
    </xf>
    <xf numFmtId="168" fontId="2" fillId="0" borderId="11" xfId="0" applyNumberFormat="1" applyFont="1" applyBorder="1" applyAlignment="1">
      <alignment horizontal="left" wrapText="1"/>
    </xf>
    <xf numFmtId="44" fontId="0" fillId="0" borderId="1" xfId="0" applyNumberFormat="1" applyBorder="1"/>
    <xf numFmtId="0" fontId="2" fillId="8" borderId="0" xfId="0" applyFont="1" applyFill="1"/>
    <xf numFmtId="0" fontId="2" fillId="8" borderId="1" xfId="0" applyFont="1" applyFill="1" applyBorder="1" applyAlignment="1">
      <alignment wrapText="1"/>
    </xf>
    <xf numFmtId="168" fontId="2" fillId="8" borderId="1" xfId="0" applyNumberFormat="1" applyFont="1" applyFill="1" applyBorder="1"/>
    <xf numFmtId="44" fontId="2" fillId="8" borderId="1" xfId="0" applyNumberFormat="1" applyFont="1" applyFill="1" applyBorder="1"/>
    <xf numFmtId="0" fontId="2" fillId="0" borderId="1" xfId="0" applyFont="1" applyBorder="1"/>
    <xf numFmtId="168" fontId="2" fillId="0" borderId="1" xfId="0" applyNumberFormat="1" applyFont="1" applyBorder="1"/>
    <xf numFmtId="168" fontId="0" fillId="8" borderId="1" xfId="0" applyNumberFormat="1" applyFill="1" applyBorder="1"/>
    <xf numFmtId="168" fontId="0" fillId="4" borderId="1" xfId="0" applyNumberFormat="1" applyFill="1" applyBorder="1"/>
    <xf numFmtId="168" fontId="2" fillId="4" borderId="1" xfId="0" applyNumberFormat="1" applyFont="1" applyFill="1" applyBorder="1"/>
    <xf numFmtId="168" fontId="2" fillId="4" borderId="1" xfId="1" applyNumberFormat="1" applyFont="1" applyFill="1" applyBorder="1"/>
    <xf numFmtId="44" fontId="2" fillId="4" borderId="1" xfId="0" applyNumberFormat="1" applyFont="1" applyFill="1" applyBorder="1"/>
    <xf numFmtId="168" fontId="2" fillId="4" borderId="14" xfId="0" applyNumberFormat="1" applyFont="1" applyFill="1" applyBorder="1"/>
    <xf numFmtId="168" fontId="121" fillId="0" borderId="0" xfId="0" applyNumberFormat="1" applyFont="1"/>
    <xf numFmtId="184" fontId="2" fillId="8" borderId="1" xfId="0" applyNumberFormat="1" applyFont="1" applyFill="1" applyBorder="1"/>
    <xf numFmtId="168" fontId="0" fillId="0" borderId="0" xfId="0" applyNumberFormat="1" applyAlignment="1">
      <alignment horizontal="left" wrapText="1"/>
    </xf>
    <xf numFmtId="168" fontId="6" fillId="0" borderId="0" xfId="0" applyNumberFormat="1" applyFont="1"/>
    <xf numFmtId="168" fontId="6" fillId="0" borderId="1" xfId="0" applyNumberFormat="1" applyFont="1" applyBorder="1" applyAlignment="1">
      <alignment horizontal="center" vertical="center" wrapText="1"/>
    </xf>
    <xf numFmtId="168" fontId="6" fillId="15" borderId="1" xfId="0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1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center" vertical="center" wrapText="1"/>
    </xf>
    <xf numFmtId="168" fontId="6" fillId="0" borderId="1" xfId="1" applyNumberFormat="1" applyFont="1" applyBorder="1" applyAlignment="1">
      <alignment horizontal="left" vertical="center" wrapText="1"/>
    </xf>
    <xf numFmtId="1" fontId="0" fillId="0" borderId="1" xfId="0" applyNumberFormat="1" applyBorder="1"/>
    <xf numFmtId="168" fontId="0" fillId="0" borderId="1" xfId="0" applyNumberFormat="1" applyBorder="1" applyAlignment="1">
      <alignment horizontal="left" wrapText="1"/>
    </xf>
    <xf numFmtId="168" fontId="0" fillId="0" borderId="1" xfId="2" applyNumberFormat="1" applyFont="1" applyBorder="1"/>
    <xf numFmtId="168" fontId="2" fillId="0" borderId="0" xfId="1" applyNumberFormat="1" applyFont="1"/>
    <xf numFmtId="168" fontId="2" fillId="0" borderId="0" xfId="0" applyNumberFormat="1" applyFont="1"/>
    <xf numFmtId="168" fontId="21" fillId="5" borderId="20" xfId="4" quotePrefix="1" applyNumberFormat="1" applyFont="1" applyFill="1" applyBorder="1" applyAlignment="1">
      <alignment horizontal="left"/>
    </xf>
    <xf numFmtId="1" fontId="2" fillId="5" borderId="4" xfId="0" applyNumberFormat="1" applyFont="1" applyFill="1" applyBorder="1"/>
    <xf numFmtId="168" fontId="2" fillId="5" borderId="4" xfId="0" applyNumberFormat="1" applyFont="1" applyFill="1" applyBorder="1"/>
    <xf numFmtId="168" fontId="121" fillId="0" borderId="0" xfId="2" applyNumberFormat="1" applyFont="1"/>
    <xf numFmtId="168" fontId="121" fillId="0" borderId="0" xfId="2" applyNumberFormat="1" applyFont="1" applyAlignment="1">
      <alignment horizontal="left" wrapText="1"/>
    </xf>
    <xf numFmtId="9" fontId="23" fillId="0" borderId="0" xfId="11" applyFont="1" applyAlignment="1">
      <alignment horizontal="center" vertical="center"/>
    </xf>
    <xf numFmtId="9" fontId="20" fillId="2" borderId="4" xfId="11" applyFont="1" applyFill="1" applyBorder="1" applyAlignment="1">
      <alignment vertical="center"/>
    </xf>
    <xf numFmtId="9" fontId="2" fillId="0" borderId="0" xfId="11" applyFont="1"/>
    <xf numFmtId="0" fontId="2" fillId="100" borderId="74" xfId="0" applyFont="1" applyFill="1" applyBorder="1" applyAlignment="1">
      <alignment horizontal="left"/>
    </xf>
    <xf numFmtId="166" fontId="2" fillId="100" borderId="74" xfId="2" applyNumberFormat="1" applyFont="1" applyFill="1" applyBorder="1"/>
    <xf numFmtId="9" fontId="23" fillId="0" borderId="0" xfId="11" applyFont="1" applyFill="1" applyBorder="1" applyAlignment="1">
      <alignment horizontal="center" vertical="center" wrapText="1"/>
    </xf>
    <xf numFmtId="9" fontId="23" fillId="0" borderId="0" xfId="11" applyFont="1" applyFill="1" applyAlignment="1">
      <alignment horizontal="center" vertical="center"/>
    </xf>
    <xf numFmtId="9" fontId="23" fillId="0" borderId="0" xfId="11" applyFont="1" applyFill="1" applyBorder="1" applyAlignment="1">
      <alignment horizontal="center" vertical="center"/>
    </xf>
    <xf numFmtId="9" fontId="20" fillId="0" borderId="0" xfId="11" applyFont="1" applyFill="1" applyBorder="1" applyAlignment="1">
      <alignment horizontal="center" vertical="center"/>
    </xf>
    <xf numFmtId="9" fontId="19" fillId="5" borderId="1" xfId="11" applyFont="1" applyFill="1" applyBorder="1" applyAlignment="1">
      <alignment horizontal="center" vertical="center" wrapText="1"/>
    </xf>
    <xf numFmtId="168" fontId="122" fillId="0" borderId="0" xfId="0" applyNumberFormat="1" applyFont="1"/>
    <xf numFmtId="41" fontId="23" fillId="0" borderId="0" xfId="0" applyNumberFormat="1" applyFont="1" applyFill="1" applyAlignment="1">
      <alignment horizontal="right" vertical="center"/>
    </xf>
    <xf numFmtId="41" fontId="23" fillId="0" borderId="0" xfId="2" applyNumberFormat="1" applyFont="1" applyFill="1" applyAlignment="1">
      <alignment horizontal="right" vertical="center"/>
    </xf>
    <xf numFmtId="2" fontId="2" fillId="0" borderId="0" xfId="1" applyNumberFormat="1" applyFont="1" applyFill="1" applyBorder="1" applyAlignment="1">
      <alignment horizontal="right" vertical="center" wrapText="1"/>
    </xf>
    <xf numFmtId="2" fontId="23" fillId="0" borderId="0" xfId="0" applyNumberFormat="1" applyFont="1" applyFill="1" applyAlignment="1">
      <alignment horizontal="right" vertical="center"/>
    </xf>
    <xf numFmtId="2" fontId="17" fillId="0" borderId="0" xfId="3" applyNumberFormat="1" applyFont="1" applyFill="1" applyAlignment="1">
      <alignment vertical="center"/>
    </xf>
    <xf numFmtId="2" fontId="19" fillId="5" borderId="1" xfId="0" applyNumberFormat="1" applyFont="1" applyFill="1" applyBorder="1" applyAlignment="1">
      <alignment horizontal="center" vertical="center" wrapText="1"/>
    </xf>
    <xf numFmtId="43" fontId="0" fillId="0" borderId="0" xfId="0" applyNumberFormat="1"/>
    <xf numFmtId="43" fontId="2" fillId="5" borderId="0" xfId="0" applyNumberFormat="1" applyFont="1" applyFill="1"/>
    <xf numFmtId="168" fontId="0" fillId="0" borderId="0" xfId="0" applyNumberFormat="1" applyAlignment="1">
      <alignment wrapText="1"/>
    </xf>
    <xf numFmtId="44" fontId="2" fillId="5" borderId="4" xfId="0" applyNumberFormat="1" applyFont="1" applyFill="1" applyBorder="1"/>
    <xf numFmtId="168" fontId="2" fillId="5" borderId="4" xfId="0" applyNumberFormat="1" applyFont="1" applyFill="1" applyBorder="1" applyAlignment="1">
      <alignment horizontal="left" wrapText="1"/>
    </xf>
    <xf numFmtId="168" fontId="2" fillId="5" borderId="5" xfId="0" applyNumberFormat="1" applyFont="1" applyFill="1" applyBorder="1" applyAlignment="1">
      <alignment wrapText="1"/>
    </xf>
    <xf numFmtId="166" fontId="0" fillId="0" borderId="0" xfId="2" applyNumberFormat="1" applyFont="1" applyFill="1"/>
    <xf numFmtId="49" fontId="0" fillId="0" borderId="1" xfId="0" applyNumberFormat="1" applyBorder="1" applyAlignment="1">
      <alignment horizontal="left" wrapText="1"/>
    </xf>
    <xf numFmtId="42" fontId="0" fillId="0" borderId="0" xfId="0" applyNumberFormat="1"/>
    <xf numFmtId="41" fontId="0" fillId="0" borderId="0" xfId="0" applyNumberFormat="1"/>
    <xf numFmtId="1" fontId="0" fillId="0" borderId="0" xfId="0" applyNumberFormat="1" applyAlignment="1">
      <alignment horizontal="right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41" fontId="0" fillId="6" borderId="7" xfId="0" applyNumberFormat="1" applyFill="1" applyBorder="1"/>
    <xf numFmtId="0" fontId="0" fillId="6" borderId="7" xfId="0" applyFill="1" applyBorder="1"/>
    <xf numFmtId="5" fontId="0" fillId="6" borderId="7" xfId="0" applyNumberFormat="1" applyFill="1" applyBorder="1"/>
    <xf numFmtId="1" fontId="0" fillId="0" borderId="7" xfId="0" applyNumberFormat="1" applyBorder="1" applyAlignment="1">
      <alignment horizontal="right"/>
    </xf>
    <xf numFmtId="168" fontId="0" fillId="6" borderId="7" xfId="1" applyNumberFormat="1" applyFont="1" applyFill="1" applyBorder="1"/>
    <xf numFmtId="42" fontId="0" fillId="6" borderId="7" xfId="0" applyNumberFormat="1" applyFill="1" applyBorder="1"/>
    <xf numFmtId="0" fontId="0" fillId="6" borderId="8" xfId="0" applyFill="1" applyBorder="1"/>
    <xf numFmtId="0" fontId="2" fillId="5" borderId="32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42" fontId="2" fillId="5" borderId="7" xfId="0" applyNumberFormat="1" applyFont="1" applyFill="1" applyBorder="1" applyAlignment="1">
      <alignment horizontal="center" vertical="center" wrapText="1"/>
    </xf>
    <xf numFmtId="41" fontId="2" fillId="5" borderId="7" xfId="0" applyNumberFormat="1" applyFont="1" applyFill="1" applyBorder="1" applyAlignment="1">
      <alignment horizontal="center" vertical="center" wrapText="1"/>
    </xf>
    <xf numFmtId="168" fontId="2" fillId="5" borderId="7" xfId="1" applyNumberFormat="1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1" fontId="2" fillId="5" borderId="7" xfId="0" applyNumberFormat="1" applyFont="1" applyFill="1" applyBorder="1" applyAlignment="1">
      <alignment horizontal="center" vertical="center" wrapText="1"/>
    </xf>
    <xf numFmtId="168" fontId="2" fillId="5" borderId="7" xfId="1" applyNumberFormat="1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6" borderId="18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42" fontId="2" fillId="6" borderId="12" xfId="0" applyNumberFormat="1" applyFont="1" applyFill="1" applyBorder="1" applyAlignment="1">
      <alignment horizontal="center" vertical="center" wrapText="1"/>
    </xf>
    <xf numFmtId="41" fontId="2" fillId="6" borderId="12" xfId="0" applyNumberFormat="1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left" vertical="center" wrapText="1"/>
    </xf>
    <xf numFmtId="166" fontId="2" fillId="6" borderId="12" xfId="2" applyNumberFormat="1" applyFont="1" applyFill="1" applyBorder="1" applyAlignment="1">
      <alignment horizontal="center" vertical="center" wrapText="1"/>
    </xf>
    <xf numFmtId="0" fontId="2" fillId="6" borderId="75" xfId="0" applyFont="1" applyFill="1" applyBorder="1" applyAlignment="1">
      <alignment horizontal="center" vertical="center" wrapText="1"/>
    </xf>
    <xf numFmtId="0" fontId="21" fillId="0" borderId="14" xfId="4" quotePrefix="1" applyFont="1" applyFill="1" applyBorder="1" applyAlignment="1">
      <alignment horizontal="left"/>
    </xf>
    <xf numFmtId="42" fontId="0" fillId="0" borderId="14" xfId="2" applyNumberFormat="1" applyFont="1" applyFill="1" applyBorder="1"/>
    <xf numFmtId="41" fontId="0" fillId="0" borderId="14" xfId="0" applyNumberFormat="1" applyFill="1" applyBorder="1"/>
    <xf numFmtId="0" fontId="0" fillId="0" borderId="14" xfId="0" applyFill="1" applyBorder="1"/>
    <xf numFmtId="42" fontId="0" fillId="0" borderId="14" xfId="0" applyNumberFormat="1" applyFill="1" applyBorder="1"/>
    <xf numFmtId="166" fontId="0" fillId="0" borderId="14" xfId="2" applyNumberFormat="1" applyFont="1" applyFill="1" applyBorder="1"/>
    <xf numFmtId="0" fontId="16" fillId="0" borderId="0" xfId="4" applyFont="1" applyFill="1" applyBorder="1"/>
    <xf numFmtId="44" fontId="0" fillId="0" borderId="0" xfId="1" applyFont="1" applyFill="1" applyBorder="1" applyAlignment="1">
      <alignment wrapText="1"/>
    </xf>
    <xf numFmtId="42" fontId="0" fillId="0" borderId="0" xfId="2" applyNumberFormat="1" applyFont="1" applyFill="1" applyBorder="1"/>
    <xf numFmtId="41" fontId="0" fillId="0" borderId="0" xfId="1" applyNumberFormat="1" applyFont="1" applyFill="1" applyBorder="1"/>
    <xf numFmtId="44" fontId="3" fillId="0" borderId="0" xfId="1" applyNumberFormat="1" applyFont="1" applyFill="1" applyBorder="1"/>
    <xf numFmtId="42" fontId="3" fillId="0" borderId="0" xfId="1" applyNumberFormat="1" applyFont="1" applyFill="1" applyBorder="1"/>
    <xf numFmtId="44" fontId="0" fillId="0" borderId="0" xfId="1" applyFont="1" applyFill="1" applyBorder="1"/>
    <xf numFmtId="168" fontId="0" fillId="0" borderId="0" xfId="1" applyNumberFormat="1" applyFont="1" applyFill="1" applyBorder="1"/>
    <xf numFmtId="42" fontId="0" fillId="0" borderId="0" xfId="1" applyNumberFormat="1" applyFont="1" applyFill="1" applyBorder="1"/>
    <xf numFmtId="0" fontId="21" fillId="5" borderId="14" xfId="4" quotePrefix="1" applyFont="1" applyFill="1" applyBorder="1" applyAlignment="1">
      <alignment horizontal="left"/>
    </xf>
    <xf numFmtId="42" fontId="2" fillId="5" borderId="14" xfId="2" applyNumberFormat="1" applyFont="1" applyFill="1" applyBorder="1"/>
    <xf numFmtId="41" fontId="2" fillId="5" borderId="14" xfId="0" applyNumberFormat="1" applyFont="1" applyFill="1" applyBorder="1"/>
    <xf numFmtId="0" fontId="2" fillId="5" borderId="14" xfId="0" applyFont="1" applyFill="1" applyBorder="1"/>
    <xf numFmtId="42" fontId="2" fillId="5" borderId="14" xfId="0" applyNumberFormat="1" applyFont="1" applyFill="1" applyBorder="1"/>
    <xf numFmtId="166" fontId="2" fillId="5" borderId="14" xfId="2" applyNumberFormat="1" applyFont="1" applyFill="1" applyBorder="1"/>
    <xf numFmtId="168" fontId="2" fillId="5" borderId="14" xfId="0" applyNumberFormat="1" applyFont="1" applyFill="1" applyBorder="1"/>
    <xf numFmtId="44" fontId="3" fillId="0" borderId="0" xfId="1" applyFont="1" applyFill="1" applyBorder="1"/>
    <xf numFmtId="0" fontId="16" fillId="0" borderId="0" xfId="4" applyFont="1" applyBorder="1"/>
    <xf numFmtId="42" fontId="0" fillId="0" borderId="0" xfId="2" applyNumberFormat="1" applyFont="1" applyBorder="1"/>
    <xf numFmtId="41" fontId="0" fillId="0" borderId="0" xfId="0" applyNumberFormat="1" applyBorder="1"/>
    <xf numFmtId="44" fontId="3" fillId="0" borderId="0" xfId="1" applyFont="1" applyBorder="1"/>
    <xf numFmtId="42" fontId="3" fillId="0" borderId="0" xfId="1" applyNumberFormat="1" applyFont="1" applyBorder="1"/>
    <xf numFmtId="42" fontId="0" fillId="0" borderId="0" xfId="0" applyNumberFormat="1" applyBorder="1"/>
    <xf numFmtId="168" fontId="0" fillId="0" borderId="0" xfId="1" applyNumberFormat="1" applyFont="1" applyBorder="1"/>
    <xf numFmtId="41" fontId="0" fillId="0" borderId="0" xfId="0" applyNumberFormat="1" applyFill="1" applyBorder="1"/>
    <xf numFmtId="42" fontId="0" fillId="0" borderId="0" xfId="0" applyNumberFormat="1" applyFill="1" applyBorder="1"/>
    <xf numFmtId="0" fontId="3" fillId="0" borderId="0" xfId="0" applyFont="1" applyBorder="1"/>
    <xf numFmtId="42" fontId="3" fillId="0" borderId="0" xfId="0" applyNumberFormat="1" applyFont="1" applyBorder="1"/>
    <xf numFmtId="1" fontId="3" fillId="0" borderId="0" xfId="2" applyNumberFormat="1" applyFont="1" applyBorder="1"/>
    <xf numFmtId="42" fontId="0" fillId="0" borderId="0" xfId="2" applyNumberFormat="1" applyFont="1" applyBorder="1" applyAlignment="1">
      <alignment horizontal="center"/>
    </xf>
    <xf numFmtId="0" fontId="19" fillId="0" borderId="0" xfId="3" applyFont="1" applyFill="1" applyBorder="1"/>
    <xf numFmtId="168" fontId="2" fillId="5" borderId="14" xfId="2" applyNumberFormat="1" applyFont="1" applyFill="1" applyBorder="1"/>
    <xf numFmtId="5" fontId="0" fillId="0" borderId="0" xfId="0" applyNumberFormat="1"/>
    <xf numFmtId="167" fontId="0" fillId="0" borderId="0" xfId="0" applyNumberFormat="1"/>
    <xf numFmtId="0" fontId="58" fillId="0" borderId="0" xfId="0" applyFont="1" applyFill="1" applyAlignment="1">
      <alignment horizontal="center" vertical="center"/>
    </xf>
    <xf numFmtId="41" fontId="22" fillId="0" borderId="14" xfId="2" applyNumberFormat="1" applyFont="1" applyFill="1" applyBorder="1" applyAlignment="1">
      <alignment horizontal="center" vertical="center" wrapText="1"/>
    </xf>
    <xf numFmtId="9" fontId="0" fillId="0" borderId="1" xfId="11" applyFont="1" applyBorder="1"/>
    <xf numFmtId="42" fontId="23" fillId="0" borderId="0" xfId="1" applyNumberFormat="1" applyFont="1" applyFill="1" applyAlignment="1">
      <alignment horizontal="right" vertical="center"/>
    </xf>
    <xf numFmtId="42" fontId="20" fillId="2" borderId="4" xfId="1" applyNumberFormat="1" applyFont="1" applyFill="1" applyBorder="1" applyAlignment="1">
      <alignment horizontal="right" vertical="center"/>
    </xf>
    <xf numFmtId="42" fontId="22" fillId="0" borderId="16" xfId="1" applyNumberFormat="1" applyFont="1" applyFill="1" applyBorder="1" applyAlignment="1">
      <alignment horizontal="right" vertical="center" wrapText="1"/>
    </xf>
    <xf numFmtId="42" fontId="23" fillId="0" borderId="0" xfId="1" applyNumberFormat="1" applyFont="1" applyFill="1" applyBorder="1" applyAlignment="1">
      <alignment horizontal="right" vertical="center"/>
    </xf>
    <xf numFmtId="42" fontId="23" fillId="0" borderId="0" xfId="2" applyNumberFormat="1" applyFont="1" applyFill="1" applyAlignment="1">
      <alignment horizontal="center" vertical="center"/>
    </xf>
    <xf numFmtId="42" fontId="20" fillId="2" borderId="4" xfId="2" applyNumberFormat="1" applyFont="1" applyFill="1" applyBorder="1" applyAlignment="1">
      <alignment vertical="center"/>
    </xf>
    <xf numFmtId="42" fontId="22" fillId="0" borderId="16" xfId="2" applyNumberFormat="1" applyFont="1" applyFill="1" applyBorder="1" applyAlignment="1">
      <alignment vertical="center" wrapText="1"/>
    </xf>
    <xf numFmtId="42" fontId="22" fillId="0" borderId="16" xfId="2" applyNumberFormat="1" applyFont="1" applyFill="1" applyBorder="1" applyAlignment="1">
      <alignment horizontal="center" vertical="center" wrapText="1"/>
    </xf>
    <xf numFmtId="42" fontId="23" fillId="0" borderId="0" xfId="0" applyNumberFormat="1" applyFont="1" applyFill="1" applyAlignment="1">
      <alignment horizontal="center" vertical="center"/>
    </xf>
    <xf numFmtId="42" fontId="23" fillId="0" borderId="0" xfId="1" applyNumberFormat="1" applyFont="1" applyFill="1" applyAlignment="1">
      <alignment horizontal="center" vertical="center"/>
    </xf>
    <xf numFmtId="42" fontId="23" fillId="0" borderId="0" xfId="0" applyNumberFormat="1" applyFont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168" fontId="23" fillId="0" borderId="0" xfId="1" applyNumberFormat="1" applyFont="1" applyFill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37" fontId="17" fillId="0" borderId="0" xfId="0" applyNumberFormat="1" applyFont="1" applyFill="1" applyAlignment="1">
      <alignment horizontal="center" vertical="center"/>
    </xf>
    <xf numFmtId="37" fontId="19" fillId="2" borderId="4" xfId="0" applyNumberFormat="1" applyFont="1" applyFill="1" applyBorder="1" applyAlignment="1">
      <alignment vertical="center"/>
    </xf>
    <xf numFmtId="37" fontId="19" fillId="5" borderId="1" xfId="0" applyNumberFormat="1" applyFont="1" applyFill="1" applyBorder="1" applyAlignment="1">
      <alignment horizontal="center" vertical="center" wrapText="1"/>
    </xf>
    <xf numFmtId="37" fontId="17" fillId="0" borderId="0" xfId="1" applyNumberFormat="1" applyFont="1" applyFill="1" applyAlignment="1">
      <alignment horizontal="center" vertical="center"/>
    </xf>
    <xf numFmtId="37" fontId="17" fillId="0" borderId="0" xfId="0" applyNumberFormat="1" applyFont="1" applyAlignment="1">
      <alignment horizontal="center" vertical="center"/>
    </xf>
    <xf numFmtId="42" fontId="19" fillId="5" borderId="9" xfId="2" applyNumberFormat="1" applyFont="1" applyFill="1" applyBorder="1" applyAlignment="1">
      <alignment horizontal="center" vertical="center" wrapText="1"/>
    </xf>
    <xf numFmtId="42" fontId="2" fillId="0" borderId="0" xfId="1" applyNumberFormat="1" applyFont="1" applyFill="1" applyBorder="1" applyAlignment="1">
      <alignment horizontal="center" vertical="center" wrapText="1"/>
    </xf>
    <xf numFmtId="42" fontId="124" fillId="0" borderId="0" xfId="1" applyNumberFormat="1" applyFont="1" applyFill="1" applyAlignment="1">
      <alignment horizontal="left" vertical="center"/>
    </xf>
    <xf numFmtId="0" fontId="19" fillId="5" borderId="13" xfId="0" applyFont="1" applyFill="1" applyBorder="1" applyAlignment="1">
      <alignment horizontal="center" vertical="center" wrapText="1"/>
    </xf>
    <xf numFmtId="41" fontId="19" fillId="5" borderId="77" xfId="2" applyNumberFormat="1" applyFont="1" applyFill="1" applyBorder="1" applyAlignment="1">
      <alignment horizontal="center" vertical="center" wrapText="1"/>
    </xf>
    <xf numFmtId="41" fontId="19" fillId="5" borderId="78" xfId="2" applyNumberFormat="1" applyFont="1" applyFill="1" applyBorder="1" applyAlignment="1">
      <alignment horizontal="center" vertical="center" wrapText="1"/>
    </xf>
    <xf numFmtId="0" fontId="23" fillId="0" borderId="79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9" fillId="0" borderId="83" xfId="0" applyFont="1" applyFill="1" applyBorder="1" applyAlignment="1">
      <alignment horizontal="center" vertical="center"/>
    </xf>
    <xf numFmtId="0" fontId="19" fillId="0" borderId="84" xfId="0" applyFont="1" applyFill="1" applyBorder="1" applyAlignment="1">
      <alignment horizontal="center" vertical="center"/>
    </xf>
    <xf numFmtId="44" fontId="2" fillId="0" borderId="79" xfId="1" applyFont="1" applyFill="1" applyBorder="1" applyAlignment="1">
      <alignment horizontal="center" vertical="center" wrapText="1"/>
    </xf>
    <xf numFmtId="44" fontId="2" fillId="0" borderId="80" xfId="1" applyFont="1" applyFill="1" applyBorder="1" applyAlignment="1">
      <alignment horizontal="center" vertical="center" wrapText="1"/>
    </xf>
    <xf numFmtId="0" fontId="2" fillId="0" borderId="79" xfId="0" applyFont="1" applyFill="1" applyBorder="1" applyAlignment="1">
      <alignment horizontal="center" vertical="center"/>
    </xf>
    <xf numFmtId="0" fontId="2" fillId="0" borderId="80" xfId="0" applyFont="1" applyFill="1" applyBorder="1" applyAlignment="1">
      <alignment horizontal="center" vertical="center"/>
    </xf>
    <xf numFmtId="168" fontId="12" fillId="0" borderId="0" xfId="1" quotePrefix="1" applyNumberFormat="1" applyFont="1" applyFill="1" applyBorder="1" applyAlignment="1">
      <alignment vertical="center"/>
    </xf>
    <xf numFmtId="2" fontId="12" fillId="0" borderId="0" xfId="3" quotePrefix="1" applyNumberFormat="1" applyFont="1" applyFill="1" applyBorder="1" applyAlignment="1">
      <alignment vertical="center"/>
    </xf>
    <xf numFmtId="168" fontId="17" fillId="0" borderId="0" xfId="1" applyNumberFormat="1" applyFont="1" applyFill="1" applyBorder="1" applyAlignment="1">
      <alignment vertical="center"/>
    </xf>
    <xf numFmtId="41" fontId="17" fillId="0" borderId="0" xfId="3" applyNumberFormat="1" applyFont="1" applyFill="1" applyBorder="1" applyAlignment="1">
      <alignment vertical="center"/>
    </xf>
    <xf numFmtId="168" fontId="19" fillId="4" borderId="14" xfId="1" applyNumberFormat="1" applyFont="1" applyFill="1" applyBorder="1" applyAlignment="1">
      <alignment vertical="center"/>
    </xf>
    <xf numFmtId="41" fontId="19" fillId="4" borderId="14" xfId="3" applyNumberFormat="1" applyFont="1" applyFill="1" applyBorder="1" applyAlignment="1">
      <alignment vertical="center"/>
    </xf>
    <xf numFmtId="41" fontId="17" fillId="0" borderId="0" xfId="3" applyNumberFormat="1" applyFont="1" applyFill="1" applyAlignment="1">
      <alignment vertical="center"/>
    </xf>
    <xf numFmtId="168" fontId="12" fillId="0" borderId="0" xfId="1" applyNumberFormat="1" applyFont="1" applyFill="1" applyBorder="1" applyAlignment="1">
      <alignment vertical="center"/>
    </xf>
    <xf numFmtId="2" fontId="12" fillId="0" borderId="0" xfId="3" applyNumberFormat="1" applyFont="1" applyFill="1" applyBorder="1" applyAlignment="1">
      <alignment vertical="center"/>
    </xf>
    <xf numFmtId="168" fontId="17" fillId="0" borderId="0" xfId="1" applyNumberFormat="1" applyFont="1" applyFill="1" applyAlignment="1">
      <alignment vertical="center"/>
    </xf>
    <xf numFmtId="41" fontId="17" fillId="0" borderId="0" xfId="3" quotePrefix="1" applyNumberFormat="1" applyFont="1" applyFill="1" applyAlignment="1">
      <alignment vertical="center"/>
    </xf>
    <xf numFmtId="168" fontId="17" fillId="0" borderId="0" xfId="1" quotePrefix="1" applyNumberFormat="1" applyFont="1" applyFill="1" applyAlignment="1">
      <alignment vertical="center"/>
    </xf>
    <xf numFmtId="2" fontId="17" fillId="0" borderId="0" xfId="3" quotePrefix="1" applyNumberFormat="1" applyFont="1" applyFill="1" applyAlignment="1">
      <alignment vertical="center"/>
    </xf>
    <xf numFmtId="41" fontId="23" fillId="0" borderId="0" xfId="0" applyNumberFormat="1" applyFont="1" applyAlignment="1">
      <alignment vertical="center"/>
    </xf>
    <xf numFmtId="2" fontId="19" fillId="4" borderId="14" xfId="3" applyNumberFormat="1" applyFont="1" applyFill="1" applyBorder="1" applyAlignment="1">
      <alignment vertical="center"/>
    </xf>
    <xf numFmtId="168" fontId="19" fillId="4" borderId="14" xfId="1" quotePrefix="1" applyNumberFormat="1" applyFont="1" applyFill="1" applyBorder="1" applyAlignment="1">
      <alignment vertical="center"/>
    </xf>
    <xf numFmtId="2" fontId="0" fillId="0" borderId="0" xfId="0" applyNumberFormat="1"/>
    <xf numFmtId="168" fontId="23" fillId="0" borderId="0" xfId="1" applyNumberFormat="1" applyFont="1" applyAlignment="1">
      <alignment vertical="center"/>
    </xf>
    <xf numFmtId="2" fontId="23" fillId="0" borderId="0" xfId="0" applyNumberFormat="1" applyFont="1" applyAlignment="1">
      <alignment vertical="center"/>
    </xf>
    <xf numFmtId="2" fontId="19" fillId="4" borderId="14" xfId="3" quotePrefix="1" applyNumberFormat="1" applyFont="1" applyFill="1" applyBorder="1" applyAlignment="1">
      <alignment vertical="center"/>
    </xf>
    <xf numFmtId="0" fontId="19" fillId="0" borderId="14" xfId="3" quotePrefix="1" applyFont="1" applyFill="1" applyBorder="1" applyAlignment="1">
      <alignment vertical="center"/>
    </xf>
    <xf numFmtId="168" fontId="19" fillId="0" borderId="14" xfId="1" quotePrefix="1" applyNumberFormat="1" applyFont="1" applyFill="1" applyBorder="1" applyAlignment="1">
      <alignment vertical="center"/>
    </xf>
    <xf numFmtId="2" fontId="19" fillId="0" borderId="14" xfId="3" quotePrefix="1" applyNumberFormat="1" applyFont="1" applyFill="1" applyBorder="1" applyAlignment="1">
      <alignment vertical="center"/>
    </xf>
    <xf numFmtId="43" fontId="19" fillId="4" borderId="14" xfId="2" applyFont="1" applyFill="1" applyBorder="1" applyAlignment="1">
      <alignment vertical="center"/>
    </xf>
    <xf numFmtId="0" fontId="0" fillId="3" borderId="45" xfId="0" applyFill="1" applyBorder="1" applyAlignment="1">
      <alignment horizontal="center" vertical="center" wrapText="1"/>
    </xf>
    <xf numFmtId="0" fontId="0" fillId="3" borderId="46" xfId="0" applyFill="1" applyBorder="1" applyAlignment="1">
      <alignment horizontal="center" vertical="center" wrapText="1"/>
    </xf>
    <xf numFmtId="3" fontId="0" fillId="3" borderId="46" xfId="0" applyNumberFormat="1" applyFill="1" applyBorder="1" applyAlignment="1">
      <alignment horizontal="center" vertical="center" wrapText="1"/>
    </xf>
    <xf numFmtId="44" fontId="0" fillId="3" borderId="46" xfId="0" applyNumberFormat="1" applyFill="1" applyBorder="1" applyAlignment="1">
      <alignment horizontal="center" vertical="center" wrapText="1"/>
    </xf>
    <xf numFmtId="168" fontId="118" fillId="0" borderId="1" xfId="11853" applyNumberFormat="1" applyFont="1" applyFill="1" applyBorder="1" applyAlignment="1">
      <alignment horizontal="center"/>
    </xf>
    <xf numFmtId="9" fontId="118" fillId="0" borderId="1" xfId="11" applyFont="1" applyFill="1" applyBorder="1" applyAlignment="1">
      <alignment horizontal="center"/>
    </xf>
    <xf numFmtId="166" fontId="118" fillId="0" borderId="1" xfId="2" applyNumberFormat="1" applyFont="1" applyFill="1" applyBorder="1" applyAlignment="1">
      <alignment horizontal="center"/>
    </xf>
    <xf numFmtId="42" fontId="118" fillId="0" borderId="1" xfId="11853" applyNumberFormat="1" applyFont="1" applyFill="1" applyBorder="1" applyAlignment="1">
      <alignment horizontal="center"/>
    </xf>
    <xf numFmtId="14" fontId="0" fillId="0" borderId="0" xfId="0" applyNumberFormat="1"/>
    <xf numFmtId="0" fontId="127" fillId="0" borderId="0" xfId="0" applyFont="1"/>
    <xf numFmtId="0" fontId="7" fillId="3" borderId="1" xfId="0" applyFont="1" applyFill="1" applyBorder="1" applyAlignment="1">
      <alignment horizontal="center" vertical="center" wrapText="1"/>
    </xf>
    <xf numFmtId="14" fontId="0" fillId="0" borderId="0" xfId="0" applyNumberFormat="1" applyBorder="1"/>
    <xf numFmtId="166" fontId="0" fillId="0" borderId="0" xfId="2" applyNumberFormat="1" applyFont="1" applyFill="1" applyBorder="1"/>
    <xf numFmtId="0" fontId="0" fillId="0" borderId="0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4" quotePrefix="1" applyFont="1" applyFill="1" applyBorder="1" applyAlignment="1">
      <alignment horizontal="left"/>
    </xf>
    <xf numFmtId="0" fontId="0" fillId="0" borderId="1" xfId="0" applyFont="1" applyBorder="1"/>
    <xf numFmtId="0" fontId="3" fillId="0" borderId="1" xfId="4" applyFont="1" applyFill="1" applyBorder="1"/>
    <xf numFmtId="0" fontId="3" fillId="0" borderId="0" xfId="4" applyFont="1" applyFill="1" applyBorder="1"/>
    <xf numFmtId="0" fontId="125" fillId="0" borderId="0" xfId="0" applyFont="1"/>
    <xf numFmtId="42" fontId="122" fillId="0" borderId="0" xfId="0" applyNumberFormat="1" applyFont="1"/>
    <xf numFmtId="186" fontId="59" fillId="0" borderId="0" xfId="1213" applyNumberFormat="1" applyFont="1" applyFill="1"/>
    <xf numFmtId="186" fontId="59" fillId="0" borderId="0" xfId="3" applyNumberFormat="1" applyFont="1" applyFill="1"/>
    <xf numFmtId="0" fontId="125" fillId="0" borderId="0" xfId="0" applyFont="1" applyAlignment="1">
      <alignment horizontal="left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vertical="center"/>
    </xf>
    <xf numFmtId="0" fontId="0" fillId="6" borderId="1" xfId="0" applyFill="1" applyBorder="1" applyAlignment="1">
      <alignment horizontal="center" vertical="center" wrapText="1"/>
    </xf>
    <xf numFmtId="0" fontId="7" fillId="3" borderId="1" xfId="0" applyFont="1" applyFill="1" applyBorder="1" applyAlignment="1">
      <alignment vertical="center" wrapText="1"/>
    </xf>
    <xf numFmtId="0" fontId="0" fillId="0" borderId="17" xfId="0" applyBorder="1"/>
    <xf numFmtId="0" fontId="23" fillId="0" borderId="1" xfId="0" applyFont="1" applyBorder="1" applyAlignment="1">
      <alignment horizontal="left" vertical="center"/>
    </xf>
    <xf numFmtId="0" fontId="129" fillId="0" borderId="0" xfId="0" applyFont="1"/>
    <xf numFmtId="0" fontId="24" fillId="0" borderId="0" xfId="0" applyFont="1" applyBorder="1"/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1" fillId="0" borderId="14" xfId="4" quotePrefix="1" applyFont="1" applyBorder="1" applyAlignment="1">
      <alignment horizontal="left"/>
    </xf>
    <xf numFmtId="41" fontId="0" fillId="0" borderId="14" xfId="0" applyNumberFormat="1" applyBorder="1"/>
    <xf numFmtId="0" fontId="0" fillId="0" borderId="14" xfId="0" applyBorder="1"/>
    <xf numFmtId="42" fontId="0" fillId="0" borderId="14" xfId="0" applyNumberFormat="1" applyBorder="1"/>
    <xf numFmtId="0" fontId="16" fillId="0" borderId="0" xfId="4"/>
    <xf numFmtId="0" fontId="3" fillId="0" borderId="0" xfId="0" applyFont="1"/>
    <xf numFmtId="42" fontId="3" fillId="0" borderId="0" xfId="0" applyNumberFormat="1" applyFont="1"/>
    <xf numFmtId="0" fontId="19" fillId="0" borderId="0" xfId="3" applyFont="1"/>
    <xf numFmtId="0" fontId="130" fillId="0" borderId="0" xfId="0" applyFont="1"/>
    <xf numFmtId="42" fontId="130" fillId="0" borderId="0" xfId="0" applyNumberFormat="1" applyFont="1"/>
    <xf numFmtId="41" fontId="130" fillId="0" borderId="0" xfId="0" applyNumberFormat="1" applyFont="1"/>
    <xf numFmtId="168" fontId="130" fillId="0" borderId="0" xfId="1" applyNumberFormat="1" applyFont="1"/>
    <xf numFmtId="5" fontId="130" fillId="0" borderId="0" xfId="0" applyNumberFormat="1" applyFont="1"/>
    <xf numFmtId="1" fontId="130" fillId="0" borderId="0" xfId="0" applyNumberFormat="1" applyFont="1" applyAlignment="1">
      <alignment horizontal="right"/>
    </xf>
    <xf numFmtId="0" fontId="131" fillId="0" borderId="0" xfId="0" applyFont="1"/>
    <xf numFmtId="42" fontId="131" fillId="0" borderId="0" xfId="0" applyNumberFormat="1" applyFont="1"/>
    <xf numFmtId="41" fontId="131" fillId="0" borderId="0" xfId="0" applyNumberFormat="1" applyFont="1"/>
    <xf numFmtId="168" fontId="131" fillId="0" borderId="0" xfId="1" applyNumberFormat="1" applyFont="1"/>
    <xf numFmtId="5" fontId="131" fillId="0" borderId="0" xfId="0" applyNumberFormat="1" applyFont="1"/>
    <xf numFmtId="1" fontId="131" fillId="0" borderId="0" xfId="0" applyNumberFormat="1" applyFont="1" applyAlignment="1">
      <alignment horizontal="right"/>
    </xf>
    <xf numFmtId="0" fontId="131" fillId="0" borderId="0" xfId="0" applyFont="1" applyAlignment="1">
      <alignment horizontal="right"/>
    </xf>
    <xf numFmtId="0" fontId="7" fillId="0" borderId="0" xfId="0" applyFont="1"/>
    <xf numFmtId="0" fontId="6" fillId="0" borderId="0" xfId="0" applyFont="1" applyAlignment="1">
      <alignment horizontal="left" vertical="center" wrapText="1"/>
    </xf>
    <xf numFmtId="14" fontId="6" fillId="0" borderId="0" xfId="0" applyNumberFormat="1" applyFont="1" applyAlignment="1">
      <alignment horizontal="left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center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/>
    </xf>
    <xf numFmtId="1" fontId="7" fillId="0" borderId="1" xfId="0" applyNumberFormat="1" applyFont="1" applyBorder="1" applyAlignment="1">
      <alignment horizontal="left"/>
    </xf>
    <xf numFmtId="168" fontId="7" fillId="0" borderId="1" xfId="0" applyNumberFormat="1" applyFont="1" applyBorder="1" applyAlignment="1">
      <alignment horizontal="left" wrapText="1"/>
    </xf>
    <xf numFmtId="168" fontId="21" fillId="0" borderId="1" xfId="4" quotePrefix="1" applyNumberFormat="1" applyFont="1" applyBorder="1" applyAlignment="1">
      <alignment horizontal="left"/>
    </xf>
    <xf numFmtId="168" fontId="0" fillId="0" borderId="9" xfId="0" applyNumberFormat="1" applyBorder="1" applyAlignment="1">
      <alignment wrapText="1"/>
    </xf>
    <xf numFmtId="171" fontId="0" fillId="0" borderId="1" xfId="0" applyNumberFormat="1" applyBorder="1"/>
    <xf numFmtId="168" fontId="25" fillId="5" borderId="1" xfId="4" applyNumberFormat="1" applyFont="1" applyFill="1" applyBorder="1"/>
    <xf numFmtId="1" fontId="25" fillId="5" borderId="1" xfId="4" applyNumberFormat="1" applyFont="1" applyFill="1" applyBorder="1"/>
    <xf numFmtId="168" fontId="25" fillId="5" borderId="1" xfId="4" applyNumberFormat="1" applyFont="1" applyFill="1" applyBorder="1" applyAlignment="1">
      <alignment horizontal="left" wrapText="1"/>
    </xf>
    <xf numFmtId="168" fontId="6" fillId="5" borderId="1" xfId="1" applyNumberFormat="1" applyFont="1" applyFill="1" applyBorder="1" applyAlignment="1">
      <alignment wrapText="1"/>
    </xf>
    <xf numFmtId="1" fontId="7" fillId="5" borderId="1" xfId="2" applyNumberFormat="1" applyFont="1" applyFill="1" applyBorder="1" applyAlignment="1">
      <alignment horizontal="center" vertical="center" wrapText="1"/>
    </xf>
    <xf numFmtId="168" fontId="2" fillId="5" borderId="1" xfId="2" applyNumberFormat="1" applyFont="1" applyFill="1" applyBorder="1"/>
    <xf numFmtId="168" fontId="2" fillId="5" borderId="1" xfId="2" applyNumberFormat="1" applyFont="1" applyFill="1" applyBorder="1" applyAlignment="1">
      <alignment horizontal="left" wrapText="1"/>
    </xf>
    <xf numFmtId="168" fontId="2" fillId="5" borderId="1" xfId="2" applyNumberFormat="1" applyFont="1" applyFill="1" applyBorder="1" applyAlignment="1">
      <alignment wrapText="1"/>
    </xf>
    <xf numFmtId="1" fontId="6" fillId="5" borderId="1" xfId="1" applyNumberFormat="1" applyFont="1" applyFill="1" applyBorder="1" applyAlignment="1">
      <alignment horizontal="center" vertical="center" wrapText="1"/>
    </xf>
    <xf numFmtId="168" fontId="2" fillId="5" borderId="1" xfId="0" applyNumberFormat="1" applyFont="1" applyFill="1" applyBorder="1"/>
    <xf numFmtId="168" fontId="2" fillId="5" borderId="1" xfId="0" applyNumberFormat="1" applyFont="1" applyFill="1" applyBorder="1" applyAlignment="1">
      <alignment horizontal="left" wrapText="1"/>
    </xf>
    <xf numFmtId="168" fontId="0" fillId="5" borderId="1" xfId="0" applyNumberFormat="1" applyFill="1" applyBorder="1" applyAlignment="1">
      <alignment wrapText="1"/>
    </xf>
    <xf numFmtId="1" fontId="7" fillId="5" borderId="1" xfId="1" applyNumberFormat="1" applyFont="1" applyFill="1" applyBorder="1" applyAlignment="1">
      <alignment horizontal="center" vertical="center" wrapText="1"/>
    </xf>
    <xf numFmtId="168" fontId="2" fillId="5" borderId="1" xfId="0" applyNumberFormat="1" applyFont="1" applyFill="1" applyBorder="1" applyAlignment="1">
      <alignment wrapText="1"/>
    </xf>
    <xf numFmtId="0" fontId="0" fillId="0" borderId="1" xfId="0" applyBorder="1" applyAlignment="1">
      <alignment horizontal="left" vertical="center"/>
    </xf>
    <xf numFmtId="168" fontId="25" fillId="5" borderId="1" xfId="2" applyNumberFormat="1" applyFont="1" applyFill="1" applyBorder="1"/>
    <xf numFmtId="1" fontId="2" fillId="5" borderId="1" xfId="0" applyNumberFormat="1" applyFont="1" applyFill="1" applyBorder="1"/>
    <xf numFmtId="168" fontId="2" fillId="5" borderId="1" xfId="1" applyNumberFormat="1" applyFont="1" applyFill="1" applyBorder="1"/>
    <xf numFmtId="168" fontId="2" fillId="5" borderId="1" xfId="1" applyNumberFormat="1" applyFont="1" applyFill="1" applyBorder="1" applyAlignment="1">
      <alignment horizontal="left" wrapText="1"/>
    </xf>
    <xf numFmtId="168" fontId="2" fillId="5" borderId="1" xfId="1" applyNumberFormat="1" applyFont="1" applyFill="1" applyBorder="1" applyAlignment="1">
      <alignment wrapText="1"/>
    </xf>
    <xf numFmtId="168" fontId="25" fillId="5" borderId="1" xfId="1" applyNumberFormat="1" applyFont="1" applyFill="1" applyBorder="1"/>
    <xf numFmtId="1" fontId="2" fillId="5" borderId="1" xfId="1" applyNumberFormat="1" applyFont="1" applyFill="1" applyBorder="1"/>
    <xf numFmtId="168" fontId="19" fillId="0" borderId="17" xfId="3" applyNumberFormat="1" applyFont="1" applyBorder="1"/>
    <xf numFmtId="0" fontId="2" fillId="0" borderId="3" xfId="0" applyFont="1" applyBorder="1"/>
    <xf numFmtId="0" fontId="2" fillId="0" borderId="4" xfId="0" applyFont="1" applyBorder="1"/>
    <xf numFmtId="1" fontId="2" fillId="0" borderId="4" xfId="0" applyNumberFormat="1" applyFont="1" applyBorder="1"/>
    <xf numFmtId="168" fontId="2" fillId="0" borderId="4" xfId="0" applyNumberFormat="1" applyFont="1" applyBorder="1"/>
    <xf numFmtId="168" fontId="2" fillId="0" borderId="5" xfId="0" applyNumberFormat="1" applyFont="1" applyBorder="1"/>
    <xf numFmtId="166" fontId="125" fillId="0" borderId="0" xfId="2" applyNumberFormat="1" applyFont="1"/>
    <xf numFmtId="0" fontId="128" fillId="0" borderId="19" xfId="0" applyFont="1" applyBorder="1" applyAlignment="1">
      <alignment horizontal="left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/>
    </xf>
    <xf numFmtId="42" fontId="2" fillId="0" borderId="0" xfId="0" applyNumberFormat="1" applyFont="1" applyAlignment="1">
      <alignment horizontal="center" wrapText="1"/>
    </xf>
    <xf numFmtId="0" fontId="17" fillId="0" borderId="0" xfId="0" applyFont="1" applyAlignment="1" applyProtection="1">
      <alignment vertical="center"/>
      <protection locked="0"/>
    </xf>
    <xf numFmtId="0" fontId="54" fillId="5" borderId="0" xfId="4" quotePrefix="1" applyFont="1" applyFill="1" applyAlignment="1">
      <alignment horizontal="left"/>
    </xf>
    <xf numFmtId="0" fontId="0" fillId="5" borderId="0" xfId="0" applyFill="1"/>
    <xf numFmtId="0" fontId="0" fillId="5" borderId="0" xfId="0" applyFill="1" applyAlignment="1">
      <alignment horizontal="center"/>
    </xf>
    <xf numFmtId="42" fontId="2" fillId="5" borderId="0" xfId="0" applyNumberFormat="1" applyFont="1" applyFill="1"/>
    <xf numFmtId="0" fontId="28" fillId="0" borderId="19" xfId="0" applyFont="1" applyBorder="1" applyAlignment="1">
      <alignment horizontal="left" vertical="center"/>
    </xf>
    <xf numFmtId="0" fontId="0" fillId="0" borderId="29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44" fontId="0" fillId="0" borderId="31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8" fontId="0" fillId="0" borderId="10" xfId="0" applyNumberForma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38" fontId="23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 wrapText="1"/>
    </xf>
    <xf numFmtId="37" fontId="22" fillId="0" borderId="0" xfId="0" applyNumberFormat="1" applyFont="1" applyAlignment="1">
      <alignment horizontal="center" vertical="center" wrapText="1"/>
    </xf>
    <xf numFmtId="41" fontId="23" fillId="0" borderId="0" xfId="2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0" fontId="17" fillId="0" borderId="15" xfId="0" applyFont="1" applyBorder="1" applyAlignment="1">
      <alignment vertical="center" wrapText="1"/>
    </xf>
    <xf numFmtId="0" fontId="22" fillId="0" borderId="16" xfId="0" applyFont="1" applyBorder="1" applyAlignment="1">
      <alignment vertical="center" wrapText="1"/>
    </xf>
    <xf numFmtId="37" fontId="22" fillId="0" borderId="16" xfId="0" applyNumberFormat="1" applyFont="1" applyBorder="1" applyAlignment="1">
      <alignment horizontal="center" vertical="center" wrapText="1"/>
    </xf>
    <xf numFmtId="14" fontId="22" fillId="0" borderId="16" xfId="0" applyNumberFormat="1" applyFont="1" applyBorder="1" applyAlignment="1">
      <alignment vertical="center" wrapText="1"/>
    </xf>
    <xf numFmtId="14" fontId="22" fillId="0" borderId="11" xfId="0" applyNumberFormat="1" applyFont="1" applyBorder="1" applyAlignment="1">
      <alignment vertical="center" wrapText="1"/>
    </xf>
    <xf numFmtId="0" fontId="23" fillId="0" borderId="16" xfId="0" applyFont="1" applyBorder="1" applyAlignment="1">
      <alignment vertical="center" wrapText="1"/>
    </xf>
    <xf numFmtId="49" fontId="119" fillId="0" borderId="16" xfId="0" applyNumberFormat="1" applyFont="1" applyBorder="1" applyAlignment="1">
      <alignment horizontal="center" vertical="center" wrapText="1"/>
    </xf>
    <xf numFmtId="41" fontId="23" fillId="0" borderId="15" xfId="0" applyNumberFormat="1" applyFont="1" applyBorder="1" applyAlignment="1">
      <alignment horizontal="center" vertical="center" wrapText="1"/>
    </xf>
    <xf numFmtId="41" fontId="23" fillId="0" borderId="16" xfId="0" applyNumberFormat="1" applyFont="1" applyBorder="1" applyAlignment="1">
      <alignment horizontal="center" vertical="center" wrapText="1"/>
    </xf>
    <xf numFmtId="14" fontId="22" fillId="0" borderId="16" xfId="0" applyNumberFormat="1" applyFont="1" applyBorder="1" applyAlignment="1">
      <alignment horizontal="center" vertical="center" wrapText="1"/>
    </xf>
    <xf numFmtId="14" fontId="17" fillId="0" borderId="15" xfId="0" applyNumberFormat="1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/>
    </xf>
    <xf numFmtId="14" fontId="22" fillId="0" borderId="11" xfId="0" applyNumberFormat="1" applyFont="1" applyBorder="1" applyAlignment="1">
      <alignment horizontal="center" vertical="center" wrapText="1"/>
    </xf>
    <xf numFmtId="49" fontId="18" fillId="0" borderId="14" xfId="0" applyNumberFormat="1" applyFont="1" applyBorder="1" applyAlignment="1">
      <alignment vertical="center" wrapText="1"/>
    </xf>
    <xf numFmtId="49" fontId="119" fillId="0" borderId="16" xfId="0" applyNumberFormat="1" applyFont="1" applyBorder="1" applyAlignment="1">
      <alignment vertical="center" wrapText="1"/>
    </xf>
    <xf numFmtId="44" fontId="22" fillId="0" borderId="16" xfId="0" applyNumberFormat="1" applyFont="1" applyBorder="1" applyAlignment="1">
      <alignment horizontal="center" vertical="center" wrapText="1"/>
    </xf>
    <xf numFmtId="38" fontId="30" fillId="5" borderId="1" xfId="0" applyNumberFormat="1" applyFont="1" applyFill="1" applyBorder="1" applyAlignment="1">
      <alignment vertical="center" wrapText="1"/>
    </xf>
    <xf numFmtId="0" fontId="23" fillId="0" borderId="0" xfId="1" applyNumberFormat="1" applyFont="1" applyFill="1" applyBorder="1" applyAlignment="1">
      <alignment horizontal="center" vertical="center" wrapText="1"/>
    </xf>
    <xf numFmtId="37" fontId="23" fillId="0" borderId="0" xfId="1" applyNumberFormat="1" applyFont="1" applyFill="1" applyBorder="1" applyAlignment="1">
      <alignment horizontal="center" vertical="center" wrapText="1"/>
    </xf>
    <xf numFmtId="2" fontId="23" fillId="0" borderId="0" xfId="1" applyNumberFormat="1" applyFont="1" applyFill="1" applyBorder="1" applyAlignment="1">
      <alignment horizontal="right" vertical="center" wrapText="1"/>
    </xf>
    <xf numFmtId="166" fontId="23" fillId="0" borderId="0" xfId="2" applyNumberFormat="1" applyFont="1" applyFill="1" applyBorder="1" applyAlignment="1">
      <alignment horizontal="center" vertical="center" wrapText="1"/>
    </xf>
    <xf numFmtId="166" fontId="23" fillId="0" borderId="0" xfId="2" applyNumberFormat="1" applyFont="1" applyFill="1" applyAlignment="1">
      <alignment horizontal="center" vertical="center" wrapText="1"/>
    </xf>
    <xf numFmtId="9" fontId="23" fillId="0" borderId="80" xfId="11" applyFont="1" applyFill="1" applyBorder="1" applyAlignment="1">
      <alignment horizontal="center" vertical="center"/>
    </xf>
    <xf numFmtId="43" fontId="23" fillId="0" borderId="0" xfId="2" applyFont="1" applyFill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41" fontId="20" fillId="0" borderId="0" xfId="0" applyNumberFormat="1" applyFont="1" applyFill="1" applyAlignment="1">
      <alignment horizontal="center" vertical="center"/>
    </xf>
    <xf numFmtId="14" fontId="20" fillId="0" borderId="0" xfId="0" applyNumberFormat="1" applyFont="1" applyFill="1" applyAlignment="1">
      <alignment horizontal="center" vertical="center"/>
    </xf>
    <xf numFmtId="37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right" vertical="center"/>
    </xf>
    <xf numFmtId="2" fontId="19" fillId="0" borderId="0" xfId="0" applyNumberFormat="1" applyFont="1" applyFill="1" applyAlignment="1">
      <alignment horizontal="right" vertical="center"/>
    </xf>
    <xf numFmtId="176" fontId="19" fillId="0" borderId="0" xfId="0" applyNumberFormat="1" applyFont="1" applyFill="1" applyAlignment="1">
      <alignment horizontal="right" vertical="center"/>
    </xf>
    <xf numFmtId="41" fontId="19" fillId="0" borderId="0" xfId="0" applyNumberFormat="1" applyFont="1" applyFill="1" applyAlignment="1">
      <alignment horizontal="center" vertical="center"/>
    </xf>
    <xf numFmtId="42" fontId="19" fillId="0" borderId="0" xfId="0" applyNumberFormat="1" applyFont="1" applyFill="1" applyAlignment="1">
      <alignment horizontal="center" vertical="center"/>
    </xf>
    <xf numFmtId="0" fontId="12" fillId="0" borderId="0" xfId="3" quotePrefix="1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3" fillId="0" borderId="0" xfId="1" applyNumberFormat="1" applyFont="1" applyFill="1" applyBorder="1" applyAlignment="1">
      <alignment horizontal="left" vertical="center" wrapText="1"/>
    </xf>
    <xf numFmtId="0" fontId="23" fillId="0" borderId="0" xfId="1" applyNumberFormat="1" applyFont="1" applyFill="1" applyBorder="1" applyAlignment="1">
      <alignment vertical="center" wrapText="1"/>
    </xf>
    <xf numFmtId="41" fontId="23" fillId="0" borderId="0" xfId="1" applyNumberFormat="1" applyFont="1" applyFill="1" applyBorder="1" applyAlignment="1">
      <alignment horizontal="center" vertical="center" wrapText="1"/>
    </xf>
    <xf numFmtId="164" fontId="23" fillId="0" borderId="0" xfId="1" applyNumberFormat="1" applyFont="1" applyFill="1" applyBorder="1" applyAlignment="1">
      <alignment horizontal="center" vertical="center" wrapText="1"/>
    </xf>
    <xf numFmtId="164" fontId="23" fillId="0" borderId="0" xfId="1" applyNumberFormat="1" applyFont="1" applyFill="1" applyBorder="1" applyAlignment="1">
      <alignment horizontal="right" vertical="center" wrapText="1"/>
    </xf>
    <xf numFmtId="44" fontId="23" fillId="0" borderId="79" xfId="1" applyFont="1" applyFill="1" applyBorder="1" applyAlignment="1">
      <alignment horizontal="center" vertical="center" wrapText="1"/>
    </xf>
    <xf numFmtId="44" fontId="23" fillId="0" borderId="0" xfId="1" applyFont="1" applyFill="1" applyBorder="1" applyAlignment="1">
      <alignment horizontal="center" vertical="center" wrapText="1"/>
    </xf>
    <xf numFmtId="44" fontId="23" fillId="0" borderId="80" xfId="1" applyFont="1" applyFill="1" applyBorder="1" applyAlignment="1">
      <alignment horizontal="center" vertical="center" wrapText="1"/>
    </xf>
    <xf numFmtId="41" fontId="23" fillId="0" borderId="0" xfId="0" applyNumberFormat="1" applyFont="1" applyFill="1" applyAlignment="1">
      <alignment horizontal="center" vertical="center" wrapText="1"/>
    </xf>
    <xf numFmtId="42" fontId="23" fillId="0" borderId="0" xfId="0" applyNumberFormat="1" applyFont="1" applyFill="1" applyAlignment="1">
      <alignment horizontal="center" vertical="center" wrapText="1"/>
    </xf>
    <xf numFmtId="14" fontId="2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right" vertical="center" wrapText="1"/>
    </xf>
    <xf numFmtId="0" fontId="23" fillId="0" borderId="79" xfId="0" applyFont="1" applyFill="1" applyBorder="1" applyAlignment="1">
      <alignment horizontal="center" vertical="center" wrapText="1"/>
    </xf>
    <xf numFmtId="0" fontId="23" fillId="0" borderId="8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41" fontId="2" fillId="0" borderId="0" xfId="0" applyNumberFormat="1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 wrapText="1"/>
    </xf>
    <xf numFmtId="37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2" fontId="2" fillId="0" borderId="0" xfId="0" applyNumberFormat="1" applyFont="1" applyFill="1" applyAlignment="1">
      <alignment horizontal="right" vertical="center"/>
    </xf>
    <xf numFmtId="41" fontId="2" fillId="0" borderId="0" xfId="0" applyNumberFormat="1" applyFont="1" applyFill="1" applyAlignment="1">
      <alignment horizontal="center" vertical="center"/>
    </xf>
    <xf numFmtId="42" fontId="2" fillId="0" borderId="0" xfId="0" applyNumberFormat="1" applyFont="1" applyFill="1" applyAlignment="1">
      <alignment horizontal="center" vertical="center"/>
    </xf>
    <xf numFmtId="49" fontId="23" fillId="0" borderId="0" xfId="0" applyNumberFormat="1" applyFont="1" applyFill="1" applyAlignment="1">
      <alignment horizontal="center" vertical="center" wrapText="1"/>
    </xf>
    <xf numFmtId="0" fontId="58" fillId="0" borderId="0" xfId="0" applyFont="1" applyFill="1" applyAlignment="1">
      <alignment vertical="center"/>
    </xf>
    <xf numFmtId="0" fontId="12" fillId="0" borderId="0" xfId="3" applyFont="1" applyFill="1" applyAlignment="1">
      <alignment vertical="center"/>
    </xf>
    <xf numFmtId="0" fontId="2" fillId="0" borderId="0" xfId="0" applyFont="1" applyFill="1" applyAlignment="1">
      <alignment vertical="center"/>
    </xf>
    <xf numFmtId="17" fontId="23" fillId="0" borderId="0" xfId="0" applyNumberFormat="1" applyFont="1" applyFill="1" applyAlignment="1">
      <alignment horizontal="center" vertical="center"/>
    </xf>
    <xf numFmtId="0" fontId="123" fillId="0" borderId="0" xfId="0" applyFont="1" applyFill="1" applyAlignment="1">
      <alignment vertical="center"/>
    </xf>
    <xf numFmtId="0" fontId="1" fillId="0" borderId="0" xfId="5" applyFill="1" applyAlignment="1">
      <alignment horizontal="left" vertical="center"/>
    </xf>
    <xf numFmtId="41" fontId="0" fillId="0" borderId="0" xfId="0" applyNumberFormat="1" applyFill="1" applyAlignment="1">
      <alignment horizontal="center" vertical="center"/>
    </xf>
    <xf numFmtId="0" fontId="6" fillId="0" borderId="0" xfId="0" applyFont="1" applyFill="1"/>
    <xf numFmtId="0" fontId="23" fillId="0" borderId="0" xfId="0" applyFont="1" applyFill="1"/>
    <xf numFmtId="41" fontId="17" fillId="0" borderId="0" xfId="0" applyNumberFormat="1" applyFont="1" applyFill="1" applyAlignment="1" applyProtection="1">
      <alignment horizontal="justify" vertical="center"/>
      <protection locked="0"/>
    </xf>
    <xf numFmtId="1" fontId="23" fillId="0" borderId="0" xfId="0" applyNumberFormat="1" applyFont="1" applyFill="1" applyAlignment="1">
      <alignment horizontal="center" vertical="center"/>
    </xf>
    <xf numFmtId="176" fontId="23" fillId="0" borderId="0" xfId="0" applyNumberFormat="1" applyFont="1" applyFill="1" applyAlignment="1">
      <alignment horizontal="right" vertical="center" wrapText="1"/>
    </xf>
    <xf numFmtId="37" fontId="17" fillId="0" borderId="0" xfId="0" applyNumberFormat="1" applyFont="1" applyFill="1" applyAlignment="1">
      <alignment horizontal="center" vertical="center" wrapText="1"/>
    </xf>
    <xf numFmtId="44" fontId="23" fillId="0" borderId="0" xfId="0" applyNumberFormat="1" applyFont="1" applyFill="1" applyAlignment="1">
      <alignment horizontal="center" vertical="center" wrapText="1"/>
    </xf>
    <xf numFmtId="43" fontId="23" fillId="0" borderId="0" xfId="0" applyNumberFormat="1" applyFont="1" applyFill="1" applyAlignment="1">
      <alignment horizontal="center" vertical="center"/>
    </xf>
    <xf numFmtId="41" fontId="55" fillId="0" borderId="0" xfId="0" applyNumberFormat="1" applyFont="1" applyFill="1" applyAlignment="1" applyProtection="1">
      <alignment horizontal="justify" vertical="center"/>
      <protection locked="0"/>
    </xf>
    <xf numFmtId="41" fontId="56" fillId="0" borderId="0" xfId="0" applyNumberFormat="1" applyFont="1" applyFill="1" applyAlignment="1" applyProtection="1">
      <alignment horizontal="justify" vertical="center"/>
      <protection locked="0"/>
    </xf>
    <xf numFmtId="0" fontId="23" fillId="0" borderId="80" xfId="0" applyFont="1" applyFill="1" applyBorder="1" applyAlignment="1">
      <alignment horizontal="center" vertical="center"/>
    </xf>
    <xf numFmtId="0" fontId="19" fillId="0" borderId="0" xfId="3" applyFont="1" applyFill="1" applyAlignment="1">
      <alignment vertical="center"/>
    </xf>
    <xf numFmtId="37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right" vertical="center"/>
    </xf>
    <xf numFmtId="2" fontId="20" fillId="0" borderId="0" xfId="0" applyNumberFormat="1" applyFont="1" applyFill="1" applyAlignment="1">
      <alignment horizontal="right" vertical="center"/>
    </xf>
    <xf numFmtId="176" fontId="20" fillId="0" borderId="0" xfId="2" applyNumberFormat="1" applyFont="1" applyFill="1" applyBorder="1" applyAlignment="1">
      <alignment horizontal="right" vertical="center"/>
    </xf>
    <xf numFmtId="41" fontId="20" fillId="0" borderId="0" xfId="2" applyNumberFormat="1" applyFont="1" applyFill="1" applyBorder="1" applyAlignment="1">
      <alignment horizontal="center" vertical="center"/>
    </xf>
    <xf numFmtId="41" fontId="20" fillId="0" borderId="0" xfId="2" applyNumberFormat="1" applyFont="1" applyFill="1" applyAlignment="1">
      <alignment horizontal="center" vertical="center"/>
    </xf>
    <xf numFmtId="41" fontId="20" fillId="0" borderId="0" xfId="2" applyNumberFormat="1" applyFont="1" applyFill="1" applyBorder="1" applyAlignment="1">
      <alignment horizontal="right" vertical="center"/>
    </xf>
    <xf numFmtId="42" fontId="20" fillId="0" borderId="0" xfId="1" applyNumberFormat="1" applyFont="1" applyFill="1" applyBorder="1" applyAlignment="1">
      <alignment horizontal="right" vertical="center"/>
    </xf>
    <xf numFmtId="42" fontId="20" fillId="0" borderId="0" xfId="2" applyNumberFormat="1" applyFont="1" applyFill="1" applyBorder="1" applyAlignment="1">
      <alignment horizontal="center" vertical="center"/>
    </xf>
    <xf numFmtId="44" fontId="20" fillId="0" borderId="0" xfId="0" applyNumberFormat="1" applyFont="1" applyFill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57" fillId="0" borderId="0" xfId="0" applyFont="1" applyFill="1" applyAlignment="1">
      <alignment horizontal="left" vertical="center"/>
    </xf>
    <xf numFmtId="166" fontId="20" fillId="0" borderId="0" xfId="2" applyNumberFormat="1" applyFont="1" applyFill="1" applyAlignment="1">
      <alignment vertical="top" wrapText="1"/>
    </xf>
    <xf numFmtId="49" fontId="20" fillId="0" borderId="0" xfId="0" applyNumberFormat="1" applyFont="1" applyFill="1" applyAlignment="1">
      <alignment horizontal="left" vertical="center"/>
    </xf>
    <xf numFmtId="166" fontId="20" fillId="0" borderId="0" xfId="2" applyNumberFormat="1" applyFont="1" applyFill="1" applyAlignment="1">
      <alignment horizontal="right" vertical="top" wrapText="1"/>
    </xf>
    <xf numFmtId="2" fontId="20" fillId="0" borderId="0" xfId="2" applyNumberFormat="1" applyFont="1" applyFill="1" applyAlignment="1">
      <alignment horizontal="right" vertical="top" wrapText="1"/>
    </xf>
    <xf numFmtId="14" fontId="58" fillId="0" borderId="0" xfId="0" applyNumberFormat="1" applyFont="1" applyFill="1" applyAlignment="1">
      <alignment horizontal="center" vertical="center"/>
    </xf>
    <xf numFmtId="168" fontId="0" fillId="0" borderId="1" xfId="0" applyNumberFormat="1" applyFill="1" applyBorder="1"/>
    <xf numFmtId="0" fontId="19" fillId="5" borderId="14" xfId="3" applyFont="1" applyFill="1" applyBorder="1" applyAlignment="1">
      <alignment vertical="center"/>
    </xf>
    <xf numFmtId="0" fontId="20" fillId="5" borderId="14" xfId="1" applyNumberFormat="1" applyFont="1" applyFill="1" applyBorder="1" applyAlignment="1">
      <alignment horizontal="center" vertical="center" wrapText="1"/>
    </xf>
    <xf numFmtId="0" fontId="20" fillId="5" borderId="14" xfId="1" applyNumberFormat="1" applyFont="1" applyFill="1" applyBorder="1" applyAlignment="1">
      <alignment vertical="center" wrapText="1"/>
    </xf>
    <xf numFmtId="41" fontId="20" fillId="5" borderId="14" xfId="1" applyNumberFormat="1" applyFont="1" applyFill="1" applyBorder="1" applyAlignment="1">
      <alignment horizontal="center" vertical="center" wrapText="1"/>
    </xf>
    <xf numFmtId="14" fontId="20" fillId="5" borderId="14" xfId="1" applyNumberFormat="1" applyFont="1" applyFill="1" applyBorder="1" applyAlignment="1">
      <alignment horizontal="center" vertical="center" wrapText="1"/>
    </xf>
    <xf numFmtId="44" fontId="20" fillId="5" borderId="14" xfId="1" applyFont="1" applyFill="1" applyBorder="1" applyAlignment="1">
      <alignment horizontal="center" vertical="center" wrapText="1"/>
    </xf>
    <xf numFmtId="37" fontId="20" fillId="5" borderId="14" xfId="1" applyNumberFormat="1" applyFont="1" applyFill="1" applyBorder="1" applyAlignment="1">
      <alignment horizontal="center" vertical="center" wrapText="1"/>
    </xf>
    <xf numFmtId="44" fontId="20" fillId="5" borderId="14" xfId="1" applyFont="1" applyFill="1" applyBorder="1" applyAlignment="1">
      <alignment horizontal="right" vertical="center" wrapText="1"/>
    </xf>
    <xf numFmtId="2" fontId="20" fillId="5" borderId="14" xfId="1" applyNumberFormat="1" applyFont="1" applyFill="1" applyBorder="1" applyAlignment="1">
      <alignment horizontal="right" vertical="center" wrapText="1"/>
    </xf>
    <xf numFmtId="0" fontId="20" fillId="5" borderId="14" xfId="0" applyFont="1" applyFill="1" applyBorder="1" applyAlignment="1">
      <alignment horizontal="center" vertical="center"/>
    </xf>
    <xf numFmtId="44" fontId="20" fillId="5" borderId="85" xfId="1" applyFont="1" applyFill="1" applyBorder="1" applyAlignment="1">
      <alignment horizontal="center" vertical="center" wrapText="1"/>
    </xf>
    <xf numFmtId="44" fontId="20" fillId="5" borderId="86" xfId="1" applyFont="1" applyFill="1" applyBorder="1" applyAlignment="1">
      <alignment horizontal="center" vertical="center" wrapText="1"/>
    </xf>
    <xf numFmtId="166" fontId="20" fillId="5" borderId="14" xfId="2" applyNumberFormat="1" applyFont="1" applyFill="1" applyBorder="1" applyAlignment="1">
      <alignment horizontal="center" vertical="center" wrapText="1"/>
    </xf>
    <xf numFmtId="42" fontId="20" fillId="5" borderId="14" xfId="1" applyNumberFormat="1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 wrapText="1"/>
    </xf>
    <xf numFmtId="41" fontId="20" fillId="5" borderId="14" xfId="0" applyNumberFormat="1" applyFont="1" applyFill="1" applyBorder="1" applyAlignment="1">
      <alignment horizontal="center" vertical="center" wrapText="1"/>
    </xf>
    <xf numFmtId="14" fontId="20" fillId="5" borderId="14" xfId="0" applyNumberFormat="1" applyFont="1" applyFill="1" applyBorder="1" applyAlignment="1">
      <alignment horizontal="center" vertical="center" wrapText="1"/>
    </xf>
    <xf numFmtId="37" fontId="20" fillId="5" borderId="14" xfId="0" applyNumberFormat="1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horizontal="right" vertical="center"/>
    </xf>
    <xf numFmtId="2" fontId="20" fillId="5" borderId="14" xfId="0" applyNumberFormat="1" applyFont="1" applyFill="1" applyBorder="1" applyAlignment="1">
      <alignment horizontal="right" vertical="center"/>
    </xf>
    <xf numFmtId="0" fontId="20" fillId="5" borderId="85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41" fontId="20" fillId="5" borderId="14" xfId="1" applyNumberFormat="1" applyFont="1" applyFill="1" applyBorder="1" applyAlignment="1">
      <alignment horizontal="center" vertical="center"/>
    </xf>
    <xf numFmtId="41" fontId="20" fillId="5" borderId="14" xfId="0" applyNumberFormat="1" applyFont="1" applyFill="1" applyBorder="1" applyAlignment="1">
      <alignment horizontal="center" vertical="center"/>
    </xf>
    <xf numFmtId="166" fontId="20" fillId="5" borderId="14" xfId="2" applyNumberFormat="1" applyFont="1" applyFill="1" applyBorder="1" applyAlignment="1">
      <alignment horizontal="center" vertical="center"/>
    </xf>
    <xf numFmtId="42" fontId="20" fillId="5" borderId="14" xfId="0" applyNumberFormat="1" applyFont="1" applyFill="1" applyBorder="1" applyAlignment="1">
      <alignment horizontal="center" vertical="center"/>
    </xf>
    <xf numFmtId="0" fontId="20" fillId="5" borderId="14" xfId="0" applyFont="1" applyFill="1" applyBorder="1" applyAlignment="1">
      <alignment vertical="center"/>
    </xf>
    <xf numFmtId="14" fontId="20" fillId="5" borderId="14" xfId="0" applyNumberFormat="1" applyFont="1" applyFill="1" applyBorder="1" applyAlignment="1">
      <alignment horizontal="center" vertical="center"/>
    </xf>
    <xf numFmtId="37" fontId="20" fillId="5" borderId="14" xfId="0" applyNumberFormat="1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9" fillId="5" borderId="14" xfId="3" quotePrefix="1" applyFont="1" applyFill="1" applyBorder="1" applyAlignment="1">
      <alignment vertical="center"/>
    </xf>
    <xf numFmtId="0" fontId="20" fillId="5" borderId="81" xfId="0" applyFont="1" applyFill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82" xfId="0" applyFont="1" applyFill="1" applyBorder="1" applyAlignment="1">
      <alignment horizontal="center" vertical="center"/>
    </xf>
    <xf numFmtId="0" fontId="20" fillId="5" borderId="14" xfId="0" applyFont="1" applyFill="1" applyBorder="1" applyAlignment="1">
      <alignment horizontal="left" vertical="center"/>
    </xf>
    <xf numFmtId="9" fontId="20" fillId="5" borderId="14" xfId="11" applyFont="1" applyFill="1" applyBorder="1" applyAlignment="1">
      <alignment horizontal="center" vertical="center"/>
    </xf>
    <xf numFmtId="2" fontId="20" fillId="5" borderId="12" xfId="0" applyNumberFormat="1" applyFont="1" applyFill="1" applyBorder="1" applyAlignment="1">
      <alignment horizontal="right" vertical="center"/>
    </xf>
    <xf numFmtId="176" fontId="20" fillId="5" borderId="12" xfId="2" applyNumberFormat="1" applyFont="1" applyFill="1" applyBorder="1" applyAlignment="1">
      <alignment horizontal="right" vertical="center"/>
    </xf>
    <xf numFmtId="0" fontId="20" fillId="5" borderId="12" xfId="0" applyFont="1" applyFill="1" applyBorder="1" applyAlignment="1">
      <alignment horizontal="center" vertical="center"/>
    </xf>
    <xf numFmtId="41" fontId="20" fillId="5" borderId="14" xfId="2" applyNumberFormat="1" applyFont="1" applyFill="1" applyBorder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23" fillId="0" borderId="0" xfId="0" applyFont="1" applyFill="1" applyAlignment="1">
      <alignment vertical="center" wrapText="1"/>
    </xf>
    <xf numFmtId="0" fontId="23" fillId="0" borderId="16" xfId="0" applyFont="1" applyBorder="1" applyAlignment="1">
      <alignment horizontal="left" vertical="center" wrapText="1"/>
    </xf>
    <xf numFmtId="0" fontId="23" fillId="0" borderId="16" xfId="0" applyFont="1" applyBorder="1" applyAlignment="1">
      <alignment horizontal="center" vertical="center" wrapText="1"/>
    </xf>
    <xf numFmtId="9" fontId="23" fillId="0" borderId="16" xfId="11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166" fontId="22" fillId="0" borderId="16" xfId="2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1" fontId="22" fillId="0" borderId="16" xfId="2" applyNumberFormat="1" applyFont="1" applyBorder="1" applyAlignment="1">
      <alignment horizontal="center" vertical="center" wrapText="1"/>
    </xf>
    <xf numFmtId="37" fontId="17" fillId="0" borderId="16" xfId="0" applyNumberFormat="1" applyFont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5" fillId="0" borderId="1" xfId="0" applyFont="1" applyBorder="1" applyAlignment="1">
      <alignment horizontal="center" vertical="center" wrapText="1"/>
    </xf>
    <xf numFmtId="49" fontId="23" fillId="0" borderId="0" xfId="0" applyNumberFormat="1" applyFont="1" applyFill="1" applyAlignment="1">
      <alignment horizontal="left" vertical="justify" wrapText="1"/>
    </xf>
    <xf numFmtId="0" fontId="22" fillId="0" borderId="33" xfId="0" applyFont="1" applyBorder="1" applyAlignment="1">
      <alignment horizontal="center" vertical="center" wrapText="1"/>
    </xf>
    <xf numFmtId="44" fontId="22" fillId="0" borderId="34" xfId="0" applyNumberFormat="1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18" fillId="101" borderId="13" xfId="0" applyFont="1" applyFill="1" applyBorder="1" applyAlignment="1">
      <alignment horizontal="center" vertical="center" wrapText="1"/>
    </xf>
    <xf numFmtId="0" fontId="18" fillId="101" borderId="14" xfId="0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166" fontId="24" fillId="0" borderId="14" xfId="2" applyNumberFormat="1" applyFont="1" applyFill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185" fontId="120" fillId="0" borderId="0" xfId="0" applyNumberFormat="1" applyFont="1" applyFill="1" applyAlignment="1">
      <alignment horizontal="left" vertical="center" wrapText="1"/>
    </xf>
    <xf numFmtId="0" fontId="120" fillId="0" borderId="0" xfId="0" applyFont="1" applyFill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185" fontId="20" fillId="0" borderId="0" xfId="2" applyNumberFormat="1" applyFont="1" applyFill="1" applyAlignment="1">
      <alignment horizontal="left" vertical="top" wrapText="1"/>
    </xf>
    <xf numFmtId="166" fontId="20" fillId="0" borderId="0" xfId="2" applyNumberFormat="1" applyFont="1" applyFill="1" applyAlignment="1">
      <alignment horizontal="left" vertical="top" wrapText="1"/>
    </xf>
    <xf numFmtId="0" fontId="123" fillId="0" borderId="0" xfId="0" applyFont="1" applyFill="1" applyAlignment="1">
      <alignment vertical="center" wrapText="1"/>
    </xf>
    <xf numFmtId="0" fontId="123" fillId="0" borderId="0" xfId="0" applyFont="1" applyFill="1" applyAlignment="1">
      <alignment horizontal="left" vertical="top" wrapText="1"/>
    </xf>
    <xf numFmtId="0" fontId="23" fillId="0" borderId="16" xfId="0" applyFont="1" applyBorder="1" applyAlignment="1">
      <alignment horizontal="left" vertical="center" wrapText="1"/>
    </xf>
    <xf numFmtId="0" fontId="23" fillId="0" borderId="16" xfId="0" applyFont="1" applyBorder="1" applyAlignment="1">
      <alignment horizontal="center" vertical="center" wrapText="1"/>
    </xf>
    <xf numFmtId="9" fontId="23" fillId="0" borderId="16" xfId="11" applyFont="1" applyFill="1" applyBorder="1" applyAlignment="1">
      <alignment horizontal="center" vertical="center" wrapText="1"/>
    </xf>
    <xf numFmtId="49" fontId="23" fillId="0" borderId="16" xfId="0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166" fontId="22" fillId="0" borderId="16" xfId="2" applyNumberFormat="1" applyFont="1" applyFill="1" applyBorder="1" applyAlignment="1">
      <alignment horizontal="center" vertical="center" wrapText="1"/>
    </xf>
    <xf numFmtId="2" fontId="22" fillId="0" borderId="16" xfId="2" applyNumberFormat="1" applyFont="1" applyFill="1" applyBorder="1" applyAlignment="1">
      <alignment horizontal="center" vertical="center" wrapText="1"/>
    </xf>
    <xf numFmtId="176" fontId="22" fillId="0" borderId="16" xfId="2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6" xfId="0" applyFont="1" applyBorder="1" applyAlignment="1">
      <alignment horizontal="center" wrapText="1"/>
    </xf>
    <xf numFmtId="41" fontId="22" fillId="0" borderId="16" xfId="2" applyNumberFormat="1" applyFont="1" applyBorder="1" applyAlignment="1">
      <alignment horizontal="center" vertical="center" wrapText="1"/>
    </xf>
    <xf numFmtId="37" fontId="17" fillId="0" borderId="16" xfId="0" applyNumberFormat="1" applyFont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" fillId="0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9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10" fontId="2" fillId="0" borderId="14" xfId="11" applyNumberFormat="1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2" fillId="3" borderId="13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168" fontId="7" fillId="0" borderId="6" xfId="0" applyNumberFormat="1" applyFont="1" applyBorder="1" applyAlignment="1">
      <alignment horizontal="left"/>
    </xf>
    <xf numFmtId="168" fontId="7" fillId="0" borderId="7" xfId="0" applyNumberFormat="1" applyFont="1" applyBorder="1" applyAlignment="1">
      <alignment horizontal="left"/>
    </xf>
    <xf numFmtId="168" fontId="7" fillId="0" borderId="7" xfId="0" applyNumberFormat="1" applyFont="1" applyBorder="1" applyAlignment="1">
      <alignment horizontal="left" wrapText="1"/>
    </xf>
    <xf numFmtId="168" fontId="7" fillId="0" borderId="8" xfId="0" applyNumberFormat="1" applyFont="1" applyBorder="1" applyAlignment="1">
      <alignment horizontal="left"/>
    </xf>
    <xf numFmtId="168" fontId="7" fillId="2" borderId="1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1" fontId="2" fillId="0" borderId="33" xfId="0" applyNumberFormat="1" applyFont="1" applyBorder="1" applyAlignment="1">
      <alignment horizontal="center" vertical="center"/>
    </xf>
    <xf numFmtId="1" fontId="2" fillId="0" borderId="39" xfId="0" applyNumberFormat="1" applyFont="1" applyBorder="1" applyAlignment="1">
      <alignment horizontal="center" vertical="center"/>
    </xf>
    <xf numFmtId="1" fontId="2" fillId="0" borderId="35" xfId="0" applyNumberFormat="1" applyFont="1" applyBorder="1" applyAlignment="1">
      <alignment horizontal="center" vertical="center"/>
    </xf>
    <xf numFmtId="168" fontId="2" fillId="0" borderId="35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168" fontId="2" fillId="5" borderId="4" xfId="1" applyNumberFormat="1" applyFont="1" applyFill="1" applyBorder="1" applyAlignment="1">
      <alignment horizontal="center"/>
    </xf>
    <xf numFmtId="5" fontId="2" fillId="5" borderId="4" xfId="0" applyNumberFormat="1" applyFont="1" applyFill="1" applyBorder="1" applyAlignment="1">
      <alignment horizontal="center"/>
    </xf>
    <xf numFmtId="1" fontId="2" fillId="5" borderId="4" xfId="0" applyNumberFormat="1" applyFont="1" applyFill="1" applyBorder="1" applyAlignment="1">
      <alignment horizontal="right"/>
    </xf>
    <xf numFmtId="0" fontId="2" fillId="5" borderId="5" xfId="0" applyFont="1" applyFill="1" applyBorder="1" applyAlignment="1">
      <alignment horizontal="center"/>
    </xf>
    <xf numFmtId="42" fontId="0" fillId="6" borderId="7" xfId="0" applyNumberForma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168" fontId="0" fillId="6" borderId="7" xfId="1" applyNumberFormat="1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 wrapText="1"/>
    </xf>
    <xf numFmtId="0" fontId="2" fillId="8" borderId="7" xfId="0" applyFont="1" applyFill="1" applyBorder="1" applyAlignment="1">
      <alignment horizontal="center" wrapText="1"/>
    </xf>
    <xf numFmtId="42" fontId="2" fillId="8" borderId="7" xfId="0" applyNumberFormat="1" applyFont="1" applyFill="1" applyBorder="1" applyAlignment="1">
      <alignment horizontal="center" wrapText="1"/>
    </xf>
    <xf numFmtId="0" fontId="2" fillId="8" borderId="8" xfId="0" applyFont="1" applyFill="1" applyBorder="1" applyAlignment="1">
      <alignment horizontal="center" wrapText="1"/>
    </xf>
    <xf numFmtId="0" fontId="15" fillId="7" borderId="18" xfId="5" applyFont="1" applyFill="1" applyBorder="1" applyAlignment="1">
      <alignment horizontal="center" vertical="center" wrapText="1"/>
    </xf>
    <xf numFmtId="0" fontId="15" fillId="7" borderId="17" xfId="5" applyFont="1" applyFill="1" applyBorder="1" applyAlignment="1">
      <alignment horizontal="center" vertical="center" wrapText="1"/>
    </xf>
    <xf numFmtId="0" fontId="15" fillId="7" borderId="10" xfId="5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18" fillId="102" borderId="13" xfId="0" applyFont="1" applyFill="1" applyBorder="1" applyAlignment="1">
      <alignment horizontal="center" vertical="center" wrapText="1"/>
    </xf>
    <xf numFmtId="0" fontId="18" fillId="102" borderId="14" xfId="0" applyFont="1" applyFill="1" applyBorder="1" applyAlignment="1">
      <alignment horizontal="center" vertical="center" wrapText="1"/>
    </xf>
    <xf numFmtId="0" fontId="18" fillId="102" borderId="9" xfId="0" applyFont="1" applyFill="1" applyBorder="1" applyAlignment="1">
      <alignment horizontal="center" vertical="center" wrapText="1"/>
    </xf>
  </cellXfs>
  <cellStyles count="11854">
    <cellStyle name="20% - Accent1 10" xfId="115" xr:uid="{00000000-0005-0000-0000-000000000000}"/>
    <cellStyle name="20% - Accent1 2" xfId="116" xr:uid="{00000000-0005-0000-0000-000001000000}"/>
    <cellStyle name="20% - Accent1 2 2" xfId="117" xr:uid="{00000000-0005-0000-0000-000002000000}"/>
    <cellStyle name="20% - Accent1 2 2 2" xfId="118" xr:uid="{00000000-0005-0000-0000-000003000000}"/>
    <cellStyle name="20% - Accent1 2 2 3" xfId="119" xr:uid="{00000000-0005-0000-0000-000004000000}"/>
    <cellStyle name="20% - Accent1 2 2_Cap Forecast" xfId="120" xr:uid="{00000000-0005-0000-0000-000005000000}"/>
    <cellStyle name="20% - Accent1 2 3" xfId="121" xr:uid="{00000000-0005-0000-0000-000006000000}"/>
    <cellStyle name="20% - Accent1 2 4" xfId="122" xr:uid="{00000000-0005-0000-0000-000007000000}"/>
    <cellStyle name="20% - Accent1 2_Activity Fcst Variance" xfId="123" xr:uid="{00000000-0005-0000-0000-000008000000}"/>
    <cellStyle name="20% - Accent1 3" xfId="124" xr:uid="{00000000-0005-0000-0000-000009000000}"/>
    <cellStyle name="20% - Accent1 3 2" xfId="125" xr:uid="{00000000-0005-0000-0000-00000A000000}"/>
    <cellStyle name="20% - Accent1 3 3" xfId="126" xr:uid="{00000000-0005-0000-0000-00000B000000}"/>
    <cellStyle name="20% - Accent1 3 4" xfId="127" xr:uid="{00000000-0005-0000-0000-00000C000000}"/>
    <cellStyle name="20% - Accent1 3_Cap Forecast" xfId="128" xr:uid="{00000000-0005-0000-0000-00000D000000}"/>
    <cellStyle name="20% - Accent1 4" xfId="129" xr:uid="{00000000-0005-0000-0000-00000E000000}"/>
    <cellStyle name="20% - Accent1 5" xfId="130" xr:uid="{00000000-0005-0000-0000-00000F000000}"/>
    <cellStyle name="20% - Accent1 6" xfId="131" xr:uid="{00000000-0005-0000-0000-000010000000}"/>
    <cellStyle name="20% - Accent1 7" xfId="132" xr:uid="{00000000-0005-0000-0000-000011000000}"/>
    <cellStyle name="20% - Accent1 8" xfId="133" xr:uid="{00000000-0005-0000-0000-000012000000}"/>
    <cellStyle name="20% - Accent1 9" xfId="134" xr:uid="{00000000-0005-0000-0000-000013000000}"/>
    <cellStyle name="20% - Accent2 10" xfId="135" xr:uid="{00000000-0005-0000-0000-000014000000}"/>
    <cellStyle name="20% - Accent2 2" xfId="136" xr:uid="{00000000-0005-0000-0000-000015000000}"/>
    <cellStyle name="20% - Accent2 2 2" xfId="137" xr:uid="{00000000-0005-0000-0000-000016000000}"/>
    <cellStyle name="20% - Accent2 2 2 2" xfId="138" xr:uid="{00000000-0005-0000-0000-000017000000}"/>
    <cellStyle name="20% - Accent2 2 2 3" xfId="139" xr:uid="{00000000-0005-0000-0000-000018000000}"/>
    <cellStyle name="20% - Accent2 2 2_Cap Forecast" xfId="140" xr:uid="{00000000-0005-0000-0000-000019000000}"/>
    <cellStyle name="20% - Accent2 2 3" xfId="141" xr:uid="{00000000-0005-0000-0000-00001A000000}"/>
    <cellStyle name="20% - Accent2 2 4" xfId="142" xr:uid="{00000000-0005-0000-0000-00001B000000}"/>
    <cellStyle name="20% - Accent2 2_Activity Fcst Variance" xfId="143" xr:uid="{00000000-0005-0000-0000-00001C000000}"/>
    <cellStyle name="20% - Accent2 3" xfId="144" xr:uid="{00000000-0005-0000-0000-00001D000000}"/>
    <cellStyle name="20% - Accent2 3 2" xfId="145" xr:uid="{00000000-0005-0000-0000-00001E000000}"/>
    <cellStyle name="20% - Accent2 3 3" xfId="146" xr:uid="{00000000-0005-0000-0000-00001F000000}"/>
    <cellStyle name="20% - Accent2 3 4" xfId="147" xr:uid="{00000000-0005-0000-0000-000020000000}"/>
    <cellStyle name="20% - Accent2 3_Cap Forecast" xfId="148" xr:uid="{00000000-0005-0000-0000-000021000000}"/>
    <cellStyle name="20% - Accent2 4" xfId="149" xr:uid="{00000000-0005-0000-0000-000022000000}"/>
    <cellStyle name="20% - Accent2 5" xfId="150" xr:uid="{00000000-0005-0000-0000-000023000000}"/>
    <cellStyle name="20% - Accent2 6" xfId="151" xr:uid="{00000000-0005-0000-0000-000024000000}"/>
    <cellStyle name="20% - Accent2 7" xfId="152" xr:uid="{00000000-0005-0000-0000-000025000000}"/>
    <cellStyle name="20% - Accent2 8" xfId="153" xr:uid="{00000000-0005-0000-0000-000026000000}"/>
    <cellStyle name="20% - Accent2 9" xfId="154" xr:uid="{00000000-0005-0000-0000-000027000000}"/>
    <cellStyle name="20% - Accent3 10" xfId="155" xr:uid="{00000000-0005-0000-0000-000028000000}"/>
    <cellStyle name="20% - Accent3 2" xfId="156" xr:uid="{00000000-0005-0000-0000-000029000000}"/>
    <cellStyle name="20% - Accent3 2 2" xfId="157" xr:uid="{00000000-0005-0000-0000-00002A000000}"/>
    <cellStyle name="20% - Accent3 2 2 2" xfId="158" xr:uid="{00000000-0005-0000-0000-00002B000000}"/>
    <cellStyle name="20% - Accent3 2 2 3" xfId="159" xr:uid="{00000000-0005-0000-0000-00002C000000}"/>
    <cellStyle name="20% - Accent3 2 2_Cap Forecast" xfId="160" xr:uid="{00000000-0005-0000-0000-00002D000000}"/>
    <cellStyle name="20% - Accent3 2 3" xfId="161" xr:uid="{00000000-0005-0000-0000-00002E000000}"/>
    <cellStyle name="20% - Accent3 2 4" xfId="162" xr:uid="{00000000-0005-0000-0000-00002F000000}"/>
    <cellStyle name="20% - Accent3 2_Activity Fcst Variance" xfId="163" xr:uid="{00000000-0005-0000-0000-000030000000}"/>
    <cellStyle name="20% - Accent3 3" xfId="164" xr:uid="{00000000-0005-0000-0000-000031000000}"/>
    <cellStyle name="20% - Accent3 3 2" xfId="165" xr:uid="{00000000-0005-0000-0000-000032000000}"/>
    <cellStyle name="20% - Accent3 3 3" xfId="166" xr:uid="{00000000-0005-0000-0000-000033000000}"/>
    <cellStyle name="20% - Accent3 3 4" xfId="167" xr:uid="{00000000-0005-0000-0000-000034000000}"/>
    <cellStyle name="20% - Accent3 3_Cap Forecast" xfId="168" xr:uid="{00000000-0005-0000-0000-000035000000}"/>
    <cellStyle name="20% - Accent3 4" xfId="169" xr:uid="{00000000-0005-0000-0000-000036000000}"/>
    <cellStyle name="20% - Accent3 5" xfId="170" xr:uid="{00000000-0005-0000-0000-000037000000}"/>
    <cellStyle name="20% - Accent3 6" xfId="171" xr:uid="{00000000-0005-0000-0000-000038000000}"/>
    <cellStyle name="20% - Accent3 7" xfId="172" xr:uid="{00000000-0005-0000-0000-000039000000}"/>
    <cellStyle name="20% - Accent3 8" xfId="173" xr:uid="{00000000-0005-0000-0000-00003A000000}"/>
    <cellStyle name="20% - Accent3 9" xfId="174" xr:uid="{00000000-0005-0000-0000-00003B000000}"/>
    <cellStyle name="20% - Accent4 10" xfId="175" xr:uid="{00000000-0005-0000-0000-00003C000000}"/>
    <cellStyle name="20% - Accent4 2" xfId="176" xr:uid="{00000000-0005-0000-0000-00003D000000}"/>
    <cellStyle name="20% - Accent4 2 2" xfId="177" xr:uid="{00000000-0005-0000-0000-00003E000000}"/>
    <cellStyle name="20% - Accent4 2 2 2" xfId="178" xr:uid="{00000000-0005-0000-0000-00003F000000}"/>
    <cellStyle name="20% - Accent4 2 2 3" xfId="179" xr:uid="{00000000-0005-0000-0000-000040000000}"/>
    <cellStyle name="20% - Accent4 2 2_Cap Forecast" xfId="180" xr:uid="{00000000-0005-0000-0000-000041000000}"/>
    <cellStyle name="20% - Accent4 2 3" xfId="181" xr:uid="{00000000-0005-0000-0000-000042000000}"/>
    <cellStyle name="20% - Accent4 2 4" xfId="182" xr:uid="{00000000-0005-0000-0000-000043000000}"/>
    <cellStyle name="20% - Accent4 2_Activity Fcst Variance" xfId="183" xr:uid="{00000000-0005-0000-0000-000044000000}"/>
    <cellStyle name="20% - Accent4 3" xfId="184" xr:uid="{00000000-0005-0000-0000-000045000000}"/>
    <cellStyle name="20% - Accent4 3 2" xfId="185" xr:uid="{00000000-0005-0000-0000-000046000000}"/>
    <cellStyle name="20% - Accent4 3 3" xfId="186" xr:uid="{00000000-0005-0000-0000-000047000000}"/>
    <cellStyle name="20% - Accent4 3 4" xfId="187" xr:uid="{00000000-0005-0000-0000-000048000000}"/>
    <cellStyle name="20% - Accent4 3_Cap Forecast" xfId="188" xr:uid="{00000000-0005-0000-0000-000049000000}"/>
    <cellStyle name="20% - Accent4 4" xfId="189" xr:uid="{00000000-0005-0000-0000-00004A000000}"/>
    <cellStyle name="20% - Accent4 5" xfId="190" xr:uid="{00000000-0005-0000-0000-00004B000000}"/>
    <cellStyle name="20% - Accent4 6" xfId="191" xr:uid="{00000000-0005-0000-0000-00004C000000}"/>
    <cellStyle name="20% - Accent4 7" xfId="192" xr:uid="{00000000-0005-0000-0000-00004D000000}"/>
    <cellStyle name="20% - Accent4 8" xfId="193" xr:uid="{00000000-0005-0000-0000-00004E000000}"/>
    <cellStyle name="20% - Accent4 9" xfId="194" xr:uid="{00000000-0005-0000-0000-00004F000000}"/>
    <cellStyle name="20% - Accent5 10" xfId="195" xr:uid="{00000000-0005-0000-0000-000050000000}"/>
    <cellStyle name="20% - Accent5 2" xfId="196" xr:uid="{00000000-0005-0000-0000-000051000000}"/>
    <cellStyle name="20% - Accent5 2 2" xfId="197" xr:uid="{00000000-0005-0000-0000-000052000000}"/>
    <cellStyle name="20% - Accent5 2 2 2" xfId="198" xr:uid="{00000000-0005-0000-0000-000053000000}"/>
    <cellStyle name="20% - Accent5 2 2 3" xfId="199" xr:uid="{00000000-0005-0000-0000-000054000000}"/>
    <cellStyle name="20% - Accent5 2 2_Cap Forecast" xfId="200" xr:uid="{00000000-0005-0000-0000-000055000000}"/>
    <cellStyle name="20% - Accent5 2 3" xfId="201" xr:uid="{00000000-0005-0000-0000-000056000000}"/>
    <cellStyle name="20% - Accent5 2 4" xfId="202" xr:uid="{00000000-0005-0000-0000-000057000000}"/>
    <cellStyle name="20% - Accent5 2_Activity Fcst Variance" xfId="203" xr:uid="{00000000-0005-0000-0000-000058000000}"/>
    <cellStyle name="20% - Accent5 3" xfId="204" xr:uid="{00000000-0005-0000-0000-000059000000}"/>
    <cellStyle name="20% - Accent5 3 2" xfId="205" xr:uid="{00000000-0005-0000-0000-00005A000000}"/>
    <cellStyle name="20% - Accent5 3 3" xfId="206" xr:uid="{00000000-0005-0000-0000-00005B000000}"/>
    <cellStyle name="20% - Accent5 3 4" xfId="207" xr:uid="{00000000-0005-0000-0000-00005C000000}"/>
    <cellStyle name="20% - Accent5 3_Cap Forecast" xfId="208" xr:uid="{00000000-0005-0000-0000-00005D000000}"/>
    <cellStyle name="20% - Accent5 4" xfId="209" xr:uid="{00000000-0005-0000-0000-00005E000000}"/>
    <cellStyle name="20% - Accent5 5" xfId="210" xr:uid="{00000000-0005-0000-0000-00005F000000}"/>
    <cellStyle name="20% - Accent5 6" xfId="211" xr:uid="{00000000-0005-0000-0000-000060000000}"/>
    <cellStyle name="20% - Accent5 7" xfId="212" xr:uid="{00000000-0005-0000-0000-000061000000}"/>
    <cellStyle name="20% - Accent5 8" xfId="213" xr:uid="{00000000-0005-0000-0000-000062000000}"/>
    <cellStyle name="20% - Accent5 9" xfId="214" xr:uid="{00000000-0005-0000-0000-000063000000}"/>
    <cellStyle name="20% - Accent6 10" xfId="215" xr:uid="{00000000-0005-0000-0000-000064000000}"/>
    <cellStyle name="20% - Accent6 2" xfId="216" xr:uid="{00000000-0005-0000-0000-000065000000}"/>
    <cellStyle name="20% - Accent6 2 2" xfId="217" xr:uid="{00000000-0005-0000-0000-000066000000}"/>
    <cellStyle name="20% - Accent6 2 2 2" xfId="218" xr:uid="{00000000-0005-0000-0000-000067000000}"/>
    <cellStyle name="20% - Accent6 2 2 3" xfId="219" xr:uid="{00000000-0005-0000-0000-000068000000}"/>
    <cellStyle name="20% - Accent6 2 2_Cap Forecast" xfId="220" xr:uid="{00000000-0005-0000-0000-000069000000}"/>
    <cellStyle name="20% - Accent6 2 3" xfId="221" xr:uid="{00000000-0005-0000-0000-00006A000000}"/>
    <cellStyle name="20% - Accent6 2 4" xfId="222" xr:uid="{00000000-0005-0000-0000-00006B000000}"/>
    <cellStyle name="20% - Accent6 2_Activity Fcst Variance" xfId="223" xr:uid="{00000000-0005-0000-0000-00006C000000}"/>
    <cellStyle name="20% - Accent6 3" xfId="224" xr:uid="{00000000-0005-0000-0000-00006D000000}"/>
    <cellStyle name="20% - Accent6 3 2" xfId="225" xr:uid="{00000000-0005-0000-0000-00006E000000}"/>
    <cellStyle name="20% - Accent6 3 3" xfId="226" xr:uid="{00000000-0005-0000-0000-00006F000000}"/>
    <cellStyle name="20% - Accent6 3 4" xfId="227" xr:uid="{00000000-0005-0000-0000-000070000000}"/>
    <cellStyle name="20% - Accent6 3_Cap Forecast" xfId="228" xr:uid="{00000000-0005-0000-0000-000071000000}"/>
    <cellStyle name="20% - Accent6 4" xfId="229" xr:uid="{00000000-0005-0000-0000-000072000000}"/>
    <cellStyle name="20% - Accent6 5" xfId="230" xr:uid="{00000000-0005-0000-0000-000073000000}"/>
    <cellStyle name="20% - Accent6 6" xfId="231" xr:uid="{00000000-0005-0000-0000-000074000000}"/>
    <cellStyle name="20% - Accent6 7" xfId="232" xr:uid="{00000000-0005-0000-0000-000075000000}"/>
    <cellStyle name="20% - Accent6 8" xfId="233" xr:uid="{00000000-0005-0000-0000-000076000000}"/>
    <cellStyle name="20% - Accent6 9" xfId="234" xr:uid="{00000000-0005-0000-0000-000077000000}"/>
    <cellStyle name="2006 PPAs" xfId="235" xr:uid="{00000000-0005-0000-0000-000078000000}"/>
    <cellStyle name="2006 PPAs 2" xfId="9878" xr:uid="{00000000-0005-0000-0000-000079000000}"/>
    <cellStyle name="40% - Accent1 10" xfId="236" xr:uid="{00000000-0005-0000-0000-00007A000000}"/>
    <cellStyle name="40% - Accent1 2" xfId="237" xr:uid="{00000000-0005-0000-0000-00007B000000}"/>
    <cellStyle name="40% - Accent1 2 2" xfId="238" xr:uid="{00000000-0005-0000-0000-00007C000000}"/>
    <cellStyle name="40% - Accent1 2 2 2" xfId="239" xr:uid="{00000000-0005-0000-0000-00007D000000}"/>
    <cellStyle name="40% - Accent1 2 2 3" xfId="240" xr:uid="{00000000-0005-0000-0000-00007E000000}"/>
    <cellStyle name="40% - Accent1 2 2_Cap Forecast" xfId="241" xr:uid="{00000000-0005-0000-0000-00007F000000}"/>
    <cellStyle name="40% - Accent1 2 3" xfId="242" xr:uid="{00000000-0005-0000-0000-000080000000}"/>
    <cellStyle name="40% - Accent1 2 4" xfId="243" xr:uid="{00000000-0005-0000-0000-000081000000}"/>
    <cellStyle name="40% - Accent1 2_Activity Fcst Variance" xfId="244" xr:uid="{00000000-0005-0000-0000-000082000000}"/>
    <cellStyle name="40% - Accent1 3" xfId="245" xr:uid="{00000000-0005-0000-0000-000083000000}"/>
    <cellStyle name="40% - Accent1 3 2" xfId="246" xr:uid="{00000000-0005-0000-0000-000084000000}"/>
    <cellStyle name="40% - Accent1 3 3" xfId="247" xr:uid="{00000000-0005-0000-0000-000085000000}"/>
    <cellStyle name="40% - Accent1 3 4" xfId="248" xr:uid="{00000000-0005-0000-0000-000086000000}"/>
    <cellStyle name="40% - Accent1 3_Cap Forecast" xfId="249" xr:uid="{00000000-0005-0000-0000-000087000000}"/>
    <cellStyle name="40% - Accent1 4" xfId="250" xr:uid="{00000000-0005-0000-0000-000088000000}"/>
    <cellStyle name="40% - Accent1 5" xfId="251" xr:uid="{00000000-0005-0000-0000-000089000000}"/>
    <cellStyle name="40% - Accent1 6" xfId="252" xr:uid="{00000000-0005-0000-0000-00008A000000}"/>
    <cellStyle name="40% - Accent1 7" xfId="253" xr:uid="{00000000-0005-0000-0000-00008B000000}"/>
    <cellStyle name="40% - Accent1 8" xfId="254" xr:uid="{00000000-0005-0000-0000-00008C000000}"/>
    <cellStyle name="40% - Accent1 9" xfId="255" xr:uid="{00000000-0005-0000-0000-00008D000000}"/>
    <cellStyle name="40% - Accent2 10" xfId="256" xr:uid="{00000000-0005-0000-0000-00008E000000}"/>
    <cellStyle name="40% - Accent2 2" xfId="257" xr:uid="{00000000-0005-0000-0000-00008F000000}"/>
    <cellStyle name="40% - Accent2 2 2" xfId="258" xr:uid="{00000000-0005-0000-0000-000090000000}"/>
    <cellStyle name="40% - Accent2 2 2 2" xfId="259" xr:uid="{00000000-0005-0000-0000-000091000000}"/>
    <cellStyle name="40% - Accent2 2 2 3" xfId="260" xr:uid="{00000000-0005-0000-0000-000092000000}"/>
    <cellStyle name="40% - Accent2 2 2_Cap Forecast" xfId="261" xr:uid="{00000000-0005-0000-0000-000093000000}"/>
    <cellStyle name="40% - Accent2 2 3" xfId="262" xr:uid="{00000000-0005-0000-0000-000094000000}"/>
    <cellStyle name="40% - Accent2 2 4" xfId="263" xr:uid="{00000000-0005-0000-0000-000095000000}"/>
    <cellStyle name="40% - Accent2 2_Activity Fcst Variance" xfId="264" xr:uid="{00000000-0005-0000-0000-000096000000}"/>
    <cellStyle name="40% - Accent2 3" xfId="265" xr:uid="{00000000-0005-0000-0000-000097000000}"/>
    <cellStyle name="40% - Accent2 3 2" xfId="266" xr:uid="{00000000-0005-0000-0000-000098000000}"/>
    <cellStyle name="40% - Accent2 3 3" xfId="267" xr:uid="{00000000-0005-0000-0000-000099000000}"/>
    <cellStyle name="40% - Accent2 3 4" xfId="268" xr:uid="{00000000-0005-0000-0000-00009A000000}"/>
    <cellStyle name="40% - Accent2 3_Cap Forecast" xfId="269" xr:uid="{00000000-0005-0000-0000-00009B000000}"/>
    <cellStyle name="40% - Accent2 4" xfId="270" xr:uid="{00000000-0005-0000-0000-00009C000000}"/>
    <cellStyle name="40% - Accent2 5" xfId="271" xr:uid="{00000000-0005-0000-0000-00009D000000}"/>
    <cellStyle name="40% - Accent2 6" xfId="272" xr:uid="{00000000-0005-0000-0000-00009E000000}"/>
    <cellStyle name="40% - Accent2 7" xfId="273" xr:uid="{00000000-0005-0000-0000-00009F000000}"/>
    <cellStyle name="40% - Accent2 8" xfId="274" xr:uid="{00000000-0005-0000-0000-0000A0000000}"/>
    <cellStyle name="40% - Accent2 9" xfId="275" xr:uid="{00000000-0005-0000-0000-0000A1000000}"/>
    <cellStyle name="40% - Accent3 2" xfId="276" xr:uid="{00000000-0005-0000-0000-0000A2000000}"/>
    <cellStyle name="40% - Accent3 3" xfId="277" xr:uid="{00000000-0005-0000-0000-0000A3000000}"/>
    <cellStyle name="40% - Accent3 3 2" xfId="278" xr:uid="{00000000-0005-0000-0000-0000A4000000}"/>
    <cellStyle name="40% - Accent3 3 3" xfId="279" xr:uid="{00000000-0005-0000-0000-0000A5000000}"/>
    <cellStyle name="40% - Accent3 4" xfId="280" xr:uid="{00000000-0005-0000-0000-0000A6000000}"/>
    <cellStyle name="40% - Accent3 5" xfId="281" xr:uid="{00000000-0005-0000-0000-0000A7000000}"/>
    <cellStyle name="40% - Accent3 6" xfId="282" xr:uid="{00000000-0005-0000-0000-0000A8000000}"/>
    <cellStyle name="40% - Accent4 10" xfId="283" xr:uid="{00000000-0005-0000-0000-0000A9000000}"/>
    <cellStyle name="40% - Accent4 2" xfId="284" xr:uid="{00000000-0005-0000-0000-0000AA000000}"/>
    <cellStyle name="40% - Accent4 2 2" xfId="285" xr:uid="{00000000-0005-0000-0000-0000AB000000}"/>
    <cellStyle name="40% - Accent4 2 2 2" xfId="286" xr:uid="{00000000-0005-0000-0000-0000AC000000}"/>
    <cellStyle name="40% - Accent4 2 2 3" xfId="287" xr:uid="{00000000-0005-0000-0000-0000AD000000}"/>
    <cellStyle name="40% - Accent4 2 2_Cap Forecast" xfId="288" xr:uid="{00000000-0005-0000-0000-0000AE000000}"/>
    <cellStyle name="40% - Accent4 2 3" xfId="289" xr:uid="{00000000-0005-0000-0000-0000AF000000}"/>
    <cellStyle name="40% - Accent4 2 4" xfId="290" xr:uid="{00000000-0005-0000-0000-0000B0000000}"/>
    <cellStyle name="40% - Accent4 2_Activity Fcst Variance" xfId="291" xr:uid="{00000000-0005-0000-0000-0000B1000000}"/>
    <cellStyle name="40% - Accent4 3" xfId="292" xr:uid="{00000000-0005-0000-0000-0000B2000000}"/>
    <cellStyle name="40% - Accent4 3 2" xfId="293" xr:uid="{00000000-0005-0000-0000-0000B3000000}"/>
    <cellStyle name="40% - Accent4 3 3" xfId="294" xr:uid="{00000000-0005-0000-0000-0000B4000000}"/>
    <cellStyle name="40% - Accent4 3 4" xfId="295" xr:uid="{00000000-0005-0000-0000-0000B5000000}"/>
    <cellStyle name="40% - Accent4 3_Cap Forecast" xfId="296" xr:uid="{00000000-0005-0000-0000-0000B6000000}"/>
    <cellStyle name="40% - Accent4 4" xfId="297" xr:uid="{00000000-0005-0000-0000-0000B7000000}"/>
    <cellStyle name="40% - Accent4 5" xfId="298" xr:uid="{00000000-0005-0000-0000-0000B8000000}"/>
    <cellStyle name="40% - Accent4 6" xfId="299" xr:uid="{00000000-0005-0000-0000-0000B9000000}"/>
    <cellStyle name="40% - Accent4 7" xfId="300" xr:uid="{00000000-0005-0000-0000-0000BA000000}"/>
    <cellStyle name="40% - Accent4 8" xfId="301" xr:uid="{00000000-0005-0000-0000-0000BB000000}"/>
    <cellStyle name="40% - Accent4 9" xfId="302" xr:uid="{00000000-0005-0000-0000-0000BC000000}"/>
    <cellStyle name="40% - Accent5 2" xfId="303" xr:uid="{00000000-0005-0000-0000-0000BD000000}"/>
    <cellStyle name="40% - Accent5 3" xfId="304" xr:uid="{00000000-0005-0000-0000-0000BE000000}"/>
    <cellStyle name="40% - Accent5 3 2" xfId="305" xr:uid="{00000000-0005-0000-0000-0000BF000000}"/>
    <cellStyle name="40% - Accent5 3 3" xfId="306" xr:uid="{00000000-0005-0000-0000-0000C0000000}"/>
    <cellStyle name="40% - Accent5 4" xfId="307" xr:uid="{00000000-0005-0000-0000-0000C1000000}"/>
    <cellStyle name="40% - Accent5 5" xfId="308" xr:uid="{00000000-0005-0000-0000-0000C2000000}"/>
    <cellStyle name="40% - Accent5 6" xfId="309" xr:uid="{00000000-0005-0000-0000-0000C3000000}"/>
    <cellStyle name="40% - Accent6 2" xfId="310" xr:uid="{00000000-0005-0000-0000-0000C4000000}"/>
    <cellStyle name="40% - Accent6 3" xfId="311" xr:uid="{00000000-0005-0000-0000-0000C5000000}"/>
    <cellStyle name="40% - Accent6 3 2" xfId="312" xr:uid="{00000000-0005-0000-0000-0000C6000000}"/>
    <cellStyle name="40% - Accent6 3 3" xfId="313" xr:uid="{00000000-0005-0000-0000-0000C7000000}"/>
    <cellStyle name="40% - Accent6 4" xfId="314" xr:uid="{00000000-0005-0000-0000-0000C8000000}"/>
    <cellStyle name="40% - Accent6 5" xfId="315" xr:uid="{00000000-0005-0000-0000-0000C9000000}"/>
    <cellStyle name="40% - Accent6 6" xfId="316" xr:uid="{00000000-0005-0000-0000-0000CA000000}"/>
    <cellStyle name="60% - Accent1 10" xfId="317" xr:uid="{00000000-0005-0000-0000-0000CB000000}"/>
    <cellStyle name="60% - Accent1 2" xfId="318" xr:uid="{00000000-0005-0000-0000-0000CC000000}"/>
    <cellStyle name="60% - Accent1 2 2" xfId="319" xr:uid="{00000000-0005-0000-0000-0000CD000000}"/>
    <cellStyle name="60% - Accent1 2 2 2" xfId="320" xr:uid="{00000000-0005-0000-0000-0000CE000000}"/>
    <cellStyle name="60% - Accent1 2 2 3" xfId="321" xr:uid="{00000000-0005-0000-0000-0000CF000000}"/>
    <cellStyle name="60% - Accent1 2 2_Cap Forecast" xfId="322" xr:uid="{00000000-0005-0000-0000-0000D0000000}"/>
    <cellStyle name="60% - Accent1 2 3" xfId="323" xr:uid="{00000000-0005-0000-0000-0000D1000000}"/>
    <cellStyle name="60% - Accent1 2 4" xfId="324" xr:uid="{00000000-0005-0000-0000-0000D2000000}"/>
    <cellStyle name="60% - Accent1 2_Activity Fcst Variance" xfId="325" xr:uid="{00000000-0005-0000-0000-0000D3000000}"/>
    <cellStyle name="60% - Accent1 3" xfId="326" xr:uid="{00000000-0005-0000-0000-0000D4000000}"/>
    <cellStyle name="60% - Accent1 3 2" xfId="327" xr:uid="{00000000-0005-0000-0000-0000D5000000}"/>
    <cellStyle name="60% - Accent1 3 3" xfId="328" xr:uid="{00000000-0005-0000-0000-0000D6000000}"/>
    <cellStyle name="60% - Accent1 3 4" xfId="329" xr:uid="{00000000-0005-0000-0000-0000D7000000}"/>
    <cellStyle name="60% - Accent1 3_Cap Forecast" xfId="330" xr:uid="{00000000-0005-0000-0000-0000D8000000}"/>
    <cellStyle name="60% - Accent1 4" xfId="331" xr:uid="{00000000-0005-0000-0000-0000D9000000}"/>
    <cellStyle name="60% - Accent1 5" xfId="332" xr:uid="{00000000-0005-0000-0000-0000DA000000}"/>
    <cellStyle name="60% - Accent1 6" xfId="333" xr:uid="{00000000-0005-0000-0000-0000DB000000}"/>
    <cellStyle name="60% - Accent1 7" xfId="334" xr:uid="{00000000-0005-0000-0000-0000DC000000}"/>
    <cellStyle name="60% - Accent1 8" xfId="335" xr:uid="{00000000-0005-0000-0000-0000DD000000}"/>
    <cellStyle name="60% - Accent1 9" xfId="336" xr:uid="{00000000-0005-0000-0000-0000DE000000}"/>
    <cellStyle name="60% - Accent2 10" xfId="337" xr:uid="{00000000-0005-0000-0000-0000DF000000}"/>
    <cellStyle name="60% - Accent2 2" xfId="338" xr:uid="{00000000-0005-0000-0000-0000E0000000}"/>
    <cellStyle name="60% - Accent2 2 2" xfId="339" xr:uid="{00000000-0005-0000-0000-0000E1000000}"/>
    <cellStyle name="60% - Accent2 2 2 2" xfId="340" xr:uid="{00000000-0005-0000-0000-0000E2000000}"/>
    <cellStyle name="60% - Accent2 2 2 3" xfId="341" xr:uid="{00000000-0005-0000-0000-0000E3000000}"/>
    <cellStyle name="60% - Accent2 2 2_Cap Forecast" xfId="342" xr:uid="{00000000-0005-0000-0000-0000E4000000}"/>
    <cellStyle name="60% - Accent2 2 3" xfId="343" xr:uid="{00000000-0005-0000-0000-0000E5000000}"/>
    <cellStyle name="60% - Accent2 2 4" xfId="344" xr:uid="{00000000-0005-0000-0000-0000E6000000}"/>
    <cellStyle name="60% - Accent2 2_Activity Fcst Variance" xfId="345" xr:uid="{00000000-0005-0000-0000-0000E7000000}"/>
    <cellStyle name="60% - Accent2 3" xfId="346" xr:uid="{00000000-0005-0000-0000-0000E8000000}"/>
    <cellStyle name="60% - Accent2 3 2" xfId="347" xr:uid="{00000000-0005-0000-0000-0000E9000000}"/>
    <cellStyle name="60% - Accent2 3 3" xfId="348" xr:uid="{00000000-0005-0000-0000-0000EA000000}"/>
    <cellStyle name="60% - Accent2 3 4" xfId="349" xr:uid="{00000000-0005-0000-0000-0000EB000000}"/>
    <cellStyle name="60% - Accent2 3_Cap Forecast" xfId="350" xr:uid="{00000000-0005-0000-0000-0000EC000000}"/>
    <cellStyle name="60% - Accent2 4" xfId="351" xr:uid="{00000000-0005-0000-0000-0000ED000000}"/>
    <cellStyle name="60% - Accent2 5" xfId="352" xr:uid="{00000000-0005-0000-0000-0000EE000000}"/>
    <cellStyle name="60% - Accent2 6" xfId="353" xr:uid="{00000000-0005-0000-0000-0000EF000000}"/>
    <cellStyle name="60% - Accent2 7" xfId="354" xr:uid="{00000000-0005-0000-0000-0000F0000000}"/>
    <cellStyle name="60% - Accent2 8" xfId="355" xr:uid="{00000000-0005-0000-0000-0000F1000000}"/>
    <cellStyle name="60% - Accent2 9" xfId="356" xr:uid="{00000000-0005-0000-0000-0000F2000000}"/>
    <cellStyle name="60% - Accent3 2" xfId="357" xr:uid="{00000000-0005-0000-0000-0000F3000000}"/>
    <cellStyle name="60% - Accent3 3" xfId="358" xr:uid="{00000000-0005-0000-0000-0000F4000000}"/>
    <cellStyle name="60% - Accent3 3 2" xfId="359" xr:uid="{00000000-0005-0000-0000-0000F5000000}"/>
    <cellStyle name="60% - Accent3 3 3" xfId="360" xr:uid="{00000000-0005-0000-0000-0000F6000000}"/>
    <cellStyle name="60% - Accent3 4" xfId="361" xr:uid="{00000000-0005-0000-0000-0000F7000000}"/>
    <cellStyle name="60% - Accent3 5" xfId="362" xr:uid="{00000000-0005-0000-0000-0000F8000000}"/>
    <cellStyle name="60% - Accent3 6" xfId="363" xr:uid="{00000000-0005-0000-0000-0000F9000000}"/>
    <cellStyle name="60% - Accent4 10" xfId="364" xr:uid="{00000000-0005-0000-0000-0000FA000000}"/>
    <cellStyle name="60% - Accent4 2" xfId="365" xr:uid="{00000000-0005-0000-0000-0000FB000000}"/>
    <cellStyle name="60% - Accent4 2 2" xfId="366" xr:uid="{00000000-0005-0000-0000-0000FC000000}"/>
    <cellStyle name="60% - Accent4 2 2 2" xfId="367" xr:uid="{00000000-0005-0000-0000-0000FD000000}"/>
    <cellStyle name="60% - Accent4 2 2 3" xfId="368" xr:uid="{00000000-0005-0000-0000-0000FE000000}"/>
    <cellStyle name="60% - Accent4 2 2_Cap Forecast" xfId="369" xr:uid="{00000000-0005-0000-0000-0000FF000000}"/>
    <cellStyle name="60% - Accent4 2 3" xfId="370" xr:uid="{00000000-0005-0000-0000-000000010000}"/>
    <cellStyle name="60% - Accent4 2 4" xfId="371" xr:uid="{00000000-0005-0000-0000-000001010000}"/>
    <cellStyle name="60% - Accent4 2_Activity Fcst Variance" xfId="372" xr:uid="{00000000-0005-0000-0000-000002010000}"/>
    <cellStyle name="60% - Accent4 3" xfId="373" xr:uid="{00000000-0005-0000-0000-000003010000}"/>
    <cellStyle name="60% - Accent4 3 2" xfId="374" xr:uid="{00000000-0005-0000-0000-000004010000}"/>
    <cellStyle name="60% - Accent4 3 3" xfId="375" xr:uid="{00000000-0005-0000-0000-000005010000}"/>
    <cellStyle name="60% - Accent4 3 4" xfId="376" xr:uid="{00000000-0005-0000-0000-000006010000}"/>
    <cellStyle name="60% - Accent4 3_Cap Forecast" xfId="377" xr:uid="{00000000-0005-0000-0000-000007010000}"/>
    <cellStyle name="60% - Accent4 4" xfId="378" xr:uid="{00000000-0005-0000-0000-000008010000}"/>
    <cellStyle name="60% - Accent4 5" xfId="379" xr:uid="{00000000-0005-0000-0000-000009010000}"/>
    <cellStyle name="60% - Accent4 6" xfId="380" xr:uid="{00000000-0005-0000-0000-00000A010000}"/>
    <cellStyle name="60% - Accent4 7" xfId="381" xr:uid="{00000000-0005-0000-0000-00000B010000}"/>
    <cellStyle name="60% - Accent4 8" xfId="382" xr:uid="{00000000-0005-0000-0000-00000C010000}"/>
    <cellStyle name="60% - Accent4 9" xfId="383" xr:uid="{00000000-0005-0000-0000-00000D010000}"/>
    <cellStyle name="60% - Accent5 10" xfId="384" xr:uid="{00000000-0005-0000-0000-00000E010000}"/>
    <cellStyle name="60% - Accent5 2" xfId="385" xr:uid="{00000000-0005-0000-0000-00000F010000}"/>
    <cellStyle name="60% - Accent5 2 2" xfId="386" xr:uid="{00000000-0005-0000-0000-000010010000}"/>
    <cellStyle name="60% - Accent5 2 2 2" xfId="387" xr:uid="{00000000-0005-0000-0000-000011010000}"/>
    <cellStyle name="60% - Accent5 2 2 3" xfId="388" xr:uid="{00000000-0005-0000-0000-000012010000}"/>
    <cellStyle name="60% - Accent5 2 2_Cap Forecast" xfId="389" xr:uid="{00000000-0005-0000-0000-000013010000}"/>
    <cellStyle name="60% - Accent5 2 3" xfId="390" xr:uid="{00000000-0005-0000-0000-000014010000}"/>
    <cellStyle name="60% - Accent5 2 4" xfId="391" xr:uid="{00000000-0005-0000-0000-000015010000}"/>
    <cellStyle name="60% - Accent5 2_Activity Fcst Variance" xfId="392" xr:uid="{00000000-0005-0000-0000-000016010000}"/>
    <cellStyle name="60% - Accent5 3" xfId="393" xr:uid="{00000000-0005-0000-0000-000017010000}"/>
    <cellStyle name="60% - Accent5 3 2" xfId="394" xr:uid="{00000000-0005-0000-0000-000018010000}"/>
    <cellStyle name="60% - Accent5 3 3" xfId="395" xr:uid="{00000000-0005-0000-0000-000019010000}"/>
    <cellStyle name="60% - Accent5 3 4" xfId="396" xr:uid="{00000000-0005-0000-0000-00001A010000}"/>
    <cellStyle name="60% - Accent5 3_Cap Forecast" xfId="397" xr:uid="{00000000-0005-0000-0000-00001B010000}"/>
    <cellStyle name="60% - Accent5 4" xfId="398" xr:uid="{00000000-0005-0000-0000-00001C010000}"/>
    <cellStyle name="60% - Accent5 5" xfId="399" xr:uid="{00000000-0005-0000-0000-00001D010000}"/>
    <cellStyle name="60% - Accent5 6" xfId="400" xr:uid="{00000000-0005-0000-0000-00001E010000}"/>
    <cellStyle name="60% - Accent5 7" xfId="401" xr:uid="{00000000-0005-0000-0000-00001F010000}"/>
    <cellStyle name="60% - Accent5 8" xfId="402" xr:uid="{00000000-0005-0000-0000-000020010000}"/>
    <cellStyle name="60% - Accent5 9" xfId="403" xr:uid="{00000000-0005-0000-0000-000021010000}"/>
    <cellStyle name="60% - Accent6 10" xfId="404" xr:uid="{00000000-0005-0000-0000-000022010000}"/>
    <cellStyle name="60% - Accent6 2" xfId="405" xr:uid="{00000000-0005-0000-0000-000023010000}"/>
    <cellStyle name="60% - Accent6 2 2" xfId="406" xr:uid="{00000000-0005-0000-0000-000024010000}"/>
    <cellStyle name="60% - Accent6 2 2 2" xfId="407" xr:uid="{00000000-0005-0000-0000-000025010000}"/>
    <cellStyle name="60% - Accent6 2 2 3" xfId="408" xr:uid="{00000000-0005-0000-0000-000026010000}"/>
    <cellStyle name="60% - Accent6 2 2_Cap Forecast" xfId="409" xr:uid="{00000000-0005-0000-0000-000027010000}"/>
    <cellStyle name="60% - Accent6 2 3" xfId="410" xr:uid="{00000000-0005-0000-0000-000028010000}"/>
    <cellStyle name="60% - Accent6 2 4" xfId="411" xr:uid="{00000000-0005-0000-0000-000029010000}"/>
    <cellStyle name="60% - Accent6 2_Activity Fcst Variance" xfId="412" xr:uid="{00000000-0005-0000-0000-00002A010000}"/>
    <cellStyle name="60% - Accent6 3" xfId="413" xr:uid="{00000000-0005-0000-0000-00002B010000}"/>
    <cellStyle name="60% - Accent6 3 2" xfId="414" xr:uid="{00000000-0005-0000-0000-00002C010000}"/>
    <cellStyle name="60% - Accent6 3 3" xfId="415" xr:uid="{00000000-0005-0000-0000-00002D010000}"/>
    <cellStyle name="60% - Accent6 3 4" xfId="416" xr:uid="{00000000-0005-0000-0000-00002E010000}"/>
    <cellStyle name="60% - Accent6 3_Cap Forecast" xfId="417" xr:uid="{00000000-0005-0000-0000-00002F010000}"/>
    <cellStyle name="60% - Accent6 4" xfId="418" xr:uid="{00000000-0005-0000-0000-000030010000}"/>
    <cellStyle name="60% - Accent6 5" xfId="419" xr:uid="{00000000-0005-0000-0000-000031010000}"/>
    <cellStyle name="60% - Accent6 6" xfId="420" xr:uid="{00000000-0005-0000-0000-000032010000}"/>
    <cellStyle name="60% - Accent6 7" xfId="421" xr:uid="{00000000-0005-0000-0000-000033010000}"/>
    <cellStyle name="60% - Accent6 8" xfId="422" xr:uid="{00000000-0005-0000-0000-000034010000}"/>
    <cellStyle name="60% - Accent6 9" xfId="423" xr:uid="{00000000-0005-0000-0000-000035010000}"/>
    <cellStyle name="Accent1 - 20%" xfId="16" xr:uid="{00000000-0005-0000-0000-000036010000}"/>
    <cellStyle name="Accent1 - 20% 2" xfId="424" xr:uid="{00000000-0005-0000-0000-000037010000}"/>
    <cellStyle name="Accent1 - 20% 2 2" xfId="425" xr:uid="{00000000-0005-0000-0000-000038010000}"/>
    <cellStyle name="Accent1 - 20% 2 2 2" xfId="426" xr:uid="{00000000-0005-0000-0000-000039010000}"/>
    <cellStyle name="Accent1 - 20% 2 2 3" xfId="427" xr:uid="{00000000-0005-0000-0000-00003A010000}"/>
    <cellStyle name="Accent1 - 20% 2 2_Cap Forecast" xfId="428" xr:uid="{00000000-0005-0000-0000-00003B010000}"/>
    <cellStyle name="Accent1 - 20% 2 3" xfId="429" xr:uid="{00000000-0005-0000-0000-00003C010000}"/>
    <cellStyle name="Accent1 - 20% 2 4" xfId="430" xr:uid="{00000000-0005-0000-0000-00003D010000}"/>
    <cellStyle name="Accent1 - 20% 2 5" xfId="431" xr:uid="{00000000-0005-0000-0000-00003E010000}"/>
    <cellStyle name="Accent1 - 20% 2_Activity Fcst Variance" xfId="432" xr:uid="{00000000-0005-0000-0000-00003F010000}"/>
    <cellStyle name="Accent1 - 20% 3" xfId="433" xr:uid="{00000000-0005-0000-0000-000040010000}"/>
    <cellStyle name="Accent1 - 20% 3 2" xfId="434" xr:uid="{00000000-0005-0000-0000-000041010000}"/>
    <cellStyle name="Accent1 - 20% 3 3" xfId="435" xr:uid="{00000000-0005-0000-0000-000042010000}"/>
    <cellStyle name="Accent1 - 20% 3 4" xfId="436" xr:uid="{00000000-0005-0000-0000-000043010000}"/>
    <cellStyle name="Accent1 - 20% 4" xfId="437" xr:uid="{00000000-0005-0000-0000-000044010000}"/>
    <cellStyle name="Accent1 - 20% 5" xfId="438" xr:uid="{00000000-0005-0000-0000-000045010000}"/>
    <cellStyle name="Accent1 - 20% 6" xfId="439" xr:uid="{00000000-0005-0000-0000-000046010000}"/>
    <cellStyle name="Accent1 - 20% 7" xfId="440" xr:uid="{00000000-0005-0000-0000-000047010000}"/>
    <cellStyle name="Accent1 - 20% 8" xfId="9696" xr:uid="{00000000-0005-0000-0000-000048010000}"/>
    <cellStyle name="Accent1 - 20%_BOT Summary" xfId="10477" xr:uid="{00000000-0005-0000-0000-000049010000}"/>
    <cellStyle name="Accent1 - 40%" xfId="17" xr:uid="{00000000-0005-0000-0000-00004A010000}"/>
    <cellStyle name="Accent1 - 40% 2" xfId="441" xr:uid="{00000000-0005-0000-0000-00004B010000}"/>
    <cellStyle name="Accent1 - 40% 2 2" xfId="442" xr:uid="{00000000-0005-0000-0000-00004C010000}"/>
    <cellStyle name="Accent1 - 40% 2 2 2" xfId="443" xr:uid="{00000000-0005-0000-0000-00004D010000}"/>
    <cellStyle name="Accent1 - 40% 2 2 3" xfId="444" xr:uid="{00000000-0005-0000-0000-00004E010000}"/>
    <cellStyle name="Accent1 - 40% 2 2_Cap Forecast" xfId="445" xr:uid="{00000000-0005-0000-0000-00004F010000}"/>
    <cellStyle name="Accent1 - 40% 2 3" xfId="446" xr:uid="{00000000-0005-0000-0000-000050010000}"/>
    <cellStyle name="Accent1 - 40% 2 4" xfId="447" xr:uid="{00000000-0005-0000-0000-000051010000}"/>
    <cellStyle name="Accent1 - 40% 2 5" xfId="448" xr:uid="{00000000-0005-0000-0000-000052010000}"/>
    <cellStyle name="Accent1 - 40% 2_Activity Fcst Variance" xfId="449" xr:uid="{00000000-0005-0000-0000-000053010000}"/>
    <cellStyle name="Accent1 - 40% 3" xfId="450" xr:uid="{00000000-0005-0000-0000-000054010000}"/>
    <cellStyle name="Accent1 - 40% 3 2" xfId="451" xr:uid="{00000000-0005-0000-0000-000055010000}"/>
    <cellStyle name="Accent1 - 40% 3 3" xfId="452" xr:uid="{00000000-0005-0000-0000-000056010000}"/>
    <cellStyle name="Accent1 - 40% 3 4" xfId="453" xr:uid="{00000000-0005-0000-0000-000057010000}"/>
    <cellStyle name="Accent1 - 40% 4" xfId="454" xr:uid="{00000000-0005-0000-0000-000058010000}"/>
    <cellStyle name="Accent1 - 40% 5" xfId="455" xr:uid="{00000000-0005-0000-0000-000059010000}"/>
    <cellStyle name="Accent1 - 40% 6" xfId="456" xr:uid="{00000000-0005-0000-0000-00005A010000}"/>
    <cellStyle name="Accent1 - 40% 7" xfId="457" xr:uid="{00000000-0005-0000-0000-00005B010000}"/>
    <cellStyle name="Accent1 - 40% 8" xfId="9697" xr:uid="{00000000-0005-0000-0000-00005C010000}"/>
    <cellStyle name="Accent1 - 40%_BOT Summary" xfId="10478" xr:uid="{00000000-0005-0000-0000-00005D010000}"/>
    <cellStyle name="Accent1 - 60%" xfId="18" xr:uid="{00000000-0005-0000-0000-00005E010000}"/>
    <cellStyle name="Accent1 - 60% 2" xfId="458" xr:uid="{00000000-0005-0000-0000-00005F010000}"/>
    <cellStyle name="Accent1 - 60% 2 2" xfId="459" xr:uid="{00000000-0005-0000-0000-000060010000}"/>
    <cellStyle name="Accent1 - 60% 2 2 2" xfId="460" xr:uid="{00000000-0005-0000-0000-000061010000}"/>
    <cellStyle name="Accent1 - 60% 2 2 3" xfId="461" xr:uid="{00000000-0005-0000-0000-000062010000}"/>
    <cellStyle name="Accent1 - 60% 2 2_Cap Forecast" xfId="462" xr:uid="{00000000-0005-0000-0000-000063010000}"/>
    <cellStyle name="Accent1 - 60% 2 3" xfId="463" xr:uid="{00000000-0005-0000-0000-000064010000}"/>
    <cellStyle name="Accent1 - 60% 2 4" xfId="464" xr:uid="{00000000-0005-0000-0000-000065010000}"/>
    <cellStyle name="Accent1 - 60% 2 5" xfId="465" xr:uid="{00000000-0005-0000-0000-000066010000}"/>
    <cellStyle name="Accent1 - 60% 2_Activity Fcst Variance" xfId="466" xr:uid="{00000000-0005-0000-0000-000067010000}"/>
    <cellStyle name="Accent1 - 60% 3" xfId="467" xr:uid="{00000000-0005-0000-0000-000068010000}"/>
    <cellStyle name="Accent1 - 60% 3 2" xfId="468" xr:uid="{00000000-0005-0000-0000-000069010000}"/>
    <cellStyle name="Accent1 - 60% 3 3" xfId="469" xr:uid="{00000000-0005-0000-0000-00006A010000}"/>
    <cellStyle name="Accent1 - 60% 4" xfId="470" xr:uid="{00000000-0005-0000-0000-00006B010000}"/>
    <cellStyle name="Accent1 - 60% 5" xfId="471" xr:uid="{00000000-0005-0000-0000-00006C010000}"/>
    <cellStyle name="Accent1 - 60% 6" xfId="472" xr:uid="{00000000-0005-0000-0000-00006D010000}"/>
    <cellStyle name="Accent1 - 60% 7" xfId="473" xr:uid="{00000000-0005-0000-0000-00006E010000}"/>
    <cellStyle name="Accent1 - 60% 8" xfId="9698" xr:uid="{00000000-0005-0000-0000-00006F010000}"/>
    <cellStyle name="Accent1 - 60%_BOT Summary" xfId="10479" xr:uid="{00000000-0005-0000-0000-000070010000}"/>
    <cellStyle name="Accent1 10" xfId="474" xr:uid="{00000000-0005-0000-0000-000071010000}"/>
    <cellStyle name="Accent1 100" xfId="11648" xr:uid="{00000000-0005-0000-0000-000072010000}"/>
    <cellStyle name="Accent1 101" xfId="11653" xr:uid="{00000000-0005-0000-0000-000073010000}"/>
    <cellStyle name="Accent1 102" xfId="11658" xr:uid="{00000000-0005-0000-0000-000074010000}"/>
    <cellStyle name="Accent1 103" xfId="11662" xr:uid="{00000000-0005-0000-0000-000075010000}"/>
    <cellStyle name="Accent1 104" xfId="11667" xr:uid="{00000000-0005-0000-0000-000076010000}"/>
    <cellStyle name="Accent1 105" xfId="11670" xr:uid="{00000000-0005-0000-0000-000077010000}"/>
    <cellStyle name="Accent1 106" xfId="11665" xr:uid="{00000000-0005-0000-0000-000078010000}"/>
    <cellStyle name="Accent1 107" xfId="11673" xr:uid="{00000000-0005-0000-0000-000079010000}"/>
    <cellStyle name="Accent1 108" xfId="11718" xr:uid="{00000000-0005-0000-0000-00007A010000}"/>
    <cellStyle name="Accent1 109" xfId="11731" xr:uid="{00000000-0005-0000-0000-00007B010000}"/>
    <cellStyle name="Accent1 11" xfId="475" xr:uid="{00000000-0005-0000-0000-00007C010000}"/>
    <cellStyle name="Accent1 110" xfId="11743" xr:uid="{00000000-0005-0000-0000-00007D010000}"/>
    <cellStyle name="Accent1 111" xfId="11754" xr:uid="{00000000-0005-0000-0000-00007E010000}"/>
    <cellStyle name="Accent1 112" xfId="11763" xr:uid="{00000000-0005-0000-0000-00007F010000}"/>
    <cellStyle name="Accent1 113" xfId="11781" xr:uid="{00000000-0005-0000-0000-000080010000}"/>
    <cellStyle name="Accent1 114" xfId="11798" xr:uid="{00000000-0005-0000-0000-000081010000}"/>
    <cellStyle name="Accent1 115" xfId="11802" xr:uid="{00000000-0005-0000-0000-000082010000}"/>
    <cellStyle name="Accent1 116" xfId="11809" xr:uid="{00000000-0005-0000-0000-000083010000}"/>
    <cellStyle name="Accent1 117" xfId="11833" xr:uid="{00000000-0005-0000-0000-000084010000}"/>
    <cellStyle name="Accent1 118" xfId="15" xr:uid="{00000000-0005-0000-0000-000085010000}"/>
    <cellStyle name="Accent1 119" xfId="114" xr:uid="{00000000-0005-0000-0000-000086010000}"/>
    <cellStyle name="Accent1 12" xfId="476" xr:uid="{00000000-0005-0000-0000-000087010000}"/>
    <cellStyle name="Accent1 120" xfId="11852" xr:uid="{00000000-0005-0000-0000-000088010000}"/>
    <cellStyle name="Accent1 13" xfId="477" xr:uid="{00000000-0005-0000-0000-000089010000}"/>
    <cellStyle name="Accent1 14" xfId="478" xr:uid="{00000000-0005-0000-0000-00008A010000}"/>
    <cellStyle name="Accent1 15" xfId="479" xr:uid="{00000000-0005-0000-0000-00008B010000}"/>
    <cellStyle name="Accent1 16" xfId="480" xr:uid="{00000000-0005-0000-0000-00008C010000}"/>
    <cellStyle name="Accent1 17" xfId="481" xr:uid="{00000000-0005-0000-0000-00008D010000}"/>
    <cellStyle name="Accent1 18" xfId="482" xr:uid="{00000000-0005-0000-0000-00008E010000}"/>
    <cellStyle name="Accent1 19" xfId="483" xr:uid="{00000000-0005-0000-0000-00008F010000}"/>
    <cellStyle name="Accent1 2" xfId="484" xr:uid="{00000000-0005-0000-0000-000090010000}"/>
    <cellStyle name="Accent1 20" xfId="485" xr:uid="{00000000-0005-0000-0000-000091010000}"/>
    <cellStyle name="Accent1 21" xfId="486" xr:uid="{00000000-0005-0000-0000-000092010000}"/>
    <cellStyle name="Accent1 22" xfId="9604" xr:uid="{00000000-0005-0000-0000-000093010000}"/>
    <cellStyle name="Accent1 23" xfId="9646" xr:uid="{00000000-0005-0000-0000-000094010000}"/>
    <cellStyle name="Accent1 24" xfId="9653" xr:uid="{00000000-0005-0000-0000-000095010000}"/>
    <cellStyle name="Accent1 25" xfId="9659" xr:uid="{00000000-0005-0000-0000-000096010000}"/>
    <cellStyle name="Accent1 26" xfId="9664" xr:uid="{00000000-0005-0000-0000-000097010000}"/>
    <cellStyle name="Accent1 27" xfId="9670" xr:uid="{00000000-0005-0000-0000-000098010000}"/>
    <cellStyle name="Accent1 28" xfId="9674" xr:uid="{00000000-0005-0000-0000-000099010000}"/>
    <cellStyle name="Accent1 29" xfId="9677" xr:uid="{00000000-0005-0000-0000-00009A010000}"/>
    <cellStyle name="Accent1 3" xfId="487" xr:uid="{00000000-0005-0000-0000-00009B010000}"/>
    <cellStyle name="Accent1 30" xfId="9695" xr:uid="{00000000-0005-0000-0000-00009C010000}"/>
    <cellStyle name="Accent1 31" xfId="10550" xr:uid="{00000000-0005-0000-0000-00009D010000}"/>
    <cellStyle name="Accent1 32" xfId="10584" xr:uid="{00000000-0005-0000-0000-00009E010000}"/>
    <cellStyle name="Accent1 33" xfId="10592" xr:uid="{00000000-0005-0000-0000-00009F010000}"/>
    <cellStyle name="Accent1 34" xfId="10616" xr:uid="{00000000-0005-0000-0000-0000A0010000}"/>
    <cellStyle name="Accent1 35" xfId="10632" xr:uid="{00000000-0005-0000-0000-0000A1010000}"/>
    <cellStyle name="Accent1 36" xfId="10642" xr:uid="{00000000-0005-0000-0000-0000A2010000}"/>
    <cellStyle name="Accent1 37" xfId="10671" xr:uid="{00000000-0005-0000-0000-0000A3010000}"/>
    <cellStyle name="Accent1 38" xfId="10698" xr:uid="{00000000-0005-0000-0000-0000A4010000}"/>
    <cellStyle name="Accent1 39" xfId="10705" xr:uid="{00000000-0005-0000-0000-0000A5010000}"/>
    <cellStyle name="Accent1 4" xfId="488" xr:uid="{00000000-0005-0000-0000-0000A6010000}"/>
    <cellStyle name="Accent1 40" xfId="10708" xr:uid="{00000000-0005-0000-0000-0000A7010000}"/>
    <cellStyle name="Accent1 41" xfId="10744" xr:uid="{00000000-0005-0000-0000-0000A8010000}"/>
    <cellStyle name="Accent1 42" xfId="10754" xr:uid="{00000000-0005-0000-0000-0000A9010000}"/>
    <cellStyle name="Accent1 43" xfId="10759" xr:uid="{00000000-0005-0000-0000-0000AA010000}"/>
    <cellStyle name="Accent1 44" xfId="10770" xr:uid="{00000000-0005-0000-0000-0000AB010000}"/>
    <cellStyle name="Accent1 45" xfId="10788" xr:uid="{00000000-0005-0000-0000-0000AC010000}"/>
    <cellStyle name="Accent1 46" xfId="10791" xr:uid="{00000000-0005-0000-0000-0000AD010000}"/>
    <cellStyle name="Accent1 47" xfId="10794" xr:uid="{00000000-0005-0000-0000-0000AE010000}"/>
    <cellStyle name="Accent1 48" xfId="10844" xr:uid="{00000000-0005-0000-0000-0000AF010000}"/>
    <cellStyle name="Accent1 49" xfId="10860" xr:uid="{00000000-0005-0000-0000-0000B0010000}"/>
    <cellStyle name="Accent1 5" xfId="489" xr:uid="{00000000-0005-0000-0000-0000B1010000}"/>
    <cellStyle name="Accent1 50" xfId="10875" xr:uid="{00000000-0005-0000-0000-0000B2010000}"/>
    <cellStyle name="Accent1 51" xfId="10889" xr:uid="{00000000-0005-0000-0000-0000B3010000}"/>
    <cellStyle name="Accent1 52" xfId="10903" xr:uid="{00000000-0005-0000-0000-0000B4010000}"/>
    <cellStyle name="Accent1 53" xfId="10916" xr:uid="{00000000-0005-0000-0000-0000B5010000}"/>
    <cellStyle name="Accent1 54" xfId="10924" xr:uid="{00000000-0005-0000-0000-0000B6010000}"/>
    <cellStyle name="Accent1 55" xfId="10931" xr:uid="{00000000-0005-0000-0000-0000B7010000}"/>
    <cellStyle name="Accent1 56" xfId="11010" xr:uid="{00000000-0005-0000-0000-0000B8010000}"/>
    <cellStyle name="Accent1 57" xfId="10950" xr:uid="{00000000-0005-0000-0000-0000B9010000}"/>
    <cellStyle name="Accent1 58" xfId="10985" xr:uid="{00000000-0005-0000-0000-0000BA010000}"/>
    <cellStyle name="Accent1 59" xfId="11200" xr:uid="{00000000-0005-0000-0000-0000BB010000}"/>
    <cellStyle name="Accent1 6" xfId="490" xr:uid="{00000000-0005-0000-0000-0000BC010000}"/>
    <cellStyle name="Accent1 60" xfId="11228" xr:uid="{00000000-0005-0000-0000-0000BD010000}"/>
    <cellStyle name="Accent1 61" xfId="11243" xr:uid="{00000000-0005-0000-0000-0000BE010000}"/>
    <cellStyle name="Accent1 62" xfId="11256" xr:uid="{00000000-0005-0000-0000-0000BF010000}"/>
    <cellStyle name="Accent1 63" xfId="11306" xr:uid="{00000000-0005-0000-0000-0000C0010000}"/>
    <cellStyle name="Accent1 64" xfId="11313" xr:uid="{00000000-0005-0000-0000-0000C1010000}"/>
    <cellStyle name="Accent1 65" xfId="11315" xr:uid="{00000000-0005-0000-0000-0000C2010000}"/>
    <cellStyle name="Accent1 66" xfId="11327" xr:uid="{00000000-0005-0000-0000-0000C3010000}"/>
    <cellStyle name="Accent1 67" xfId="11333" xr:uid="{00000000-0005-0000-0000-0000C4010000}"/>
    <cellStyle name="Accent1 68" xfId="11339" xr:uid="{00000000-0005-0000-0000-0000C5010000}"/>
    <cellStyle name="Accent1 69" xfId="11347" xr:uid="{00000000-0005-0000-0000-0000C6010000}"/>
    <cellStyle name="Accent1 7" xfId="491" xr:uid="{00000000-0005-0000-0000-0000C7010000}"/>
    <cellStyle name="Accent1 70" xfId="11354" xr:uid="{00000000-0005-0000-0000-0000C8010000}"/>
    <cellStyle name="Accent1 71" xfId="11360" xr:uid="{00000000-0005-0000-0000-0000C9010000}"/>
    <cellStyle name="Accent1 72" xfId="11366" xr:uid="{00000000-0005-0000-0000-0000CA010000}"/>
    <cellStyle name="Accent1 73" xfId="11372" xr:uid="{00000000-0005-0000-0000-0000CB010000}"/>
    <cellStyle name="Accent1 74" xfId="11378" xr:uid="{00000000-0005-0000-0000-0000CC010000}"/>
    <cellStyle name="Accent1 75" xfId="11383" xr:uid="{00000000-0005-0000-0000-0000CD010000}"/>
    <cellStyle name="Accent1 76" xfId="11387" xr:uid="{00000000-0005-0000-0000-0000CE010000}"/>
    <cellStyle name="Accent1 77" xfId="11391" xr:uid="{00000000-0005-0000-0000-0000CF010000}"/>
    <cellStyle name="Accent1 78" xfId="11394" xr:uid="{00000000-0005-0000-0000-0000D0010000}"/>
    <cellStyle name="Accent1 79" xfId="11397" xr:uid="{00000000-0005-0000-0000-0000D1010000}"/>
    <cellStyle name="Accent1 8" xfId="492" xr:uid="{00000000-0005-0000-0000-0000D2010000}"/>
    <cellStyle name="Accent1 80" xfId="11412" xr:uid="{00000000-0005-0000-0000-0000D3010000}"/>
    <cellStyle name="Accent1 81" xfId="11437" xr:uid="{00000000-0005-0000-0000-0000D4010000}"/>
    <cellStyle name="Accent1 82" xfId="11447" xr:uid="{00000000-0005-0000-0000-0000D5010000}"/>
    <cellStyle name="Accent1 83" xfId="11460" xr:uid="{00000000-0005-0000-0000-0000D6010000}"/>
    <cellStyle name="Accent1 84" xfId="11474" xr:uid="{00000000-0005-0000-0000-0000D7010000}"/>
    <cellStyle name="Accent1 85" xfId="11482" xr:uid="{00000000-0005-0000-0000-0000D8010000}"/>
    <cellStyle name="Accent1 86" xfId="11513" xr:uid="{00000000-0005-0000-0000-0000D9010000}"/>
    <cellStyle name="Accent1 87" xfId="11518" xr:uid="{00000000-0005-0000-0000-0000DA010000}"/>
    <cellStyle name="Accent1 88" xfId="11521" xr:uid="{00000000-0005-0000-0000-0000DB010000}"/>
    <cellStyle name="Accent1 89" xfId="11524" xr:uid="{00000000-0005-0000-0000-0000DC010000}"/>
    <cellStyle name="Accent1 9" xfId="493" xr:uid="{00000000-0005-0000-0000-0000DD010000}"/>
    <cellStyle name="Accent1 9 2" xfId="494" xr:uid="{00000000-0005-0000-0000-0000DE010000}"/>
    <cellStyle name="Accent1 9 3" xfId="495" xr:uid="{00000000-0005-0000-0000-0000DF010000}"/>
    <cellStyle name="Accent1 90" xfId="11527" xr:uid="{00000000-0005-0000-0000-0000E0010000}"/>
    <cellStyle name="Accent1 91" xfId="11535" xr:uid="{00000000-0005-0000-0000-0000E1010000}"/>
    <cellStyle name="Accent1 92" xfId="11548" xr:uid="{00000000-0005-0000-0000-0000E2010000}"/>
    <cellStyle name="Accent1 93" xfId="11556" xr:uid="{00000000-0005-0000-0000-0000E3010000}"/>
    <cellStyle name="Accent1 94" xfId="11564" xr:uid="{00000000-0005-0000-0000-0000E4010000}"/>
    <cellStyle name="Accent1 95" xfId="11572" xr:uid="{00000000-0005-0000-0000-0000E5010000}"/>
    <cellStyle name="Accent1 96" xfId="11585" xr:uid="{00000000-0005-0000-0000-0000E6010000}"/>
    <cellStyle name="Accent1 97" xfId="11628" xr:uid="{00000000-0005-0000-0000-0000E7010000}"/>
    <cellStyle name="Accent1 98" xfId="11634" xr:uid="{00000000-0005-0000-0000-0000E8010000}"/>
    <cellStyle name="Accent1 99" xfId="11642" xr:uid="{00000000-0005-0000-0000-0000E9010000}"/>
    <cellStyle name="Accent2 - 20%" xfId="20" xr:uid="{00000000-0005-0000-0000-0000EA010000}"/>
    <cellStyle name="Accent2 - 20% 2" xfId="496" xr:uid="{00000000-0005-0000-0000-0000EB010000}"/>
    <cellStyle name="Accent2 - 20% 2 2" xfId="497" xr:uid="{00000000-0005-0000-0000-0000EC010000}"/>
    <cellStyle name="Accent2 - 20% 2 2 2" xfId="498" xr:uid="{00000000-0005-0000-0000-0000ED010000}"/>
    <cellStyle name="Accent2 - 20% 2 2 3" xfId="499" xr:uid="{00000000-0005-0000-0000-0000EE010000}"/>
    <cellStyle name="Accent2 - 20% 2 2_Cap Forecast" xfId="500" xr:uid="{00000000-0005-0000-0000-0000EF010000}"/>
    <cellStyle name="Accent2 - 20% 2 3" xfId="501" xr:uid="{00000000-0005-0000-0000-0000F0010000}"/>
    <cellStyle name="Accent2 - 20% 2 4" xfId="502" xr:uid="{00000000-0005-0000-0000-0000F1010000}"/>
    <cellStyle name="Accent2 - 20% 2 5" xfId="503" xr:uid="{00000000-0005-0000-0000-0000F2010000}"/>
    <cellStyle name="Accent2 - 20% 2_Activity Fcst Variance" xfId="504" xr:uid="{00000000-0005-0000-0000-0000F3010000}"/>
    <cellStyle name="Accent2 - 20% 3" xfId="505" xr:uid="{00000000-0005-0000-0000-0000F4010000}"/>
    <cellStyle name="Accent2 - 20% 3 2" xfId="506" xr:uid="{00000000-0005-0000-0000-0000F5010000}"/>
    <cellStyle name="Accent2 - 20% 3 3" xfId="507" xr:uid="{00000000-0005-0000-0000-0000F6010000}"/>
    <cellStyle name="Accent2 - 20% 3 4" xfId="508" xr:uid="{00000000-0005-0000-0000-0000F7010000}"/>
    <cellStyle name="Accent2 - 20% 4" xfId="509" xr:uid="{00000000-0005-0000-0000-0000F8010000}"/>
    <cellStyle name="Accent2 - 20% 5" xfId="510" xr:uid="{00000000-0005-0000-0000-0000F9010000}"/>
    <cellStyle name="Accent2 - 20% 6" xfId="511" xr:uid="{00000000-0005-0000-0000-0000FA010000}"/>
    <cellStyle name="Accent2 - 20% 7" xfId="512" xr:uid="{00000000-0005-0000-0000-0000FB010000}"/>
    <cellStyle name="Accent2 - 20% 8" xfId="9700" xr:uid="{00000000-0005-0000-0000-0000FC010000}"/>
    <cellStyle name="Accent2 - 20%_BOT Summary" xfId="10480" xr:uid="{00000000-0005-0000-0000-0000FD010000}"/>
    <cellStyle name="Accent2 - 40%" xfId="21" xr:uid="{00000000-0005-0000-0000-0000FE010000}"/>
    <cellStyle name="Accent2 - 40% 2" xfId="513" xr:uid="{00000000-0005-0000-0000-0000FF010000}"/>
    <cellStyle name="Accent2 - 40% 2 2" xfId="514" xr:uid="{00000000-0005-0000-0000-000000020000}"/>
    <cellStyle name="Accent2 - 40% 2 2 2" xfId="515" xr:uid="{00000000-0005-0000-0000-000001020000}"/>
    <cellStyle name="Accent2 - 40% 2 2 3" xfId="516" xr:uid="{00000000-0005-0000-0000-000002020000}"/>
    <cellStyle name="Accent2 - 40% 2 2_Cap Forecast" xfId="517" xr:uid="{00000000-0005-0000-0000-000003020000}"/>
    <cellStyle name="Accent2 - 40% 2 3" xfId="518" xr:uid="{00000000-0005-0000-0000-000004020000}"/>
    <cellStyle name="Accent2 - 40% 2 4" xfId="519" xr:uid="{00000000-0005-0000-0000-000005020000}"/>
    <cellStyle name="Accent2 - 40% 2 5" xfId="520" xr:uid="{00000000-0005-0000-0000-000006020000}"/>
    <cellStyle name="Accent2 - 40% 2_Activity Fcst Variance" xfId="521" xr:uid="{00000000-0005-0000-0000-000007020000}"/>
    <cellStyle name="Accent2 - 40% 3" xfId="522" xr:uid="{00000000-0005-0000-0000-000008020000}"/>
    <cellStyle name="Accent2 - 40% 3 2" xfId="523" xr:uid="{00000000-0005-0000-0000-000009020000}"/>
    <cellStyle name="Accent2 - 40% 3 3" xfId="524" xr:uid="{00000000-0005-0000-0000-00000A020000}"/>
    <cellStyle name="Accent2 - 40% 3 4" xfId="525" xr:uid="{00000000-0005-0000-0000-00000B020000}"/>
    <cellStyle name="Accent2 - 40% 4" xfId="526" xr:uid="{00000000-0005-0000-0000-00000C020000}"/>
    <cellStyle name="Accent2 - 40% 5" xfId="527" xr:uid="{00000000-0005-0000-0000-00000D020000}"/>
    <cellStyle name="Accent2 - 40% 6" xfId="528" xr:uid="{00000000-0005-0000-0000-00000E020000}"/>
    <cellStyle name="Accent2 - 40% 7" xfId="529" xr:uid="{00000000-0005-0000-0000-00000F020000}"/>
    <cellStyle name="Accent2 - 40% 8" xfId="9701" xr:uid="{00000000-0005-0000-0000-000010020000}"/>
    <cellStyle name="Accent2 - 40%_BOT Summary" xfId="10481" xr:uid="{00000000-0005-0000-0000-000011020000}"/>
    <cellStyle name="Accent2 - 60%" xfId="22" xr:uid="{00000000-0005-0000-0000-000012020000}"/>
    <cellStyle name="Accent2 - 60% 2" xfId="530" xr:uid="{00000000-0005-0000-0000-000013020000}"/>
    <cellStyle name="Accent2 - 60% 2 2" xfId="531" xr:uid="{00000000-0005-0000-0000-000014020000}"/>
    <cellStyle name="Accent2 - 60% 2 2 2" xfId="532" xr:uid="{00000000-0005-0000-0000-000015020000}"/>
    <cellStyle name="Accent2 - 60% 2 2 3" xfId="533" xr:uid="{00000000-0005-0000-0000-000016020000}"/>
    <cellStyle name="Accent2 - 60% 2 2_Cap Forecast" xfId="534" xr:uid="{00000000-0005-0000-0000-000017020000}"/>
    <cellStyle name="Accent2 - 60% 2 3" xfId="535" xr:uid="{00000000-0005-0000-0000-000018020000}"/>
    <cellStyle name="Accent2 - 60% 2 4" xfId="536" xr:uid="{00000000-0005-0000-0000-000019020000}"/>
    <cellStyle name="Accent2 - 60% 2 5" xfId="537" xr:uid="{00000000-0005-0000-0000-00001A020000}"/>
    <cellStyle name="Accent2 - 60% 2_Activity Fcst Variance" xfId="538" xr:uid="{00000000-0005-0000-0000-00001B020000}"/>
    <cellStyle name="Accent2 - 60% 3" xfId="539" xr:uid="{00000000-0005-0000-0000-00001C020000}"/>
    <cellStyle name="Accent2 - 60% 3 2" xfId="540" xr:uid="{00000000-0005-0000-0000-00001D020000}"/>
    <cellStyle name="Accent2 - 60% 3 3" xfId="541" xr:uid="{00000000-0005-0000-0000-00001E020000}"/>
    <cellStyle name="Accent2 - 60% 4" xfId="542" xr:uid="{00000000-0005-0000-0000-00001F020000}"/>
    <cellStyle name="Accent2 - 60% 5" xfId="543" xr:uid="{00000000-0005-0000-0000-000020020000}"/>
    <cellStyle name="Accent2 - 60% 6" xfId="544" xr:uid="{00000000-0005-0000-0000-000021020000}"/>
    <cellStyle name="Accent2 - 60% 7" xfId="545" xr:uid="{00000000-0005-0000-0000-000022020000}"/>
    <cellStyle name="Accent2 - 60% 8" xfId="9702" xr:uid="{00000000-0005-0000-0000-000023020000}"/>
    <cellStyle name="Accent2 - 60%_BOT Summary" xfId="10482" xr:uid="{00000000-0005-0000-0000-000024020000}"/>
    <cellStyle name="Accent2 10" xfId="546" xr:uid="{00000000-0005-0000-0000-000025020000}"/>
    <cellStyle name="Accent2 100" xfId="11644" xr:uid="{00000000-0005-0000-0000-000026020000}"/>
    <cellStyle name="Accent2 101" xfId="11650" xr:uid="{00000000-0005-0000-0000-000027020000}"/>
    <cellStyle name="Accent2 102" xfId="11655" xr:uid="{00000000-0005-0000-0000-000028020000}"/>
    <cellStyle name="Accent2 103" xfId="11660" xr:uid="{00000000-0005-0000-0000-000029020000}"/>
    <cellStyle name="Accent2 104" xfId="11664" xr:uid="{00000000-0005-0000-0000-00002A020000}"/>
    <cellStyle name="Accent2 105" xfId="11669" xr:uid="{00000000-0005-0000-0000-00002B020000}"/>
    <cellStyle name="Accent2 106" xfId="11657" xr:uid="{00000000-0005-0000-0000-00002C020000}"/>
    <cellStyle name="Accent2 107" xfId="11677" xr:uid="{00000000-0005-0000-0000-00002D020000}"/>
    <cellStyle name="Accent2 108" xfId="11714" xr:uid="{00000000-0005-0000-0000-00002E020000}"/>
    <cellStyle name="Accent2 109" xfId="11728" xr:uid="{00000000-0005-0000-0000-00002F020000}"/>
    <cellStyle name="Accent2 11" xfId="547" xr:uid="{00000000-0005-0000-0000-000030020000}"/>
    <cellStyle name="Accent2 110" xfId="11739" xr:uid="{00000000-0005-0000-0000-000031020000}"/>
    <cellStyle name="Accent2 111" xfId="11753" xr:uid="{00000000-0005-0000-0000-000032020000}"/>
    <cellStyle name="Accent2 112" xfId="11764" xr:uid="{00000000-0005-0000-0000-000033020000}"/>
    <cellStyle name="Accent2 113" xfId="11783" xr:uid="{00000000-0005-0000-0000-000034020000}"/>
    <cellStyle name="Accent2 114" xfId="11797" xr:uid="{00000000-0005-0000-0000-000035020000}"/>
    <cellStyle name="Accent2 115" xfId="11801" xr:uid="{00000000-0005-0000-0000-000036020000}"/>
    <cellStyle name="Accent2 116" xfId="11810" xr:uid="{00000000-0005-0000-0000-000037020000}"/>
    <cellStyle name="Accent2 117" xfId="11832" xr:uid="{00000000-0005-0000-0000-000038020000}"/>
    <cellStyle name="Accent2 118" xfId="19" xr:uid="{00000000-0005-0000-0000-000039020000}"/>
    <cellStyle name="Accent2 119" xfId="11840" xr:uid="{00000000-0005-0000-0000-00003A020000}"/>
    <cellStyle name="Accent2 12" xfId="548" xr:uid="{00000000-0005-0000-0000-00003B020000}"/>
    <cellStyle name="Accent2 120" xfId="11851" xr:uid="{00000000-0005-0000-0000-00003C020000}"/>
    <cellStyle name="Accent2 13" xfId="549" xr:uid="{00000000-0005-0000-0000-00003D020000}"/>
    <cellStyle name="Accent2 14" xfId="550" xr:uid="{00000000-0005-0000-0000-00003E020000}"/>
    <cellStyle name="Accent2 15" xfId="551" xr:uid="{00000000-0005-0000-0000-00003F020000}"/>
    <cellStyle name="Accent2 16" xfId="552" xr:uid="{00000000-0005-0000-0000-000040020000}"/>
    <cellStyle name="Accent2 17" xfId="553" xr:uid="{00000000-0005-0000-0000-000041020000}"/>
    <cellStyle name="Accent2 18" xfId="554" xr:uid="{00000000-0005-0000-0000-000042020000}"/>
    <cellStyle name="Accent2 19" xfId="555" xr:uid="{00000000-0005-0000-0000-000043020000}"/>
    <cellStyle name="Accent2 2" xfId="556" xr:uid="{00000000-0005-0000-0000-000044020000}"/>
    <cellStyle name="Accent2 20" xfId="557" xr:uid="{00000000-0005-0000-0000-000045020000}"/>
    <cellStyle name="Accent2 21" xfId="558" xr:uid="{00000000-0005-0000-0000-000046020000}"/>
    <cellStyle name="Accent2 22" xfId="9607" xr:uid="{00000000-0005-0000-0000-000047020000}"/>
    <cellStyle name="Accent2 23" xfId="9643" xr:uid="{00000000-0005-0000-0000-000048020000}"/>
    <cellStyle name="Accent2 24" xfId="9651" xr:uid="{00000000-0005-0000-0000-000049020000}"/>
    <cellStyle name="Accent2 25" xfId="9657" xr:uid="{00000000-0005-0000-0000-00004A020000}"/>
    <cellStyle name="Accent2 26" xfId="9663" xr:uid="{00000000-0005-0000-0000-00004B020000}"/>
    <cellStyle name="Accent2 27" xfId="9668" xr:uid="{00000000-0005-0000-0000-00004C020000}"/>
    <cellStyle name="Accent2 28" xfId="9673" xr:uid="{00000000-0005-0000-0000-00004D020000}"/>
    <cellStyle name="Accent2 29" xfId="9676" xr:uid="{00000000-0005-0000-0000-00004E020000}"/>
    <cellStyle name="Accent2 3" xfId="559" xr:uid="{00000000-0005-0000-0000-00004F020000}"/>
    <cellStyle name="Accent2 30" xfId="9699" xr:uid="{00000000-0005-0000-0000-000050020000}"/>
    <cellStyle name="Accent2 31" xfId="10554" xr:uid="{00000000-0005-0000-0000-000051020000}"/>
    <cellStyle name="Accent2 32" xfId="10583" xr:uid="{00000000-0005-0000-0000-000052020000}"/>
    <cellStyle name="Accent2 33" xfId="10593" xr:uid="{00000000-0005-0000-0000-000053020000}"/>
    <cellStyle name="Accent2 34" xfId="10611" xr:uid="{00000000-0005-0000-0000-000054020000}"/>
    <cellStyle name="Accent2 35" xfId="10628" xr:uid="{00000000-0005-0000-0000-000055020000}"/>
    <cellStyle name="Accent2 36" xfId="10641" xr:uid="{00000000-0005-0000-0000-000056020000}"/>
    <cellStyle name="Accent2 37" xfId="10672" xr:uid="{00000000-0005-0000-0000-000057020000}"/>
    <cellStyle name="Accent2 38" xfId="10697" xr:uid="{00000000-0005-0000-0000-000058020000}"/>
    <cellStyle name="Accent2 39" xfId="10704" xr:uid="{00000000-0005-0000-0000-000059020000}"/>
    <cellStyle name="Accent2 4" xfId="560" xr:uid="{00000000-0005-0000-0000-00005A020000}"/>
    <cellStyle name="Accent2 40" xfId="10712" xr:uid="{00000000-0005-0000-0000-00005B020000}"/>
    <cellStyle name="Accent2 41" xfId="10740" xr:uid="{00000000-0005-0000-0000-00005C020000}"/>
    <cellStyle name="Accent2 42" xfId="10753" xr:uid="{00000000-0005-0000-0000-00005D020000}"/>
    <cellStyle name="Accent2 43" xfId="10760" xr:uid="{00000000-0005-0000-0000-00005E020000}"/>
    <cellStyle name="Accent2 44" xfId="10772" xr:uid="{00000000-0005-0000-0000-00005F020000}"/>
    <cellStyle name="Accent2 45" xfId="10787" xr:uid="{00000000-0005-0000-0000-000060020000}"/>
    <cellStyle name="Accent2 46" xfId="10790" xr:uid="{00000000-0005-0000-0000-000061020000}"/>
    <cellStyle name="Accent2 47" xfId="10798" xr:uid="{00000000-0005-0000-0000-000062020000}"/>
    <cellStyle name="Accent2 48" xfId="10840" xr:uid="{00000000-0005-0000-0000-000063020000}"/>
    <cellStyle name="Accent2 49" xfId="10856" xr:uid="{00000000-0005-0000-0000-000064020000}"/>
    <cellStyle name="Accent2 5" xfId="561" xr:uid="{00000000-0005-0000-0000-000065020000}"/>
    <cellStyle name="Accent2 50" xfId="10871" xr:uid="{00000000-0005-0000-0000-000066020000}"/>
    <cellStyle name="Accent2 51" xfId="10885" xr:uid="{00000000-0005-0000-0000-000067020000}"/>
    <cellStyle name="Accent2 52" xfId="10899" xr:uid="{00000000-0005-0000-0000-000068020000}"/>
    <cellStyle name="Accent2 53" xfId="10912" xr:uid="{00000000-0005-0000-0000-000069020000}"/>
    <cellStyle name="Accent2 54" xfId="10923" xr:uid="{00000000-0005-0000-0000-00006A020000}"/>
    <cellStyle name="Accent2 55" xfId="10932" xr:uid="{00000000-0005-0000-0000-00006B020000}"/>
    <cellStyle name="Accent2 56" xfId="11009" xr:uid="{00000000-0005-0000-0000-00006C020000}"/>
    <cellStyle name="Accent2 57" xfId="10951" xr:uid="{00000000-0005-0000-0000-00006D020000}"/>
    <cellStyle name="Accent2 58" xfId="10984" xr:uid="{00000000-0005-0000-0000-00006E020000}"/>
    <cellStyle name="Accent2 59" xfId="11204" xr:uid="{00000000-0005-0000-0000-00006F020000}"/>
    <cellStyle name="Accent2 6" xfId="562" xr:uid="{00000000-0005-0000-0000-000070020000}"/>
    <cellStyle name="Accent2 60" xfId="11227" xr:uid="{00000000-0005-0000-0000-000071020000}"/>
    <cellStyle name="Accent2 61" xfId="11237" xr:uid="{00000000-0005-0000-0000-000072020000}"/>
    <cellStyle name="Accent2 62" xfId="11259" xr:uid="{00000000-0005-0000-0000-000073020000}"/>
    <cellStyle name="Accent2 63" xfId="11302" xr:uid="{00000000-0005-0000-0000-000074020000}"/>
    <cellStyle name="Accent2 64" xfId="11310" xr:uid="{00000000-0005-0000-0000-000075020000}"/>
    <cellStyle name="Accent2 65" xfId="11301" xr:uid="{00000000-0005-0000-0000-000076020000}"/>
    <cellStyle name="Accent2 66" xfId="11323" xr:uid="{00000000-0005-0000-0000-000077020000}"/>
    <cellStyle name="Accent2 67" xfId="11329" xr:uid="{00000000-0005-0000-0000-000078020000}"/>
    <cellStyle name="Accent2 68" xfId="11336" xr:uid="{00000000-0005-0000-0000-000079020000}"/>
    <cellStyle name="Accent2 69" xfId="11343" xr:uid="{00000000-0005-0000-0000-00007A020000}"/>
    <cellStyle name="Accent2 7" xfId="563" xr:uid="{00000000-0005-0000-0000-00007B020000}"/>
    <cellStyle name="Accent2 70" xfId="11351" xr:uid="{00000000-0005-0000-0000-00007C020000}"/>
    <cellStyle name="Accent2 71" xfId="11357" xr:uid="{00000000-0005-0000-0000-00007D020000}"/>
    <cellStyle name="Accent2 72" xfId="11363" xr:uid="{00000000-0005-0000-0000-00007E020000}"/>
    <cellStyle name="Accent2 73" xfId="11368" xr:uid="{00000000-0005-0000-0000-00007F020000}"/>
    <cellStyle name="Accent2 74" xfId="11375" xr:uid="{00000000-0005-0000-0000-000080020000}"/>
    <cellStyle name="Accent2 75" xfId="11380" xr:uid="{00000000-0005-0000-0000-000081020000}"/>
    <cellStyle name="Accent2 76" xfId="11385" xr:uid="{00000000-0005-0000-0000-000082020000}"/>
    <cellStyle name="Accent2 77" xfId="11389" xr:uid="{00000000-0005-0000-0000-000083020000}"/>
    <cellStyle name="Accent2 78" xfId="11393" xr:uid="{00000000-0005-0000-0000-000084020000}"/>
    <cellStyle name="Accent2 79" xfId="11396" xr:uid="{00000000-0005-0000-0000-000085020000}"/>
    <cellStyle name="Accent2 8" xfId="564" xr:uid="{00000000-0005-0000-0000-000086020000}"/>
    <cellStyle name="Accent2 80" xfId="11401" xr:uid="{00000000-0005-0000-0000-000087020000}"/>
    <cellStyle name="Accent2 81" xfId="11433" xr:uid="{00000000-0005-0000-0000-000088020000}"/>
    <cellStyle name="Accent2 82" xfId="11446" xr:uid="{00000000-0005-0000-0000-000089020000}"/>
    <cellStyle name="Accent2 83" xfId="11454" xr:uid="{00000000-0005-0000-0000-00008A020000}"/>
    <cellStyle name="Accent2 84" xfId="11478" xr:uid="{00000000-0005-0000-0000-00008B020000}"/>
    <cellStyle name="Accent2 85" xfId="11484" xr:uid="{00000000-0005-0000-0000-00008C020000}"/>
    <cellStyle name="Accent2 86" xfId="11511" xr:uid="{00000000-0005-0000-0000-00008D020000}"/>
    <cellStyle name="Accent2 87" xfId="11516" xr:uid="{00000000-0005-0000-0000-00008E020000}"/>
    <cellStyle name="Accent2 88" xfId="11520" xr:uid="{00000000-0005-0000-0000-00008F020000}"/>
    <cellStyle name="Accent2 89" xfId="11523" xr:uid="{00000000-0005-0000-0000-000090020000}"/>
    <cellStyle name="Accent2 9" xfId="565" xr:uid="{00000000-0005-0000-0000-000091020000}"/>
    <cellStyle name="Accent2 9 2" xfId="566" xr:uid="{00000000-0005-0000-0000-000092020000}"/>
    <cellStyle name="Accent2 9 3" xfId="567" xr:uid="{00000000-0005-0000-0000-000093020000}"/>
    <cellStyle name="Accent2 90" xfId="11528" xr:uid="{00000000-0005-0000-0000-000094020000}"/>
    <cellStyle name="Accent2 91" xfId="11536" xr:uid="{00000000-0005-0000-0000-000095020000}"/>
    <cellStyle name="Accent2 92" xfId="11547" xr:uid="{00000000-0005-0000-0000-000096020000}"/>
    <cellStyle name="Accent2 93" xfId="11550" xr:uid="{00000000-0005-0000-0000-000097020000}"/>
    <cellStyle name="Accent2 94" xfId="11563" xr:uid="{00000000-0005-0000-0000-000098020000}"/>
    <cellStyle name="Accent2 95" xfId="11566" xr:uid="{00000000-0005-0000-0000-000099020000}"/>
    <cellStyle name="Accent2 96" xfId="11588" xr:uid="{00000000-0005-0000-0000-00009A020000}"/>
    <cellStyle name="Accent2 97" xfId="11625" xr:uid="{00000000-0005-0000-0000-00009B020000}"/>
    <cellStyle name="Accent2 98" xfId="11630" xr:uid="{00000000-0005-0000-0000-00009C020000}"/>
    <cellStyle name="Accent2 99" xfId="11638" xr:uid="{00000000-0005-0000-0000-00009D020000}"/>
    <cellStyle name="Accent3 - 20%" xfId="24" xr:uid="{00000000-0005-0000-0000-00009E020000}"/>
    <cellStyle name="Accent3 - 20% 2" xfId="568" xr:uid="{00000000-0005-0000-0000-00009F020000}"/>
    <cellStyle name="Accent3 - 20% 2 2" xfId="569" xr:uid="{00000000-0005-0000-0000-0000A0020000}"/>
    <cellStyle name="Accent3 - 20% 2 2 2" xfId="570" xr:uid="{00000000-0005-0000-0000-0000A1020000}"/>
    <cellStyle name="Accent3 - 20% 2 2 3" xfId="571" xr:uid="{00000000-0005-0000-0000-0000A2020000}"/>
    <cellStyle name="Accent3 - 20% 2 2_Cap Forecast" xfId="572" xr:uid="{00000000-0005-0000-0000-0000A3020000}"/>
    <cellStyle name="Accent3 - 20% 2 3" xfId="573" xr:uid="{00000000-0005-0000-0000-0000A4020000}"/>
    <cellStyle name="Accent3 - 20% 2 4" xfId="574" xr:uid="{00000000-0005-0000-0000-0000A5020000}"/>
    <cellStyle name="Accent3 - 20% 2 5" xfId="575" xr:uid="{00000000-0005-0000-0000-0000A6020000}"/>
    <cellStyle name="Accent3 - 20% 2_Activity Fcst Variance" xfId="576" xr:uid="{00000000-0005-0000-0000-0000A7020000}"/>
    <cellStyle name="Accent3 - 20% 3" xfId="577" xr:uid="{00000000-0005-0000-0000-0000A8020000}"/>
    <cellStyle name="Accent3 - 20% 3 2" xfId="578" xr:uid="{00000000-0005-0000-0000-0000A9020000}"/>
    <cellStyle name="Accent3 - 20% 3 3" xfId="579" xr:uid="{00000000-0005-0000-0000-0000AA020000}"/>
    <cellStyle name="Accent3 - 20% 3 4" xfId="580" xr:uid="{00000000-0005-0000-0000-0000AB020000}"/>
    <cellStyle name="Accent3 - 20% 4" xfId="581" xr:uid="{00000000-0005-0000-0000-0000AC020000}"/>
    <cellStyle name="Accent3 - 20% 5" xfId="582" xr:uid="{00000000-0005-0000-0000-0000AD020000}"/>
    <cellStyle name="Accent3 - 20% 6" xfId="583" xr:uid="{00000000-0005-0000-0000-0000AE020000}"/>
    <cellStyle name="Accent3 - 20% 7" xfId="584" xr:uid="{00000000-0005-0000-0000-0000AF020000}"/>
    <cellStyle name="Accent3 - 20% 8" xfId="9704" xr:uid="{00000000-0005-0000-0000-0000B0020000}"/>
    <cellStyle name="Accent3 - 20%_BOT Summary" xfId="10483" xr:uid="{00000000-0005-0000-0000-0000B1020000}"/>
    <cellStyle name="Accent3 - 40%" xfId="25" xr:uid="{00000000-0005-0000-0000-0000B2020000}"/>
    <cellStyle name="Accent3 - 40% 2" xfId="585" xr:uid="{00000000-0005-0000-0000-0000B3020000}"/>
    <cellStyle name="Accent3 - 40% 2 2" xfId="586" xr:uid="{00000000-0005-0000-0000-0000B4020000}"/>
    <cellStyle name="Accent3 - 40% 2 2 2" xfId="587" xr:uid="{00000000-0005-0000-0000-0000B5020000}"/>
    <cellStyle name="Accent3 - 40% 2 2 3" xfId="588" xr:uid="{00000000-0005-0000-0000-0000B6020000}"/>
    <cellStyle name="Accent3 - 40% 2 2_Cap Forecast" xfId="589" xr:uid="{00000000-0005-0000-0000-0000B7020000}"/>
    <cellStyle name="Accent3 - 40% 2 3" xfId="590" xr:uid="{00000000-0005-0000-0000-0000B8020000}"/>
    <cellStyle name="Accent3 - 40% 2 4" xfId="591" xr:uid="{00000000-0005-0000-0000-0000B9020000}"/>
    <cellStyle name="Accent3 - 40% 2 5" xfId="592" xr:uid="{00000000-0005-0000-0000-0000BA020000}"/>
    <cellStyle name="Accent3 - 40% 2_Activity Fcst Variance" xfId="593" xr:uid="{00000000-0005-0000-0000-0000BB020000}"/>
    <cellStyle name="Accent3 - 40% 3" xfId="594" xr:uid="{00000000-0005-0000-0000-0000BC020000}"/>
    <cellStyle name="Accent3 - 40% 3 2" xfId="595" xr:uid="{00000000-0005-0000-0000-0000BD020000}"/>
    <cellStyle name="Accent3 - 40% 3 3" xfId="596" xr:uid="{00000000-0005-0000-0000-0000BE020000}"/>
    <cellStyle name="Accent3 - 40% 3 4" xfId="597" xr:uid="{00000000-0005-0000-0000-0000BF020000}"/>
    <cellStyle name="Accent3 - 40% 4" xfId="598" xr:uid="{00000000-0005-0000-0000-0000C0020000}"/>
    <cellStyle name="Accent3 - 40% 5" xfId="599" xr:uid="{00000000-0005-0000-0000-0000C1020000}"/>
    <cellStyle name="Accent3 - 40% 6" xfId="600" xr:uid="{00000000-0005-0000-0000-0000C2020000}"/>
    <cellStyle name="Accent3 - 40% 7" xfId="601" xr:uid="{00000000-0005-0000-0000-0000C3020000}"/>
    <cellStyle name="Accent3 - 40% 8" xfId="9705" xr:uid="{00000000-0005-0000-0000-0000C4020000}"/>
    <cellStyle name="Accent3 - 40%_BOT Summary" xfId="10484" xr:uid="{00000000-0005-0000-0000-0000C5020000}"/>
    <cellStyle name="Accent3 - 60%" xfId="26" xr:uid="{00000000-0005-0000-0000-0000C6020000}"/>
    <cellStyle name="Accent3 - 60% 2" xfId="602" xr:uid="{00000000-0005-0000-0000-0000C7020000}"/>
    <cellStyle name="Accent3 - 60% 2 2" xfId="603" xr:uid="{00000000-0005-0000-0000-0000C8020000}"/>
    <cellStyle name="Accent3 - 60% 2 2 2" xfId="604" xr:uid="{00000000-0005-0000-0000-0000C9020000}"/>
    <cellStyle name="Accent3 - 60% 2 2 3" xfId="605" xr:uid="{00000000-0005-0000-0000-0000CA020000}"/>
    <cellStyle name="Accent3 - 60% 2 2_Cap Forecast" xfId="606" xr:uid="{00000000-0005-0000-0000-0000CB020000}"/>
    <cellStyle name="Accent3 - 60% 2 3" xfId="607" xr:uid="{00000000-0005-0000-0000-0000CC020000}"/>
    <cellStyle name="Accent3 - 60% 2 4" xfId="608" xr:uid="{00000000-0005-0000-0000-0000CD020000}"/>
    <cellStyle name="Accent3 - 60% 2 5" xfId="609" xr:uid="{00000000-0005-0000-0000-0000CE020000}"/>
    <cellStyle name="Accent3 - 60% 2_Activity Fcst Variance" xfId="610" xr:uid="{00000000-0005-0000-0000-0000CF020000}"/>
    <cellStyle name="Accent3 - 60% 3" xfId="611" xr:uid="{00000000-0005-0000-0000-0000D0020000}"/>
    <cellStyle name="Accent3 - 60% 3 2" xfId="612" xr:uid="{00000000-0005-0000-0000-0000D1020000}"/>
    <cellStyle name="Accent3 - 60% 3 3" xfId="613" xr:uid="{00000000-0005-0000-0000-0000D2020000}"/>
    <cellStyle name="Accent3 - 60% 4" xfId="614" xr:uid="{00000000-0005-0000-0000-0000D3020000}"/>
    <cellStyle name="Accent3 - 60% 5" xfId="615" xr:uid="{00000000-0005-0000-0000-0000D4020000}"/>
    <cellStyle name="Accent3 - 60% 6" xfId="616" xr:uid="{00000000-0005-0000-0000-0000D5020000}"/>
    <cellStyle name="Accent3 - 60% 7" xfId="617" xr:uid="{00000000-0005-0000-0000-0000D6020000}"/>
    <cellStyle name="Accent3 - 60% 8" xfId="9706" xr:uid="{00000000-0005-0000-0000-0000D7020000}"/>
    <cellStyle name="Accent3 - 60%_BOT Summary" xfId="10485" xr:uid="{00000000-0005-0000-0000-0000D8020000}"/>
    <cellStyle name="Accent3 10" xfId="618" xr:uid="{00000000-0005-0000-0000-0000D9020000}"/>
    <cellStyle name="Accent3 100" xfId="11546" xr:uid="{00000000-0005-0000-0000-0000DA020000}"/>
    <cellStyle name="Accent3 101" xfId="11552" xr:uid="{00000000-0005-0000-0000-0000DB020000}"/>
    <cellStyle name="Accent3 102" xfId="11562" xr:uid="{00000000-0005-0000-0000-0000DC020000}"/>
    <cellStyle name="Accent3 103" xfId="11567" xr:uid="{00000000-0005-0000-0000-0000DD020000}"/>
    <cellStyle name="Accent3 104" xfId="11591" xr:uid="{00000000-0005-0000-0000-0000DE020000}"/>
    <cellStyle name="Accent3 105" xfId="11622" xr:uid="{00000000-0005-0000-0000-0000DF020000}"/>
    <cellStyle name="Accent3 106" xfId="11589" xr:uid="{00000000-0005-0000-0000-0000E0020000}"/>
    <cellStyle name="Accent3 107" xfId="11636" xr:uid="{00000000-0005-0000-0000-0000E1020000}"/>
    <cellStyle name="Accent3 108" xfId="11632" xr:uid="{00000000-0005-0000-0000-0000E2020000}"/>
    <cellStyle name="Accent3 109" xfId="11640" xr:uid="{00000000-0005-0000-0000-0000E3020000}"/>
    <cellStyle name="Accent3 11" xfId="619" xr:uid="{00000000-0005-0000-0000-0000E4020000}"/>
    <cellStyle name="Accent3 110" xfId="11646" xr:uid="{00000000-0005-0000-0000-0000E5020000}"/>
    <cellStyle name="Accent3 111" xfId="11651" xr:uid="{00000000-0005-0000-0000-0000E6020000}"/>
    <cellStyle name="Accent3 112" xfId="11656" xr:uid="{00000000-0005-0000-0000-0000E7020000}"/>
    <cellStyle name="Accent3 113" xfId="11661" xr:uid="{00000000-0005-0000-0000-0000E8020000}"/>
    <cellStyle name="Accent3 114" xfId="11645" xr:uid="{00000000-0005-0000-0000-0000E9020000}"/>
    <cellStyle name="Accent3 115" xfId="11680" xr:uid="{00000000-0005-0000-0000-0000EA020000}"/>
    <cellStyle name="Accent3 116" xfId="11712" xr:uid="{00000000-0005-0000-0000-0000EB020000}"/>
    <cellStyle name="Accent3 117" xfId="11726" xr:uid="{00000000-0005-0000-0000-0000EC020000}"/>
    <cellStyle name="Accent3 118" xfId="11738" xr:uid="{00000000-0005-0000-0000-0000ED020000}"/>
    <cellStyle name="Accent3 119" xfId="11752" xr:uid="{00000000-0005-0000-0000-0000EE020000}"/>
    <cellStyle name="Accent3 12" xfId="620" xr:uid="{00000000-0005-0000-0000-0000EF020000}"/>
    <cellStyle name="Accent3 120" xfId="11765" xr:uid="{00000000-0005-0000-0000-0000F0020000}"/>
    <cellStyle name="Accent3 121" xfId="11785" xr:uid="{00000000-0005-0000-0000-0000F1020000}"/>
    <cellStyle name="Accent3 122" xfId="11796" xr:uid="{00000000-0005-0000-0000-0000F2020000}"/>
    <cellStyle name="Accent3 123" xfId="11800" xr:uid="{00000000-0005-0000-0000-0000F3020000}"/>
    <cellStyle name="Accent3 124" xfId="11812" xr:uid="{00000000-0005-0000-0000-0000F4020000}"/>
    <cellStyle name="Accent3 125" xfId="11831" xr:uid="{00000000-0005-0000-0000-0000F5020000}"/>
    <cellStyle name="Accent3 126" xfId="23" xr:uid="{00000000-0005-0000-0000-0000F6020000}"/>
    <cellStyle name="Accent3 127" xfId="11841" xr:uid="{00000000-0005-0000-0000-0000F7020000}"/>
    <cellStyle name="Accent3 128" xfId="11850" xr:uid="{00000000-0005-0000-0000-0000F8020000}"/>
    <cellStyle name="Accent3 13" xfId="621" xr:uid="{00000000-0005-0000-0000-0000F9020000}"/>
    <cellStyle name="Accent3 14" xfId="622" xr:uid="{00000000-0005-0000-0000-0000FA020000}"/>
    <cellStyle name="Accent3 15" xfId="623" xr:uid="{00000000-0005-0000-0000-0000FB020000}"/>
    <cellStyle name="Accent3 16" xfId="624" xr:uid="{00000000-0005-0000-0000-0000FC020000}"/>
    <cellStyle name="Accent3 17" xfId="625" xr:uid="{00000000-0005-0000-0000-0000FD020000}"/>
    <cellStyle name="Accent3 18" xfId="626" xr:uid="{00000000-0005-0000-0000-0000FE020000}"/>
    <cellStyle name="Accent3 19" xfId="627" xr:uid="{00000000-0005-0000-0000-0000FF020000}"/>
    <cellStyle name="Accent3 2" xfId="628" xr:uid="{00000000-0005-0000-0000-000000030000}"/>
    <cellStyle name="Accent3 2 2" xfId="629" xr:uid="{00000000-0005-0000-0000-000001030000}"/>
    <cellStyle name="Accent3 2 2 2" xfId="630" xr:uid="{00000000-0005-0000-0000-000002030000}"/>
    <cellStyle name="Accent3 2 3" xfId="631" xr:uid="{00000000-0005-0000-0000-000003030000}"/>
    <cellStyle name="Accent3 2 3 2" xfId="632" xr:uid="{00000000-0005-0000-0000-000004030000}"/>
    <cellStyle name="Accent3 2 4" xfId="633" xr:uid="{00000000-0005-0000-0000-000005030000}"/>
    <cellStyle name="Accent3 2_BOT Summary" xfId="10529" xr:uid="{00000000-0005-0000-0000-000006030000}"/>
    <cellStyle name="Accent3 20" xfId="634" xr:uid="{00000000-0005-0000-0000-000007030000}"/>
    <cellStyle name="Accent3 21" xfId="635" xr:uid="{00000000-0005-0000-0000-000008030000}"/>
    <cellStyle name="Accent3 22" xfId="636" xr:uid="{00000000-0005-0000-0000-000009030000}"/>
    <cellStyle name="Accent3 23" xfId="637" xr:uid="{00000000-0005-0000-0000-00000A030000}"/>
    <cellStyle name="Accent3 24" xfId="638" xr:uid="{00000000-0005-0000-0000-00000B030000}"/>
    <cellStyle name="Accent3 25" xfId="639" xr:uid="{00000000-0005-0000-0000-00000C030000}"/>
    <cellStyle name="Accent3 26" xfId="640" xr:uid="{00000000-0005-0000-0000-00000D030000}"/>
    <cellStyle name="Accent3 27" xfId="641" xr:uid="{00000000-0005-0000-0000-00000E030000}"/>
    <cellStyle name="Accent3 28" xfId="642" xr:uid="{00000000-0005-0000-0000-00000F030000}"/>
    <cellStyle name="Accent3 29" xfId="643" xr:uid="{00000000-0005-0000-0000-000010030000}"/>
    <cellStyle name="Accent3 3" xfId="644" xr:uid="{00000000-0005-0000-0000-000011030000}"/>
    <cellStyle name="Accent3 3 2" xfId="645" xr:uid="{00000000-0005-0000-0000-000012030000}"/>
    <cellStyle name="Accent3 3 3" xfId="646" xr:uid="{00000000-0005-0000-0000-000013030000}"/>
    <cellStyle name="Accent3 3_BOT Summary" xfId="10530" xr:uid="{00000000-0005-0000-0000-000014030000}"/>
    <cellStyle name="Accent3 30" xfId="9609" xr:uid="{00000000-0005-0000-0000-000015030000}"/>
    <cellStyle name="Accent3 31" xfId="9641" xr:uid="{00000000-0005-0000-0000-000016030000}"/>
    <cellStyle name="Accent3 32" xfId="9649" xr:uid="{00000000-0005-0000-0000-000017030000}"/>
    <cellStyle name="Accent3 33" xfId="9655" xr:uid="{00000000-0005-0000-0000-000018030000}"/>
    <cellStyle name="Accent3 34" xfId="9661" xr:uid="{00000000-0005-0000-0000-000019030000}"/>
    <cellStyle name="Accent3 35" xfId="9666" xr:uid="{00000000-0005-0000-0000-00001A030000}"/>
    <cellStyle name="Accent3 36" xfId="9672" xr:uid="{00000000-0005-0000-0000-00001B030000}"/>
    <cellStyle name="Accent3 37" xfId="9669" xr:uid="{00000000-0005-0000-0000-00001C030000}"/>
    <cellStyle name="Accent3 38" xfId="9703" xr:uid="{00000000-0005-0000-0000-00001D030000}"/>
    <cellStyle name="Accent3 39" xfId="10558" xr:uid="{00000000-0005-0000-0000-00001E030000}"/>
    <cellStyle name="Accent3 4" xfId="647" xr:uid="{00000000-0005-0000-0000-00001F030000}"/>
    <cellStyle name="Accent3 4 2" xfId="648" xr:uid="{00000000-0005-0000-0000-000020030000}"/>
    <cellStyle name="Accent3 40" xfId="10582" xr:uid="{00000000-0005-0000-0000-000021030000}"/>
    <cellStyle name="Accent3 41" xfId="10597" xr:uid="{00000000-0005-0000-0000-000022030000}"/>
    <cellStyle name="Accent3 42" xfId="10612" xr:uid="{00000000-0005-0000-0000-000023030000}"/>
    <cellStyle name="Accent3 43" xfId="10633" xr:uid="{00000000-0005-0000-0000-000024030000}"/>
    <cellStyle name="Accent3 44" xfId="10640" xr:uid="{00000000-0005-0000-0000-000025030000}"/>
    <cellStyle name="Accent3 45" xfId="10674" xr:uid="{00000000-0005-0000-0000-000026030000}"/>
    <cellStyle name="Accent3 46" xfId="10695" xr:uid="{00000000-0005-0000-0000-000027030000}"/>
    <cellStyle name="Accent3 47" xfId="10703" xr:uid="{00000000-0005-0000-0000-000028030000}"/>
    <cellStyle name="Accent3 48" xfId="10713" xr:uid="{00000000-0005-0000-0000-000029030000}"/>
    <cellStyle name="Accent3 49" xfId="10736" xr:uid="{00000000-0005-0000-0000-00002A030000}"/>
    <cellStyle name="Accent3 5" xfId="649" xr:uid="{00000000-0005-0000-0000-00002B030000}"/>
    <cellStyle name="Accent3 5 2" xfId="650" xr:uid="{00000000-0005-0000-0000-00002C030000}"/>
    <cellStyle name="Accent3 50" xfId="10752" xr:uid="{00000000-0005-0000-0000-00002D030000}"/>
    <cellStyle name="Accent3 51" xfId="10761" xr:uid="{00000000-0005-0000-0000-00002E030000}"/>
    <cellStyle name="Accent3 52" xfId="10774" xr:uid="{00000000-0005-0000-0000-00002F030000}"/>
    <cellStyle name="Accent3 53" xfId="10786" xr:uid="{00000000-0005-0000-0000-000030030000}"/>
    <cellStyle name="Accent3 54" xfId="10771" xr:uid="{00000000-0005-0000-0000-000031030000}"/>
    <cellStyle name="Accent3 55" xfId="10802" xr:uid="{00000000-0005-0000-0000-000032030000}"/>
    <cellStyle name="Accent3 56" xfId="10836" xr:uid="{00000000-0005-0000-0000-000033030000}"/>
    <cellStyle name="Accent3 57" xfId="10852" xr:uid="{00000000-0005-0000-0000-000034030000}"/>
    <cellStyle name="Accent3 58" xfId="10867" xr:uid="{00000000-0005-0000-0000-000035030000}"/>
    <cellStyle name="Accent3 59" xfId="10881" xr:uid="{00000000-0005-0000-0000-000036030000}"/>
    <cellStyle name="Accent3 6" xfId="651" xr:uid="{00000000-0005-0000-0000-000037030000}"/>
    <cellStyle name="Accent3 6 2" xfId="652" xr:uid="{00000000-0005-0000-0000-000038030000}"/>
    <cellStyle name="Accent3 6 3" xfId="653" xr:uid="{00000000-0005-0000-0000-000039030000}"/>
    <cellStyle name="Accent3 6 4" xfId="654" xr:uid="{00000000-0005-0000-0000-00003A030000}"/>
    <cellStyle name="Accent3 6_Activity Fcst Variance" xfId="655" xr:uid="{00000000-0005-0000-0000-00003B030000}"/>
    <cellStyle name="Accent3 60" xfId="10895" xr:uid="{00000000-0005-0000-0000-00003C030000}"/>
    <cellStyle name="Accent3 61" xfId="10909" xr:uid="{00000000-0005-0000-0000-00003D030000}"/>
    <cellStyle name="Accent3 62" xfId="10922" xr:uid="{00000000-0005-0000-0000-00003E030000}"/>
    <cellStyle name="Accent3 63" xfId="10933" xr:uid="{00000000-0005-0000-0000-00003F030000}"/>
    <cellStyle name="Accent3 64" xfId="11008" xr:uid="{00000000-0005-0000-0000-000040030000}"/>
    <cellStyle name="Accent3 65" xfId="10952" xr:uid="{00000000-0005-0000-0000-000041030000}"/>
    <cellStyle name="Accent3 66" xfId="10983" xr:uid="{00000000-0005-0000-0000-000042030000}"/>
    <cellStyle name="Accent3 67" xfId="11205" xr:uid="{00000000-0005-0000-0000-000043030000}"/>
    <cellStyle name="Accent3 68" xfId="11226" xr:uid="{00000000-0005-0000-0000-000044030000}"/>
    <cellStyle name="Accent3 69" xfId="11239" xr:uid="{00000000-0005-0000-0000-000045030000}"/>
    <cellStyle name="Accent3 7" xfId="656" xr:uid="{00000000-0005-0000-0000-000046030000}"/>
    <cellStyle name="Accent3 70" xfId="11261" xr:uid="{00000000-0005-0000-0000-000047030000}"/>
    <cellStyle name="Accent3 71" xfId="11299" xr:uid="{00000000-0005-0000-0000-000048030000}"/>
    <cellStyle name="Accent3 72" xfId="11257" xr:uid="{00000000-0005-0000-0000-000049030000}"/>
    <cellStyle name="Accent3 73" xfId="11297" xr:uid="{00000000-0005-0000-0000-00004A030000}"/>
    <cellStyle name="Accent3 74" xfId="11320" xr:uid="{00000000-0005-0000-0000-00004B030000}"/>
    <cellStyle name="Accent3 75" xfId="11303" xr:uid="{00000000-0005-0000-0000-00004C030000}"/>
    <cellStyle name="Accent3 76" xfId="11325" xr:uid="{00000000-0005-0000-0000-00004D030000}"/>
    <cellStyle name="Accent3 77" xfId="11332" xr:uid="{00000000-0005-0000-0000-00004E030000}"/>
    <cellStyle name="Accent3 78" xfId="11337" xr:uid="{00000000-0005-0000-0000-00004F030000}"/>
    <cellStyle name="Accent3 79" xfId="11345" xr:uid="{00000000-0005-0000-0000-000050030000}"/>
    <cellStyle name="Accent3 8" xfId="657" xr:uid="{00000000-0005-0000-0000-000051030000}"/>
    <cellStyle name="Accent3 8 2" xfId="658" xr:uid="{00000000-0005-0000-0000-000052030000}"/>
    <cellStyle name="Accent3 80" xfId="11352" xr:uid="{00000000-0005-0000-0000-000053030000}"/>
    <cellStyle name="Accent3 81" xfId="11358" xr:uid="{00000000-0005-0000-0000-000054030000}"/>
    <cellStyle name="Accent3 82" xfId="11365" xr:uid="{00000000-0005-0000-0000-000055030000}"/>
    <cellStyle name="Accent3 83" xfId="11370" xr:uid="{00000000-0005-0000-0000-000056030000}"/>
    <cellStyle name="Accent3 84" xfId="11376" xr:uid="{00000000-0005-0000-0000-000057030000}"/>
    <cellStyle name="Accent3 85" xfId="11381" xr:uid="{00000000-0005-0000-0000-000058030000}"/>
    <cellStyle name="Accent3 86" xfId="11386" xr:uid="{00000000-0005-0000-0000-000059030000}"/>
    <cellStyle name="Accent3 87" xfId="11390" xr:uid="{00000000-0005-0000-0000-00005A030000}"/>
    <cellStyle name="Accent3 88" xfId="11403" xr:uid="{00000000-0005-0000-0000-00005B030000}"/>
    <cellStyle name="Accent3 89" xfId="11431" xr:uid="{00000000-0005-0000-0000-00005C030000}"/>
    <cellStyle name="Accent3 9" xfId="659" xr:uid="{00000000-0005-0000-0000-00005D030000}"/>
    <cellStyle name="Accent3 9 2" xfId="660" xr:uid="{00000000-0005-0000-0000-00005E030000}"/>
    <cellStyle name="Accent3 9 3" xfId="661" xr:uid="{00000000-0005-0000-0000-00005F030000}"/>
    <cellStyle name="Accent3 9 4" xfId="662" xr:uid="{00000000-0005-0000-0000-000060030000}"/>
    <cellStyle name="Accent3 9 5" xfId="663" xr:uid="{00000000-0005-0000-0000-000061030000}"/>
    <cellStyle name="Accent3 90" xfId="11445" xr:uid="{00000000-0005-0000-0000-000062030000}"/>
    <cellStyle name="Accent3 91" xfId="11456" xr:uid="{00000000-0005-0000-0000-000063030000}"/>
    <cellStyle name="Accent3 92" xfId="11476" xr:uid="{00000000-0005-0000-0000-000064030000}"/>
    <cellStyle name="Accent3 93" xfId="11487" xr:uid="{00000000-0005-0000-0000-000065030000}"/>
    <cellStyle name="Accent3 94" xfId="11509" xr:uid="{00000000-0005-0000-0000-000066030000}"/>
    <cellStyle name="Accent3 95" xfId="11483" xr:uid="{00000000-0005-0000-0000-000067030000}"/>
    <cellStyle name="Accent3 96" xfId="11512" xr:uid="{00000000-0005-0000-0000-000068030000}"/>
    <cellStyle name="Accent3 97" xfId="11517" xr:uid="{00000000-0005-0000-0000-000069030000}"/>
    <cellStyle name="Accent3 98" xfId="11529" xr:uid="{00000000-0005-0000-0000-00006A030000}"/>
    <cellStyle name="Accent3 99" xfId="11537" xr:uid="{00000000-0005-0000-0000-00006B030000}"/>
    <cellStyle name="Accent4 - 20%" xfId="28" xr:uid="{00000000-0005-0000-0000-00006C030000}"/>
    <cellStyle name="Accent4 - 20% 2" xfId="664" xr:uid="{00000000-0005-0000-0000-00006D030000}"/>
    <cellStyle name="Accent4 - 20% 2 2" xfId="665" xr:uid="{00000000-0005-0000-0000-00006E030000}"/>
    <cellStyle name="Accent4 - 20% 2 2 2" xfId="666" xr:uid="{00000000-0005-0000-0000-00006F030000}"/>
    <cellStyle name="Accent4 - 20% 2 2 3" xfId="667" xr:uid="{00000000-0005-0000-0000-000070030000}"/>
    <cellStyle name="Accent4 - 20% 2 2_Cap Forecast" xfId="668" xr:uid="{00000000-0005-0000-0000-000071030000}"/>
    <cellStyle name="Accent4 - 20% 2 3" xfId="669" xr:uid="{00000000-0005-0000-0000-000072030000}"/>
    <cellStyle name="Accent4 - 20% 2 4" xfId="670" xr:uid="{00000000-0005-0000-0000-000073030000}"/>
    <cellStyle name="Accent4 - 20% 2 5" xfId="671" xr:uid="{00000000-0005-0000-0000-000074030000}"/>
    <cellStyle name="Accent4 - 20% 2_Activity Fcst Variance" xfId="672" xr:uid="{00000000-0005-0000-0000-000075030000}"/>
    <cellStyle name="Accent4 - 20% 3" xfId="673" xr:uid="{00000000-0005-0000-0000-000076030000}"/>
    <cellStyle name="Accent4 - 20% 3 2" xfId="674" xr:uid="{00000000-0005-0000-0000-000077030000}"/>
    <cellStyle name="Accent4 - 20% 3 3" xfId="675" xr:uid="{00000000-0005-0000-0000-000078030000}"/>
    <cellStyle name="Accent4 - 20% 3 4" xfId="676" xr:uid="{00000000-0005-0000-0000-000079030000}"/>
    <cellStyle name="Accent4 - 20% 4" xfId="677" xr:uid="{00000000-0005-0000-0000-00007A030000}"/>
    <cellStyle name="Accent4 - 20% 5" xfId="678" xr:uid="{00000000-0005-0000-0000-00007B030000}"/>
    <cellStyle name="Accent4 - 20% 6" xfId="679" xr:uid="{00000000-0005-0000-0000-00007C030000}"/>
    <cellStyle name="Accent4 - 20% 7" xfId="680" xr:uid="{00000000-0005-0000-0000-00007D030000}"/>
    <cellStyle name="Accent4 - 20% 8" xfId="9708" xr:uid="{00000000-0005-0000-0000-00007E030000}"/>
    <cellStyle name="Accent4 - 20%_BOT Summary" xfId="10486" xr:uid="{00000000-0005-0000-0000-00007F030000}"/>
    <cellStyle name="Accent4 - 40%" xfId="29" xr:uid="{00000000-0005-0000-0000-000080030000}"/>
    <cellStyle name="Accent4 - 40% 2" xfId="681" xr:uid="{00000000-0005-0000-0000-000081030000}"/>
    <cellStyle name="Accent4 - 40% 2 2" xfId="682" xr:uid="{00000000-0005-0000-0000-000082030000}"/>
    <cellStyle name="Accent4 - 40% 2 2 2" xfId="683" xr:uid="{00000000-0005-0000-0000-000083030000}"/>
    <cellStyle name="Accent4 - 40% 2 2 3" xfId="684" xr:uid="{00000000-0005-0000-0000-000084030000}"/>
    <cellStyle name="Accent4 - 40% 2 2_Cap Forecast" xfId="685" xr:uid="{00000000-0005-0000-0000-000085030000}"/>
    <cellStyle name="Accent4 - 40% 2 3" xfId="686" xr:uid="{00000000-0005-0000-0000-000086030000}"/>
    <cellStyle name="Accent4 - 40% 2 4" xfId="687" xr:uid="{00000000-0005-0000-0000-000087030000}"/>
    <cellStyle name="Accent4 - 40% 2 5" xfId="688" xr:uid="{00000000-0005-0000-0000-000088030000}"/>
    <cellStyle name="Accent4 - 40% 2_Activity Fcst Variance" xfId="689" xr:uid="{00000000-0005-0000-0000-000089030000}"/>
    <cellStyle name="Accent4 - 40% 3" xfId="690" xr:uid="{00000000-0005-0000-0000-00008A030000}"/>
    <cellStyle name="Accent4 - 40% 3 2" xfId="691" xr:uid="{00000000-0005-0000-0000-00008B030000}"/>
    <cellStyle name="Accent4 - 40% 3 3" xfId="692" xr:uid="{00000000-0005-0000-0000-00008C030000}"/>
    <cellStyle name="Accent4 - 40% 3 4" xfId="693" xr:uid="{00000000-0005-0000-0000-00008D030000}"/>
    <cellStyle name="Accent4 - 40% 4" xfId="694" xr:uid="{00000000-0005-0000-0000-00008E030000}"/>
    <cellStyle name="Accent4 - 40% 5" xfId="695" xr:uid="{00000000-0005-0000-0000-00008F030000}"/>
    <cellStyle name="Accent4 - 40% 6" xfId="696" xr:uid="{00000000-0005-0000-0000-000090030000}"/>
    <cellStyle name="Accent4 - 40% 7" xfId="697" xr:uid="{00000000-0005-0000-0000-000091030000}"/>
    <cellStyle name="Accent4 - 40% 8" xfId="9709" xr:uid="{00000000-0005-0000-0000-000092030000}"/>
    <cellStyle name="Accent4 - 40%_BOT Summary" xfId="10487" xr:uid="{00000000-0005-0000-0000-000093030000}"/>
    <cellStyle name="Accent4 - 60%" xfId="30" xr:uid="{00000000-0005-0000-0000-000094030000}"/>
    <cellStyle name="Accent4 - 60% 2" xfId="698" xr:uid="{00000000-0005-0000-0000-000095030000}"/>
    <cellStyle name="Accent4 - 60% 2 2" xfId="699" xr:uid="{00000000-0005-0000-0000-000096030000}"/>
    <cellStyle name="Accent4 - 60% 2 2 2" xfId="700" xr:uid="{00000000-0005-0000-0000-000097030000}"/>
    <cellStyle name="Accent4 - 60% 2 2 3" xfId="701" xr:uid="{00000000-0005-0000-0000-000098030000}"/>
    <cellStyle name="Accent4 - 60% 2 2_Cap Forecast" xfId="702" xr:uid="{00000000-0005-0000-0000-000099030000}"/>
    <cellStyle name="Accent4 - 60% 2 3" xfId="703" xr:uid="{00000000-0005-0000-0000-00009A030000}"/>
    <cellStyle name="Accent4 - 60% 2 4" xfId="704" xr:uid="{00000000-0005-0000-0000-00009B030000}"/>
    <cellStyle name="Accent4 - 60% 2 5" xfId="705" xr:uid="{00000000-0005-0000-0000-00009C030000}"/>
    <cellStyle name="Accent4 - 60% 2_Activity Fcst Variance" xfId="706" xr:uid="{00000000-0005-0000-0000-00009D030000}"/>
    <cellStyle name="Accent4 - 60% 3" xfId="707" xr:uid="{00000000-0005-0000-0000-00009E030000}"/>
    <cellStyle name="Accent4 - 60% 3 2" xfId="708" xr:uid="{00000000-0005-0000-0000-00009F030000}"/>
    <cellStyle name="Accent4 - 60% 3 3" xfId="709" xr:uid="{00000000-0005-0000-0000-0000A0030000}"/>
    <cellStyle name="Accent4 - 60% 4" xfId="710" xr:uid="{00000000-0005-0000-0000-0000A1030000}"/>
    <cellStyle name="Accent4 - 60% 5" xfId="711" xr:uid="{00000000-0005-0000-0000-0000A2030000}"/>
    <cellStyle name="Accent4 - 60% 6" xfId="712" xr:uid="{00000000-0005-0000-0000-0000A3030000}"/>
    <cellStyle name="Accent4 - 60% 7" xfId="713" xr:uid="{00000000-0005-0000-0000-0000A4030000}"/>
    <cellStyle name="Accent4 - 60% 8" xfId="9710" xr:uid="{00000000-0005-0000-0000-0000A5030000}"/>
    <cellStyle name="Accent4 - 60%_BOT Summary" xfId="10488" xr:uid="{00000000-0005-0000-0000-0000A6030000}"/>
    <cellStyle name="Accent4 10" xfId="714" xr:uid="{00000000-0005-0000-0000-0000A7030000}"/>
    <cellStyle name="Accent4 100" xfId="11545" xr:uid="{00000000-0005-0000-0000-0000A8030000}"/>
    <cellStyle name="Accent4 101" xfId="11555" xr:uid="{00000000-0005-0000-0000-0000A9030000}"/>
    <cellStyle name="Accent4 102" xfId="11561" xr:uid="{00000000-0005-0000-0000-0000AA030000}"/>
    <cellStyle name="Accent4 103" xfId="11569" xr:uid="{00000000-0005-0000-0000-0000AB030000}"/>
    <cellStyle name="Accent4 104" xfId="11595" xr:uid="{00000000-0005-0000-0000-0000AC030000}"/>
    <cellStyle name="Accent4 105" xfId="11619" xr:uid="{00000000-0005-0000-0000-0000AD030000}"/>
    <cellStyle name="Accent4 106" xfId="11593" xr:uid="{00000000-0005-0000-0000-0000AE030000}"/>
    <cellStyle name="Accent4 107" xfId="11624" xr:uid="{00000000-0005-0000-0000-0000AF030000}"/>
    <cellStyle name="Accent4 108" xfId="11587" xr:uid="{00000000-0005-0000-0000-0000B0030000}"/>
    <cellStyle name="Accent4 109" xfId="11637" xr:uid="{00000000-0005-0000-0000-0000B1030000}"/>
    <cellStyle name="Accent4 11" xfId="715" xr:uid="{00000000-0005-0000-0000-0000B2030000}"/>
    <cellStyle name="Accent4 110" xfId="11633" xr:uid="{00000000-0005-0000-0000-0000B3030000}"/>
    <cellStyle name="Accent4 111" xfId="11641" xr:uid="{00000000-0005-0000-0000-0000B4030000}"/>
    <cellStyle name="Accent4 112" xfId="11647" xr:uid="{00000000-0005-0000-0000-0000B5030000}"/>
    <cellStyle name="Accent4 113" xfId="11652" xr:uid="{00000000-0005-0000-0000-0000B6030000}"/>
    <cellStyle name="Accent4 114" xfId="11586" xr:uid="{00000000-0005-0000-0000-0000B7030000}"/>
    <cellStyle name="Accent4 115" xfId="11683" xr:uid="{00000000-0005-0000-0000-0000B8030000}"/>
    <cellStyle name="Accent4 116" xfId="11701" xr:uid="{00000000-0005-0000-0000-0000B9030000}"/>
    <cellStyle name="Accent4 117" xfId="11679" xr:uid="{00000000-0005-0000-0000-0000BA030000}"/>
    <cellStyle name="Accent4 118" xfId="11711" xr:uid="{00000000-0005-0000-0000-0000BB030000}"/>
    <cellStyle name="Accent4 119" xfId="11727" xr:uid="{00000000-0005-0000-0000-0000BC030000}"/>
    <cellStyle name="Accent4 12" xfId="716" xr:uid="{00000000-0005-0000-0000-0000BD030000}"/>
    <cellStyle name="Accent4 120" xfId="11766" xr:uid="{00000000-0005-0000-0000-0000BE030000}"/>
    <cellStyle name="Accent4 121" xfId="11786" xr:uid="{00000000-0005-0000-0000-0000BF030000}"/>
    <cellStyle name="Accent4 122" xfId="11795" xr:uid="{00000000-0005-0000-0000-0000C0030000}"/>
    <cellStyle name="Accent4 123" xfId="11782" xr:uid="{00000000-0005-0000-0000-0000C1030000}"/>
    <cellStyle name="Accent4 124" xfId="11806" xr:uid="{00000000-0005-0000-0000-0000C2030000}"/>
    <cellStyle name="Accent4 125" xfId="11821" xr:uid="{00000000-0005-0000-0000-0000C3030000}"/>
    <cellStyle name="Accent4 126" xfId="27" xr:uid="{00000000-0005-0000-0000-0000C4030000}"/>
    <cellStyle name="Accent4 127" xfId="11842" xr:uid="{00000000-0005-0000-0000-0000C5030000}"/>
    <cellStyle name="Accent4 128" xfId="11849" xr:uid="{00000000-0005-0000-0000-0000C6030000}"/>
    <cellStyle name="Accent4 13" xfId="717" xr:uid="{00000000-0005-0000-0000-0000C7030000}"/>
    <cellStyle name="Accent4 14" xfId="718" xr:uid="{00000000-0005-0000-0000-0000C8030000}"/>
    <cellStyle name="Accent4 15" xfId="719" xr:uid="{00000000-0005-0000-0000-0000C9030000}"/>
    <cellStyle name="Accent4 16" xfId="720" xr:uid="{00000000-0005-0000-0000-0000CA030000}"/>
    <cellStyle name="Accent4 17" xfId="721" xr:uid="{00000000-0005-0000-0000-0000CB030000}"/>
    <cellStyle name="Accent4 18" xfId="722" xr:uid="{00000000-0005-0000-0000-0000CC030000}"/>
    <cellStyle name="Accent4 19" xfId="723" xr:uid="{00000000-0005-0000-0000-0000CD030000}"/>
    <cellStyle name="Accent4 2" xfId="724" xr:uid="{00000000-0005-0000-0000-0000CE030000}"/>
    <cellStyle name="Accent4 2 2" xfId="725" xr:uid="{00000000-0005-0000-0000-0000CF030000}"/>
    <cellStyle name="Accent4 2 2 2" xfId="726" xr:uid="{00000000-0005-0000-0000-0000D0030000}"/>
    <cellStyle name="Accent4 2 3" xfId="727" xr:uid="{00000000-0005-0000-0000-0000D1030000}"/>
    <cellStyle name="Accent4 2 3 2" xfId="728" xr:uid="{00000000-0005-0000-0000-0000D2030000}"/>
    <cellStyle name="Accent4 2 4" xfId="729" xr:uid="{00000000-0005-0000-0000-0000D3030000}"/>
    <cellStyle name="Accent4 2_BOT Summary" xfId="10531" xr:uid="{00000000-0005-0000-0000-0000D4030000}"/>
    <cellStyle name="Accent4 20" xfId="730" xr:uid="{00000000-0005-0000-0000-0000D5030000}"/>
    <cellStyle name="Accent4 21" xfId="731" xr:uid="{00000000-0005-0000-0000-0000D6030000}"/>
    <cellStyle name="Accent4 22" xfId="732" xr:uid="{00000000-0005-0000-0000-0000D7030000}"/>
    <cellStyle name="Accent4 23" xfId="733" xr:uid="{00000000-0005-0000-0000-0000D8030000}"/>
    <cellStyle name="Accent4 24" xfId="734" xr:uid="{00000000-0005-0000-0000-0000D9030000}"/>
    <cellStyle name="Accent4 25" xfId="735" xr:uid="{00000000-0005-0000-0000-0000DA030000}"/>
    <cellStyle name="Accent4 26" xfId="736" xr:uid="{00000000-0005-0000-0000-0000DB030000}"/>
    <cellStyle name="Accent4 27" xfId="737" xr:uid="{00000000-0005-0000-0000-0000DC030000}"/>
    <cellStyle name="Accent4 28" xfId="738" xr:uid="{00000000-0005-0000-0000-0000DD030000}"/>
    <cellStyle name="Accent4 29" xfId="739" xr:uid="{00000000-0005-0000-0000-0000DE030000}"/>
    <cellStyle name="Accent4 3" xfId="740" xr:uid="{00000000-0005-0000-0000-0000DF030000}"/>
    <cellStyle name="Accent4 3 2" xfId="741" xr:uid="{00000000-0005-0000-0000-0000E0030000}"/>
    <cellStyle name="Accent4 3 3" xfId="742" xr:uid="{00000000-0005-0000-0000-0000E1030000}"/>
    <cellStyle name="Accent4 3_BOT Summary" xfId="10532" xr:uid="{00000000-0005-0000-0000-0000E2030000}"/>
    <cellStyle name="Accent4 30" xfId="9611" xr:uid="{00000000-0005-0000-0000-0000E3030000}"/>
    <cellStyle name="Accent4 31" xfId="9638" xr:uid="{00000000-0005-0000-0000-0000E4030000}"/>
    <cellStyle name="Accent4 32" xfId="9606" xr:uid="{00000000-0005-0000-0000-0000E5030000}"/>
    <cellStyle name="Accent4 33" xfId="9642" xr:uid="{00000000-0005-0000-0000-0000E6030000}"/>
    <cellStyle name="Accent4 34" xfId="9650" xr:uid="{00000000-0005-0000-0000-0000E7030000}"/>
    <cellStyle name="Accent4 35" xfId="9656" xr:uid="{00000000-0005-0000-0000-0000E8030000}"/>
    <cellStyle name="Accent4 36" xfId="9662" xr:uid="{00000000-0005-0000-0000-0000E9030000}"/>
    <cellStyle name="Accent4 37" xfId="9667" xr:uid="{00000000-0005-0000-0000-0000EA030000}"/>
    <cellStyle name="Accent4 38" xfId="9707" xr:uid="{00000000-0005-0000-0000-0000EB030000}"/>
    <cellStyle name="Accent4 39" xfId="10562" xr:uid="{00000000-0005-0000-0000-0000EC030000}"/>
    <cellStyle name="Accent4 4" xfId="743" xr:uid="{00000000-0005-0000-0000-0000ED030000}"/>
    <cellStyle name="Accent4 4 2" xfId="744" xr:uid="{00000000-0005-0000-0000-0000EE030000}"/>
    <cellStyle name="Accent4 40" xfId="10581" xr:uid="{00000000-0005-0000-0000-0000EF030000}"/>
    <cellStyle name="Accent4 41" xfId="10596" xr:uid="{00000000-0005-0000-0000-0000F0030000}"/>
    <cellStyle name="Accent4 42" xfId="10615" xr:uid="{00000000-0005-0000-0000-0000F1030000}"/>
    <cellStyle name="Accent4 43" xfId="10631" xr:uid="{00000000-0005-0000-0000-0000F2030000}"/>
    <cellStyle name="Accent4 44" xfId="10639" xr:uid="{00000000-0005-0000-0000-0000F3030000}"/>
    <cellStyle name="Accent4 45" xfId="10675" xr:uid="{00000000-0005-0000-0000-0000F4030000}"/>
    <cellStyle name="Accent4 46" xfId="10685" xr:uid="{00000000-0005-0000-0000-0000F5030000}"/>
    <cellStyle name="Accent4 47" xfId="10701" xr:uid="{00000000-0005-0000-0000-0000F6030000}"/>
    <cellStyle name="Accent4 48" xfId="10715" xr:uid="{00000000-0005-0000-0000-0000F7030000}"/>
    <cellStyle name="Accent4 49" xfId="10726" xr:uid="{00000000-0005-0000-0000-0000F8030000}"/>
    <cellStyle name="Accent4 5" xfId="745" xr:uid="{00000000-0005-0000-0000-0000F9030000}"/>
    <cellStyle name="Accent4 5 2" xfId="746" xr:uid="{00000000-0005-0000-0000-0000FA030000}"/>
    <cellStyle name="Accent4 50" xfId="10749" xr:uid="{00000000-0005-0000-0000-0000FB030000}"/>
    <cellStyle name="Accent4 51" xfId="10762" xr:uid="{00000000-0005-0000-0000-0000FC030000}"/>
    <cellStyle name="Accent4 52" xfId="10775" xr:uid="{00000000-0005-0000-0000-0000FD030000}"/>
    <cellStyle name="Accent4 53" xfId="10785" xr:uid="{00000000-0005-0000-0000-0000FE030000}"/>
    <cellStyle name="Accent4 54" xfId="10773" xr:uid="{00000000-0005-0000-0000-0000FF030000}"/>
    <cellStyle name="Accent4 55" xfId="10805" xr:uid="{00000000-0005-0000-0000-000000040000}"/>
    <cellStyle name="Accent4 56" xfId="10824" xr:uid="{00000000-0005-0000-0000-000001040000}"/>
    <cellStyle name="Accent4 57" xfId="10800" xr:uid="{00000000-0005-0000-0000-000002040000}"/>
    <cellStyle name="Accent4 58" xfId="10837" xr:uid="{00000000-0005-0000-0000-000003040000}"/>
    <cellStyle name="Accent4 59" xfId="10853" xr:uid="{00000000-0005-0000-0000-000004040000}"/>
    <cellStyle name="Accent4 6" xfId="747" xr:uid="{00000000-0005-0000-0000-000005040000}"/>
    <cellStyle name="Accent4 6 2" xfId="748" xr:uid="{00000000-0005-0000-0000-000006040000}"/>
    <cellStyle name="Accent4 6 3" xfId="749" xr:uid="{00000000-0005-0000-0000-000007040000}"/>
    <cellStyle name="Accent4 6 4" xfId="750" xr:uid="{00000000-0005-0000-0000-000008040000}"/>
    <cellStyle name="Accent4 6_Activity Fcst Variance" xfId="751" xr:uid="{00000000-0005-0000-0000-000009040000}"/>
    <cellStyle name="Accent4 60" xfId="10868" xr:uid="{00000000-0005-0000-0000-00000A040000}"/>
    <cellStyle name="Accent4 61" xfId="10882" xr:uid="{00000000-0005-0000-0000-00000B040000}"/>
    <cellStyle name="Accent4 62" xfId="10896" xr:uid="{00000000-0005-0000-0000-00000C040000}"/>
    <cellStyle name="Accent4 63" xfId="10934" xr:uid="{00000000-0005-0000-0000-00000D040000}"/>
    <cellStyle name="Accent4 64" xfId="11007" xr:uid="{00000000-0005-0000-0000-00000E040000}"/>
    <cellStyle name="Accent4 65" xfId="10953" xr:uid="{00000000-0005-0000-0000-00000F040000}"/>
    <cellStyle name="Accent4 66" xfId="10982" xr:uid="{00000000-0005-0000-0000-000010040000}"/>
    <cellStyle name="Accent4 67" xfId="11206" xr:uid="{00000000-0005-0000-0000-000011040000}"/>
    <cellStyle name="Accent4 68" xfId="11216" xr:uid="{00000000-0005-0000-0000-000012040000}"/>
    <cellStyle name="Accent4 69" xfId="11242" xr:uid="{00000000-0005-0000-0000-000013040000}"/>
    <cellStyle name="Accent4 7" xfId="752" xr:uid="{00000000-0005-0000-0000-000014040000}"/>
    <cellStyle name="Accent4 70" xfId="11263" xr:uid="{00000000-0005-0000-0000-000015040000}"/>
    <cellStyle name="Accent4 71" xfId="11295" xr:uid="{00000000-0005-0000-0000-000016040000}"/>
    <cellStyle name="Accent4 72" xfId="11260" xr:uid="{00000000-0005-0000-0000-000017040000}"/>
    <cellStyle name="Accent4 73" xfId="11292" xr:uid="{00000000-0005-0000-0000-000018040000}"/>
    <cellStyle name="Accent4 74" xfId="11317" xr:uid="{00000000-0005-0000-0000-000019040000}"/>
    <cellStyle name="Accent4 75" xfId="11296" xr:uid="{00000000-0005-0000-0000-00001A040000}"/>
    <cellStyle name="Accent4 76" xfId="11321" xr:uid="{00000000-0005-0000-0000-00001B040000}"/>
    <cellStyle name="Accent4 77" xfId="11305" xr:uid="{00000000-0005-0000-0000-00001C040000}"/>
    <cellStyle name="Accent4 78" xfId="11326" xr:uid="{00000000-0005-0000-0000-00001D040000}"/>
    <cellStyle name="Accent4 79" xfId="11341" xr:uid="{00000000-0005-0000-0000-00001E040000}"/>
    <cellStyle name="Accent4 8" xfId="753" xr:uid="{00000000-0005-0000-0000-00001F040000}"/>
    <cellStyle name="Accent4 8 2" xfId="754" xr:uid="{00000000-0005-0000-0000-000020040000}"/>
    <cellStyle name="Accent4 80" xfId="11338" xr:uid="{00000000-0005-0000-0000-000021040000}"/>
    <cellStyle name="Accent4 81" xfId="11344" xr:uid="{00000000-0005-0000-0000-000022040000}"/>
    <cellStyle name="Accent4 82" xfId="11362" xr:uid="{00000000-0005-0000-0000-000023040000}"/>
    <cellStyle name="Accent4 83" xfId="11359" xr:uid="{00000000-0005-0000-0000-000024040000}"/>
    <cellStyle name="Accent4 84" xfId="11374" xr:uid="{00000000-0005-0000-0000-000025040000}"/>
    <cellStyle name="Accent4 85" xfId="11371" xr:uid="{00000000-0005-0000-0000-000026040000}"/>
    <cellStyle name="Accent4 86" xfId="11377" xr:uid="{00000000-0005-0000-0000-000027040000}"/>
    <cellStyle name="Accent4 87" xfId="11382" xr:uid="{00000000-0005-0000-0000-000028040000}"/>
    <cellStyle name="Accent4 88" xfId="11407" xr:uid="{00000000-0005-0000-0000-000029040000}"/>
    <cellStyle name="Accent4 89" xfId="11421" xr:uid="{00000000-0005-0000-0000-00002A040000}"/>
    <cellStyle name="Accent4 9" xfId="755" xr:uid="{00000000-0005-0000-0000-00002B040000}"/>
    <cellStyle name="Accent4 9 2" xfId="756" xr:uid="{00000000-0005-0000-0000-00002C040000}"/>
    <cellStyle name="Accent4 9 3" xfId="757" xr:uid="{00000000-0005-0000-0000-00002D040000}"/>
    <cellStyle name="Accent4 9 4" xfId="758" xr:uid="{00000000-0005-0000-0000-00002E040000}"/>
    <cellStyle name="Accent4 9 5" xfId="759" xr:uid="{00000000-0005-0000-0000-00002F040000}"/>
    <cellStyle name="Accent4 90" xfId="11410" xr:uid="{00000000-0005-0000-0000-000030040000}"/>
    <cellStyle name="Accent4 91" xfId="11457" xr:uid="{00000000-0005-0000-0000-000031040000}"/>
    <cellStyle name="Accent4 92" xfId="11475" xr:uid="{00000000-0005-0000-0000-000032040000}"/>
    <cellStyle name="Accent4 93" xfId="11489" xr:uid="{00000000-0005-0000-0000-000033040000}"/>
    <cellStyle name="Accent4 94" xfId="11507" xr:uid="{00000000-0005-0000-0000-000034040000}"/>
    <cellStyle name="Accent4 95" xfId="11486" xr:uid="{00000000-0005-0000-0000-000035040000}"/>
    <cellStyle name="Accent4 96" xfId="11510" xr:uid="{00000000-0005-0000-0000-000036040000}"/>
    <cellStyle name="Accent4 97" xfId="11515" xr:uid="{00000000-0005-0000-0000-000037040000}"/>
    <cellStyle name="Accent4 98" xfId="11530" xr:uid="{00000000-0005-0000-0000-000038040000}"/>
    <cellStyle name="Accent4 99" xfId="11538" xr:uid="{00000000-0005-0000-0000-000039040000}"/>
    <cellStyle name="Accent5 - 20%" xfId="32" xr:uid="{00000000-0005-0000-0000-00003A040000}"/>
    <cellStyle name="Accent5 - 20% 2" xfId="760" xr:uid="{00000000-0005-0000-0000-00003B040000}"/>
    <cellStyle name="Accent5 - 20% 2 2" xfId="761" xr:uid="{00000000-0005-0000-0000-00003C040000}"/>
    <cellStyle name="Accent5 - 20% 2 2 2" xfId="762" xr:uid="{00000000-0005-0000-0000-00003D040000}"/>
    <cellStyle name="Accent5 - 20% 2 2 3" xfId="763" xr:uid="{00000000-0005-0000-0000-00003E040000}"/>
    <cellStyle name="Accent5 - 20% 2 2_Cap Forecast" xfId="764" xr:uid="{00000000-0005-0000-0000-00003F040000}"/>
    <cellStyle name="Accent5 - 20% 2 3" xfId="765" xr:uid="{00000000-0005-0000-0000-000040040000}"/>
    <cellStyle name="Accent5 - 20% 2 4" xfId="766" xr:uid="{00000000-0005-0000-0000-000041040000}"/>
    <cellStyle name="Accent5 - 20% 2 5" xfId="767" xr:uid="{00000000-0005-0000-0000-000042040000}"/>
    <cellStyle name="Accent5 - 20% 2_Activity Fcst Variance" xfId="768" xr:uid="{00000000-0005-0000-0000-000043040000}"/>
    <cellStyle name="Accent5 - 20% 3" xfId="769" xr:uid="{00000000-0005-0000-0000-000044040000}"/>
    <cellStyle name="Accent5 - 20% 3 2" xfId="770" xr:uid="{00000000-0005-0000-0000-000045040000}"/>
    <cellStyle name="Accent5 - 20% 3 3" xfId="771" xr:uid="{00000000-0005-0000-0000-000046040000}"/>
    <cellStyle name="Accent5 - 20% 3 4" xfId="772" xr:uid="{00000000-0005-0000-0000-000047040000}"/>
    <cellStyle name="Accent5 - 20% 4" xfId="773" xr:uid="{00000000-0005-0000-0000-000048040000}"/>
    <cellStyle name="Accent5 - 20% 5" xfId="774" xr:uid="{00000000-0005-0000-0000-000049040000}"/>
    <cellStyle name="Accent5 - 20% 6" xfId="775" xr:uid="{00000000-0005-0000-0000-00004A040000}"/>
    <cellStyle name="Accent5 - 20% 7" xfId="776" xr:uid="{00000000-0005-0000-0000-00004B040000}"/>
    <cellStyle name="Accent5 - 20% 8" xfId="9712" xr:uid="{00000000-0005-0000-0000-00004C040000}"/>
    <cellStyle name="Accent5 - 20%_BOT Summary" xfId="10489" xr:uid="{00000000-0005-0000-0000-00004D040000}"/>
    <cellStyle name="Accent5 - 40%" xfId="33" xr:uid="{00000000-0005-0000-0000-00004E040000}"/>
    <cellStyle name="Accent5 - 40% 2" xfId="777" xr:uid="{00000000-0005-0000-0000-00004F040000}"/>
    <cellStyle name="Accent5 - 40% 3" xfId="778" xr:uid="{00000000-0005-0000-0000-000050040000}"/>
    <cellStyle name="Accent5 - 60%" xfId="34" xr:uid="{00000000-0005-0000-0000-000051040000}"/>
    <cellStyle name="Accent5 - 60% 2" xfId="779" xr:uid="{00000000-0005-0000-0000-000052040000}"/>
    <cellStyle name="Accent5 - 60% 2 2" xfId="780" xr:uid="{00000000-0005-0000-0000-000053040000}"/>
    <cellStyle name="Accent5 - 60% 2 2 2" xfId="781" xr:uid="{00000000-0005-0000-0000-000054040000}"/>
    <cellStyle name="Accent5 - 60% 2 2 3" xfId="782" xr:uid="{00000000-0005-0000-0000-000055040000}"/>
    <cellStyle name="Accent5 - 60% 2 2_Cap Forecast" xfId="783" xr:uid="{00000000-0005-0000-0000-000056040000}"/>
    <cellStyle name="Accent5 - 60% 2 3" xfId="784" xr:uid="{00000000-0005-0000-0000-000057040000}"/>
    <cellStyle name="Accent5 - 60% 2 4" xfId="785" xr:uid="{00000000-0005-0000-0000-000058040000}"/>
    <cellStyle name="Accent5 - 60% 2 5" xfId="786" xr:uid="{00000000-0005-0000-0000-000059040000}"/>
    <cellStyle name="Accent5 - 60% 2_Activity Fcst Variance" xfId="787" xr:uid="{00000000-0005-0000-0000-00005A040000}"/>
    <cellStyle name="Accent5 - 60% 3" xfId="788" xr:uid="{00000000-0005-0000-0000-00005B040000}"/>
    <cellStyle name="Accent5 - 60% 3 2" xfId="789" xr:uid="{00000000-0005-0000-0000-00005C040000}"/>
    <cellStyle name="Accent5 - 60% 3 3" xfId="790" xr:uid="{00000000-0005-0000-0000-00005D040000}"/>
    <cellStyle name="Accent5 - 60% 4" xfId="791" xr:uid="{00000000-0005-0000-0000-00005E040000}"/>
    <cellStyle name="Accent5 - 60% 5" xfId="792" xr:uid="{00000000-0005-0000-0000-00005F040000}"/>
    <cellStyle name="Accent5 - 60% 6" xfId="793" xr:uid="{00000000-0005-0000-0000-000060040000}"/>
    <cellStyle name="Accent5 - 60% 7" xfId="794" xr:uid="{00000000-0005-0000-0000-000061040000}"/>
    <cellStyle name="Accent5 - 60% 8" xfId="9713" xr:uid="{00000000-0005-0000-0000-000062040000}"/>
    <cellStyle name="Accent5 - 60%_BOT Summary" xfId="10490" xr:uid="{00000000-0005-0000-0000-000063040000}"/>
    <cellStyle name="Accent5 10" xfId="795" xr:uid="{00000000-0005-0000-0000-000064040000}"/>
    <cellStyle name="Accent5 100" xfId="11544" xr:uid="{00000000-0005-0000-0000-000065040000}"/>
    <cellStyle name="Accent5 101" xfId="11554" xr:uid="{00000000-0005-0000-0000-000066040000}"/>
    <cellStyle name="Accent5 102" xfId="11560" xr:uid="{00000000-0005-0000-0000-000067040000}"/>
    <cellStyle name="Accent5 103" xfId="11570" xr:uid="{00000000-0005-0000-0000-000068040000}"/>
    <cellStyle name="Accent5 104" xfId="11598" xr:uid="{00000000-0005-0000-0000-000069040000}"/>
    <cellStyle name="Accent5 105" xfId="11616" xr:uid="{00000000-0005-0000-0000-00006A040000}"/>
    <cellStyle name="Accent5 106" xfId="11597" xr:uid="{00000000-0005-0000-0000-00006B040000}"/>
    <cellStyle name="Accent5 107" xfId="11620" xr:uid="{00000000-0005-0000-0000-00006C040000}"/>
    <cellStyle name="Accent5 108" xfId="11594" xr:uid="{00000000-0005-0000-0000-00006D040000}"/>
    <cellStyle name="Accent5 109" xfId="11623" xr:uid="{00000000-0005-0000-0000-00006E040000}"/>
    <cellStyle name="Accent5 11" xfId="796" xr:uid="{00000000-0005-0000-0000-00006F040000}"/>
    <cellStyle name="Accent5 110" xfId="11590" xr:uid="{00000000-0005-0000-0000-000070040000}"/>
    <cellStyle name="Accent5 111" xfId="11627" xr:uid="{00000000-0005-0000-0000-000071040000}"/>
    <cellStyle name="Accent5 112" xfId="11631" xr:uid="{00000000-0005-0000-0000-000072040000}"/>
    <cellStyle name="Accent5 113" xfId="11639" xr:uid="{00000000-0005-0000-0000-000073040000}"/>
    <cellStyle name="Accent5 114" xfId="11600" xr:uid="{00000000-0005-0000-0000-000074040000}"/>
    <cellStyle name="Accent5 115" xfId="11684" xr:uid="{00000000-0005-0000-0000-000075040000}"/>
    <cellStyle name="Accent5 116" xfId="11699" xr:uid="{00000000-0005-0000-0000-000076040000}"/>
    <cellStyle name="Accent5 117" xfId="11682" xr:uid="{00000000-0005-0000-0000-000077040000}"/>
    <cellStyle name="Accent5 118" xfId="11700" xr:uid="{00000000-0005-0000-0000-000078040000}"/>
    <cellStyle name="Accent5 119" xfId="11725" xr:uid="{00000000-0005-0000-0000-000079040000}"/>
    <cellStyle name="Accent5 12" xfId="797" xr:uid="{00000000-0005-0000-0000-00007A040000}"/>
    <cellStyle name="Accent5 120" xfId="11767" xr:uid="{00000000-0005-0000-0000-00007B040000}"/>
    <cellStyle name="Accent5 121" xfId="11788" xr:uid="{00000000-0005-0000-0000-00007C040000}"/>
    <cellStyle name="Accent5 122" xfId="11794" xr:uid="{00000000-0005-0000-0000-00007D040000}"/>
    <cellStyle name="Accent5 123" xfId="11784" xr:uid="{00000000-0005-0000-0000-00007E040000}"/>
    <cellStyle name="Accent5 124" xfId="11807" xr:uid="{00000000-0005-0000-0000-00007F040000}"/>
    <cellStyle name="Accent5 125" xfId="11820" xr:uid="{00000000-0005-0000-0000-000080040000}"/>
    <cellStyle name="Accent5 126" xfId="31" xr:uid="{00000000-0005-0000-0000-000081040000}"/>
    <cellStyle name="Accent5 127" xfId="11843" xr:uid="{00000000-0005-0000-0000-000082040000}"/>
    <cellStyle name="Accent5 128" xfId="11848" xr:uid="{00000000-0005-0000-0000-000083040000}"/>
    <cellStyle name="Accent5 13" xfId="798" xr:uid="{00000000-0005-0000-0000-000084040000}"/>
    <cellStyle name="Accent5 14" xfId="799" xr:uid="{00000000-0005-0000-0000-000085040000}"/>
    <cellStyle name="Accent5 15" xfId="800" xr:uid="{00000000-0005-0000-0000-000086040000}"/>
    <cellStyle name="Accent5 16" xfId="801" xr:uid="{00000000-0005-0000-0000-000087040000}"/>
    <cellStyle name="Accent5 17" xfId="802" xr:uid="{00000000-0005-0000-0000-000088040000}"/>
    <cellStyle name="Accent5 18" xfId="803" xr:uid="{00000000-0005-0000-0000-000089040000}"/>
    <cellStyle name="Accent5 19" xfId="804" xr:uid="{00000000-0005-0000-0000-00008A040000}"/>
    <cellStyle name="Accent5 2" xfId="805" xr:uid="{00000000-0005-0000-0000-00008B040000}"/>
    <cellStyle name="Accent5 2 2" xfId="806" xr:uid="{00000000-0005-0000-0000-00008C040000}"/>
    <cellStyle name="Accent5 2 2 2" xfId="807" xr:uid="{00000000-0005-0000-0000-00008D040000}"/>
    <cellStyle name="Accent5 2 3" xfId="808" xr:uid="{00000000-0005-0000-0000-00008E040000}"/>
    <cellStyle name="Accent5 2 3 2" xfId="809" xr:uid="{00000000-0005-0000-0000-00008F040000}"/>
    <cellStyle name="Accent5 2 4" xfId="810" xr:uid="{00000000-0005-0000-0000-000090040000}"/>
    <cellStyle name="Accent5 2_BOT Summary" xfId="10533" xr:uid="{00000000-0005-0000-0000-000091040000}"/>
    <cellStyle name="Accent5 20" xfId="811" xr:uid="{00000000-0005-0000-0000-000092040000}"/>
    <cellStyle name="Accent5 21" xfId="812" xr:uid="{00000000-0005-0000-0000-000093040000}"/>
    <cellStyle name="Accent5 22" xfId="813" xr:uid="{00000000-0005-0000-0000-000094040000}"/>
    <cellStyle name="Accent5 23" xfId="814" xr:uid="{00000000-0005-0000-0000-000095040000}"/>
    <cellStyle name="Accent5 24" xfId="815" xr:uid="{00000000-0005-0000-0000-000096040000}"/>
    <cellStyle name="Accent5 25" xfId="816" xr:uid="{00000000-0005-0000-0000-000097040000}"/>
    <cellStyle name="Accent5 26" xfId="817" xr:uid="{00000000-0005-0000-0000-000098040000}"/>
    <cellStyle name="Accent5 27" xfId="818" xr:uid="{00000000-0005-0000-0000-000099040000}"/>
    <cellStyle name="Accent5 28" xfId="819" xr:uid="{00000000-0005-0000-0000-00009A040000}"/>
    <cellStyle name="Accent5 29" xfId="820" xr:uid="{00000000-0005-0000-0000-00009B040000}"/>
    <cellStyle name="Accent5 3" xfId="821" xr:uid="{00000000-0005-0000-0000-00009C040000}"/>
    <cellStyle name="Accent5 3 2" xfId="822" xr:uid="{00000000-0005-0000-0000-00009D040000}"/>
    <cellStyle name="Accent5 3 3" xfId="823" xr:uid="{00000000-0005-0000-0000-00009E040000}"/>
    <cellStyle name="Accent5 3_BOT Summary" xfId="10534" xr:uid="{00000000-0005-0000-0000-00009F040000}"/>
    <cellStyle name="Accent5 30" xfId="9614" xr:uid="{00000000-0005-0000-0000-0000A0040000}"/>
    <cellStyle name="Accent5 31" xfId="9635" xr:uid="{00000000-0005-0000-0000-0000A1040000}"/>
    <cellStyle name="Accent5 32" xfId="9610" xr:uid="{00000000-0005-0000-0000-0000A2040000}"/>
    <cellStyle name="Accent5 33" xfId="9639" xr:uid="{00000000-0005-0000-0000-0000A3040000}"/>
    <cellStyle name="Accent5 34" xfId="9605" xr:uid="{00000000-0005-0000-0000-0000A4040000}"/>
    <cellStyle name="Accent5 35" xfId="9645" xr:uid="{00000000-0005-0000-0000-0000A5040000}"/>
    <cellStyle name="Accent5 36" xfId="9652" xr:uid="{00000000-0005-0000-0000-0000A6040000}"/>
    <cellStyle name="Accent5 37" xfId="9658" xr:uid="{00000000-0005-0000-0000-0000A7040000}"/>
    <cellStyle name="Accent5 38" xfId="9711" xr:uid="{00000000-0005-0000-0000-0000A8040000}"/>
    <cellStyle name="Accent5 39" xfId="10566" xr:uid="{00000000-0005-0000-0000-0000A9040000}"/>
    <cellStyle name="Accent5 4" xfId="824" xr:uid="{00000000-0005-0000-0000-0000AA040000}"/>
    <cellStyle name="Accent5 4 2" xfId="825" xr:uid="{00000000-0005-0000-0000-0000AB040000}"/>
    <cellStyle name="Accent5 40" xfId="10580" xr:uid="{00000000-0005-0000-0000-0000AC040000}"/>
    <cellStyle name="Accent5 41" xfId="10595" xr:uid="{00000000-0005-0000-0000-0000AD040000}"/>
    <cellStyle name="Accent5 42" xfId="10614" xr:uid="{00000000-0005-0000-0000-0000AE040000}"/>
    <cellStyle name="Accent5 43" xfId="10630" xr:uid="{00000000-0005-0000-0000-0000AF040000}"/>
    <cellStyle name="Accent5 44" xfId="10638" xr:uid="{00000000-0005-0000-0000-0000B0040000}"/>
    <cellStyle name="Accent5 45" xfId="10676" xr:uid="{00000000-0005-0000-0000-0000B1040000}"/>
    <cellStyle name="Accent5 46" xfId="10684" xr:uid="{00000000-0005-0000-0000-0000B2040000}"/>
    <cellStyle name="Accent5 47" xfId="10700" xr:uid="{00000000-0005-0000-0000-0000B3040000}"/>
    <cellStyle name="Accent5 48" xfId="10717" xr:uid="{00000000-0005-0000-0000-0000B4040000}"/>
    <cellStyle name="Accent5 49" xfId="10725" xr:uid="{00000000-0005-0000-0000-0000B5040000}"/>
    <cellStyle name="Accent5 5" xfId="826" xr:uid="{00000000-0005-0000-0000-0000B6040000}"/>
    <cellStyle name="Accent5 5 2" xfId="827" xr:uid="{00000000-0005-0000-0000-0000B7040000}"/>
    <cellStyle name="Accent5 50" xfId="10714" xr:uid="{00000000-0005-0000-0000-0000B8040000}"/>
    <cellStyle name="Accent5 51" xfId="10763" xr:uid="{00000000-0005-0000-0000-0000B9040000}"/>
    <cellStyle name="Accent5 52" xfId="10777" xr:uid="{00000000-0005-0000-0000-0000BA040000}"/>
    <cellStyle name="Accent5 53" xfId="10784" xr:uid="{00000000-0005-0000-0000-0000BB040000}"/>
    <cellStyle name="Accent5 54" xfId="10776" xr:uid="{00000000-0005-0000-0000-0000BC040000}"/>
    <cellStyle name="Accent5 55" xfId="10807" xr:uid="{00000000-0005-0000-0000-0000BD040000}"/>
    <cellStyle name="Accent5 56" xfId="10821" xr:uid="{00000000-0005-0000-0000-0000BE040000}"/>
    <cellStyle name="Accent5 57" xfId="10804" xr:uid="{00000000-0005-0000-0000-0000BF040000}"/>
    <cellStyle name="Accent5 58" xfId="10823" xr:uid="{00000000-0005-0000-0000-0000C0040000}"/>
    <cellStyle name="Accent5 59" xfId="10801" xr:uid="{00000000-0005-0000-0000-0000C1040000}"/>
    <cellStyle name="Accent5 6" xfId="828" xr:uid="{00000000-0005-0000-0000-0000C2040000}"/>
    <cellStyle name="Accent5 6 2" xfId="829" xr:uid="{00000000-0005-0000-0000-0000C3040000}"/>
    <cellStyle name="Accent5 6 3" xfId="830" xr:uid="{00000000-0005-0000-0000-0000C4040000}"/>
    <cellStyle name="Accent5 6 4" xfId="831" xr:uid="{00000000-0005-0000-0000-0000C5040000}"/>
    <cellStyle name="Accent5 6_Activity Fcst Variance" xfId="832" xr:uid="{00000000-0005-0000-0000-0000C6040000}"/>
    <cellStyle name="Accent5 60" xfId="10835" xr:uid="{00000000-0005-0000-0000-0000C7040000}"/>
    <cellStyle name="Accent5 61" xfId="10851" xr:uid="{00000000-0005-0000-0000-0000C8040000}"/>
    <cellStyle name="Accent5 62" xfId="10866" xr:uid="{00000000-0005-0000-0000-0000C9040000}"/>
    <cellStyle name="Accent5 63" xfId="10935" xr:uid="{00000000-0005-0000-0000-0000CA040000}"/>
    <cellStyle name="Accent5 64" xfId="11006" xr:uid="{00000000-0005-0000-0000-0000CB040000}"/>
    <cellStyle name="Accent5 65" xfId="10954" xr:uid="{00000000-0005-0000-0000-0000CC040000}"/>
    <cellStyle name="Accent5 66" xfId="11026" xr:uid="{00000000-0005-0000-0000-0000CD040000}"/>
    <cellStyle name="Accent5 67" xfId="11207" xr:uid="{00000000-0005-0000-0000-0000CE040000}"/>
    <cellStyle name="Accent5 68" xfId="11215" xr:uid="{00000000-0005-0000-0000-0000CF040000}"/>
    <cellStyle name="Accent5 69" xfId="11241" xr:uid="{00000000-0005-0000-0000-0000D0040000}"/>
    <cellStyle name="Accent5 7" xfId="833" xr:uid="{00000000-0005-0000-0000-0000D1040000}"/>
    <cellStyle name="Accent5 70" xfId="11264" xr:uid="{00000000-0005-0000-0000-0000D2040000}"/>
    <cellStyle name="Accent5 71" xfId="11291" xr:uid="{00000000-0005-0000-0000-0000D3040000}"/>
    <cellStyle name="Accent5 72" xfId="11262" xr:uid="{00000000-0005-0000-0000-0000D4040000}"/>
    <cellStyle name="Accent5 73" xfId="11287" xr:uid="{00000000-0005-0000-0000-0000D5040000}"/>
    <cellStyle name="Accent5 74" xfId="11309" xr:uid="{00000000-0005-0000-0000-0000D6040000}"/>
    <cellStyle name="Accent5 75" xfId="11290" xr:uid="{00000000-0005-0000-0000-0000D7040000}"/>
    <cellStyle name="Accent5 76" xfId="11312" xr:uid="{00000000-0005-0000-0000-0000D8040000}"/>
    <cellStyle name="Accent5 77" xfId="11298" xr:uid="{00000000-0005-0000-0000-0000D9040000}"/>
    <cellStyle name="Accent5 78" xfId="11319" xr:uid="{00000000-0005-0000-0000-0000DA040000}"/>
    <cellStyle name="Accent5 79" xfId="11304" xr:uid="{00000000-0005-0000-0000-0000DB040000}"/>
    <cellStyle name="Accent5 8" xfId="834" xr:uid="{00000000-0005-0000-0000-0000DC040000}"/>
    <cellStyle name="Accent5 8 2" xfId="835" xr:uid="{00000000-0005-0000-0000-0000DD040000}"/>
    <cellStyle name="Accent5 80" xfId="11324" xr:uid="{00000000-0005-0000-0000-0000DE040000}"/>
    <cellStyle name="Accent5 81" xfId="11330" xr:uid="{00000000-0005-0000-0000-0000DF040000}"/>
    <cellStyle name="Accent5 82" xfId="11349" xr:uid="{00000000-0005-0000-0000-0000E0040000}"/>
    <cellStyle name="Accent5 83" xfId="11342" xr:uid="{00000000-0005-0000-0000-0000E1040000}"/>
    <cellStyle name="Accent5 84" xfId="11353" xr:uid="{00000000-0005-0000-0000-0000E2040000}"/>
    <cellStyle name="Accent5 85" xfId="11356" xr:uid="{00000000-0005-0000-0000-0000E3040000}"/>
    <cellStyle name="Accent5 86" xfId="11364" xr:uid="{00000000-0005-0000-0000-0000E4040000}"/>
    <cellStyle name="Accent5 87" xfId="11369" xr:uid="{00000000-0005-0000-0000-0000E5040000}"/>
    <cellStyle name="Accent5 88" xfId="11405" xr:uid="{00000000-0005-0000-0000-0000E6040000}"/>
    <cellStyle name="Accent5 89" xfId="11420" xr:uid="{00000000-0005-0000-0000-0000E7040000}"/>
    <cellStyle name="Accent5 9" xfId="836" xr:uid="{00000000-0005-0000-0000-0000E8040000}"/>
    <cellStyle name="Accent5 9 2" xfId="837" xr:uid="{00000000-0005-0000-0000-0000E9040000}"/>
    <cellStyle name="Accent5 9 3" xfId="838" xr:uid="{00000000-0005-0000-0000-0000EA040000}"/>
    <cellStyle name="Accent5 9 4" xfId="839" xr:uid="{00000000-0005-0000-0000-0000EB040000}"/>
    <cellStyle name="Accent5 9 5" xfId="840" xr:uid="{00000000-0005-0000-0000-0000EC040000}"/>
    <cellStyle name="Accent5 90" xfId="11408" xr:uid="{00000000-0005-0000-0000-0000ED040000}"/>
    <cellStyle name="Accent5 91" xfId="11458" xr:uid="{00000000-0005-0000-0000-0000EE040000}"/>
    <cellStyle name="Accent5 92" xfId="11479" xr:uid="{00000000-0005-0000-0000-0000EF040000}"/>
    <cellStyle name="Accent5 93" xfId="11491" xr:uid="{00000000-0005-0000-0000-0000F0040000}"/>
    <cellStyle name="Accent5 94" xfId="11506" xr:uid="{00000000-0005-0000-0000-0000F1040000}"/>
    <cellStyle name="Accent5 95" xfId="11488" xr:uid="{00000000-0005-0000-0000-0000F2040000}"/>
    <cellStyle name="Accent5 96" xfId="11508" xr:uid="{00000000-0005-0000-0000-0000F3040000}"/>
    <cellStyle name="Accent5 97" xfId="11485" xr:uid="{00000000-0005-0000-0000-0000F4040000}"/>
    <cellStyle name="Accent5 98" xfId="11531" xr:uid="{00000000-0005-0000-0000-0000F5040000}"/>
    <cellStyle name="Accent5 99" xfId="11539" xr:uid="{00000000-0005-0000-0000-0000F6040000}"/>
    <cellStyle name="Accent6 - 20%" xfId="36" xr:uid="{00000000-0005-0000-0000-0000F7040000}"/>
    <cellStyle name="Accent6 - 20% 2" xfId="841" xr:uid="{00000000-0005-0000-0000-0000F8040000}"/>
    <cellStyle name="Accent6 - 20% 3" xfId="842" xr:uid="{00000000-0005-0000-0000-0000F9040000}"/>
    <cellStyle name="Accent6 - 40%" xfId="37" xr:uid="{00000000-0005-0000-0000-0000FA040000}"/>
    <cellStyle name="Accent6 - 40% 2" xfId="843" xr:uid="{00000000-0005-0000-0000-0000FB040000}"/>
    <cellStyle name="Accent6 - 40% 2 2" xfId="844" xr:uid="{00000000-0005-0000-0000-0000FC040000}"/>
    <cellStyle name="Accent6 - 40% 2 2 2" xfId="845" xr:uid="{00000000-0005-0000-0000-0000FD040000}"/>
    <cellStyle name="Accent6 - 40% 2 2 3" xfId="846" xr:uid="{00000000-0005-0000-0000-0000FE040000}"/>
    <cellStyle name="Accent6 - 40% 2 2_Cap Forecast" xfId="847" xr:uid="{00000000-0005-0000-0000-0000FF040000}"/>
    <cellStyle name="Accent6 - 40% 2 3" xfId="848" xr:uid="{00000000-0005-0000-0000-000000050000}"/>
    <cellStyle name="Accent6 - 40% 2 4" xfId="849" xr:uid="{00000000-0005-0000-0000-000001050000}"/>
    <cellStyle name="Accent6 - 40% 2 5" xfId="850" xr:uid="{00000000-0005-0000-0000-000002050000}"/>
    <cellStyle name="Accent6 - 40% 2_Activity Fcst Variance" xfId="851" xr:uid="{00000000-0005-0000-0000-000003050000}"/>
    <cellStyle name="Accent6 - 40% 3" xfId="852" xr:uid="{00000000-0005-0000-0000-000004050000}"/>
    <cellStyle name="Accent6 - 40% 3 2" xfId="853" xr:uid="{00000000-0005-0000-0000-000005050000}"/>
    <cellStyle name="Accent6 - 40% 3 3" xfId="854" xr:uid="{00000000-0005-0000-0000-000006050000}"/>
    <cellStyle name="Accent6 - 40% 3 4" xfId="855" xr:uid="{00000000-0005-0000-0000-000007050000}"/>
    <cellStyle name="Accent6 - 40% 4" xfId="856" xr:uid="{00000000-0005-0000-0000-000008050000}"/>
    <cellStyle name="Accent6 - 40% 5" xfId="857" xr:uid="{00000000-0005-0000-0000-000009050000}"/>
    <cellStyle name="Accent6 - 40% 6" xfId="858" xr:uid="{00000000-0005-0000-0000-00000A050000}"/>
    <cellStyle name="Accent6 - 40% 7" xfId="859" xr:uid="{00000000-0005-0000-0000-00000B050000}"/>
    <cellStyle name="Accent6 - 40% 8" xfId="9715" xr:uid="{00000000-0005-0000-0000-00000C050000}"/>
    <cellStyle name="Accent6 - 40%_BOT Summary" xfId="10491" xr:uid="{00000000-0005-0000-0000-00000D050000}"/>
    <cellStyle name="Accent6 - 60%" xfId="38" xr:uid="{00000000-0005-0000-0000-00000E050000}"/>
    <cellStyle name="Accent6 - 60% 2" xfId="860" xr:uid="{00000000-0005-0000-0000-00000F050000}"/>
    <cellStyle name="Accent6 - 60% 2 2" xfId="861" xr:uid="{00000000-0005-0000-0000-000010050000}"/>
    <cellStyle name="Accent6 - 60% 2 2 2" xfId="862" xr:uid="{00000000-0005-0000-0000-000011050000}"/>
    <cellStyle name="Accent6 - 60% 2 2 3" xfId="863" xr:uid="{00000000-0005-0000-0000-000012050000}"/>
    <cellStyle name="Accent6 - 60% 2 2_Cap Forecast" xfId="864" xr:uid="{00000000-0005-0000-0000-000013050000}"/>
    <cellStyle name="Accent6 - 60% 2 3" xfId="865" xr:uid="{00000000-0005-0000-0000-000014050000}"/>
    <cellStyle name="Accent6 - 60% 2 4" xfId="866" xr:uid="{00000000-0005-0000-0000-000015050000}"/>
    <cellStyle name="Accent6 - 60% 2 5" xfId="867" xr:uid="{00000000-0005-0000-0000-000016050000}"/>
    <cellStyle name="Accent6 - 60% 2_Activity Fcst Variance" xfId="868" xr:uid="{00000000-0005-0000-0000-000017050000}"/>
    <cellStyle name="Accent6 - 60% 3" xfId="869" xr:uid="{00000000-0005-0000-0000-000018050000}"/>
    <cellStyle name="Accent6 - 60% 3 2" xfId="870" xr:uid="{00000000-0005-0000-0000-000019050000}"/>
    <cellStyle name="Accent6 - 60% 3 3" xfId="871" xr:uid="{00000000-0005-0000-0000-00001A050000}"/>
    <cellStyle name="Accent6 - 60% 4" xfId="872" xr:uid="{00000000-0005-0000-0000-00001B050000}"/>
    <cellStyle name="Accent6 - 60% 5" xfId="873" xr:uid="{00000000-0005-0000-0000-00001C050000}"/>
    <cellStyle name="Accent6 - 60% 6" xfId="874" xr:uid="{00000000-0005-0000-0000-00001D050000}"/>
    <cellStyle name="Accent6 - 60% 7" xfId="875" xr:uid="{00000000-0005-0000-0000-00001E050000}"/>
    <cellStyle name="Accent6 - 60% 8" xfId="9716" xr:uid="{00000000-0005-0000-0000-00001F050000}"/>
    <cellStyle name="Accent6 - 60%_BOT Summary" xfId="10492" xr:uid="{00000000-0005-0000-0000-000020050000}"/>
    <cellStyle name="Accent6 10" xfId="876" xr:uid="{00000000-0005-0000-0000-000021050000}"/>
    <cellStyle name="Accent6 100" xfId="11543" xr:uid="{00000000-0005-0000-0000-000022050000}"/>
    <cellStyle name="Accent6 101" xfId="11553" xr:uid="{00000000-0005-0000-0000-000023050000}"/>
    <cellStyle name="Accent6 102" xfId="11559" xr:uid="{00000000-0005-0000-0000-000024050000}"/>
    <cellStyle name="Accent6 103" xfId="11571" xr:uid="{00000000-0005-0000-0000-000025050000}"/>
    <cellStyle name="Accent6 104" xfId="11601" xr:uid="{00000000-0005-0000-0000-000026050000}"/>
    <cellStyle name="Accent6 105" xfId="11615" xr:uid="{00000000-0005-0000-0000-000027050000}"/>
    <cellStyle name="Accent6 106" xfId="11602" xr:uid="{00000000-0005-0000-0000-000028050000}"/>
    <cellStyle name="Accent6 107" xfId="11617" xr:uid="{00000000-0005-0000-0000-000029050000}"/>
    <cellStyle name="Accent6 108" xfId="11599" xr:uid="{00000000-0005-0000-0000-00002A050000}"/>
    <cellStyle name="Accent6 109" xfId="11618" xr:uid="{00000000-0005-0000-0000-00002B050000}"/>
    <cellStyle name="Accent6 11" xfId="877" xr:uid="{00000000-0005-0000-0000-00002C050000}"/>
    <cellStyle name="Accent6 110" xfId="11596" xr:uid="{00000000-0005-0000-0000-00002D050000}"/>
    <cellStyle name="Accent6 111" xfId="11621" xr:uid="{00000000-0005-0000-0000-00002E050000}"/>
    <cellStyle name="Accent6 112" xfId="11592" xr:uid="{00000000-0005-0000-0000-00002F050000}"/>
    <cellStyle name="Accent6 113" xfId="11626" xr:uid="{00000000-0005-0000-0000-000030050000}"/>
    <cellStyle name="Accent6 114" xfId="11603" xr:uid="{00000000-0005-0000-0000-000031050000}"/>
    <cellStyle name="Accent6 115" xfId="11686" xr:uid="{00000000-0005-0000-0000-000032050000}"/>
    <cellStyle name="Accent6 116" xfId="11697" xr:uid="{00000000-0005-0000-0000-000033050000}"/>
    <cellStyle name="Accent6 117" xfId="11685" xr:uid="{00000000-0005-0000-0000-000034050000}"/>
    <cellStyle name="Accent6 118" xfId="11698" xr:uid="{00000000-0005-0000-0000-000035050000}"/>
    <cellStyle name="Accent6 119" xfId="11681" xr:uid="{00000000-0005-0000-0000-000036050000}"/>
    <cellStyle name="Accent6 12" xfId="878" xr:uid="{00000000-0005-0000-0000-000037050000}"/>
    <cellStyle name="Accent6 120" xfId="11768" xr:uid="{00000000-0005-0000-0000-000038050000}"/>
    <cellStyle name="Accent6 121" xfId="11789" xr:uid="{00000000-0005-0000-0000-000039050000}"/>
    <cellStyle name="Accent6 122" xfId="11793" xr:uid="{00000000-0005-0000-0000-00003A050000}"/>
    <cellStyle name="Accent6 123" xfId="11787" xr:uid="{00000000-0005-0000-0000-00003B050000}"/>
    <cellStyle name="Accent6 124" xfId="11808" xr:uid="{00000000-0005-0000-0000-00003C050000}"/>
    <cellStyle name="Accent6 125" xfId="11819" xr:uid="{00000000-0005-0000-0000-00003D050000}"/>
    <cellStyle name="Accent6 126" xfId="35" xr:uid="{00000000-0005-0000-0000-00003E050000}"/>
    <cellStyle name="Accent6 127" xfId="11844" xr:uid="{00000000-0005-0000-0000-00003F050000}"/>
    <cellStyle name="Accent6 128" xfId="11847" xr:uid="{00000000-0005-0000-0000-000040050000}"/>
    <cellStyle name="Accent6 13" xfId="879" xr:uid="{00000000-0005-0000-0000-000041050000}"/>
    <cellStyle name="Accent6 14" xfId="880" xr:uid="{00000000-0005-0000-0000-000042050000}"/>
    <cellStyle name="Accent6 15" xfId="881" xr:uid="{00000000-0005-0000-0000-000043050000}"/>
    <cellStyle name="Accent6 16" xfId="882" xr:uid="{00000000-0005-0000-0000-000044050000}"/>
    <cellStyle name="Accent6 17" xfId="883" xr:uid="{00000000-0005-0000-0000-000045050000}"/>
    <cellStyle name="Accent6 18" xfId="884" xr:uid="{00000000-0005-0000-0000-000046050000}"/>
    <cellStyle name="Accent6 19" xfId="885" xr:uid="{00000000-0005-0000-0000-000047050000}"/>
    <cellStyle name="Accent6 2" xfId="886" xr:uid="{00000000-0005-0000-0000-000048050000}"/>
    <cellStyle name="Accent6 2 2" xfId="887" xr:uid="{00000000-0005-0000-0000-000049050000}"/>
    <cellStyle name="Accent6 2 2 2" xfId="888" xr:uid="{00000000-0005-0000-0000-00004A050000}"/>
    <cellStyle name="Accent6 2 3" xfId="889" xr:uid="{00000000-0005-0000-0000-00004B050000}"/>
    <cellStyle name="Accent6 2 3 2" xfId="890" xr:uid="{00000000-0005-0000-0000-00004C050000}"/>
    <cellStyle name="Accent6 2 4" xfId="891" xr:uid="{00000000-0005-0000-0000-00004D050000}"/>
    <cellStyle name="Accent6 2_BOT Summary" xfId="10535" xr:uid="{00000000-0005-0000-0000-00004E050000}"/>
    <cellStyle name="Accent6 20" xfId="892" xr:uid="{00000000-0005-0000-0000-00004F050000}"/>
    <cellStyle name="Accent6 21" xfId="893" xr:uid="{00000000-0005-0000-0000-000050050000}"/>
    <cellStyle name="Accent6 22" xfId="894" xr:uid="{00000000-0005-0000-0000-000051050000}"/>
    <cellStyle name="Accent6 23" xfId="895" xr:uid="{00000000-0005-0000-0000-000052050000}"/>
    <cellStyle name="Accent6 24" xfId="896" xr:uid="{00000000-0005-0000-0000-000053050000}"/>
    <cellStyle name="Accent6 25" xfId="897" xr:uid="{00000000-0005-0000-0000-000054050000}"/>
    <cellStyle name="Accent6 26" xfId="898" xr:uid="{00000000-0005-0000-0000-000055050000}"/>
    <cellStyle name="Accent6 27" xfId="899" xr:uid="{00000000-0005-0000-0000-000056050000}"/>
    <cellStyle name="Accent6 28" xfId="900" xr:uid="{00000000-0005-0000-0000-000057050000}"/>
    <cellStyle name="Accent6 29" xfId="901" xr:uid="{00000000-0005-0000-0000-000058050000}"/>
    <cellStyle name="Accent6 3" xfId="902" xr:uid="{00000000-0005-0000-0000-000059050000}"/>
    <cellStyle name="Accent6 3 2" xfId="903" xr:uid="{00000000-0005-0000-0000-00005A050000}"/>
    <cellStyle name="Accent6 3 3" xfId="904" xr:uid="{00000000-0005-0000-0000-00005B050000}"/>
    <cellStyle name="Accent6 3_BOT Summary" xfId="10536" xr:uid="{00000000-0005-0000-0000-00005C050000}"/>
    <cellStyle name="Accent6 30" xfId="9617" xr:uid="{00000000-0005-0000-0000-00005D050000}"/>
    <cellStyle name="Accent6 31" xfId="9633" xr:uid="{00000000-0005-0000-0000-00005E050000}"/>
    <cellStyle name="Accent6 32" xfId="9612" xr:uid="{00000000-0005-0000-0000-00005F050000}"/>
    <cellStyle name="Accent6 33" xfId="9636" xr:uid="{00000000-0005-0000-0000-000060050000}"/>
    <cellStyle name="Accent6 34" xfId="9608" xr:uid="{00000000-0005-0000-0000-000061050000}"/>
    <cellStyle name="Accent6 35" xfId="9640" xr:uid="{00000000-0005-0000-0000-000062050000}"/>
    <cellStyle name="Accent6 36" xfId="9648" xr:uid="{00000000-0005-0000-0000-000063050000}"/>
    <cellStyle name="Accent6 37" xfId="9644" xr:uid="{00000000-0005-0000-0000-000064050000}"/>
    <cellStyle name="Accent6 38" xfId="9714" xr:uid="{00000000-0005-0000-0000-000065050000}"/>
    <cellStyle name="Accent6 39" xfId="10570" xr:uid="{00000000-0005-0000-0000-000066050000}"/>
    <cellStyle name="Accent6 4" xfId="905" xr:uid="{00000000-0005-0000-0000-000067050000}"/>
    <cellStyle name="Accent6 4 2" xfId="906" xr:uid="{00000000-0005-0000-0000-000068050000}"/>
    <cellStyle name="Accent6 40" xfId="10579" xr:uid="{00000000-0005-0000-0000-000069050000}"/>
    <cellStyle name="Accent6 41" xfId="10598" xr:uid="{00000000-0005-0000-0000-00006A050000}"/>
    <cellStyle name="Accent6 42" xfId="10613" xr:uid="{00000000-0005-0000-0000-00006B050000}"/>
    <cellStyle name="Accent6 43" xfId="10634" xr:uid="{00000000-0005-0000-0000-00006C050000}"/>
    <cellStyle name="Accent6 44" xfId="10637" xr:uid="{00000000-0005-0000-0000-00006D050000}"/>
    <cellStyle name="Accent6 45" xfId="10677" xr:uid="{00000000-0005-0000-0000-00006E050000}"/>
    <cellStyle name="Accent6 46" xfId="10683" xr:uid="{00000000-0005-0000-0000-00006F050000}"/>
    <cellStyle name="Accent6 47" xfId="10673" xr:uid="{00000000-0005-0000-0000-000070050000}"/>
    <cellStyle name="Accent6 48" xfId="10718" xr:uid="{00000000-0005-0000-0000-000071050000}"/>
    <cellStyle name="Accent6 49" xfId="10724" xr:uid="{00000000-0005-0000-0000-000072050000}"/>
    <cellStyle name="Accent6 5" xfId="907" xr:uid="{00000000-0005-0000-0000-000073050000}"/>
    <cellStyle name="Accent6 5 2" xfId="908" xr:uid="{00000000-0005-0000-0000-000074050000}"/>
    <cellStyle name="Accent6 50" xfId="10716" xr:uid="{00000000-0005-0000-0000-000075050000}"/>
    <cellStyle name="Accent6 51" xfId="10764" xr:uid="{00000000-0005-0000-0000-000076050000}"/>
    <cellStyle name="Accent6 52" xfId="10779" xr:uid="{00000000-0005-0000-0000-000077050000}"/>
    <cellStyle name="Accent6 53" xfId="10783" xr:uid="{00000000-0005-0000-0000-000078050000}"/>
    <cellStyle name="Accent6 54" xfId="10778" xr:uid="{00000000-0005-0000-0000-000079050000}"/>
    <cellStyle name="Accent6 55" xfId="10809" xr:uid="{00000000-0005-0000-0000-00007A050000}"/>
    <cellStyle name="Accent6 56" xfId="10819" xr:uid="{00000000-0005-0000-0000-00007B050000}"/>
    <cellStyle name="Accent6 57" xfId="10808" xr:uid="{00000000-0005-0000-0000-00007C050000}"/>
    <cellStyle name="Accent6 58" xfId="10820" xr:uid="{00000000-0005-0000-0000-00007D050000}"/>
    <cellStyle name="Accent6 59" xfId="10806" xr:uid="{00000000-0005-0000-0000-00007E050000}"/>
    <cellStyle name="Accent6 6" xfId="909" xr:uid="{00000000-0005-0000-0000-00007F050000}"/>
    <cellStyle name="Accent6 6 2" xfId="910" xr:uid="{00000000-0005-0000-0000-000080050000}"/>
    <cellStyle name="Accent6 6 3" xfId="911" xr:uid="{00000000-0005-0000-0000-000081050000}"/>
    <cellStyle name="Accent6 6 4" xfId="912" xr:uid="{00000000-0005-0000-0000-000082050000}"/>
    <cellStyle name="Accent6 6_Activity Fcst Variance" xfId="913" xr:uid="{00000000-0005-0000-0000-000083050000}"/>
    <cellStyle name="Accent6 60" xfId="10822" xr:uid="{00000000-0005-0000-0000-000084050000}"/>
    <cellStyle name="Accent6 61" xfId="10803" xr:uid="{00000000-0005-0000-0000-000085050000}"/>
    <cellStyle name="Accent6 62" xfId="10834" xr:uid="{00000000-0005-0000-0000-000086050000}"/>
    <cellStyle name="Accent6 63" xfId="10936" xr:uid="{00000000-0005-0000-0000-000087050000}"/>
    <cellStyle name="Accent6 64" xfId="11005" xr:uid="{00000000-0005-0000-0000-000088050000}"/>
    <cellStyle name="Accent6 65" xfId="10955" xr:uid="{00000000-0005-0000-0000-000089050000}"/>
    <cellStyle name="Accent6 66" xfId="10980" xr:uid="{00000000-0005-0000-0000-00008A050000}"/>
    <cellStyle name="Accent6 67" xfId="11208" xr:uid="{00000000-0005-0000-0000-00008B050000}"/>
    <cellStyle name="Accent6 68" xfId="11214" xr:uid="{00000000-0005-0000-0000-00008C050000}"/>
    <cellStyle name="Accent6 69" xfId="11240" xr:uid="{00000000-0005-0000-0000-00008D050000}"/>
    <cellStyle name="Accent6 7" xfId="914" xr:uid="{00000000-0005-0000-0000-00008E050000}"/>
    <cellStyle name="Accent6 70" xfId="11267" xr:uid="{00000000-0005-0000-0000-00008F050000}"/>
    <cellStyle name="Accent6 71" xfId="11288" xr:uid="{00000000-0005-0000-0000-000090050000}"/>
    <cellStyle name="Accent6 72" xfId="11265" xr:uid="{00000000-0005-0000-0000-000091050000}"/>
    <cellStyle name="Accent6 73" xfId="11285" xr:uid="{00000000-0005-0000-0000-000092050000}"/>
    <cellStyle name="Accent6 74" xfId="11258" xr:uid="{00000000-0005-0000-0000-000093050000}"/>
    <cellStyle name="Accent6 75" xfId="11286" xr:uid="{00000000-0005-0000-0000-000094050000}"/>
    <cellStyle name="Accent6 76" xfId="11308" xr:uid="{00000000-0005-0000-0000-000095050000}"/>
    <cellStyle name="Accent6 77" xfId="11289" xr:uid="{00000000-0005-0000-0000-000096050000}"/>
    <cellStyle name="Accent6 78" xfId="11311" xr:uid="{00000000-0005-0000-0000-000097050000}"/>
    <cellStyle name="Accent6 79" xfId="11293" xr:uid="{00000000-0005-0000-0000-000098050000}"/>
    <cellStyle name="Accent6 8" xfId="915" xr:uid="{00000000-0005-0000-0000-000099050000}"/>
    <cellStyle name="Accent6 8 2" xfId="916" xr:uid="{00000000-0005-0000-0000-00009A050000}"/>
    <cellStyle name="Accent6 80" xfId="11318" xr:uid="{00000000-0005-0000-0000-00009B050000}"/>
    <cellStyle name="Accent6 81" xfId="11294" xr:uid="{00000000-0005-0000-0000-00009C050000}"/>
    <cellStyle name="Accent6 82" xfId="11322" xr:uid="{00000000-0005-0000-0000-00009D050000}"/>
    <cellStyle name="Accent6 83" xfId="11300" xr:uid="{00000000-0005-0000-0000-00009E050000}"/>
    <cellStyle name="Accent6 84" xfId="11335" xr:uid="{00000000-0005-0000-0000-00009F050000}"/>
    <cellStyle name="Accent6 85" xfId="11331" xr:uid="{00000000-0005-0000-0000-0000A0050000}"/>
    <cellStyle name="Accent6 86" xfId="11350" xr:uid="{00000000-0005-0000-0000-0000A1050000}"/>
    <cellStyle name="Accent6 87" xfId="11346" xr:uid="{00000000-0005-0000-0000-0000A2050000}"/>
    <cellStyle name="Accent6 88" xfId="11404" xr:uid="{00000000-0005-0000-0000-0000A3050000}"/>
    <cellStyle name="Accent6 89" xfId="11419" xr:uid="{00000000-0005-0000-0000-0000A4050000}"/>
    <cellStyle name="Accent6 9" xfId="917" xr:uid="{00000000-0005-0000-0000-0000A5050000}"/>
    <cellStyle name="Accent6 9 2" xfId="918" xr:uid="{00000000-0005-0000-0000-0000A6050000}"/>
    <cellStyle name="Accent6 9 3" xfId="919" xr:uid="{00000000-0005-0000-0000-0000A7050000}"/>
    <cellStyle name="Accent6 9 4" xfId="920" xr:uid="{00000000-0005-0000-0000-0000A8050000}"/>
    <cellStyle name="Accent6 9 5" xfId="921" xr:uid="{00000000-0005-0000-0000-0000A9050000}"/>
    <cellStyle name="Accent6 90" xfId="11406" xr:uid="{00000000-0005-0000-0000-0000AA050000}"/>
    <cellStyle name="Accent6 91" xfId="11459" xr:uid="{00000000-0005-0000-0000-0000AB050000}"/>
    <cellStyle name="Accent6 92" xfId="11473" xr:uid="{00000000-0005-0000-0000-0000AC050000}"/>
    <cellStyle name="Accent6 93" xfId="11493" xr:uid="{00000000-0005-0000-0000-0000AD050000}"/>
    <cellStyle name="Accent6 94" xfId="11504" xr:uid="{00000000-0005-0000-0000-0000AE050000}"/>
    <cellStyle name="Accent6 95" xfId="11492" xr:uid="{00000000-0005-0000-0000-0000AF050000}"/>
    <cellStyle name="Accent6 96" xfId="11505" xr:uid="{00000000-0005-0000-0000-0000B0050000}"/>
    <cellStyle name="Accent6 97" xfId="11490" xr:uid="{00000000-0005-0000-0000-0000B1050000}"/>
    <cellStyle name="Accent6 98" xfId="11532" xr:uid="{00000000-0005-0000-0000-0000B2050000}"/>
    <cellStyle name="Accent6 99" xfId="11540" xr:uid="{00000000-0005-0000-0000-0000B3050000}"/>
    <cellStyle name="Actual Date" xfId="922" xr:uid="{00000000-0005-0000-0000-0000B4050000}"/>
    <cellStyle name="Actual Date 2" xfId="923" xr:uid="{00000000-0005-0000-0000-0000B5050000}"/>
    <cellStyle name="Actual Date 2 2" xfId="924" xr:uid="{00000000-0005-0000-0000-0000B6050000}"/>
    <cellStyle name="Actual Date 2 2 2" xfId="9880" xr:uid="{00000000-0005-0000-0000-0000B7050000}"/>
    <cellStyle name="Actual Date 2 3" xfId="9879" xr:uid="{00000000-0005-0000-0000-0000B8050000}"/>
    <cellStyle name="Actual Date 3" xfId="925" xr:uid="{00000000-0005-0000-0000-0000B9050000}"/>
    <cellStyle name="Actual Date 4" xfId="926" xr:uid="{00000000-0005-0000-0000-0000BA050000}"/>
    <cellStyle name="Actual Date 4 2" xfId="9881" xr:uid="{00000000-0005-0000-0000-0000BB050000}"/>
    <cellStyle name="Actual Date 5" xfId="927" xr:uid="{00000000-0005-0000-0000-0000BC050000}"/>
    <cellStyle name="Bad 10" xfId="9717" xr:uid="{00000000-0005-0000-0000-0000BD050000}"/>
    <cellStyle name="Bad 11" xfId="39" xr:uid="{00000000-0005-0000-0000-0000BE050000}"/>
    <cellStyle name="Bad 2" xfId="928" xr:uid="{00000000-0005-0000-0000-0000BF050000}"/>
    <cellStyle name="Bad 2 2" xfId="929" xr:uid="{00000000-0005-0000-0000-0000C0050000}"/>
    <cellStyle name="Bad 2 2 2" xfId="930" xr:uid="{00000000-0005-0000-0000-0000C1050000}"/>
    <cellStyle name="Bad 2 3" xfId="931" xr:uid="{00000000-0005-0000-0000-0000C2050000}"/>
    <cellStyle name="Bad 2 3 2" xfId="932" xr:uid="{00000000-0005-0000-0000-0000C3050000}"/>
    <cellStyle name="Bad 2 4" xfId="933" xr:uid="{00000000-0005-0000-0000-0000C4050000}"/>
    <cellStyle name="Bad 2_BOT Summary" xfId="10537" xr:uid="{00000000-0005-0000-0000-0000C5050000}"/>
    <cellStyle name="Bad 3" xfId="934" xr:uid="{00000000-0005-0000-0000-0000C6050000}"/>
    <cellStyle name="Bad 3 2" xfId="935" xr:uid="{00000000-0005-0000-0000-0000C7050000}"/>
    <cellStyle name="Bad 3 3" xfId="936" xr:uid="{00000000-0005-0000-0000-0000C8050000}"/>
    <cellStyle name="Bad 3_Cap Forecast" xfId="937" xr:uid="{00000000-0005-0000-0000-0000C9050000}"/>
    <cellStyle name="Bad 4" xfId="938" xr:uid="{00000000-0005-0000-0000-0000CA050000}"/>
    <cellStyle name="Bad 4 2" xfId="939" xr:uid="{00000000-0005-0000-0000-0000CB050000}"/>
    <cellStyle name="Bad 4 3" xfId="940" xr:uid="{00000000-0005-0000-0000-0000CC050000}"/>
    <cellStyle name="Bad 5" xfId="941" xr:uid="{00000000-0005-0000-0000-0000CD050000}"/>
    <cellStyle name="Bad 6" xfId="942" xr:uid="{00000000-0005-0000-0000-0000CE050000}"/>
    <cellStyle name="Bad 7" xfId="943" xr:uid="{00000000-0005-0000-0000-0000CF050000}"/>
    <cellStyle name="Bad 8" xfId="944" xr:uid="{00000000-0005-0000-0000-0000D0050000}"/>
    <cellStyle name="Bad 9" xfId="945" xr:uid="{00000000-0005-0000-0000-0000D1050000}"/>
    <cellStyle name="Calculation 10" xfId="9718" xr:uid="{00000000-0005-0000-0000-0000D2050000}"/>
    <cellStyle name="Calculation 11" xfId="40" xr:uid="{00000000-0005-0000-0000-0000D3050000}"/>
    <cellStyle name="Calculation 2" xfId="946" xr:uid="{00000000-0005-0000-0000-0000D4050000}"/>
    <cellStyle name="Calculation 2 2" xfId="947" xr:uid="{00000000-0005-0000-0000-0000D5050000}"/>
    <cellStyle name="Calculation 2 2 2" xfId="948" xr:uid="{00000000-0005-0000-0000-0000D6050000}"/>
    <cellStyle name="Calculation 2 3" xfId="949" xr:uid="{00000000-0005-0000-0000-0000D7050000}"/>
    <cellStyle name="Calculation 2 3 2" xfId="950" xr:uid="{00000000-0005-0000-0000-0000D8050000}"/>
    <cellStyle name="Calculation 2 4" xfId="951" xr:uid="{00000000-0005-0000-0000-0000D9050000}"/>
    <cellStyle name="Calculation 2_BOT Summary" xfId="10538" xr:uid="{00000000-0005-0000-0000-0000DA050000}"/>
    <cellStyle name="Calculation 3" xfId="952" xr:uid="{00000000-0005-0000-0000-0000DB050000}"/>
    <cellStyle name="Calculation 3 2" xfId="953" xr:uid="{00000000-0005-0000-0000-0000DC050000}"/>
    <cellStyle name="Calculation 3 3" xfId="954" xr:uid="{00000000-0005-0000-0000-0000DD050000}"/>
    <cellStyle name="Calculation 3_Cap Forecast" xfId="955" xr:uid="{00000000-0005-0000-0000-0000DE050000}"/>
    <cellStyle name="Calculation 4" xfId="956" xr:uid="{00000000-0005-0000-0000-0000DF050000}"/>
    <cellStyle name="Calculation 4 2" xfId="957" xr:uid="{00000000-0005-0000-0000-0000E0050000}"/>
    <cellStyle name="Calculation 4 3" xfId="958" xr:uid="{00000000-0005-0000-0000-0000E1050000}"/>
    <cellStyle name="Calculation 5" xfId="959" xr:uid="{00000000-0005-0000-0000-0000E2050000}"/>
    <cellStyle name="Calculation 6" xfId="960" xr:uid="{00000000-0005-0000-0000-0000E3050000}"/>
    <cellStyle name="Calculation 7" xfId="961" xr:uid="{00000000-0005-0000-0000-0000E4050000}"/>
    <cellStyle name="Calculation 8" xfId="962" xr:uid="{00000000-0005-0000-0000-0000E5050000}"/>
    <cellStyle name="Calculation 9" xfId="963" xr:uid="{00000000-0005-0000-0000-0000E6050000}"/>
    <cellStyle name="Check Cell 10" xfId="9719" xr:uid="{00000000-0005-0000-0000-0000E7050000}"/>
    <cellStyle name="Check Cell 11" xfId="41" xr:uid="{00000000-0005-0000-0000-0000E8050000}"/>
    <cellStyle name="Check Cell 2" xfId="964" xr:uid="{00000000-0005-0000-0000-0000E9050000}"/>
    <cellStyle name="Check Cell 2 2" xfId="965" xr:uid="{00000000-0005-0000-0000-0000EA050000}"/>
    <cellStyle name="Check Cell 2 2 2" xfId="966" xr:uid="{00000000-0005-0000-0000-0000EB050000}"/>
    <cellStyle name="Check Cell 2 3" xfId="967" xr:uid="{00000000-0005-0000-0000-0000EC050000}"/>
    <cellStyle name="Check Cell 2 3 2" xfId="968" xr:uid="{00000000-0005-0000-0000-0000ED050000}"/>
    <cellStyle name="Check Cell 2 4" xfId="969" xr:uid="{00000000-0005-0000-0000-0000EE050000}"/>
    <cellStyle name="Check Cell 2_BOT Summary" xfId="10539" xr:uid="{00000000-0005-0000-0000-0000EF050000}"/>
    <cellStyle name="Check Cell 3" xfId="970" xr:uid="{00000000-0005-0000-0000-0000F0050000}"/>
    <cellStyle name="Check Cell 3 2" xfId="971" xr:uid="{00000000-0005-0000-0000-0000F1050000}"/>
    <cellStyle name="Check Cell 3 3" xfId="972" xr:uid="{00000000-0005-0000-0000-0000F2050000}"/>
    <cellStyle name="Check Cell 3_Cap Forecast" xfId="973" xr:uid="{00000000-0005-0000-0000-0000F3050000}"/>
    <cellStyle name="Check Cell 4" xfId="974" xr:uid="{00000000-0005-0000-0000-0000F4050000}"/>
    <cellStyle name="Check Cell 4 2" xfId="975" xr:uid="{00000000-0005-0000-0000-0000F5050000}"/>
    <cellStyle name="Check Cell 4 3" xfId="976" xr:uid="{00000000-0005-0000-0000-0000F6050000}"/>
    <cellStyle name="Check Cell 5" xfId="977" xr:uid="{00000000-0005-0000-0000-0000F7050000}"/>
    <cellStyle name="Check Cell 6" xfId="978" xr:uid="{00000000-0005-0000-0000-0000F8050000}"/>
    <cellStyle name="Check Cell 7" xfId="979" xr:uid="{00000000-0005-0000-0000-0000F9050000}"/>
    <cellStyle name="Check Cell 8" xfId="980" xr:uid="{00000000-0005-0000-0000-0000FA050000}"/>
    <cellStyle name="Check Cell 9" xfId="981" xr:uid="{00000000-0005-0000-0000-0000FB050000}"/>
    <cellStyle name="Comma" xfId="2" builtinId="3"/>
    <cellStyle name="Comma 10" xfId="982" xr:uid="{00000000-0005-0000-0000-0000FD050000}"/>
    <cellStyle name="Comma 10 2" xfId="9882" xr:uid="{00000000-0005-0000-0000-0000FE050000}"/>
    <cellStyle name="Comma 11" xfId="983" xr:uid="{00000000-0005-0000-0000-0000FF050000}"/>
    <cellStyle name="Comma 11 2" xfId="9883" xr:uid="{00000000-0005-0000-0000-000000060000}"/>
    <cellStyle name="Comma 12" xfId="984" xr:uid="{00000000-0005-0000-0000-000001060000}"/>
    <cellStyle name="Comma 12 2" xfId="985" xr:uid="{00000000-0005-0000-0000-000002060000}"/>
    <cellStyle name="Comma 12 2 2" xfId="986" xr:uid="{00000000-0005-0000-0000-000003060000}"/>
    <cellStyle name="Comma 12 3" xfId="987" xr:uid="{00000000-0005-0000-0000-000004060000}"/>
    <cellStyle name="Comma 13" xfId="988" xr:uid="{00000000-0005-0000-0000-000005060000}"/>
    <cellStyle name="Comma 14" xfId="989" xr:uid="{00000000-0005-0000-0000-000006060000}"/>
    <cellStyle name="Comma 14 2" xfId="990" xr:uid="{00000000-0005-0000-0000-000007060000}"/>
    <cellStyle name="Comma 14 2 2" xfId="991" xr:uid="{00000000-0005-0000-0000-000008060000}"/>
    <cellStyle name="Comma 14 3" xfId="992" xr:uid="{00000000-0005-0000-0000-000009060000}"/>
    <cellStyle name="Comma 15" xfId="993" xr:uid="{00000000-0005-0000-0000-00000A060000}"/>
    <cellStyle name="Comma 15 2" xfId="9884" xr:uid="{00000000-0005-0000-0000-00000B060000}"/>
    <cellStyle name="Comma 16" xfId="9679" xr:uid="{00000000-0005-0000-0000-00000C060000}"/>
    <cellStyle name="Comma 17" xfId="10679" xr:uid="{00000000-0005-0000-0000-00000D060000}"/>
    <cellStyle name="Comma 17 2" xfId="11053" xr:uid="{00000000-0005-0000-0000-00000E060000}"/>
    <cellStyle name="Comma 18" xfId="10719" xr:uid="{00000000-0005-0000-0000-00000F060000}"/>
    <cellStyle name="Comma 18 2" xfId="11072" xr:uid="{00000000-0005-0000-0000-000010060000}"/>
    <cellStyle name="Comma 19" xfId="10940" xr:uid="{00000000-0005-0000-0000-000011060000}"/>
    <cellStyle name="Comma 2" xfId="10" xr:uid="{00000000-0005-0000-0000-000012060000}"/>
    <cellStyle name="Comma 2 2" xfId="995" xr:uid="{00000000-0005-0000-0000-000013060000}"/>
    <cellStyle name="Comma 2 2 2" xfId="9831" xr:uid="{00000000-0005-0000-0000-000014060000}"/>
    <cellStyle name="Comma 2 3" xfId="996" xr:uid="{00000000-0005-0000-0000-000015060000}"/>
    <cellStyle name="Comma 2 3 2" xfId="9885" xr:uid="{00000000-0005-0000-0000-000016060000}"/>
    <cellStyle name="Comma 2 4" xfId="997" xr:uid="{00000000-0005-0000-0000-000017060000}"/>
    <cellStyle name="Comma 2 5" xfId="994" xr:uid="{00000000-0005-0000-0000-000018060000}"/>
    <cellStyle name="Comma 20" xfId="11209" xr:uid="{00000000-0005-0000-0000-000019060000}"/>
    <cellStyle name="Comma 21" xfId="11238" xr:uid="{00000000-0005-0000-0000-00001A060000}"/>
    <cellStyle name="Comma 22" xfId="11411" xr:uid="{00000000-0005-0000-0000-00001B060000}"/>
    <cellStyle name="Comma 23" xfId="11461" xr:uid="{00000000-0005-0000-0000-00001C060000}"/>
    <cellStyle name="Comma 24" xfId="100" xr:uid="{00000000-0005-0000-0000-00001D060000}"/>
    <cellStyle name="Comma 3" xfId="6" xr:uid="{00000000-0005-0000-0000-00001E060000}"/>
    <cellStyle name="Comma 3 2" xfId="999" xr:uid="{00000000-0005-0000-0000-00001F060000}"/>
    <cellStyle name="Comma 3 2 2" xfId="9832" xr:uid="{00000000-0005-0000-0000-000020060000}"/>
    <cellStyle name="Comma 3 3" xfId="1000" xr:uid="{00000000-0005-0000-0000-000021060000}"/>
    <cellStyle name="Comma 3 3 2" xfId="9886" xr:uid="{00000000-0005-0000-0000-000022060000}"/>
    <cellStyle name="Comma 3 4" xfId="1001" xr:uid="{00000000-0005-0000-0000-000023060000}"/>
    <cellStyle name="Comma 3 5" xfId="998" xr:uid="{00000000-0005-0000-0000-000024060000}"/>
    <cellStyle name="Comma 4" xfId="1002" xr:uid="{00000000-0005-0000-0000-000025060000}"/>
    <cellStyle name="Comma 4 2" xfId="1003" xr:uid="{00000000-0005-0000-0000-000026060000}"/>
    <cellStyle name="Comma 4 2 2" xfId="9887" xr:uid="{00000000-0005-0000-0000-000027060000}"/>
    <cellStyle name="Comma 4 3" xfId="1004" xr:uid="{00000000-0005-0000-0000-000028060000}"/>
    <cellStyle name="Comma 4 3 2" xfId="9888" xr:uid="{00000000-0005-0000-0000-000029060000}"/>
    <cellStyle name="Comma 4 4" xfId="9830" xr:uid="{00000000-0005-0000-0000-00002A060000}"/>
    <cellStyle name="Comma 4_Cap Forecast" xfId="1005" xr:uid="{00000000-0005-0000-0000-00002B060000}"/>
    <cellStyle name="Comma 5" xfId="1006" xr:uid="{00000000-0005-0000-0000-00002C060000}"/>
    <cellStyle name="Comma 5 10" xfId="1007" xr:uid="{00000000-0005-0000-0000-00002D060000}"/>
    <cellStyle name="Comma 5 11" xfId="1008" xr:uid="{00000000-0005-0000-0000-00002E060000}"/>
    <cellStyle name="Comma 5 2" xfId="1009" xr:uid="{00000000-0005-0000-0000-00002F060000}"/>
    <cellStyle name="Comma 5 2 2" xfId="1010" xr:uid="{00000000-0005-0000-0000-000030060000}"/>
    <cellStyle name="Comma 5 2 2 2" xfId="9890" xr:uid="{00000000-0005-0000-0000-000031060000}"/>
    <cellStyle name="Comma 5 2 3" xfId="1011" xr:uid="{00000000-0005-0000-0000-000032060000}"/>
    <cellStyle name="Comma 5 2 3 2" xfId="1012" xr:uid="{00000000-0005-0000-0000-000033060000}"/>
    <cellStyle name="Comma 5 2 3 2 2" xfId="1013" xr:uid="{00000000-0005-0000-0000-000034060000}"/>
    <cellStyle name="Comma 5 2 3 3" xfId="1014" xr:uid="{00000000-0005-0000-0000-000035060000}"/>
    <cellStyle name="Comma 5 2 4" xfId="9889" xr:uid="{00000000-0005-0000-0000-000036060000}"/>
    <cellStyle name="Comma 5 3" xfId="1015" xr:uid="{00000000-0005-0000-0000-000037060000}"/>
    <cellStyle name="Comma 5 3 2" xfId="1016" xr:uid="{00000000-0005-0000-0000-000038060000}"/>
    <cellStyle name="Comma 5 3 2 2" xfId="1017" xr:uid="{00000000-0005-0000-0000-000039060000}"/>
    <cellStyle name="Comma 5 3 2 2 2" xfId="1018" xr:uid="{00000000-0005-0000-0000-00003A060000}"/>
    <cellStyle name="Comma 5 3 2 2 2 2" xfId="1019" xr:uid="{00000000-0005-0000-0000-00003B060000}"/>
    <cellStyle name="Comma 5 3 2 2 3" xfId="1020" xr:uid="{00000000-0005-0000-0000-00003C060000}"/>
    <cellStyle name="Comma 5 3 2 3" xfId="1021" xr:uid="{00000000-0005-0000-0000-00003D060000}"/>
    <cellStyle name="Comma 5 3 2 3 2" xfId="1022" xr:uid="{00000000-0005-0000-0000-00003E060000}"/>
    <cellStyle name="Comma 5 3 2 4" xfId="1023" xr:uid="{00000000-0005-0000-0000-00003F060000}"/>
    <cellStyle name="Comma 5 3 3" xfId="1024" xr:uid="{00000000-0005-0000-0000-000040060000}"/>
    <cellStyle name="Comma 5 3 3 2" xfId="1025" xr:uid="{00000000-0005-0000-0000-000041060000}"/>
    <cellStyle name="Comma 5 3 3 2 2" xfId="9891" xr:uid="{00000000-0005-0000-0000-000042060000}"/>
    <cellStyle name="Comma 5 3 3 3" xfId="1026" xr:uid="{00000000-0005-0000-0000-000043060000}"/>
    <cellStyle name="Comma 5 3 3 3 2" xfId="1027" xr:uid="{00000000-0005-0000-0000-000044060000}"/>
    <cellStyle name="Comma 5 3 3 4" xfId="1028" xr:uid="{00000000-0005-0000-0000-000045060000}"/>
    <cellStyle name="Comma 5 3 4" xfId="1029" xr:uid="{00000000-0005-0000-0000-000046060000}"/>
    <cellStyle name="Comma 5 3 4 2" xfId="1030" xr:uid="{00000000-0005-0000-0000-000047060000}"/>
    <cellStyle name="Comma 5 3 4 2 2" xfId="1031" xr:uid="{00000000-0005-0000-0000-000048060000}"/>
    <cellStyle name="Comma 5 3 4 3" xfId="1032" xr:uid="{00000000-0005-0000-0000-000049060000}"/>
    <cellStyle name="Comma 5 3 5" xfId="1033" xr:uid="{00000000-0005-0000-0000-00004A060000}"/>
    <cellStyle name="Comma 5 3 5 2" xfId="1034" xr:uid="{00000000-0005-0000-0000-00004B060000}"/>
    <cellStyle name="Comma 5 3 6" xfId="1035" xr:uid="{00000000-0005-0000-0000-00004C060000}"/>
    <cellStyle name="Comma 5 4" xfId="1036" xr:uid="{00000000-0005-0000-0000-00004D060000}"/>
    <cellStyle name="Comma 5 4 2" xfId="1037" xr:uid="{00000000-0005-0000-0000-00004E060000}"/>
    <cellStyle name="Comma 5 4 2 2" xfId="1038" xr:uid="{00000000-0005-0000-0000-00004F060000}"/>
    <cellStyle name="Comma 5 4 2 2 2" xfId="1039" xr:uid="{00000000-0005-0000-0000-000050060000}"/>
    <cellStyle name="Comma 5 4 2 2 2 2" xfId="1040" xr:uid="{00000000-0005-0000-0000-000051060000}"/>
    <cellStyle name="Comma 5 4 2 2 3" xfId="1041" xr:uid="{00000000-0005-0000-0000-000052060000}"/>
    <cellStyle name="Comma 5 4 2 3" xfId="1042" xr:uid="{00000000-0005-0000-0000-000053060000}"/>
    <cellStyle name="Comma 5 4 2 3 2" xfId="1043" xr:uid="{00000000-0005-0000-0000-000054060000}"/>
    <cellStyle name="Comma 5 4 2 4" xfId="1044" xr:uid="{00000000-0005-0000-0000-000055060000}"/>
    <cellStyle name="Comma 5 4 3" xfId="1045" xr:uid="{00000000-0005-0000-0000-000056060000}"/>
    <cellStyle name="Comma 5 4 3 2" xfId="1046" xr:uid="{00000000-0005-0000-0000-000057060000}"/>
    <cellStyle name="Comma 5 4 3 2 2" xfId="1047" xr:uid="{00000000-0005-0000-0000-000058060000}"/>
    <cellStyle name="Comma 5 4 3 3" xfId="1048" xr:uid="{00000000-0005-0000-0000-000059060000}"/>
    <cellStyle name="Comma 5 4 4" xfId="1049" xr:uid="{00000000-0005-0000-0000-00005A060000}"/>
    <cellStyle name="Comma 5 4 4 2" xfId="1050" xr:uid="{00000000-0005-0000-0000-00005B060000}"/>
    <cellStyle name="Comma 5 4 4 2 2" xfId="1051" xr:uid="{00000000-0005-0000-0000-00005C060000}"/>
    <cellStyle name="Comma 5 4 4 3" xfId="1052" xr:uid="{00000000-0005-0000-0000-00005D060000}"/>
    <cellStyle name="Comma 5 4 5" xfId="1053" xr:uid="{00000000-0005-0000-0000-00005E060000}"/>
    <cellStyle name="Comma 5 4 5 2" xfId="1054" xr:uid="{00000000-0005-0000-0000-00005F060000}"/>
    <cellStyle name="Comma 5 4 6" xfId="1055" xr:uid="{00000000-0005-0000-0000-000060060000}"/>
    <cellStyle name="Comma 5 5" xfId="1056" xr:uid="{00000000-0005-0000-0000-000061060000}"/>
    <cellStyle name="Comma 5 5 2" xfId="1057" xr:uid="{00000000-0005-0000-0000-000062060000}"/>
    <cellStyle name="Comma 5 5 2 2" xfId="1058" xr:uid="{00000000-0005-0000-0000-000063060000}"/>
    <cellStyle name="Comma 5 5 2 2 2" xfId="1059" xr:uid="{00000000-0005-0000-0000-000064060000}"/>
    <cellStyle name="Comma 5 5 2 2 2 2" xfId="1060" xr:uid="{00000000-0005-0000-0000-000065060000}"/>
    <cellStyle name="Comma 5 5 2 2 3" xfId="1061" xr:uid="{00000000-0005-0000-0000-000066060000}"/>
    <cellStyle name="Comma 5 5 2 3" xfId="1062" xr:uid="{00000000-0005-0000-0000-000067060000}"/>
    <cellStyle name="Comma 5 5 2 3 2" xfId="1063" xr:uid="{00000000-0005-0000-0000-000068060000}"/>
    <cellStyle name="Comma 5 5 2 4" xfId="1064" xr:uid="{00000000-0005-0000-0000-000069060000}"/>
    <cellStyle name="Comma 5 5 3" xfId="1065" xr:uid="{00000000-0005-0000-0000-00006A060000}"/>
    <cellStyle name="Comma 5 5 3 2" xfId="1066" xr:uid="{00000000-0005-0000-0000-00006B060000}"/>
    <cellStyle name="Comma 5 5 3 2 2" xfId="1067" xr:uid="{00000000-0005-0000-0000-00006C060000}"/>
    <cellStyle name="Comma 5 5 3 3" xfId="1068" xr:uid="{00000000-0005-0000-0000-00006D060000}"/>
    <cellStyle name="Comma 5 5 4" xfId="1069" xr:uid="{00000000-0005-0000-0000-00006E060000}"/>
    <cellStyle name="Comma 5 5 4 2" xfId="1070" xr:uid="{00000000-0005-0000-0000-00006F060000}"/>
    <cellStyle name="Comma 5 5 4 2 2" xfId="1071" xr:uid="{00000000-0005-0000-0000-000070060000}"/>
    <cellStyle name="Comma 5 5 4 3" xfId="1072" xr:uid="{00000000-0005-0000-0000-000071060000}"/>
    <cellStyle name="Comma 5 5 5" xfId="1073" xr:uid="{00000000-0005-0000-0000-000072060000}"/>
    <cellStyle name="Comma 5 5 5 2" xfId="1074" xr:uid="{00000000-0005-0000-0000-000073060000}"/>
    <cellStyle name="Comma 5 5 6" xfId="1075" xr:uid="{00000000-0005-0000-0000-000074060000}"/>
    <cellStyle name="Comma 5 6" xfId="1076" xr:uid="{00000000-0005-0000-0000-000075060000}"/>
    <cellStyle name="Comma 5 6 2" xfId="1077" xr:uid="{00000000-0005-0000-0000-000076060000}"/>
    <cellStyle name="Comma 5 6 2 2" xfId="1078" xr:uid="{00000000-0005-0000-0000-000077060000}"/>
    <cellStyle name="Comma 5 6 3" xfId="1079" xr:uid="{00000000-0005-0000-0000-000078060000}"/>
    <cellStyle name="Comma 5 7" xfId="1080" xr:uid="{00000000-0005-0000-0000-000079060000}"/>
    <cellStyle name="Comma 5 7 2" xfId="1081" xr:uid="{00000000-0005-0000-0000-00007A060000}"/>
    <cellStyle name="Comma 5 7 2 2" xfId="1082" xr:uid="{00000000-0005-0000-0000-00007B060000}"/>
    <cellStyle name="Comma 5 7 3" xfId="1083" xr:uid="{00000000-0005-0000-0000-00007C060000}"/>
    <cellStyle name="Comma 5 8" xfId="1084" xr:uid="{00000000-0005-0000-0000-00007D060000}"/>
    <cellStyle name="Comma 5 8 2" xfId="1085" xr:uid="{00000000-0005-0000-0000-00007E060000}"/>
    <cellStyle name="Comma 5 8 2 2" xfId="1086" xr:uid="{00000000-0005-0000-0000-00007F060000}"/>
    <cellStyle name="Comma 5 8 3" xfId="1087" xr:uid="{00000000-0005-0000-0000-000080060000}"/>
    <cellStyle name="Comma 5 9" xfId="1088" xr:uid="{00000000-0005-0000-0000-000081060000}"/>
    <cellStyle name="Comma 5 9 2" xfId="1089" xr:uid="{00000000-0005-0000-0000-000082060000}"/>
    <cellStyle name="Comma 5_Activity Fcst Variance" xfId="1090" xr:uid="{00000000-0005-0000-0000-000083060000}"/>
    <cellStyle name="Comma 6" xfId="1091" xr:uid="{00000000-0005-0000-0000-000084060000}"/>
    <cellStyle name="Comma 6 10" xfId="1092" xr:uid="{00000000-0005-0000-0000-000085060000}"/>
    <cellStyle name="Comma 6 10 2" xfId="1093" xr:uid="{00000000-0005-0000-0000-000086060000}"/>
    <cellStyle name="Comma 6 11" xfId="1094" xr:uid="{00000000-0005-0000-0000-000087060000}"/>
    <cellStyle name="Comma 6 12" xfId="1095" xr:uid="{00000000-0005-0000-0000-000088060000}"/>
    <cellStyle name="Comma 6 13" xfId="10767" xr:uid="{00000000-0005-0000-0000-000089060000}"/>
    <cellStyle name="Comma 6 2" xfId="1096" xr:uid="{00000000-0005-0000-0000-00008A060000}"/>
    <cellStyle name="Comma 6 2 2" xfId="9892" xr:uid="{00000000-0005-0000-0000-00008B060000}"/>
    <cellStyle name="Comma 6 3" xfId="1097" xr:uid="{00000000-0005-0000-0000-00008C060000}"/>
    <cellStyle name="Comma 6 3 2" xfId="9893" xr:uid="{00000000-0005-0000-0000-00008D060000}"/>
    <cellStyle name="Comma 6 4" xfId="1098" xr:uid="{00000000-0005-0000-0000-00008E060000}"/>
    <cellStyle name="Comma 6 4 2" xfId="1099" xr:uid="{00000000-0005-0000-0000-00008F060000}"/>
    <cellStyle name="Comma 6 4 2 2" xfId="1100" xr:uid="{00000000-0005-0000-0000-000090060000}"/>
    <cellStyle name="Comma 6 4 2 2 2" xfId="1101" xr:uid="{00000000-0005-0000-0000-000091060000}"/>
    <cellStyle name="Comma 6 4 2 2 2 2" xfId="1102" xr:uid="{00000000-0005-0000-0000-000092060000}"/>
    <cellStyle name="Comma 6 4 2 2 3" xfId="1103" xr:uid="{00000000-0005-0000-0000-000093060000}"/>
    <cellStyle name="Comma 6 4 2 3" xfId="1104" xr:uid="{00000000-0005-0000-0000-000094060000}"/>
    <cellStyle name="Comma 6 4 2 3 2" xfId="1105" xr:uid="{00000000-0005-0000-0000-000095060000}"/>
    <cellStyle name="Comma 6 4 2 4" xfId="1106" xr:uid="{00000000-0005-0000-0000-000096060000}"/>
    <cellStyle name="Comma 6 4 3" xfId="1107" xr:uid="{00000000-0005-0000-0000-000097060000}"/>
    <cellStyle name="Comma 6 4 3 2" xfId="1108" xr:uid="{00000000-0005-0000-0000-000098060000}"/>
    <cellStyle name="Comma 6 4 3 2 2" xfId="1109" xr:uid="{00000000-0005-0000-0000-000099060000}"/>
    <cellStyle name="Comma 6 4 3 3" xfId="1110" xr:uid="{00000000-0005-0000-0000-00009A060000}"/>
    <cellStyle name="Comma 6 4 4" xfId="1111" xr:uid="{00000000-0005-0000-0000-00009B060000}"/>
    <cellStyle name="Comma 6 4 4 2" xfId="1112" xr:uid="{00000000-0005-0000-0000-00009C060000}"/>
    <cellStyle name="Comma 6 4 4 2 2" xfId="1113" xr:uid="{00000000-0005-0000-0000-00009D060000}"/>
    <cellStyle name="Comma 6 4 4 3" xfId="1114" xr:uid="{00000000-0005-0000-0000-00009E060000}"/>
    <cellStyle name="Comma 6 4 5" xfId="1115" xr:uid="{00000000-0005-0000-0000-00009F060000}"/>
    <cellStyle name="Comma 6 4 5 2" xfId="1116" xr:uid="{00000000-0005-0000-0000-0000A0060000}"/>
    <cellStyle name="Comma 6 4 6" xfId="1117" xr:uid="{00000000-0005-0000-0000-0000A1060000}"/>
    <cellStyle name="Comma 6 5" xfId="1118" xr:uid="{00000000-0005-0000-0000-0000A2060000}"/>
    <cellStyle name="Comma 6 5 2" xfId="1119" xr:uid="{00000000-0005-0000-0000-0000A3060000}"/>
    <cellStyle name="Comma 6 5 2 2" xfId="1120" xr:uid="{00000000-0005-0000-0000-0000A4060000}"/>
    <cellStyle name="Comma 6 5 2 2 2" xfId="1121" xr:uid="{00000000-0005-0000-0000-0000A5060000}"/>
    <cellStyle name="Comma 6 5 2 2 2 2" xfId="1122" xr:uid="{00000000-0005-0000-0000-0000A6060000}"/>
    <cellStyle name="Comma 6 5 2 2 3" xfId="1123" xr:uid="{00000000-0005-0000-0000-0000A7060000}"/>
    <cellStyle name="Comma 6 5 2 3" xfId="1124" xr:uid="{00000000-0005-0000-0000-0000A8060000}"/>
    <cellStyle name="Comma 6 5 2 3 2" xfId="1125" xr:uid="{00000000-0005-0000-0000-0000A9060000}"/>
    <cellStyle name="Comma 6 5 2 4" xfId="1126" xr:uid="{00000000-0005-0000-0000-0000AA060000}"/>
    <cellStyle name="Comma 6 5 3" xfId="1127" xr:uid="{00000000-0005-0000-0000-0000AB060000}"/>
    <cellStyle name="Comma 6 5 3 2" xfId="1128" xr:uid="{00000000-0005-0000-0000-0000AC060000}"/>
    <cellStyle name="Comma 6 5 3 2 2" xfId="1129" xr:uid="{00000000-0005-0000-0000-0000AD060000}"/>
    <cellStyle name="Comma 6 5 3 3" xfId="1130" xr:uid="{00000000-0005-0000-0000-0000AE060000}"/>
    <cellStyle name="Comma 6 5 4" xfId="1131" xr:uid="{00000000-0005-0000-0000-0000AF060000}"/>
    <cellStyle name="Comma 6 5 4 2" xfId="1132" xr:uid="{00000000-0005-0000-0000-0000B0060000}"/>
    <cellStyle name="Comma 6 5 4 2 2" xfId="1133" xr:uid="{00000000-0005-0000-0000-0000B1060000}"/>
    <cellStyle name="Comma 6 5 4 3" xfId="1134" xr:uid="{00000000-0005-0000-0000-0000B2060000}"/>
    <cellStyle name="Comma 6 5 5" xfId="1135" xr:uid="{00000000-0005-0000-0000-0000B3060000}"/>
    <cellStyle name="Comma 6 5 5 2" xfId="1136" xr:uid="{00000000-0005-0000-0000-0000B4060000}"/>
    <cellStyle name="Comma 6 5 6" xfId="1137" xr:uid="{00000000-0005-0000-0000-0000B5060000}"/>
    <cellStyle name="Comma 6 6" xfId="1138" xr:uid="{00000000-0005-0000-0000-0000B6060000}"/>
    <cellStyle name="Comma 6 6 2" xfId="1139" xr:uid="{00000000-0005-0000-0000-0000B7060000}"/>
    <cellStyle name="Comma 6 6 2 2" xfId="1140" xr:uid="{00000000-0005-0000-0000-0000B8060000}"/>
    <cellStyle name="Comma 6 6 2 2 2" xfId="1141" xr:uid="{00000000-0005-0000-0000-0000B9060000}"/>
    <cellStyle name="Comma 6 6 2 2 2 2" xfId="1142" xr:uid="{00000000-0005-0000-0000-0000BA060000}"/>
    <cellStyle name="Comma 6 6 2 2 3" xfId="1143" xr:uid="{00000000-0005-0000-0000-0000BB060000}"/>
    <cellStyle name="Comma 6 6 2 3" xfId="1144" xr:uid="{00000000-0005-0000-0000-0000BC060000}"/>
    <cellStyle name="Comma 6 6 2 3 2" xfId="1145" xr:uid="{00000000-0005-0000-0000-0000BD060000}"/>
    <cellStyle name="Comma 6 6 2 4" xfId="1146" xr:uid="{00000000-0005-0000-0000-0000BE060000}"/>
    <cellStyle name="Comma 6 6 3" xfId="1147" xr:uid="{00000000-0005-0000-0000-0000BF060000}"/>
    <cellStyle name="Comma 6 6 3 2" xfId="1148" xr:uid="{00000000-0005-0000-0000-0000C0060000}"/>
    <cellStyle name="Comma 6 6 3 2 2" xfId="1149" xr:uid="{00000000-0005-0000-0000-0000C1060000}"/>
    <cellStyle name="Comma 6 6 3 3" xfId="1150" xr:uid="{00000000-0005-0000-0000-0000C2060000}"/>
    <cellStyle name="Comma 6 6 4" xfId="1151" xr:uid="{00000000-0005-0000-0000-0000C3060000}"/>
    <cellStyle name="Comma 6 6 4 2" xfId="1152" xr:uid="{00000000-0005-0000-0000-0000C4060000}"/>
    <cellStyle name="Comma 6 6 4 2 2" xfId="1153" xr:uid="{00000000-0005-0000-0000-0000C5060000}"/>
    <cellStyle name="Comma 6 6 4 3" xfId="1154" xr:uid="{00000000-0005-0000-0000-0000C6060000}"/>
    <cellStyle name="Comma 6 6 5" xfId="1155" xr:uid="{00000000-0005-0000-0000-0000C7060000}"/>
    <cellStyle name="Comma 6 6 5 2" xfId="1156" xr:uid="{00000000-0005-0000-0000-0000C8060000}"/>
    <cellStyle name="Comma 6 6 6" xfId="1157" xr:uid="{00000000-0005-0000-0000-0000C9060000}"/>
    <cellStyle name="Comma 6 7" xfId="1158" xr:uid="{00000000-0005-0000-0000-0000CA060000}"/>
    <cellStyle name="Comma 6 7 2" xfId="1159" xr:uid="{00000000-0005-0000-0000-0000CB060000}"/>
    <cellStyle name="Comma 6 7 2 2" xfId="1160" xr:uid="{00000000-0005-0000-0000-0000CC060000}"/>
    <cellStyle name="Comma 6 7 2 2 2" xfId="1161" xr:uid="{00000000-0005-0000-0000-0000CD060000}"/>
    <cellStyle name="Comma 6 7 2 3" xfId="1162" xr:uid="{00000000-0005-0000-0000-0000CE060000}"/>
    <cellStyle name="Comma 6 7 3" xfId="1163" xr:uid="{00000000-0005-0000-0000-0000CF060000}"/>
    <cellStyle name="Comma 6 7 3 2" xfId="1164" xr:uid="{00000000-0005-0000-0000-0000D0060000}"/>
    <cellStyle name="Comma 6 7 4" xfId="1165" xr:uid="{00000000-0005-0000-0000-0000D1060000}"/>
    <cellStyle name="Comma 6 8" xfId="1166" xr:uid="{00000000-0005-0000-0000-0000D2060000}"/>
    <cellStyle name="Comma 6 8 2" xfId="1167" xr:uid="{00000000-0005-0000-0000-0000D3060000}"/>
    <cellStyle name="Comma 6 8 2 2" xfId="1168" xr:uid="{00000000-0005-0000-0000-0000D4060000}"/>
    <cellStyle name="Comma 6 8 3" xfId="1169" xr:uid="{00000000-0005-0000-0000-0000D5060000}"/>
    <cellStyle name="Comma 6 9" xfId="1170" xr:uid="{00000000-0005-0000-0000-0000D6060000}"/>
    <cellStyle name="Comma 6 9 2" xfId="1171" xr:uid="{00000000-0005-0000-0000-0000D7060000}"/>
    <cellStyle name="Comma 6 9 2 2" xfId="1172" xr:uid="{00000000-0005-0000-0000-0000D8060000}"/>
    <cellStyle name="Comma 6 9 3" xfId="1173" xr:uid="{00000000-0005-0000-0000-0000D9060000}"/>
    <cellStyle name="Comma 7" xfId="1174" xr:uid="{00000000-0005-0000-0000-0000DA060000}"/>
    <cellStyle name="Comma 7 2" xfId="1175" xr:uid="{00000000-0005-0000-0000-0000DB060000}"/>
    <cellStyle name="Comma 7 2 2" xfId="9894" xr:uid="{00000000-0005-0000-0000-0000DC060000}"/>
    <cellStyle name="Comma 7 3" xfId="1176" xr:uid="{00000000-0005-0000-0000-0000DD060000}"/>
    <cellStyle name="Comma 7 3 2" xfId="9895" xr:uid="{00000000-0005-0000-0000-0000DE060000}"/>
    <cellStyle name="Comma 7 4" xfId="1177" xr:uid="{00000000-0005-0000-0000-0000DF060000}"/>
    <cellStyle name="Comma 7 4 2" xfId="1178" xr:uid="{00000000-0005-0000-0000-0000E0060000}"/>
    <cellStyle name="Comma 7 4 2 2" xfId="1179" xr:uid="{00000000-0005-0000-0000-0000E1060000}"/>
    <cellStyle name="Comma 7 4 2 2 2" xfId="1180" xr:uid="{00000000-0005-0000-0000-0000E2060000}"/>
    <cellStyle name="Comma 7 4 2 3" xfId="1181" xr:uid="{00000000-0005-0000-0000-0000E3060000}"/>
    <cellStyle name="Comma 7 4 3" xfId="1182" xr:uid="{00000000-0005-0000-0000-0000E4060000}"/>
    <cellStyle name="Comma 7 4 3 2" xfId="1183" xr:uid="{00000000-0005-0000-0000-0000E5060000}"/>
    <cellStyle name="Comma 7 4 4" xfId="1184" xr:uid="{00000000-0005-0000-0000-0000E6060000}"/>
    <cellStyle name="Comma 7 5" xfId="1185" xr:uid="{00000000-0005-0000-0000-0000E7060000}"/>
    <cellStyle name="Comma 7 5 2" xfId="1186" xr:uid="{00000000-0005-0000-0000-0000E8060000}"/>
    <cellStyle name="Comma 7 5 2 2" xfId="1187" xr:uid="{00000000-0005-0000-0000-0000E9060000}"/>
    <cellStyle name="Comma 7 5 3" xfId="1188" xr:uid="{00000000-0005-0000-0000-0000EA060000}"/>
    <cellStyle name="Comma 7 6" xfId="1189" xr:uid="{00000000-0005-0000-0000-0000EB060000}"/>
    <cellStyle name="Comma 7 6 2" xfId="1190" xr:uid="{00000000-0005-0000-0000-0000EC060000}"/>
    <cellStyle name="Comma 7 6 2 2" xfId="1191" xr:uid="{00000000-0005-0000-0000-0000ED060000}"/>
    <cellStyle name="Comma 7 6 3" xfId="1192" xr:uid="{00000000-0005-0000-0000-0000EE060000}"/>
    <cellStyle name="Comma 7 7" xfId="1193" xr:uid="{00000000-0005-0000-0000-0000EF060000}"/>
    <cellStyle name="Comma 7 7 2" xfId="1194" xr:uid="{00000000-0005-0000-0000-0000F0060000}"/>
    <cellStyle name="Comma 7 8" xfId="1195" xr:uid="{00000000-0005-0000-0000-0000F1060000}"/>
    <cellStyle name="Comma 8" xfId="1196" xr:uid="{00000000-0005-0000-0000-0000F2060000}"/>
    <cellStyle name="Comma 8 2" xfId="1197" xr:uid="{00000000-0005-0000-0000-0000F3060000}"/>
    <cellStyle name="Comma 8 2 2" xfId="9897" xr:uid="{00000000-0005-0000-0000-0000F4060000}"/>
    <cellStyle name="Comma 8 3" xfId="9896" xr:uid="{00000000-0005-0000-0000-0000F5060000}"/>
    <cellStyle name="Comma 9" xfId="1198" xr:uid="{00000000-0005-0000-0000-0000F6060000}"/>
    <cellStyle name="Comma 9 2" xfId="1199" xr:uid="{00000000-0005-0000-0000-0000F7060000}"/>
    <cellStyle name="Comma 9 2 2" xfId="9899" xr:uid="{00000000-0005-0000-0000-0000F8060000}"/>
    <cellStyle name="Comma 9 3" xfId="9898" xr:uid="{00000000-0005-0000-0000-0000F9060000}"/>
    <cellStyle name="Currency" xfId="1" builtinId="4"/>
    <cellStyle name="Currency 10" xfId="1200" xr:uid="{00000000-0005-0000-0000-0000FB060000}"/>
    <cellStyle name="Currency 10 2" xfId="9900" xr:uid="{00000000-0005-0000-0000-0000FC060000}"/>
    <cellStyle name="Currency 10 3" xfId="10768" xr:uid="{00000000-0005-0000-0000-0000FD060000}"/>
    <cellStyle name="Currency 11" xfId="1201" xr:uid="{00000000-0005-0000-0000-0000FE060000}"/>
    <cellStyle name="Currency 11 2" xfId="1202" xr:uid="{00000000-0005-0000-0000-0000FF060000}"/>
    <cellStyle name="Currency 11 2 2" xfId="1203" xr:uid="{00000000-0005-0000-0000-000000070000}"/>
    <cellStyle name="Currency 11 3" xfId="1204" xr:uid="{00000000-0005-0000-0000-000001070000}"/>
    <cellStyle name="Currency 12" xfId="1205" xr:uid="{00000000-0005-0000-0000-000002070000}"/>
    <cellStyle name="Currency 12 2" xfId="9901" xr:uid="{00000000-0005-0000-0000-000003070000}"/>
    <cellStyle name="Currency 13" xfId="1206" xr:uid="{00000000-0005-0000-0000-000004070000}"/>
    <cellStyle name="Currency 14" xfId="1207" xr:uid="{00000000-0005-0000-0000-000005070000}"/>
    <cellStyle name="Currency 14 2" xfId="1208" xr:uid="{00000000-0005-0000-0000-000006070000}"/>
    <cellStyle name="Currency 14 2 2" xfId="1209" xr:uid="{00000000-0005-0000-0000-000007070000}"/>
    <cellStyle name="Currency 14 3" xfId="1210" xr:uid="{00000000-0005-0000-0000-000008070000}"/>
    <cellStyle name="Currency 15" xfId="9720" xr:uid="{00000000-0005-0000-0000-000009070000}"/>
    <cellStyle name="Currency 16" xfId="11013" xr:uid="{00000000-0005-0000-0000-00000A070000}"/>
    <cellStyle name="Currency 2" xfId="7" xr:uid="{00000000-0005-0000-0000-00000B070000}"/>
    <cellStyle name="Currency 2 10" xfId="1212" xr:uid="{00000000-0005-0000-0000-00000C070000}"/>
    <cellStyle name="Currency 2 10 2" xfId="9902" xr:uid="{00000000-0005-0000-0000-00000D070000}"/>
    <cellStyle name="Currency 2 11" xfId="1213" xr:uid="{00000000-0005-0000-0000-00000E070000}"/>
    <cellStyle name="Currency 2 11 2" xfId="9903" xr:uid="{00000000-0005-0000-0000-00000F070000}"/>
    <cellStyle name="Currency 2 12" xfId="9721" xr:uid="{00000000-0005-0000-0000-000010070000}"/>
    <cellStyle name="Currency 2 13" xfId="1211" xr:uid="{00000000-0005-0000-0000-000011070000}"/>
    <cellStyle name="Currency 2 2" xfId="1214" xr:uid="{00000000-0005-0000-0000-000012070000}"/>
    <cellStyle name="Currency 2 2 2" xfId="1215" xr:uid="{00000000-0005-0000-0000-000013070000}"/>
    <cellStyle name="Currency 2 2 2 2" xfId="1216" xr:uid="{00000000-0005-0000-0000-000014070000}"/>
    <cellStyle name="Currency 2 2 2 2 2" xfId="9905" xr:uid="{00000000-0005-0000-0000-000015070000}"/>
    <cellStyle name="Currency 2 2 2 3" xfId="1217" xr:uid="{00000000-0005-0000-0000-000016070000}"/>
    <cellStyle name="Currency 2 2 2 4" xfId="9904" xr:uid="{00000000-0005-0000-0000-000017070000}"/>
    <cellStyle name="Currency 2 2 2_Cap Forecast" xfId="1218" xr:uid="{00000000-0005-0000-0000-000018070000}"/>
    <cellStyle name="Currency 2 2 3" xfId="1219" xr:uid="{00000000-0005-0000-0000-000019070000}"/>
    <cellStyle name="Currency 2 2 3 2" xfId="9906" xr:uid="{00000000-0005-0000-0000-00001A070000}"/>
    <cellStyle name="Currency 2 2_Activity Fcst Variance" xfId="1220" xr:uid="{00000000-0005-0000-0000-00001B070000}"/>
    <cellStyle name="Currency 2 3" xfId="1221" xr:uid="{00000000-0005-0000-0000-00001C070000}"/>
    <cellStyle name="Currency 2 3 2" xfId="1222" xr:uid="{00000000-0005-0000-0000-00001D070000}"/>
    <cellStyle name="Currency 2 3 2 2" xfId="9907" xr:uid="{00000000-0005-0000-0000-00001E070000}"/>
    <cellStyle name="Currency 2 3 3" xfId="1223" xr:uid="{00000000-0005-0000-0000-00001F070000}"/>
    <cellStyle name="Currency 2 3 3 2" xfId="9908" xr:uid="{00000000-0005-0000-0000-000020070000}"/>
    <cellStyle name="Currency 2 3 4" xfId="1224" xr:uid="{00000000-0005-0000-0000-000021070000}"/>
    <cellStyle name="Currency 2 3 4 2" xfId="9909" xr:uid="{00000000-0005-0000-0000-000022070000}"/>
    <cellStyle name="Currency 2 3 5" xfId="9845" xr:uid="{00000000-0005-0000-0000-000023070000}"/>
    <cellStyle name="Currency 2 3_Activity Fcst Variance" xfId="1225" xr:uid="{00000000-0005-0000-0000-000024070000}"/>
    <cellStyle name="Currency 2 4" xfId="1226" xr:uid="{00000000-0005-0000-0000-000025070000}"/>
    <cellStyle name="Currency 2 5" xfId="1227" xr:uid="{00000000-0005-0000-0000-000026070000}"/>
    <cellStyle name="Currency 2 5 2" xfId="9910" xr:uid="{00000000-0005-0000-0000-000027070000}"/>
    <cellStyle name="Currency 2 6" xfId="1228" xr:uid="{00000000-0005-0000-0000-000028070000}"/>
    <cellStyle name="Currency 2 6 2" xfId="1229" xr:uid="{00000000-0005-0000-0000-000029070000}"/>
    <cellStyle name="Currency 2 6 2 2" xfId="9912" xr:uid="{00000000-0005-0000-0000-00002A070000}"/>
    <cellStyle name="Currency 2 6 3" xfId="1230" xr:uid="{00000000-0005-0000-0000-00002B070000}"/>
    <cellStyle name="Currency 2 6 3 2" xfId="9913" xr:uid="{00000000-0005-0000-0000-00002C070000}"/>
    <cellStyle name="Currency 2 6 4" xfId="9911" xr:uid="{00000000-0005-0000-0000-00002D070000}"/>
    <cellStyle name="Currency 2 7" xfId="1231" xr:uid="{00000000-0005-0000-0000-00002E070000}"/>
    <cellStyle name="Currency 2 7 2" xfId="9914" xr:uid="{00000000-0005-0000-0000-00002F070000}"/>
    <cellStyle name="Currency 2 8" xfId="1232" xr:uid="{00000000-0005-0000-0000-000030070000}"/>
    <cellStyle name="Currency 2 8 2" xfId="9915" xr:uid="{00000000-0005-0000-0000-000031070000}"/>
    <cellStyle name="Currency 2 9" xfId="1233" xr:uid="{00000000-0005-0000-0000-000032070000}"/>
    <cellStyle name="Currency 2 9 2" xfId="9916" xr:uid="{00000000-0005-0000-0000-000033070000}"/>
    <cellStyle name="Currency 2_Activity Fcst Variance" xfId="1234" xr:uid="{00000000-0005-0000-0000-000034070000}"/>
    <cellStyle name="Currency 3" xfId="9" xr:uid="{00000000-0005-0000-0000-000035070000}"/>
    <cellStyle name="Currency 3 10" xfId="1236" xr:uid="{00000000-0005-0000-0000-000036070000}"/>
    <cellStyle name="Currency 3 10 2" xfId="1237" xr:uid="{00000000-0005-0000-0000-000037070000}"/>
    <cellStyle name="Currency 3 10 2 2" xfId="9917" xr:uid="{00000000-0005-0000-0000-000038070000}"/>
    <cellStyle name="Currency 3 10 3" xfId="1238" xr:uid="{00000000-0005-0000-0000-000039070000}"/>
    <cellStyle name="Currency 3 10 3 2" xfId="1239" xr:uid="{00000000-0005-0000-0000-00003A070000}"/>
    <cellStyle name="Currency 3 10 4" xfId="1240" xr:uid="{00000000-0005-0000-0000-00003B070000}"/>
    <cellStyle name="Currency 3 11" xfId="1241" xr:uid="{00000000-0005-0000-0000-00003C070000}"/>
    <cellStyle name="Currency 3 11 2" xfId="1242" xr:uid="{00000000-0005-0000-0000-00003D070000}"/>
    <cellStyle name="Currency 3 11 2 2" xfId="1243" xr:uid="{00000000-0005-0000-0000-00003E070000}"/>
    <cellStyle name="Currency 3 11 3" xfId="1244" xr:uid="{00000000-0005-0000-0000-00003F070000}"/>
    <cellStyle name="Currency 3 12" xfId="1245" xr:uid="{00000000-0005-0000-0000-000040070000}"/>
    <cellStyle name="Currency 3 12 2" xfId="9918" xr:uid="{00000000-0005-0000-0000-000041070000}"/>
    <cellStyle name="Currency 3 13" xfId="1246" xr:uid="{00000000-0005-0000-0000-000042070000}"/>
    <cellStyle name="Currency 3 13 2" xfId="9919" xr:uid="{00000000-0005-0000-0000-000043070000}"/>
    <cellStyle name="Currency 3 14" xfId="1247" xr:uid="{00000000-0005-0000-0000-000044070000}"/>
    <cellStyle name="Currency 3 14 2" xfId="1248" xr:uid="{00000000-0005-0000-0000-000045070000}"/>
    <cellStyle name="Currency 3 14 2 2" xfId="1249" xr:uid="{00000000-0005-0000-0000-000046070000}"/>
    <cellStyle name="Currency 3 14 3" xfId="1250" xr:uid="{00000000-0005-0000-0000-000047070000}"/>
    <cellStyle name="Currency 3 15" xfId="1251" xr:uid="{00000000-0005-0000-0000-000048070000}"/>
    <cellStyle name="Currency 3 15 2" xfId="1252" xr:uid="{00000000-0005-0000-0000-000049070000}"/>
    <cellStyle name="Currency 3 16" xfId="1253" xr:uid="{00000000-0005-0000-0000-00004A070000}"/>
    <cellStyle name="Currency 3 17" xfId="1254" xr:uid="{00000000-0005-0000-0000-00004B070000}"/>
    <cellStyle name="Currency 3 18" xfId="1235" xr:uid="{00000000-0005-0000-0000-00004C070000}"/>
    <cellStyle name="Currency 3 2" xfId="1255" xr:uid="{00000000-0005-0000-0000-00004D070000}"/>
    <cellStyle name="Currency 3 2 2" xfId="1256" xr:uid="{00000000-0005-0000-0000-00004E070000}"/>
    <cellStyle name="Currency 3 2 2 2" xfId="9920" xr:uid="{00000000-0005-0000-0000-00004F070000}"/>
    <cellStyle name="Currency 3 2_Cap Forecast" xfId="1257" xr:uid="{00000000-0005-0000-0000-000050070000}"/>
    <cellStyle name="Currency 3 3" xfId="1258" xr:uid="{00000000-0005-0000-0000-000051070000}"/>
    <cellStyle name="Currency 3 3 10" xfId="1259" xr:uid="{00000000-0005-0000-0000-000052070000}"/>
    <cellStyle name="Currency 3 3 11" xfId="1260" xr:uid="{00000000-0005-0000-0000-000053070000}"/>
    <cellStyle name="Currency 3 3 2" xfId="1261" xr:uid="{00000000-0005-0000-0000-000054070000}"/>
    <cellStyle name="Currency 3 3 2 10" xfId="1262" xr:uid="{00000000-0005-0000-0000-000055070000}"/>
    <cellStyle name="Currency 3 3 2 2" xfId="1263" xr:uid="{00000000-0005-0000-0000-000056070000}"/>
    <cellStyle name="Currency 3 3 2 2 2" xfId="1264" xr:uid="{00000000-0005-0000-0000-000057070000}"/>
    <cellStyle name="Currency 3 3 2 2 2 2" xfId="1265" xr:uid="{00000000-0005-0000-0000-000058070000}"/>
    <cellStyle name="Currency 3 3 2 2 2 2 2" xfId="1266" xr:uid="{00000000-0005-0000-0000-000059070000}"/>
    <cellStyle name="Currency 3 3 2 2 2 2 2 2" xfId="1267" xr:uid="{00000000-0005-0000-0000-00005A070000}"/>
    <cellStyle name="Currency 3 3 2 2 2 2 3" xfId="1268" xr:uid="{00000000-0005-0000-0000-00005B070000}"/>
    <cellStyle name="Currency 3 3 2 2 2 3" xfId="1269" xr:uid="{00000000-0005-0000-0000-00005C070000}"/>
    <cellStyle name="Currency 3 3 2 2 2 3 2" xfId="1270" xr:uid="{00000000-0005-0000-0000-00005D070000}"/>
    <cellStyle name="Currency 3 3 2 2 2 4" xfId="1271" xr:uid="{00000000-0005-0000-0000-00005E070000}"/>
    <cellStyle name="Currency 3 3 2 2 3" xfId="1272" xr:uid="{00000000-0005-0000-0000-00005F070000}"/>
    <cellStyle name="Currency 3 3 2 2 3 2" xfId="1273" xr:uid="{00000000-0005-0000-0000-000060070000}"/>
    <cellStyle name="Currency 3 3 2 2 3 3" xfId="1274" xr:uid="{00000000-0005-0000-0000-000061070000}"/>
    <cellStyle name="Currency 3 3 2 2 3 3 2" xfId="1275" xr:uid="{00000000-0005-0000-0000-000062070000}"/>
    <cellStyle name="Currency 3 3 2 2 3 4" xfId="1276" xr:uid="{00000000-0005-0000-0000-000063070000}"/>
    <cellStyle name="Currency 3 3 2 2 4" xfId="1277" xr:uid="{00000000-0005-0000-0000-000064070000}"/>
    <cellStyle name="Currency 3 3 2 2 4 2" xfId="1278" xr:uid="{00000000-0005-0000-0000-000065070000}"/>
    <cellStyle name="Currency 3 3 2 2 4 2 2" xfId="1279" xr:uid="{00000000-0005-0000-0000-000066070000}"/>
    <cellStyle name="Currency 3 3 2 2 4 3" xfId="1280" xr:uid="{00000000-0005-0000-0000-000067070000}"/>
    <cellStyle name="Currency 3 3 2 2 5" xfId="1281" xr:uid="{00000000-0005-0000-0000-000068070000}"/>
    <cellStyle name="Currency 3 3 2 2 5 2" xfId="1282" xr:uid="{00000000-0005-0000-0000-000069070000}"/>
    <cellStyle name="Currency 3 3 2 2 6" xfId="1283" xr:uid="{00000000-0005-0000-0000-00006A070000}"/>
    <cellStyle name="Currency 3 3 2 3" xfId="1284" xr:uid="{00000000-0005-0000-0000-00006B070000}"/>
    <cellStyle name="Currency 3 3 2 3 2" xfId="1285" xr:uid="{00000000-0005-0000-0000-00006C070000}"/>
    <cellStyle name="Currency 3 3 2 3 2 2" xfId="1286" xr:uid="{00000000-0005-0000-0000-00006D070000}"/>
    <cellStyle name="Currency 3 3 2 3 2 2 2" xfId="1287" xr:uid="{00000000-0005-0000-0000-00006E070000}"/>
    <cellStyle name="Currency 3 3 2 3 2 2 2 2" xfId="1288" xr:uid="{00000000-0005-0000-0000-00006F070000}"/>
    <cellStyle name="Currency 3 3 2 3 2 2 3" xfId="1289" xr:uid="{00000000-0005-0000-0000-000070070000}"/>
    <cellStyle name="Currency 3 3 2 3 2 3" xfId="1290" xr:uid="{00000000-0005-0000-0000-000071070000}"/>
    <cellStyle name="Currency 3 3 2 3 2 3 2" xfId="1291" xr:uid="{00000000-0005-0000-0000-000072070000}"/>
    <cellStyle name="Currency 3 3 2 3 2 4" xfId="1292" xr:uid="{00000000-0005-0000-0000-000073070000}"/>
    <cellStyle name="Currency 3 3 2 3 3" xfId="1293" xr:uid="{00000000-0005-0000-0000-000074070000}"/>
    <cellStyle name="Currency 3 3 2 3 3 2" xfId="1294" xr:uid="{00000000-0005-0000-0000-000075070000}"/>
    <cellStyle name="Currency 3 3 2 3 3 2 2" xfId="1295" xr:uid="{00000000-0005-0000-0000-000076070000}"/>
    <cellStyle name="Currency 3 3 2 3 3 3" xfId="1296" xr:uid="{00000000-0005-0000-0000-000077070000}"/>
    <cellStyle name="Currency 3 3 2 3 4" xfId="1297" xr:uid="{00000000-0005-0000-0000-000078070000}"/>
    <cellStyle name="Currency 3 3 2 3 4 2" xfId="1298" xr:uid="{00000000-0005-0000-0000-000079070000}"/>
    <cellStyle name="Currency 3 3 2 3 4 2 2" xfId="1299" xr:uid="{00000000-0005-0000-0000-00007A070000}"/>
    <cellStyle name="Currency 3 3 2 3 4 3" xfId="1300" xr:uid="{00000000-0005-0000-0000-00007B070000}"/>
    <cellStyle name="Currency 3 3 2 3 5" xfId="1301" xr:uid="{00000000-0005-0000-0000-00007C070000}"/>
    <cellStyle name="Currency 3 3 2 3 5 2" xfId="1302" xr:uid="{00000000-0005-0000-0000-00007D070000}"/>
    <cellStyle name="Currency 3 3 2 3 6" xfId="1303" xr:uid="{00000000-0005-0000-0000-00007E070000}"/>
    <cellStyle name="Currency 3 3 2 4" xfId="1304" xr:uid="{00000000-0005-0000-0000-00007F070000}"/>
    <cellStyle name="Currency 3 3 2 4 2" xfId="1305" xr:uid="{00000000-0005-0000-0000-000080070000}"/>
    <cellStyle name="Currency 3 3 2 4 2 2" xfId="1306" xr:uid="{00000000-0005-0000-0000-000081070000}"/>
    <cellStyle name="Currency 3 3 2 4 2 2 2" xfId="1307" xr:uid="{00000000-0005-0000-0000-000082070000}"/>
    <cellStyle name="Currency 3 3 2 4 2 2 2 2" xfId="1308" xr:uid="{00000000-0005-0000-0000-000083070000}"/>
    <cellStyle name="Currency 3 3 2 4 2 2 3" xfId="1309" xr:uid="{00000000-0005-0000-0000-000084070000}"/>
    <cellStyle name="Currency 3 3 2 4 2 3" xfId="1310" xr:uid="{00000000-0005-0000-0000-000085070000}"/>
    <cellStyle name="Currency 3 3 2 4 2 3 2" xfId="1311" xr:uid="{00000000-0005-0000-0000-000086070000}"/>
    <cellStyle name="Currency 3 3 2 4 2 4" xfId="1312" xr:uid="{00000000-0005-0000-0000-000087070000}"/>
    <cellStyle name="Currency 3 3 2 4 3" xfId="1313" xr:uid="{00000000-0005-0000-0000-000088070000}"/>
    <cellStyle name="Currency 3 3 2 4 3 2" xfId="1314" xr:uid="{00000000-0005-0000-0000-000089070000}"/>
    <cellStyle name="Currency 3 3 2 4 3 2 2" xfId="1315" xr:uid="{00000000-0005-0000-0000-00008A070000}"/>
    <cellStyle name="Currency 3 3 2 4 3 3" xfId="1316" xr:uid="{00000000-0005-0000-0000-00008B070000}"/>
    <cellStyle name="Currency 3 3 2 4 4" xfId="1317" xr:uid="{00000000-0005-0000-0000-00008C070000}"/>
    <cellStyle name="Currency 3 3 2 4 4 2" xfId="1318" xr:uid="{00000000-0005-0000-0000-00008D070000}"/>
    <cellStyle name="Currency 3 3 2 4 4 2 2" xfId="1319" xr:uid="{00000000-0005-0000-0000-00008E070000}"/>
    <cellStyle name="Currency 3 3 2 4 4 3" xfId="1320" xr:uid="{00000000-0005-0000-0000-00008F070000}"/>
    <cellStyle name="Currency 3 3 2 4 5" xfId="1321" xr:uid="{00000000-0005-0000-0000-000090070000}"/>
    <cellStyle name="Currency 3 3 2 4 5 2" xfId="1322" xr:uid="{00000000-0005-0000-0000-000091070000}"/>
    <cellStyle name="Currency 3 3 2 4 6" xfId="1323" xr:uid="{00000000-0005-0000-0000-000092070000}"/>
    <cellStyle name="Currency 3 3 2 5" xfId="1324" xr:uid="{00000000-0005-0000-0000-000093070000}"/>
    <cellStyle name="Currency 3 3 2 5 2" xfId="1325" xr:uid="{00000000-0005-0000-0000-000094070000}"/>
    <cellStyle name="Currency 3 3 2 5 2 2" xfId="1326" xr:uid="{00000000-0005-0000-0000-000095070000}"/>
    <cellStyle name="Currency 3 3 2 5 2 2 2" xfId="1327" xr:uid="{00000000-0005-0000-0000-000096070000}"/>
    <cellStyle name="Currency 3 3 2 5 2 3" xfId="1328" xr:uid="{00000000-0005-0000-0000-000097070000}"/>
    <cellStyle name="Currency 3 3 2 5 3" xfId="1329" xr:uid="{00000000-0005-0000-0000-000098070000}"/>
    <cellStyle name="Currency 3 3 2 5 3 2" xfId="1330" xr:uid="{00000000-0005-0000-0000-000099070000}"/>
    <cellStyle name="Currency 3 3 2 5 4" xfId="1331" xr:uid="{00000000-0005-0000-0000-00009A070000}"/>
    <cellStyle name="Currency 3 3 2 6" xfId="1332" xr:uid="{00000000-0005-0000-0000-00009B070000}"/>
    <cellStyle name="Currency 3 3 2 6 2" xfId="1333" xr:uid="{00000000-0005-0000-0000-00009C070000}"/>
    <cellStyle name="Currency 3 3 2 6 2 2" xfId="1334" xr:uid="{00000000-0005-0000-0000-00009D070000}"/>
    <cellStyle name="Currency 3 3 2 6 3" xfId="1335" xr:uid="{00000000-0005-0000-0000-00009E070000}"/>
    <cellStyle name="Currency 3 3 2 7" xfId="1336" xr:uid="{00000000-0005-0000-0000-00009F070000}"/>
    <cellStyle name="Currency 3 3 2 7 2" xfId="1337" xr:uid="{00000000-0005-0000-0000-0000A0070000}"/>
    <cellStyle name="Currency 3 3 2 7 2 2" xfId="1338" xr:uid="{00000000-0005-0000-0000-0000A1070000}"/>
    <cellStyle name="Currency 3 3 2 7 3" xfId="1339" xr:uid="{00000000-0005-0000-0000-0000A2070000}"/>
    <cellStyle name="Currency 3 3 2 8" xfId="1340" xr:uid="{00000000-0005-0000-0000-0000A3070000}"/>
    <cellStyle name="Currency 3 3 2 8 2" xfId="1341" xr:uid="{00000000-0005-0000-0000-0000A4070000}"/>
    <cellStyle name="Currency 3 3 2 9" xfId="1342" xr:uid="{00000000-0005-0000-0000-0000A5070000}"/>
    <cellStyle name="Currency 3 3 3" xfId="1343" xr:uid="{00000000-0005-0000-0000-0000A6070000}"/>
    <cellStyle name="Currency 3 3 3 2" xfId="1344" xr:uid="{00000000-0005-0000-0000-0000A7070000}"/>
    <cellStyle name="Currency 3 3 3 2 2" xfId="1345" xr:uid="{00000000-0005-0000-0000-0000A8070000}"/>
    <cellStyle name="Currency 3 3 3 2 2 2" xfId="1346" xr:uid="{00000000-0005-0000-0000-0000A9070000}"/>
    <cellStyle name="Currency 3 3 3 2 2 2 2" xfId="1347" xr:uid="{00000000-0005-0000-0000-0000AA070000}"/>
    <cellStyle name="Currency 3 3 3 2 2 3" xfId="1348" xr:uid="{00000000-0005-0000-0000-0000AB070000}"/>
    <cellStyle name="Currency 3 3 3 2 3" xfId="1349" xr:uid="{00000000-0005-0000-0000-0000AC070000}"/>
    <cellStyle name="Currency 3 3 3 2 3 2" xfId="1350" xr:uid="{00000000-0005-0000-0000-0000AD070000}"/>
    <cellStyle name="Currency 3 3 3 2 4" xfId="1351" xr:uid="{00000000-0005-0000-0000-0000AE070000}"/>
    <cellStyle name="Currency 3 3 3 3" xfId="1352" xr:uid="{00000000-0005-0000-0000-0000AF070000}"/>
    <cellStyle name="Currency 3 3 3 3 2" xfId="1353" xr:uid="{00000000-0005-0000-0000-0000B0070000}"/>
    <cellStyle name="Currency 3 3 3 3 3" xfId="1354" xr:uid="{00000000-0005-0000-0000-0000B1070000}"/>
    <cellStyle name="Currency 3 3 3 3 3 2" xfId="1355" xr:uid="{00000000-0005-0000-0000-0000B2070000}"/>
    <cellStyle name="Currency 3 3 3 3 4" xfId="1356" xr:uid="{00000000-0005-0000-0000-0000B3070000}"/>
    <cellStyle name="Currency 3 3 3 4" xfId="1357" xr:uid="{00000000-0005-0000-0000-0000B4070000}"/>
    <cellStyle name="Currency 3 3 3 4 2" xfId="1358" xr:uid="{00000000-0005-0000-0000-0000B5070000}"/>
    <cellStyle name="Currency 3 3 3 4 2 2" xfId="1359" xr:uid="{00000000-0005-0000-0000-0000B6070000}"/>
    <cellStyle name="Currency 3 3 3 4 3" xfId="1360" xr:uid="{00000000-0005-0000-0000-0000B7070000}"/>
    <cellStyle name="Currency 3 3 3 5" xfId="1361" xr:uid="{00000000-0005-0000-0000-0000B8070000}"/>
    <cellStyle name="Currency 3 3 3 5 2" xfId="1362" xr:uid="{00000000-0005-0000-0000-0000B9070000}"/>
    <cellStyle name="Currency 3 3 3 6" xfId="1363" xr:uid="{00000000-0005-0000-0000-0000BA070000}"/>
    <cellStyle name="Currency 3 3 4" xfId="1364" xr:uid="{00000000-0005-0000-0000-0000BB070000}"/>
    <cellStyle name="Currency 3 3 4 2" xfId="1365" xr:uid="{00000000-0005-0000-0000-0000BC070000}"/>
    <cellStyle name="Currency 3 3 4 2 2" xfId="1366" xr:uid="{00000000-0005-0000-0000-0000BD070000}"/>
    <cellStyle name="Currency 3 3 4 2 2 2" xfId="1367" xr:uid="{00000000-0005-0000-0000-0000BE070000}"/>
    <cellStyle name="Currency 3 3 4 2 2 2 2" xfId="1368" xr:uid="{00000000-0005-0000-0000-0000BF070000}"/>
    <cellStyle name="Currency 3 3 4 2 2 3" xfId="1369" xr:uid="{00000000-0005-0000-0000-0000C0070000}"/>
    <cellStyle name="Currency 3 3 4 2 3" xfId="1370" xr:uid="{00000000-0005-0000-0000-0000C1070000}"/>
    <cellStyle name="Currency 3 3 4 2 3 2" xfId="1371" xr:uid="{00000000-0005-0000-0000-0000C2070000}"/>
    <cellStyle name="Currency 3 3 4 2 4" xfId="1372" xr:uid="{00000000-0005-0000-0000-0000C3070000}"/>
    <cellStyle name="Currency 3 3 4 3" xfId="1373" xr:uid="{00000000-0005-0000-0000-0000C4070000}"/>
    <cellStyle name="Currency 3 3 4 3 2" xfId="1374" xr:uid="{00000000-0005-0000-0000-0000C5070000}"/>
    <cellStyle name="Currency 3 3 4 3 2 2" xfId="1375" xr:uid="{00000000-0005-0000-0000-0000C6070000}"/>
    <cellStyle name="Currency 3 3 4 3 3" xfId="1376" xr:uid="{00000000-0005-0000-0000-0000C7070000}"/>
    <cellStyle name="Currency 3 3 4 4" xfId="1377" xr:uid="{00000000-0005-0000-0000-0000C8070000}"/>
    <cellStyle name="Currency 3 3 4 4 2" xfId="1378" xr:uid="{00000000-0005-0000-0000-0000C9070000}"/>
    <cellStyle name="Currency 3 3 4 4 2 2" xfId="1379" xr:uid="{00000000-0005-0000-0000-0000CA070000}"/>
    <cellStyle name="Currency 3 3 4 4 3" xfId="1380" xr:uid="{00000000-0005-0000-0000-0000CB070000}"/>
    <cellStyle name="Currency 3 3 4 5" xfId="1381" xr:uid="{00000000-0005-0000-0000-0000CC070000}"/>
    <cellStyle name="Currency 3 3 4 5 2" xfId="1382" xr:uid="{00000000-0005-0000-0000-0000CD070000}"/>
    <cellStyle name="Currency 3 3 4 6" xfId="1383" xr:uid="{00000000-0005-0000-0000-0000CE070000}"/>
    <cellStyle name="Currency 3 3 5" xfId="1384" xr:uid="{00000000-0005-0000-0000-0000CF070000}"/>
    <cellStyle name="Currency 3 3 5 2" xfId="1385" xr:uid="{00000000-0005-0000-0000-0000D0070000}"/>
    <cellStyle name="Currency 3 3 5 2 2" xfId="1386" xr:uid="{00000000-0005-0000-0000-0000D1070000}"/>
    <cellStyle name="Currency 3 3 5 2 2 2" xfId="1387" xr:uid="{00000000-0005-0000-0000-0000D2070000}"/>
    <cellStyle name="Currency 3 3 5 2 2 2 2" xfId="1388" xr:uid="{00000000-0005-0000-0000-0000D3070000}"/>
    <cellStyle name="Currency 3 3 5 2 2 3" xfId="1389" xr:uid="{00000000-0005-0000-0000-0000D4070000}"/>
    <cellStyle name="Currency 3 3 5 2 3" xfId="1390" xr:uid="{00000000-0005-0000-0000-0000D5070000}"/>
    <cellStyle name="Currency 3 3 5 2 3 2" xfId="1391" xr:uid="{00000000-0005-0000-0000-0000D6070000}"/>
    <cellStyle name="Currency 3 3 5 2 4" xfId="1392" xr:uid="{00000000-0005-0000-0000-0000D7070000}"/>
    <cellStyle name="Currency 3 3 5 3" xfId="1393" xr:uid="{00000000-0005-0000-0000-0000D8070000}"/>
    <cellStyle name="Currency 3 3 5 3 2" xfId="1394" xr:uid="{00000000-0005-0000-0000-0000D9070000}"/>
    <cellStyle name="Currency 3 3 5 3 2 2" xfId="1395" xr:uid="{00000000-0005-0000-0000-0000DA070000}"/>
    <cellStyle name="Currency 3 3 5 3 3" xfId="1396" xr:uid="{00000000-0005-0000-0000-0000DB070000}"/>
    <cellStyle name="Currency 3 3 5 4" xfId="1397" xr:uid="{00000000-0005-0000-0000-0000DC070000}"/>
    <cellStyle name="Currency 3 3 5 4 2" xfId="1398" xr:uid="{00000000-0005-0000-0000-0000DD070000}"/>
    <cellStyle name="Currency 3 3 5 4 2 2" xfId="1399" xr:uid="{00000000-0005-0000-0000-0000DE070000}"/>
    <cellStyle name="Currency 3 3 5 4 3" xfId="1400" xr:uid="{00000000-0005-0000-0000-0000DF070000}"/>
    <cellStyle name="Currency 3 3 5 5" xfId="1401" xr:uid="{00000000-0005-0000-0000-0000E0070000}"/>
    <cellStyle name="Currency 3 3 5 5 2" xfId="1402" xr:uid="{00000000-0005-0000-0000-0000E1070000}"/>
    <cellStyle name="Currency 3 3 5 6" xfId="1403" xr:uid="{00000000-0005-0000-0000-0000E2070000}"/>
    <cellStyle name="Currency 3 3 6" xfId="1404" xr:uid="{00000000-0005-0000-0000-0000E3070000}"/>
    <cellStyle name="Currency 3 3 6 2" xfId="1405" xr:uid="{00000000-0005-0000-0000-0000E4070000}"/>
    <cellStyle name="Currency 3 3 6 2 2" xfId="1406" xr:uid="{00000000-0005-0000-0000-0000E5070000}"/>
    <cellStyle name="Currency 3 3 6 2 2 2" xfId="1407" xr:uid="{00000000-0005-0000-0000-0000E6070000}"/>
    <cellStyle name="Currency 3 3 6 2 3" xfId="1408" xr:uid="{00000000-0005-0000-0000-0000E7070000}"/>
    <cellStyle name="Currency 3 3 6 3" xfId="1409" xr:uid="{00000000-0005-0000-0000-0000E8070000}"/>
    <cellStyle name="Currency 3 3 6 3 2" xfId="1410" xr:uid="{00000000-0005-0000-0000-0000E9070000}"/>
    <cellStyle name="Currency 3 3 6 4" xfId="1411" xr:uid="{00000000-0005-0000-0000-0000EA070000}"/>
    <cellStyle name="Currency 3 3 7" xfId="1412" xr:uid="{00000000-0005-0000-0000-0000EB070000}"/>
    <cellStyle name="Currency 3 3 7 2" xfId="1413" xr:uid="{00000000-0005-0000-0000-0000EC070000}"/>
    <cellStyle name="Currency 3 3 7 2 2" xfId="1414" xr:uid="{00000000-0005-0000-0000-0000ED070000}"/>
    <cellStyle name="Currency 3 3 7 3" xfId="1415" xr:uid="{00000000-0005-0000-0000-0000EE070000}"/>
    <cellStyle name="Currency 3 3 8" xfId="1416" xr:uid="{00000000-0005-0000-0000-0000EF070000}"/>
    <cellStyle name="Currency 3 3 8 2" xfId="1417" xr:uid="{00000000-0005-0000-0000-0000F0070000}"/>
    <cellStyle name="Currency 3 3 8 2 2" xfId="1418" xr:uid="{00000000-0005-0000-0000-0000F1070000}"/>
    <cellStyle name="Currency 3 3 8 3" xfId="1419" xr:uid="{00000000-0005-0000-0000-0000F2070000}"/>
    <cellStyle name="Currency 3 3 9" xfId="1420" xr:uid="{00000000-0005-0000-0000-0000F3070000}"/>
    <cellStyle name="Currency 3 3 9 2" xfId="1421" xr:uid="{00000000-0005-0000-0000-0000F4070000}"/>
    <cellStyle name="Currency 3 4" xfId="1422" xr:uid="{00000000-0005-0000-0000-0000F5070000}"/>
    <cellStyle name="Currency 3 4 10" xfId="1423" xr:uid="{00000000-0005-0000-0000-0000F6070000}"/>
    <cellStyle name="Currency 3 4 2" xfId="1424" xr:uid="{00000000-0005-0000-0000-0000F7070000}"/>
    <cellStyle name="Currency 3 4 2 2" xfId="1425" xr:uid="{00000000-0005-0000-0000-0000F8070000}"/>
    <cellStyle name="Currency 3 4 2 2 2" xfId="1426" xr:uid="{00000000-0005-0000-0000-0000F9070000}"/>
    <cellStyle name="Currency 3 4 2 2 2 2" xfId="1427" xr:uid="{00000000-0005-0000-0000-0000FA070000}"/>
    <cellStyle name="Currency 3 4 2 2 2 2 2" xfId="1428" xr:uid="{00000000-0005-0000-0000-0000FB070000}"/>
    <cellStyle name="Currency 3 4 2 2 2 3" xfId="1429" xr:uid="{00000000-0005-0000-0000-0000FC070000}"/>
    <cellStyle name="Currency 3 4 2 2 3" xfId="1430" xr:uid="{00000000-0005-0000-0000-0000FD070000}"/>
    <cellStyle name="Currency 3 4 2 2 3 2" xfId="1431" xr:uid="{00000000-0005-0000-0000-0000FE070000}"/>
    <cellStyle name="Currency 3 4 2 2 4" xfId="1432" xr:uid="{00000000-0005-0000-0000-0000FF070000}"/>
    <cellStyle name="Currency 3 4 2 3" xfId="1433" xr:uid="{00000000-0005-0000-0000-000000080000}"/>
    <cellStyle name="Currency 3 4 2 3 2" xfId="1434" xr:uid="{00000000-0005-0000-0000-000001080000}"/>
    <cellStyle name="Currency 3 4 2 3 2 2" xfId="1435" xr:uid="{00000000-0005-0000-0000-000002080000}"/>
    <cellStyle name="Currency 3 4 2 3 3" xfId="1436" xr:uid="{00000000-0005-0000-0000-000003080000}"/>
    <cellStyle name="Currency 3 4 2 4" xfId="1437" xr:uid="{00000000-0005-0000-0000-000004080000}"/>
    <cellStyle name="Currency 3 4 2 4 2" xfId="1438" xr:uid="{00000000-0005-0000-0000-000005080000}"/>
    <cellStyle name="Currency 3 4 2 4 2 2" xfId="1439" xr:uid="{00000000-0005-0000-0000-000006080000}"/>
    <cellStyle name="Currency 3 4 2 4 3" xfId="1440" xr:uid="{00000000-0005-0000-0000-000007080000}"/>
    <cellStyle name="Currency 3 4 2 5" xfId="1441" xr:uid="{00000000-0005-0000-0000-000008080000}"/>
    <cellStyle name="Currency 3 4 2 5 2" xfId="1442" xr:uid="{00000000-0005-0000-0000-000009080000}"/>
    <cellStyle name="Currency 3 4 2 6" xfId="1443" xr:uid="{00000000-0005-0000-0000-00000A080000}"/>
    <cellStyle name="Currency 3 4 3" xfId="1444" xr:uid="{00000000-0005-0000-0000-00000B080000}"/>
    <cellStyle name="Currency 3 4 3 2" xfId="1445" xr:uid="{00000000-0005-0000-0000-00000C080000}"/>
    <cellStyle name="Currency 3 4 3 2 2" xfId="1446" xr:uid="{00000000-0005-0000-0000-00000D080000}"/>
    <cellStyle name="Currency 3 4 3 2 2 2" xfId="1447" xr:uid="{00000000-0005-0000-0000-00000E080000}"/>
    <cellStyle name="Currency 3 4 3 2 2 2 2" xfId="1448" xr:uid="{00000000-0005-0000-0000-00000F080000}"/>
    <cellStyle name="Currency 3 4 3 2 2 3" xfId="1449" xr:uid="{00000000-0005-0000-0000-000010080000}"/>
    <cellStyle name="Currency 3 4 3 2 3" xfId="1450" xr:uid="{00000000-0005-0000-0000-000011080000}"/>
    <cellStyle name="Currency 3 4 3 2 3 2" xfId="1451" xr:uid="{00000000-0005-0000-0000-000012080000}"/>
    <cellStyle name="Currency 3 4 3 2 4" xfId="1452" xr:uid="{00000000-0005-0000-0000-000013080000}"/>
    <cellStyle name="Currency 3 4 3 3" xfId="1453" xr:uid="{00000000-0005-0000-0000-000014080000}"/>
    <cellStyle name="Currency 3 4 3 3 2" xfId="1454" xr:uid="{00000000-0005-0000-0000-000015080000}"/>
    <cellStyle name="Currency 3 4 3 3 2 2" xfId="9921" xr:uid="{00000000-0005-0000-0000-000016080000}"/>
    <cellStyle name="Currency 3 4 3 3 3" xfId="1455" xr:uid="{00000000-0005-0000-0000-000017080000}"/>
    <cellStyle name="Currency 3 4 3 3 3 2" xfId="1456" xr:uid="{00000000-0005-0000-0000-000018080000}"/>
    <cellStyle name="Currency 3 4 3 3 4" xfId="1457" xr:uid="{00000000-0005-0000-0000-000019080000}"/>
    <cellStyle name="Currency 3 4 3 4" xfId="1458" xr:uid="{00000000-0005-0000-0000-00001A080000}"/>
    <cellStyle name="Currency 3 4 3 4 2" xfId="1459" xr:uid="{00000000-0005-0000-0000-00001B080000}"/>
    <cellStyle name="Currency 3 4 3 4 2 2" xfId="1460" xr:uid="{00000000-0005-0000-0000-00001C080000}"/>
    <cellStyle name="Currency 3 4 3 4 3" xfId="1461" xr:uid="{00000000-0005-0000-0000-00001D080000}"/>
    <cellStyle name="Currency 3 4 3 5" xfId="1462" xr:uid="{00000000-0005-0000-0000-00001E080000}"/>
    <cellStyle name="Currency 3 4 3 5 2" xfId="1463" xr:uid="{00000000-0005-0000-0000-00001F080000}"/>
    <cellStyle name="Currency 3 4 3 6" xfId="1464" xr:uid="{00000000-0005-0000-0000-000020080000}"/>
    <cellStyle name="Currency 3 4 4" xfId="1465" xr:uid="{00000000-0005-0000-0000-000021080000}"/>
    <cellStyle name="Currency 3 4 4 2" xfId="1466" xr:uid="{00000000-0005-0000-0000-000022080000}"/>
    <cellStyle name="Currency 3 4 4 2 2" xfId="1467" xr:uid="{00000000-0005-0000-0000-000023080000}"/>
    <cellStyle name="Currency 3 4 4 2 2 2" xfId="1468" xr:uid="{00000000-0005-0000-0000-000024080000}"/>
    <cellStyle name="Currency 3 4 4 2 2 2 2" xfId="1469" xr:uid="{00000000-0005-0000-0000-000025080000}"/>
    <cellStyle name="Currency 3 4 4 2 2 3" xfId="1470" xr:uid="{00000000-0005-0000-0000-000026080000}"/>
    <cellStyle name="Currency 3 4 4 2 3" xfId="1471" xr:uid="{00000000-0005-0000-0000-000027080000}"/>
    <cellStyle name="Currency 3 4 4 2 3 2" xfId="1472" xr:uid="{00000000-0005-0000-0000-000028080000}"/>
    <cellStyle name="Currency 3 4 4 2 4" xfId="1473" xr:uid="{00000000-0005-0000-0000-000029080000}"/>
    <cellStyle name="Currency 3 4 4 3" xfId="1474" xr:uid="{00000000-0005-0000-0000-00002A080000}"/>
    <cellStyle name="Currency 3 4 4 3 2" xfId="1475" xr:uid="{00000000-0005-0000-0000-00002B080000}"/>
    <cellStyle name="Currency 3 4 4 3 2 2" xfId="1476" xr:uid="{00000000-0005-0000-0000-00002C080000}"/>
    <cellStyle name="Currency 3 4 4 3 3" xfId="1477" xr:uid="{00000000-0005-0000-0000-00002D080000}"/>
    <cellStyle name="Currency 3 4 4 4" xfId="1478" xr:uid="{00000000-0005-0000-0000-00002E080000}"/>
    <cellStyle name="Currency 3 4 4 4 2" xfId="1479" xr:uid="{00000000-0005-0000-0000-00002F080000}"/>
    <cellStyle name="Currency 3 4 4 4 2 2" xfId="1480" xr:uid="{00000000-0005-0000-0000-000030080000}"/>
    <cellStyle name="Currency 3 4 4 4 3" xfId="1481" xr:uid="{00000000-0005-0000-0000-000031080000}"/>
    <cellStyle name="Currency 3 4 4 5" xfId="1482" xr:uid="{00000000-0005-0000-0000-000032080000}"/>
    <cellStyle name="Currency 3 4 4 5 2" xfId="1483" xr:uid="{00000000-0005-0000-0000-000033080000}"/>
    <cellStyle name="Currency 3 4 4 6" xfId="1484" xr:uid="{00000000-0005-0000-0000-000034080000}"/>
    <cellStyle name="Currency 3 4 5" xfId="1485" xr:uid="{00000000-0005-0000-0000-000035080000}"/>
    <cellStyle name="Currency 3 4 5 2" xfId="1486" xr:uid="{00000000-0005-0000-0000-000036080000}"/>
    <cellStyle name="Currency 3 4 5 2 2" xfId="9922" xr:uid="{00000000-0005-0000-0000-000037080000}"/>
    <cellStyle name="Currency 3 4 5 3" xfId="1487" xr:uid="{00000000-0005-0000-0000-000038080000}"/>
    <cellStyle name="Currency 3 4 5 3 2" xfId="1488" xr:uid="{00000000-0005-0000-0000-000039080000}"/>
    <cellStyle name="Currency 3 4 5 4" xfId="1489" xr:uid="{00000000-0005-0000-0000-00003A080000}"/>
    <cellStyle name="Currency 3 4 6" xfId="1490" xr:uid="{00000000-0005-0000-0000-00003B080000}"/>
    <cellStyle name="Currency 3 4 6 2" xfId="1491" xr:uid="{00000000-0005-0000-0000-00003C080000}"/>
    <cellStyle name="Currency 3 4 6 2 2" xfId="1492" xr:uid="{00000000-0005-0000-0000-00003D080000}"/>
    <cellStyle name="Currency 3 4 6 3" xfId="1493" xr:uid="{00000000-0005-0000-0000-00003E080000}"/>
    <cellStyle name="Currency 3 4 7" xfId="1494" xr:uid="{00000000-0005-0000-0000-00003F080000}"/>
    <cellStyle name="Currency 3 4 7 2" xfId="1495" xr:uid="{00000000-0005-0000-0000-000040080000}"/>
    <cellStyle name="Currency 3 4 7 2 2" xfId="1496" xr:uid="{00000000-0005-0000-0000-000041080000}"/>
    <cellStyle name="Currency 3 4 7 3" xfId="1497" xr:uid="{00000000-0005-0000-0000-000042080000}"/>
    <cellStyle name="Currency 3 4 8" xfId="1498" xr:uid="{00000000-0005-0000-0000-000043080000}"/>
    <cellStyle name="Currency 3 4 8 2" xfId="1499" xr:uid="{00000000-0005-0000-0000-000044080000}"/>
    <cellStyle name="Currency 3 4 9" xfId="1500" xr:uid="{00000000-0005-0000-0000-000045080000}"/>
    <cellStyle name="Currency 3 4_Activity Fcst Variance" xfId="1501" xr:uid="{00000000-0005-0000-0000-000046080000}"/>
    <cellStyle name="Currency 3 5" xfId="1502" xr:uid="{00000000-0005-0000-0000-000047080000}"/>
    <cellStyle name="Currency 3 5 2" xfId="1503" xr:uid="{00000000-0005-0000-0000-000048080000}"/>
    <cellStyle name="Currency 3 5 2 2" xfId="9924" xr:uid="{00000000-0005-0000-0000-000049080000}"/>
    <cellStyle name="Currency 3 5 3" xfId="1504" xr:uid="{00000000-0005-0000-0000-00004A080000}"/>
    <cellStyle name="Currency 3 5 3 2" xfId="9925" xr:uid="{00000000-0005-0000-0000-00004B080000}"/>
    <cellStyle name="Currency 3 5 4" xfId="9923" xr:uid="{00000000-0005-0000-0000-00004C080000}"/>
    <cellStyle name="Currency 3 6" xfId="1505" xr:uid="{00000000-0005-0000-0000-00004D080000}"/>
    <cellStyle name="Currency 3 6 2" xfId="1506" xr:uid="{00000000-0005-0000-0000-00004E080000}"/>
    <cellStyle name="Currency 3 6 2 2" xfId="1507" xr:uid="{00000000-0005-0000-0000-00004F080000}"/>
    <cellStyle name="Currency 3 6 2 2 2" xfId="1508" xr:uid="{00000000-0005-0000-0000-000050080000}"/>
    <cellStyle name="Currency 3 6 2 2 2 2" xfId="1509" xr:uid="{00000000-0005-0000-0000-000051080000}"/>
    <cellStyle name="Currency 3 6 2 2 3" xfId="1510" xr:uid="{00000000-0005-0000-0000-000052080000}"/>
    <cellStyle name="Currency 3 6 2 3" xfId="1511" xr:uid="{00000000-0005-0000-0000-000053080000}"/>
    <cellStyle name="Currency 3 6 2 3 2" xfId="1512" xr:uid="{00000000-0005-0000-0000-000054080000}"/>
    <cellStyle name="Currency 3 6 2 4" xfId="1513" xr:uid="{00000000-0005-0000-0000-000055080000}"/>
    <cellStyle name="Currency 3 6 3" xfId="1514" xr:uid="{00000000-0005-0000-0000-000056080000}"/>
    <cellStyle name="Currency 3 6 3 2" xfId="1515" xr:uid="{00000000-0005-0000-0000-000057080000}"/>
    <cellStyle name="Currency 3 6 3 2 2" xfId="9926" xr:uid="{00000000-0005-0000-0000-000058080000}"/>
    <cellStyle name="Currency 3 6 3 3" xfId="1516" xr:uid="{00000000-0005-0000-0000-000059080000}"/>
    <cellStyle name="Currency 3 6 3 3 2" xfId="1517" xr:uid="{00000000-0005-0000-0000-00005A080000}"/>
    <cellStyle name="Currency 3 6 3 4" xfId="1518" xr:uid="{00000000-0005-0000-0000-00005B080000}"/>
    <cellStyle name="Currency 3 6 4" xfId="1519" xr:uid="{00000000-0005-0000-0000-00005C080000}"/>
    <cellStyle name="Currency 3 6 4 2" xfId="1520" xr:uid="{00000000-0005-0000-0000-00005D080000}"/>
    <cellStyle name="Currency 3 6 4 2 2" xfId="1521" xr:uid="{00000000-0005-0000-0000-00005E080000}"/>
    <cellStyle name="Currency 3 6 4 3" xfId="1522" xr:uid="{00000000-0005-0000-0000-00005F080000}"/>
    <cellStyle name="Currency 3 6 5" xfId="1523" xr:uid="{00000000-0005-0000-0000-000060080000}"/>
    <cellStyle name="Currency 3 6 5 2" xfId="1524" xr:uid="{00000000-0005-0000-0000-000061080000}"/>
    <cellStyle name="Currency 3 6 6" xfId="1525" xr:uid="{00000000-0005-0000-0000-000062080000}"/>
    <cellStyle name="Currency 3 7" xfId="1526" xr:uid="{00000000-0005-0000-0000-000063080000}"/>
    <cellStyle name="Currency 3 7 2" xfId="1527" xr:uid="{00000000-0005-0000-0000-000064080000}"/>
    <cellStyle name="Currency 3 7 2 2" xfId="1528" xr:uid="{00000000-0005-0000-0000-000065080000}"/>
    <cellStyle name="Currency 3 7 2 2 2" xfId="1529" xr:uid="{00000000-0005-0000-0000-000066080000}"/>
    <cellStyle name="Currency 3 7 2 2 2 2" xfId="1530" xr:uid="{00000000-0005-0000-0000-000067080000}"/>
    <cellStyle name="Currency 3 7 2 2 3" xfId="1531" xr:uid="{00000000-0005-0000-0000-000068080000}"/>
    <cellStyle name="Currency 3 7 2 3" xfId="1532" xr:uid="{00000000-0005-0000-0000-000069080000}"/>
    <cellStyle name="Currency 3 7 2 3 2" xfId="1533" xr:uid="{00000000-0005-0000-0000-00006A080000}"/>
    <cellStyle name="Currency 3 7 2 4" xfId="1534" xr:uid="{00000000-0005-0000-0000-00006B080000}"/>
    <cellStyle name="Currency 3 7 3" xfId="1535" xr:uid="{00000000-0005-0000-0000-00006C080000}"/>
    <cellStyle name="Currency 3 7 3 2" xfId="1536" xr:uid="{00000000-0005-0000-0000-00006D080000}"/>
    <cellStyle name="Currency 3 7 3 2 2" xfId="9927" xr:uid="{00000000-0005-0000-0000-00006E080000}"/>
    <cellStyle name="Currency 3 7 3 3" xfId="1537" xr:uid="{00000000-0005-0000-0000-00006F080000}"/>
    <cellStyle name="Currency 3 7 3 3 2" xfId="1538" xr:uid="{00000000-0005-0000-0000-000070080000}"/>
    <cellStyle name="Currency 3 7 3 4" xfId="1539" xr:uid="{00000000-0005-0000-0000-000071080000}"/>
    <cellStyle name="Currency 3 7 4" xfId="1540" xr:uid="{00000000-0005-0000-0000-000072080000}"/>
    <cellStyle name="Currency 3 7 4 2" xfId="1541" xr:uid="{00000000-0005-0000-0000-000073080000}"/>
    <cellStyle name="Currency 3 7 4 2 2" xfId="1542" xr:uid="{00000000-0005-0000-0000-000074080000}"/>
    <cellStyle name="Currency 3 7 4 3" xfId="1543" xr:uid="{00000000-0005-0000-0000-000075080000}"/>
    <cellStyle name="Currency 3 7 5" xfId="1544" xr:uid="{00000000-0005-0000-0000-000076080000}"/>
    <cellStyle name="Currency 3 7 5 2" xfId="1545" xr:uid="{00000000-0005-0000-0000-000077080000}"/>
    <cellStyle name="Currency 3 7 6" xfId="1546" xr:uid="{00000000-0005-0000-0000-000078080000}"/>
    <cellStyle name="Currency 3 8" xfId="1547" xr:uid="{00000000-0005-0000-0000-000079080000}"/>
    <cellStyle name="Currency 3 8 2" xfId="1548" xr:uid="{00000000-0005-0000-0000-00007A080000}"/>
    <cellStyle name="Currency 3 8 2 2" xfId="1549" xr:uid="{00000000-0005-0000-0000-00007B080000}"/>
    <cellStyle name="Currency 3 8 2 2 2" xfId="1550" xr:uid="{00000000-0005-0000-0000-00007C080000}"/>
    <cellStyle name="Currency 3 8 2 2 2 2" xfId="1551" xr:uid="{00000000-0005-0000-0000-00007D080000}"/>
    <cellStyle name="Currency 3 8 2 2 3" xfId="1552" xr:uid="{00000000-0005-0000-0000-00007E080000}"/>
    <cellStyle name="Currency 3 8 2 3" xfId="1553" xr:uid="{00000000-0005-0000-0000-00007F080000}"/>
    <cellStyle name="Currency 3 8 2 3 2" xfId="1554" xr:uid="{00000000-0005-0000-0000-000080080000}"/>
    <cellStyle name="Currency 3 8 2 4" xfId="1555" xr:uid="{00000000-0005-0000-0000-000081080000}"/>
    <cellStyle name="Currency 3 8 3" xfId="1556" xr:uid="{00000000-0005-0000-0000-000082080000}"/>
    <cellStyle name="Currency 3 8 3 2" xfId="1557" xr:uid="{00000000-0005-0000-0000-000083080000}"/>
    <cellStyle name="Currency 3 8 3 2 2" xfId="1558" xr:uid="{00000000-0005-0000-0000-000084080000}"/>
    <cellStyle name="Currency 3 8 3 3" xfId="1559" xr:uid="{00000000-0005-0000-0000-000085080000}"/>
    <cellStyle name="Currency 3 8 4" xfId="1560" xr:uid="{00000000-0005-0000-0000-000086080000}"/>
    <cellStyle name="Currency 3 8 4 2" xfId="1561" xr:uid="{00000000-0005-0000-0000-000087080000}"/>
    <cellStyle name="Currency 3 8 4 2 2" xfId="1562" xr:uid="{00000000-0005-0000-0000-000088080000}"/>
    <cellStyle name="Currency 3 8 4 3" xfId="1563" xr:uid="{00000000-0005-0000-0000-000089080000}"/>
    <cellStyle name="Currency 3 8 5" xfId="1564" xr:uid="{00000000-0005-0000-0000-00008A080000}"/>
    <cellStyle name="Currency 3 8 5 2" xfId="1565" xr:uid="{00000000-0005-0000-0000-00008B080000}"/>
    <cellStyle name="Currency 3 8 6" xfId="1566" xr:uid="{00000000-0005-0000-0000-00008C080000}"/>
    <cellStyle name="Currency 3 9" xfId="1567" xr:uid="{00000000-0005-0000-0000-00008D080000}"/>
    <cellStyle name="Currency 3 9 2" xfId="1568" xr:uid="{00000000-0005-0000-0000-00008E080000}"/>
    <cellStyle name="Currency 3 9 2 2" xfId="1569" xr:uid="{00000000-0005-0000-0000-00008F080000}"/>
    <cellStyle name="Currency 3 9 2 2 2" xfId="1570" xr:uid="{00000000-0005-0000-0000-000090080000}"/>
    <cellStyle name="Currency 3 9 2 3" xfId="1571" xr:uid="{00000000-0005-0000-0000-000091080000}"/>
    <cellStyle name="Currency 3 9 3" xfId="1572" xr:uid="{00000000-0005-0000-0000-000092080000}"/>
    <cellStyle name="Currency 3 9 3 2" xfId="1573" xr:uid="{00000000-0005-0000-0000-000093080000}"/>
    <cellStyle name="Currency 3 9 4" xfId="1574" xr:uid="{00000000-0005-0000-0000-000094080000}"/>
    <cellStyle name="Currency 3_Activity Fcst Variance" xfId="1575" xr:uid="{00000000-0005-0000-0000-000095080000}"/>
    <cellStyle name="Currency 4" xfId="1576" xr:uid="{00000000-0005-0000-0000-000096080000}"/>
    <cellStyle name="Currency 4 2" xfId="1577" xr:uid="{00000000-0005-0000-0000-000097080000}"/>
    <cellStyle name="Currency 4 2 2" xfId="9928" xr:uid="{00000000-0005-0000-0000-000098080000}"/>
    <cellStyle name="Currency 4 3" xfId="1578" xr:uid="{00000000-0005-0000-0000-000099080000}"/>
    <cellStyle name="Currency 4 3 2" xfId="9929" xr:uid="{00000000-0005-0000-0000-00009A080000}"/>
    <cellStyle name="Currency 4 4" xfId="1579" xr:uid="{00000000-0005-0000-0000-00009B080000}"/>
    <cellStyle name="Currency 4 4 2" xfId="9930" xr:uid="{00000000-0005-0000-0000-00009C080000}"/>
    <cellStyle name="Currency 4 5" xfId="9754" xr:uid="{00000000-0005-0000-0000-00009D080000}"/>
    <cellStyle name="Currency 4_Cap Forecast" xfId="1580" xr:uid="{00000000-0005-0000-0000-00009E080000}"/>
    <cellStyle name="Currency 5" xfId="1581" xr:uid="{00000000-0005-0000-0000-00009F080000}"/>
    <cellStyle name="Currency 5 10" xfId="1582" xr:uid="{00000000-0005-0000-0000-0000A0080000}"/>
    <cellStyle name="Currency 5 10 2" xfId="1583" xr:uid="{00000000-0005-0000-0000-0000A1080000}"/>
    <cellStyle name="Currency 5 10 2 2" xfId="1584" xr:uid="{00000000-0005-0000-0000-0000A2080000}"/>
    <cellStyle name="Currency 5 10 3" xfId="1585" xr:uid="{00000000-0005-0000-0000-0000A3080000}"/>
    <cellStyle name="Currency 5 11" xfId="1586" xr:uid="{00000000-0005-0000-0000-0000A4080000}"/>
    <cellStyle name="Currency 5 11 2" xfId="1587" xr:uid="{00000000-0005-0000-0000-0000A5080000}"/>
    <cellStyle name="Currency 5 12" xfId="1588" xr:uid="{00000000-0005-0000-0000-0000A6080000}"/>
    <cellStyle name="Currency 5 13" xfId="1589" xr:uid="{00000000-0005-0000-0000-0000A7080000}"/>
    <cellStyle name="Currency 5 14" xfId="9833" xr:uid="{00000000-0005-0000-0000-0000A8080000}"/>
    <cellStyle name="Currency 5 2" xfId="1590" xr:uid="{00000000-0005-0000-0000-0000A9080000}"/>
    <cellStyle name="Currency 5 2 10" xfId="1591" xr:uid="{00000000-0005-0000-0000-0000AA080000}"/>
    <cellStyle name="Currency 5 2 10 2" xfId="1592" xr:uid="{00000000-0005-0000-0000-0000AB080000}"/>
    <cellStyle name="Currency 5 2 11" xfId="1593" xr:uid="{00000000-0005-0000-0000-0000AC080000}"/>
    <cellStyle name="Currency 5 2 12" xfId="1594" xr:uid="{00000000-0005-0000-0000-0000AD080000}"/>
    <cellStyle name="Currency 5 2 2" xfId="1595" xr:uid="{00000000-0005-0000-0000-0000AE080000}"/>
    <cellStyle name="Currency 5 2 2 10" xfId="1596" xr:uid="{00000000-0005-0000-0000-0000AF080000}"/>
    <cellStyle name="Currency 5 2 2 2" xfId="1597" xr:uid="{00000000-0005-0000-0000-0000B0080000}"/>
    <cellStyle name="Currency 5 2 2 2 2" xfId="1598" xr:uid="{00000000-0005-0000-0000-0000B1080000}"/>
    <cellStyle name="Currency 5 2 2 2 2 2" xfId="1599" xr:uid="{00000000-0005-0000-0000-0000B2080000}"/>
    <cellStyle name="Currency 5 2 2 2 2 2 2" xfId="1600" xr:uid="{00000000-0005-0000-0000-0000B3080000}"/>
    <cellStyle name="Currency 5 2 2 2 2 2 2 2" xfId="1601" xr:uid="{00000000-0005-0000-0000-0000B4080000}"/>
    <cellStyle name="Currency 5 2 2 2 2 2 3" xfId="1602" xr:uid="{00000000-0005-0000-0000-0000B5080000}"/>
    <cellStyle name="Currency 5 2 2 2 2 3" xfId="1603" xr:uid="{00000000-0005-0000-0000-0000B6080000}"/>
    <cellStyle name="Currency 5 2 2 2 2 3 2" xfId="1604" xr:uid="{00000000-0005-0000-0000-0000B7080000}"/>
    <cellStyle name="Currency 5 2 2 2 2 4" xfId="1605" xr:uid="{00000000-0005-0000-0000-0000B8080000}"/>
    <cellStyle name="Currency 5 2 2 2 3" xfId="1606" xr:uid="{00000000-0005-0000-0000-0000B9080000}"/>
    <cellStyle name="Currency 5 2 2 2 3 2" xfId="1607" xr:uid="{00000000-0005-0000-0000-0000BA080000}"/>
    <cellStyle name="Currency 5 2 2 2 3 3" xfId="1608" xr:uid="{00000000-0005-0000-0000-0000BB080000}"/>
    <cellStyle name="Currency 5 2 2 2 3 3 2" xfId="1609" xr:uid="{00000000-0005-0000-0000-0000BC080000}"/>
    <cellStyle name="Currency 5 2 2 2 3 4" xfId="1610" xr:uid="{00000000-0005-0000-0000-0000BD080000}"/>
    <cellStyle name="Currency 5 2 2 2 4" xfId="1611" xr:uid="{00000000-0005-0000-0000-0000BE080000}"/>
    <cellStyle name="Currency 5 2 2 2 4 2" xfId="1612" xr:uid="{00000000-0005-0000-0000-0000BF080000}"/>
    <cellStyle name="Currency 5 2 2 2 4 2 2" xfId="1613" xr:uid="{00000000-0005-0000-0000-0000C0080000}"/>
    <cellStyle name="Currency 5 2 2 2 4 3" xfId="1614" xr:uid="{00000000-0005-0000-0000-0000C1080000}"/>
    <cellStyle name="Currency 5 2 2 2 5" xfId="1615" xr:uid="{00000000-0005-0000-0000-0000C2080000}"/>
    <cellStyle name="Currency 5 2 2 2 5 2" xfId="1616" xr:uid="{00000000-0005-0000-0000-0000C3080000}"/>
    <cellStyle name="Currency 5 2 2 2 6" xfId="1617" xr:uid="{00000000-0005-0000-0000-0000C4080000}"/>
    <cellStyle name="Currency 5 2 2 3" xfId="1618" xr:uid="{00000000-0005-0000-0000-0000C5080000}"/>
    <cellStyle name="Currency 5 2 2 3 2" xfId="1619" xr:uid="{00000000-0005-0000-0000-0000C6080000}"/>
    <cellStyle name="Currency 5 2 2 3 2 2" xfId="1620" xr:uid="{00000000-0005-0000-0000-0000C7080000}"/>
    <cellStyle name="Currency 5 2 2 3 2 2 2" xfId="1621" xr:uid="{00000000-0005-0000-0000-0000C8080000}"/>
    <cellStyle name="Currency 5 2 2 3 2 2 2 2" xfId="1622" xr:uid="{00000000-0005-0000-0000-0000C9080000}"/>
    <cellStyle name="Currency 5 2 2 3 2 2 3" xfId="1623" xr:uid="{00000000-0005-0000-0000-0000CA080000}"/>
    <cellStyle name="Currency 5 2 2 3 2 3" xfId="1624" xr:uid="{00000000-0005-0000-0000-0000CB080000}"/>
    <cellStyle name="Currency 5 2 2 3 2 3 2" xfId="1625" xr:uid="{00000000-0005-0000-0000-0000CC080000}"/>
    <cellStyle name="Currency 5 2 2 3 2 4" xfId="1626" xr:uid="{00000000-0005-0000-0000-0000CD080000}"/>
    <cellStyle name="Currency 5 2 2 3 3" xfId="1627" xr:uid="{00000000-0005-0000-0000-0000CE080000}"/>
    <cellStyle name="Currency 5 2 2 3 3 2" xfId="1628" xr:uid="{00000000-0005-0000-0000-0000CF080000}"/>
    <cellStyle name="Currency 5 2 2 3 3 2 2" xfId="1629" xr:uid="{00000000-0005-0000-0000-0000D0080000}"/>
    <cellStyle name="Currency 5 2 2 3 3 3" xfId="1630" xr:uid="{00000000-0005-0000-0000-0000D1080000}"/>
    <cellStyle name="Currency 5 2 2 3 4" xfId="1631" xr:uid="{00000000-0005-0000-0000-0000D2080000}"/>
    <cellStyle name="Currency 5 2 2 3 4 2" xfId="1632" xr:uid="{00000000-0005-0000-0000-0000D3080000}"/>
    <cellStyle name="Currency 5 2 2 3 4 2 2" xfId="1633" xr:uid="{00000000-0005-0000-0000-0000D4080000}"/>
    <cellStyle name="Currency 5 2 2 3 4 3" xfId="1634" xr:uid="{00000000-0005-0000-0000-0000D5080000}"/>
    <cellStyle name="Currency 5 2 2 3 5" xfId="1635" xr:uid="{00000000-0005-0000-0000-0000D6080000}"/>
    <cellStyle name="Currency 5 2 2 3 5 2" xfId="1636" xr:uid="{00000000-0005-0000-0000-0000D7080000}"/>
    <cellStyle name="Currency 5 2 2 3 6" xfId="1637" xr:uid="{00000000-0005-0000-0000-0000D8080000}"/>
    <cellStyle name="Currency 5 2 2 4" xfId="1638" xr:uid="{00000000-0005-0000-0000-0000D9080000}"/>
    <cellStyle name="Currency 5 2 2 4 2" xfId="1639" xr:uid="{00000000-0005-0000-0000-0000DA080000}"/>
    <cellStyle name="Currency 5 2 2 4 2 2" xfId="1640" xr:uid="{00000000-0005-0000-0000-0000DB080000}"/>
    <cellStyle name="Currency 5 2 2 4 2 2 2" xfId="1641" xr:uid="{00000000-0005-0000-0000-0000DC080000}"/>
    <cellStyle name="Currency 5 2 2 4 2 2 2 2" xfId="1642" xr:uid="{00000000-0005-0000-0000-0000DD080000}"/>
    <cellStyle name="Currency 5 2 2 4 2 2 3" xfId="1643" xr:uid="{00000000-0005-0000-0000-0000DE080000}"/>
    <cellStyle name="Currency 5 2 2 4 2 3" xfId="1644" xr:uid="{00000000-0005-0000-0000-0000DF080000}"/>
    <cellStyle name="Currency 5 2 2 4 2 3 2" xfId="1645" xr:uid="{00000000-0005-0000-0000-0000E0080000}"/>
    <cellStyle name="Currency 5 2 2 4 2 4" xfId="1646" xr:uid="{00000000-0005-0000-0000-0000E1080000}"/>
    <cellStyle name="Currency 5 2 2 4 3" xfId="1647" xr:uid="{00000000-0005-0000-0000-0000E2080000}"/>
    <cellStyle name="Currency 5 2 2 4 3 2" xfId="1648" xr:uid="{00000000-0005-0000-0000-0000E3080000}"/>
    <cellStyle name="Currency 5 2 2 4 3 2 2" xfId="1649" xr:uid="{00000000-0005-0000-0000-0000E4080000}"/>
    <cellStyle name="Currency 5 2 2 4 3 3" xfId="1650" xr:uid="{00000000-0005-0000-0000-0000E5080000}"/>
    <cellStyle name="Currency 5 2 2 4 4" xfId="1651" xr:uid="{00000000-0005-0000-0000-0000E6080000}"/>
    <cellStyle name="Currency 5 2 2 4 4 2" xfId="1652" xr:uid="{00000000-0005-0000-0000-0000E7080000}"/>
    <cellStyle name="Currency 5 2 2 4 4 2 2" xfId="1653" xr:uid="{00000000-0005-0000-0000-0000E8080000}"/>
    <cellStyle name="Currency 5 2 2 4 4 3" xfId="1654" xr:uid="{00000000-0005-0000-0000-0000E9080000}"/>
    <cellStyle name="Currency 5 2 2 4 5" xfId="1655" xr:uid="{00000000-0005-0000-0000-0000EA080000}"/>
    <cellStyle name="Currency 5 2 2 4 5 2" xfId="1656" xr:uid="{00000000-0005-0000-0000-0000EB080000}"/>
    <cellStyle name="Currency 5 2 2 4 6" xfId="1657" xr:uid="{00000000-0005-0000-0000-0000EC080000}"/>
    <cellStyle name="Currency 5 2 2 5" xfId="1658" xr:uid="{00000000-0005-0000-0000-0000ED080000}"/>
    <cellStyle name="Currency 5 2 2 5 2" xfId="1659" xr:uid="{00000000-0005-0000-0000-0000EE080000}"/>
    <cellStyle name="Currency 5 2 2 5 2 2" xfId="1660" xr:uid="{00000000-0005-0000-0000-0000EF080000}"/>
    <cellStyle name="Currency 5 2 2 5 2 2 2" xfId="1661" xr:uid="{00000000-0005-0000-0000-0000F0080000}"/>
    <cellStyle name="Currency 5 2 2 5 2 3" xfId="1662" xr:uid="{00000000-0005-0000-0000-0000F1080000}"/>
    <cellStyle name="Currency 5 2 2 5 3" xfId="1663" xr:uid="{00000000-0005-0000-0000-0000F2080000}"/>
    <cellStyle name="Currency 5 2 2 5 3 2" xfId="1664" xr:uid="{00000000-0005-0000-0000-0000F3080000}"/>
    <cellStyle name="Currency 5 2 2 5 4" xfId="1665" xr:uid="{00000000-0005-0000-0000-0000F4080000}"/>
    <cellStyle name="Currency 5 2 2 6" xfId="1666" xr:uid="{00000000-0005-0000-0000-0000F5080000}"/>
    <cellStyle name="Currency 5 2 2 6 2" xfId="1667" xr:uid="{00000000-0005-0000-0000-0000F6080000}"/>
    <cellStyle name="Currency 5 2 2 6 2 2" xfId="1668" xr:uid="{00000000-0005-0000-0000-0000F7080000}"/>
    <cellStyle name="Currency 5 2 2 6 3" xfId="1669" xr:uid="{00000000-0005-0000-0000-0000F8080000}"/>
    <cellStyle name="Currency 5 2 2 7" xfId="1670" xr:uid="{00000000-0005-0000-0000-0000F9080000}"/>
    <cellStyle name="Currency 5 2 2 7 2" xfId="1671" xr:uid="{00000000-0005-0000-0000-0000FA080000}"/>
    <cellStyle name="Currency 5 2 2 7 2 2" xfId="1672" xr:uid="{00000000-0005-0000-0000-0000FB080000}"/>
    <cellStyle name="Currency 5 2 2 7 3" xfId="1673" xr:uid="{00000000-0005-0000-0000-0000FC080000}"/>
    <cellStyle name="Currency 5 2 2 8" xfId="1674" xr:uid="{00000000-0005-0000-0000-0000FD080000}"/>
    <cellStyle name="Currency 5 2 2 8 2" xfId="1675" xr:uid="{00000000-0005-0000-0000-0000FE080000}"/>
    <cellStyle name="Currency 5 2 2 9" xfId="1676" xr:uid="{00000000-0005-0000-0000-0000FF080000}"/>
    <cellStyle name="Currency 5 2 3" xfId="1677" xr:uid="{00000000-0005-0000-0000-000000090000}"/>
    <cellStyle name="Currency 5 2 3 2" xfId="1678" xr:uid="{00000000-0005-0000-0000-000001090000}"/>
    <cellStyle name="Currency 5 2 3 2 2" xfId="9932" xr:uid="{00000000-0005-0000-0000-000002090000}"/>
    <cellStyle name="Currency 5 2 3 3" xfId="1679" xr:uid="{00000000-0005-0000-0000-000003090000}"/>
    <cellStyle name="Currency 5 2 3 3 2" xfId="1680" xr:uid="{00000000-0005-0000-0000-000004090000}"/>
    <cellStyle name="Currency 5 2 3 3 2 2" xfId="1681" xr:uid="{00000000-0005-0000-0000-000005090000}"/>
    <cellStyle name="Currency 5 2 3 3 3" xfId="1682" xr:uid="{00000000-0005-0000-0000-000006090000}"/>
    <cellStyle name="Currency 5 2 3 4" xfId="9931" xr:uid="{00000000-0005-0000-0000-000007090000}"/>
    <cellStyle name="Currency 5 2 4" xfId="1683" xr:uid="{00000000-0005-0000-0000-000008090000}"/>
    <cellStyle name="Currency 5 2 4 2" xfId="1684" xr:uid="{00000000-0005-0000-0000-000009090000}"/>
    <cellStyle name="Currency 5 2 4 2 2" xfId="1685" xr:uid="{00000000-0005-0000-0000-00000A090000}"/>
    <cellStyle name="Currency 5 2 4 2 2 2" xfId="1686" xr:uid="{00000000-0005-0000-0000-00000B090000}"/>
    <cellStyle name="Currency 5 2 4 2 2 2 2" xfId="1687" xr:uid="{00000000-0005-0000-0000-00000C090000}"/>
    <cellStyle name="Currency 5 2 4 2 2 3" xfId="1688" xr:uid="{00000000-0005-0000-0000-00000D090000}"/>
    <cellStyle name="Currency 5 2 4 2 3" xfId="1689" xr:uid="{00000000-0005-0000-0000-00000E090000}"/>
    <cellStyle name="Currency 5 2 4 2 3 2" xfId="1690" xr:uid="{00000000-0005-0000-0000-00000F090000}"/>
    <cellStyle name="Currency 5 2 4 2 4" xfId="1691" xr:uid="{00000000-0005-0000-0000-000010090000}"/>
    <cellStyle name="Currency 5 2 4 3" xfId="1692" xr:uid="{00000000-0005-0000-0000-000011090000}"/>
    <cellStyle name="Currency 5 2 4 3 2" xfId="1693" xr:uid="{00000000-0005-0000-0000-000012090000}"/>
    <cellStyle name="Currency 5 2 4 3 2 2" xfId="9933" xr:uid="{00000000-0005-0000-0000-000013090000}"/>
    <cellStyle name="Currency 5 2 4 3 3" xfId="1694" xr:uid="{00000000-0005-0000-0000-000014090000}"/>
    <cellStyle name="Currency 5 2 4 3 3 2" xfId="1695" xr:uid="{00000000-0005-0000-0000-000015090000}"/>
    <cellStyle name="Currency 5 2 4 3 4" xfId="1696" xr:uid="{00000000-0005-0000-0000-000016090000}"/>
    <cellStyle name="Currency 5 2 4 4" xfId="1697" xr:uid="{00000000-0005-0000-0000-000017090000}"/>
    <cellStyle name="Currency 5 2 4 4 2" xfId="1698" xr:uid="{00000000-0005-0000-0000-000018090000}"/>
    <cellStyle name="Currency 5 2 4 4 2 2" xfId="1699" xr:uid="{00000000-0005-0000-0000-000019090000}"/>
    <cellStyle name="Currency 5 2 4 4 3" xfId="1700" xr:uid="{00000000-0005-0000-0000-00001A090000}"/>
    <cellStyle name="Currency 5 2 4 5" xfId="1701" xr:uid="{00000000-0005-0000-0000-00001B090000}"/>
    <cellStyle name="Currency 5 2 4 5 2" xfId="1702" xr:uid="{00000000-0005-0000-0000-00001C090000}"/>
    <cellStyle name="Currency 5 2 4 6" xfId="1703" xr:uid="{00000000-0005-0000-0000-00001D090000}"/>
    <cellStyle name="Currency 5 2 5" xfId="1704" xr:uid="{00000000-0005-0000-0000-00001E090000}"/>
    <cellStyle name="Currency 5 2 5 2" xfId="1705" xr:uid="{00000000-0005-0000-0000-00001F090000}"/>
    <cellStyle name="Currency 5 2 5 2 2" xfId="1706" xr:uid="{00000000-0005-0000-0000-000020090000}"/>
    <cellStyle name="Currency 5 2 5 2 2 2" xfId="1707" xr:uid="{00000000-0005-0000-0000-000021090000}"/>
    <cellStyle name="Currency 5 2 5 2 2 2 2" xfId="1708" xr:uid="{00000000-0005-0000-0000-000022090000}"/>
    <cellStyle name="Currency 5 2 5 2 2 3" xfId="1709" xr:uid="{00000000-0005-0000-0000-000023090000}"/>
    <cellStyle name="Currency 5 2 5 2 3" xfId="1710" xr:uid="{00000000-0005-0000-0000-000024090000}"/>
    <cellStyle name="Currency 5 2 5 2 3 2" xfId="1711" xr:uid="{00000000-0005-0000-0000-000025090000}"/>
    <cellStyle name="Currency 5 2 5 2 4" xfId="1712" xr:uid="{00000000-0005-0000-0000-000026090000}"/>
    <cellStyle name="Currency 5 2 5 3" xfId="1713" xr:uid="{00000000-0005-0000-0000-000027090000}"/>
    <cellStyle name="Currency 5 2 5 3 2" xfId="1714" xr:uid="{00000000-0005-0000-0000-000028090000}"/>
    <cellStyle name="Currency 5 2 5 3 2 2" xfId="1715" xr:uid="{00000000-0005-0000-0000-000029090000}"/>
    <cellStyle name="Currency 5 2 5 3 3" xfId="1716" xr:uid="{00000000-0005-0000-0000-00002A090000}"/>
    <cellStyle name="Currency 5 2 5 4" xfId="1717" xr:uid="{00000000-0005-0000-0000-00002B090000}"/>
    <cellStyle name="Currency 5 2 5 4 2" xfId="1718" xr:uid="{00000000-0005-0000-0000-00002C090000}"/>
    <cellStyle name="Currency 5 2 5 4 2 2" xfId="1719" xr:uid="{00000000-0005-0000-0000-00002D090000}"/>
    <cellStyle name="Currency 5 2 5 4 3" xfId="1720" xr:uid="{00000000-0005-0000-0000-00002E090000}"/>
    <cellStyle name="Currency 5 2 5 5" xfId="1721" xr:uid="{00000000-0005-0000-0000-00002F090000}"/>
    <cellStyle name="Currency 5 2 5 5 2" xfId="1722" xr:uid="{00000000-0005-0000-0000-000030090000}"/>
    <cellStyle name="Currency 5 2 5 6" xfId="1723" xr:uid="{00000000-0005-0000-0000-000031090000}"/>
    <cellStyle name="Currency 5 2 6" xfId="1724" xr:uid="{00000000-0005-0000-0000-000032090000}"/>
    <cellStyle name="Currency 5 2 6 2" xfId="1725" xr:uid="{00000000-0005-0000-0000-000033090000}"/>
    <cellStyle name="Currency 5 2 6 2 2" xfId="1726" xr:uid="{00000000-0005-0000-0000-000034090000}"/>
    <cellStyle name="Currency 5 2 6 2 2 2" xfId="1727" xr:uid="{00000000-0005-0000-0000-000035090000}"/>
    <cellStyle name="Currency 5 2 6 2 2 2 2" xfId="1728" xr:uid="{00000000-0005-0000-0000-000036090000}"/>
    <cellStyle name="Currency 5 2 6 2 2 3" xfId="1729" xr:uid="{00000000-0005-0000-0000-000037090000}"/>
    <cellStyle name="Currency 5 2 6 2 3" xfId="1730" xr:uid="{00000000-0005-0000-0000-000038090000}"/>
    <cellStyle name="Currency 5 2 6 2 3 2" xfId="1731" xr:uid="{00000000-0005-0000-0000-000039090000}"/>
    <cellStyle name="Currency 5 2 6 2 4" xfId="1732" xr:uid="{00000000-0005-0000-0000-00003A090000}"/>
    <cellStyle name="Currency 5 2 6 3" xfId="1733" xr:uid="{00000000-0005-0000-0000-00003B090000}"/>
    <cellStyle name="Currency 5 2 6 3 2" xfId="1734" xr:uid="{00000000-0005-0000-0000-00003C090000}"/>
    <cellStyle name="Currency 5 2 6 3 2 2" xfId="1735" xr:uid="{00000000-0005-0000-0000-00003D090000}"/>
    <cellStyle name="Currency 5 2 6 3 3" xfId="1736" xr:uid="{00000000-0005-0000-0000-00003E090000}"/>
    <cellStyle name="Currency 5 2 6 4" xfId="1737" xr:uid="{00000000-0005-0000-0000-00003F090000}"/>
    <cellStyle name="Currency 5 2 6 4 2" xfId="1738" xr:uid="{00000000-0005-0000-0000-000040090000}"/>
    <cellStyle name="Currency 5 2 6 4 2 2" xfId="1739" xr:uid="{00000000-0005-0000-0000-000041090000}"/>
    <cellStyle name="Currency 5 2 6 4 3" xfId="1740" xr:uid="{00000000-0005-0000-0000-000042090000}"/>
    <cellStyle name="Currency 5 2 6 5" xfId="1741" xr:uid="{00000000-0005-0000-0000-000043090000}"/>
    <cellStyle name="Currency 5 2 6 5 2" xfId="1742" xr:uid="{00000000-0005-0000-0000-000044090000}"/>
    <cellStyle name="Currency 5 2 6 6" xfId="1743" xr:uid="{00000000-0005-0000-0000-000045090000}"/>
    <cellStyle name="Currency 5 2 7" xfId="1744" xr:uid="{00000000-0005-0000-0000-000046090000}"/>
    <cellStyle name="Currency 5 2 7 2" xfId="1745" xr:uid="{00000000-0005-0000-0000-000047090000}"/>
    <cellStyle name="Currency 5 2 7 2 2" xfId="1746" xr:uid="{00000000-0005-0000-0000-000048090000}"/>
    <cellStyle name="Currency 5 2 7 3" xfId="1747" xr:uid="{00000000-0005-0000-0000-000049090000}"/>
    <cellStyle name="Currency 5 2 8" xfId="1748" xr:uid="{00000000-0005-0000-0000-00004A090000}"/>
    <cellStyle name="Currency 5 2 8 2" xfId="1749" xr:uid="{00000000-0005-0000-0000-00004B090000}"/>
    <cellStyle name="Currency 5 2 8 2 2" xfId="1750" xr:uid="{00000000-0005-0000-0000-00004C090000}"/>
    <cellStyle name="Currency 5 2 8 3" xfId="1751" xr:uid="{00000000-0005-0000-0000-00004D090000}"/>
    <cellStyle name="Currency 5 2 9" xfId="1752" xr:uid="{00000000-0005-0000-0000-00004E090000}"/>
    <cellStyle name="Currency 5 2 9 2" xfId="1753" xr:uid="{00000000-0005-0000-0000-00004F090000}"/>
    <cellStyle name="Currency 5 2 9 2 2" xfId="1754" xr:uid="{00000000-0005-0000-0000-000050090000}"/>
    <cellStyle name="Currency 5 2 9 3" xfId="1755" xr:uid="{00000000-0005-0000-0000-000051090000}"/>
    <cellStyle name="Currency 5 2_Activity Fcst Variance" xfId="1756" xr:uid="{00000000-0005-0000-0000-000052090000}"/>
    <cellStyle name="Currency 5 3" xfId="1757" xr:uid="{00000000-0005-0000-0000-000053090000}"/>
    <cellStyle name="Currency 5 3 10" xfId="1758" xr:uid="{00000000-0005-0000-0000-000054090000}"/>
    <cellStyle name="Currency 5 3 2" xfId="1759" xr:uid="{00000000-0005-0000-0000-000055090000}"/>
    <cellStyle name="Currency 5 3 2 2" xfId="1760" xr:uid="{00000000-0005-0000-0000-000056090000}"/>
    <cellStyle name="Currency 5 3 2 2 2" xfId="1761" xr:uid="{00000000-0005-0000-0000-000057090000}"/>
    <cellStyle name="Currency 5 3 2 2 2 2" xfId="1762" xr:uid="{00000000-0005-0000-0000-000058090000}"/>
    <cellStyle name="Currency 5 3 2 2 2 2 2" xfId="1763" xr:uid="{00000000-0005-0000-0000-000059090000}"/>
    <cellStyle name="Currency 5 3 2 2 2 3" xfId="1764" xr:uid="{00000000-0005-0000-0000-00005A090000}"/>
    <cellStyle name="Currency 5 3 2 2 3" xfId="1765" xr:uid="{00000000-0005-0000-0000-00005B090000}"/>
    <cellStyle name="Currency 5 3 2 2 3 2" xfId="1766" xr:uid="{00000000-0005-0000-0000-00005C090000}"/>
    <cellStyle name="Currency 5 3 2 2 4" xfId="1767" xr:uid="{00000000-0005-0000-0000-00005D090000}"/>
    <cellStyle name="Currency 5 3 2 3" xfId="1768" xr:uid="{00000000-0005-0000-0000-00005E090000}"/>
    <cellStyle name="Currency 5 3 2 3 2" xfId="1769" xr:uid="{00000000-0005-0000-0000-00005F090000}"/>
    <cellStyle name="Currency 5 3 2 3 2 2" xfId="1770" xr:uid="{00000000-0005-0000-0000-000060090000}"/>
    <cellStyle name="Currency 5 3 2 3 3" xfId="1771" xr:uid="{00000000-0005-0000-0000-000061090000}"/>
    <cellStyle name="Currency 5 3 2 4" xfId="1772" xr:uid="{00000000-0005-0000-0000-000062090000}"/>
    <cellStyle name="Currency 5 3 2 4 2" xfId="1773" xr:uid="{00000000-0005-0000-0000-000063090000}"/>
    <cellStyle name="Currency 5 3 2 4 2 2" xfId="1774" xr:uid="{00000000-0005-0000-0000-000064090000}"/>
    <cellStyle name="Currency 5 3 2 4 3" xfId="1775" xr:uid="{00000000-0005-0000-0000-000065090000}"/>
    <cellStyle name="Currency 5 3 2 5" xfId="1776" xr:uid="{00000000-0005-0000-0000-000066090000}"/>
    <cellStyle name="Currency 5 3 2 5 2" xfId="1777" xr:uid="{00000000-0005-0000-0000-000067090000}"/>
    <cellStyle name="Currency 5 3 2 6" xfId="1778" xr:uid="{00000000-0005-0000-0000-000068090000}"/>
    <cellStyle name="Currency 5 3 3" xfId="1779" xr:uid="{00000000-0005-0000-0000-000069090000}"/>
    <cellStyle name="Currency 5 3 3 2" xfId="1780" xr:uid="{00000000-0005-0000-0000-00006A090000}"/>
    <cellStyle name="Currency 5 3 3 2 2" xfId="1781" xr:uid="{00000000-0005-0000-0000-00006B090000}"/>
    <cellStyle name="Currency 5 3 3 2 2 2" xfId="1782" xr:uid="{00000000-0005-0000-0000-00006C090000}"/>
    <cellStyle name="Currency 5 3 3 2 2 2 2" xfId="1783" xr:uid="{00000000-0005-0000-0000-00006D090000}"/>
    <cellStyle name="Currency 5 3 3 2 2 3" xfId="1784" xr:uid="{00000000-0005-0000-0000-00006E090000}"/>
    <cellStyle name="Currency 5 3 3 2 3" xfId="1785" xr:uid="{00000000-0005-0000-0000-00006F090000}"/>
    <cellStyle name="Currency 5 3 3 2 3 2" xfId="1786" xr:uid="{00000000-0005-0000-0000-000070090000}"/>
    <cellStyle name="Currency 5 3 3 2 4" xfId="1787" xr:uid="{00000000-0005-0000-0000-000071090000}"/>
    <cellStyle name="Currency 5 3 3 3" xfId="1788" xr:uid="{00000000-0005-0000-0000-000072090000}"/>
    <cellStyle name="Currency 5 3 3 3 2" xfId="1789" xr:uid="{00000000-0005-0000-0000-000073090000}"/>
    <cellStyle name="Currency 5 3 3 3 2 2" xfId="9934" xr:uid="{00000000-0005-0000-0000-000074090000}"/>
    <cellStyle name="Currency 5 3 3 3 3" xfId="1790" xr:uid="{00000000-0005-0000-0000-000075090000}"/>
    <cellStyle name="Currency 5 3 3 3 3 2" xfId="1791" xr:uid="{00000000-0005-0000-0000-000076090000}"/>
    <cellStyle name="Currency 5 3 3 3 4" xfId="1792" xr:uid="{00000000-0005-0000-0000-000077090000}"/>
    <cellStyle name="Currency 5 3 3 4" xfId="1793" xr:uid="{00000000-0005-0000-0000-000078090000}"/>
    <cellStyle name="Currency 5 3 3 4 2" xfId="1794" xr:uid="{00000000-0005-0000-0000-000079090000}"/>
    <cellStyle name="Currency 5 3 3 4 2 2" xfId="1795" xr:uid="{00000000-0005-0000-0000-00007A090000}"/>
    <cellStyle name="Currency 5 3 3 4 3" xfId="1796" xr:uid="{00000000-0005-0000-0000-00007B090000}"/>
    <cellStyle name="Currency 5 3 3 5" xfId="1797" xr:uid="{00000000-0005-0000-0000-00007C090000}"/>
    <cellStyle name="Currency 5 3 3 5 2" xfId="1798" xr:uid="{00000000-0005-0000-0000-00007D090000}"/>
    <cellStyle name="Currency 5 3 3 6" xfId="1799" xr:uid="{00000000-0005-0000-0000-00007E090000}"/>
    <cellStyle name="Currency 5 3 4" xfId="1800" xr:uid="{00000000-0005-0000-0000-00007F090000}"/>
    <cellStyle name="Currency 5 3 4 2" xfId="1801" xr:uid="{00000000-0005-0000-0000-000080090000}"/>
    <cellStyle name="Currency 5 3 4 2 2" xfId="1802" xr:uid="{00000000-0005-0000-0000-000081090000}"/>
    <cellStyle name="Currency 5 3 4 2 2 2" xfId="1803" xr:uid="{00000000-0005-0000-0000-000082090000}"/>
    <cellStyle name="Currency 5 3 4 2 2 2 2" xfId="1804" xr:uid="{00000000-0005-0000-0000-000083090000}"/>
    <cellStyle name="Currency 5 3 4 2 2 3" xfId="1805" xr:uid="{00000000-0005-0000-0000-000084090000}"/>
    <cellStyle name="Currency 5 3 4 2 3" xfId="1806" xr:uid="{00000000-0005-0000-0000-000085090000}"/>
    <cellStyle name="Currency 5 3 4 2 3 2" xfId="1807" xr:uid="{00000000-0005-0000-0000-000086090000}"/>
    <cellStyle name="Currency 5 3 4 2 4" xfId="1808" xr:uid="{00000000-0005-0000-0000-000087090000}"/>
    <cellStyle name="Currency 5 3 4 3" xfId="1809" xr:uid="{00000000-0005-0000-0000-000088090000}"/>
    <cellStyle name="Currency 5 3 4 3 2" xfId="1810" xr:uid="{00000000-0005-0000-0000-000089090000}"/>
    <cellStyle name="Currency 5 3 4 3 2 2" xfId="1811" xr:uid="{00000000-0005-0000-0000-00008A090000}"/>
    <cellStyle name="Currency 5 3 4 3 3" xfId="1812" xr:uid="{00000000-0005-0000-0000-00008B090000}"/>
    <cellStyle name="Currency 5 3 4 4" xfId="1813" xr:uid="{00000000-0005-0000-0000-00008C090000}"/>
    <cellStyle name="Currency 5 3 4 4 2" xfId="1814" xr:uid="{00000000-0005-0000-0000-00008D090000}"/>
    <cellStyle name="Currency 5 3 4 4 2 2" xfId="1815" xr:uid="{00000000-0005-0000-0000-00008E090000}"/>
    <cellStyle name="Currency 5 3 4 4 3" xfId="1816" xr:uid="{00000000-0005-0000-0000-00008F090000}"/>
    <cellStyle name="Currency 5 3 4 5" xfId="1817" xr:uid="{00000000-0005-0000-0000-000090090000}"/>
    <cellStyle name="Currency 5 3 4 5 2" xfId="1818" xr:uid="{00000000-0005-0000-0000-000091090000}"/>
    <cellStyle name="Currency 5 3 4 6" xfId="1819" xr:uid="{00000000-0005-0000-0000-000092090000}"/>
    <cellStyle name="Currency 5 3 5" xfId="1820" xr:uid="{00000000-0005-0000-0000-000093090000}"/>
    <cellStyle name="Currency 5 3 5 2" xfId="1821" xr:uid="{00000000-0005-0000-0000-000094090000}"/>
    <cellStyle name="Currency 5 3 5 2 2" xfId="9935" xr:uid="{00000000-0005-0000-0000-000095090000}"/>
    <cellStyle name="Currency 5 3 5 3" xfId="1822" xr:uid="{00000000-0005-0000-0000-000096090000}"/>
    <cellStyle name="Currency 5 3 5 3 2" xfId="1823" xr:uid="{00000000-0005-0000-0000-000097090000}"/>
    <cellStyle name="Currency 5 3 5 4" xfId="1824" xr:uid="{00000000-0005-0000-0000-000098090000}"/>
    <cellStyle name="Currency 5 3 6" xfId="1825" xr:uid="{00000000-0005-0000-0000-000099090000}"/>
    <cellStyle name="Currency 5 3 6 2" xfId="1826" xr:uid="{00000000-0005-0000-0000-00009A090000}"/>
    <cellStyle name="Currency 5 3 6 2 2" xfId="1827" xr:uid="{00000000-0005-0000-0000-00009B090000}"/>
    <cellStyle name="Currency 5 3 6 3" xfId="1828" xr:uid="{00000000-0005-0000-0000-00009C090000}"/>
    <cellStyle name="Currency 5 3 7" xfId="1829" xr:uid="{00000000-0005-0000-0000-00009D090000}"/>
    <cellStyle name="Currency 5 3 7 2" xfId="1830" xr:uid="{00000000-0005-0000-0000-00009E090000}"/>
    <cellStyle name="Currency 5 3 7 2 2" xfId="1831" xr:uid="{00000000-0005-0000-0000-00009F090000}"/>
    <cellStyle name="Currency 5 3 7 3" xfId="1832" xr:uid="{00000000-0005-0000-0000-0000A0090000}"/>
    <cellStyle name="Currency 5 3 8" xfId="1833" xr:uid="{00000000-0005-0000-0000-0000A1090000}"/>
    <cellStyle name="Currency 5 3 8 2" xfId="1834" xr:uid="{00000000-0005-0000-0000-0000A2090000}"/>
    <cellStyle name="Currency 5 3 9" xfId="1835" xr:uid="{00000000-0005-0000-0000-0000A3090000}"/>
    <cellStyle name="Currency 5 3_Activity Fcst Variance" xfId="1836" xr:uid="{00000000-0005-0000-0000-0000A4090000}"/>
    <cellStyle name="Currency 5 4" xfId="1837" xr:uid="{00000000-0005-0000-0000-0000A5090000}"/>
    <cellStyle name="Currency 5 4 2" xfId="9936" xr:uid="{00000000-0005-0000-0000-0000A6090000}"/>
    <cellStyle name="Currency 5 5" xfId="1838" xr:uid="{00000000-0005-0000-0000-0000A7090000}"/>
    <cellStyle name="Currency 5 5 2" xfId="1839" xr:uid="{00000000-0005-0000-0000-0000A8090000}"/>
    <cellStyle name="Currency 5 5 2 2" xfId="1840" xr:uid="{00000000-0005-0000-0000-0000A9090000}"/>
    <cellStyle name="Currency 5 5 2 2 2" xfId="1841" xr:uid="{00000000-0005-0000-0000-0000AA090000}"/>
    <cellStyle name="Currency 5 5 2 2 2 2" xfId="1842" xr:uid="{00000000-0005-0000-0000-0000AB090000}"/>
    <cellStyle name="Currency 5 5 2 2 3" xfId="1843" xr:uid="{00000000-0005-0000-0000-0000AC090000}"/>
    <cellStyle name="Currency 5 5 2 3" xfId="1844" xr:uid="{00000000-0005-0000-0000-0000AD090000}"/>
    <cellStyle name="Currency 5 5 2 3 2" xfId="1845" xr:uid="{00000000-0005-0000-0000-0000AE090000}"/>
    <cellStyle name="Currency 5 5 2 4" xfId="1846" xr:uid="{00000000-0005-0000-0000-0000AF090000}"/>
    <cellStyle name="Currency 5 5 3" xfId="1847" xr:uid="{00000000-0005-0000-0000-0000B0090000}"/>
    <cellStyle name="Currency 5 5 3 2" xfId="1848" xr:uid="{00000000-0005-0000-0000-0000B1090000}"/>
    <cellStyle name="Currency 5 5 3 2 2" xfId="1849" xr:uid="{00000000-0005-0000-0000-0000B2090000}"/>
    <cellStyle name="Currency 5 5 3 3" xfId="1850" xr:uid="{00000000-0005-0000-0000-0000B3090000}"/>
    <cellStyle name="Currency 5 5 4" xfId="1851" xr:uid="{00000000-0005-0000-0000-0000B4090000}"/>
    <cellStyle name="Currency 5 5 4 2" xfId="1852" xr:uid="{00000000-0005-0000-0000-0000B5090000}"/>
    <cellStyle name="Currency 5 5 4 2 2" xfId="1853" xr:uid="{00000000-0005-0000-0000-0000B6090000}"/>
    <cellStyle name="Currency 5 5 4 3" xfId="1854" xr:uid="{00000000-0005-0000-0000-0000B7090000}"/>
    <cellStyle name="Currency 5 5 5" xfId="1855" xr:uid="{00000000-0005-0000-0000-0000B8090000}"/>
    <cellStyle name="Currency 5 5 5 2" xfId="1856" xr:uid="{00000000-0005-0000-0000-0000B9090000}"/>
    <cellStyle name="Currency 5 5 6" xfId="1857" xr:uid="{00000000-0005-0000-0000-0000BA090000}"/>
    <cellStyle name="Currency 5 6" xfId="1858" xr:uid="{00000000-0005-0000-0000-0000BB090000}"/>
    <cellStyle name="Currency 5 6 2" xfId="1859" xr:uid="{00000000-0005-0000-0000-0000BC090000}"/>
    <cellStyle name="Currency 5 6 2 2" xfId="1860" xr:uid="{00000000-0005-0000-0000-0000BD090000}"/>
    <cellStyle name="Currency 5 6 2 2 2" xfId="1861" xr:uid="{00000000-0005-0000-0000-0000BE090000}"/>
    <cellStyle name="Currency 5 6 2 2 2 2" xfId="1862" xr:uid="{00000000-0005-0000-0000-0000BF090000}"/>
    <cellStyle name="Currency 5 6 2 2 3" xfId="1863" xr:uid="{00000000-0005-0000-0000-0000C0090000}"/>
    <cellStyle name="Currency 5 6 2 3" xfId="1864" xr:uid="{00000000-0005-0000-0000-0000C1090000}"/>
    <cellStyle name="Currency 5 6 2 3 2" xfId="1865" xr:uid="{00000000-0005-0000-0000-0000C2090000}"/>
    <cellStyle name="Currency 5 6 2 4" xfId="1866" xr:uid="{00000000-0005-0000-0000-0000C3090000}"/>
    <cellStyle name="Currency 5 6 3" xfId="1867" xr:uid="{00000000-0005-0000-0000-0000C4090000}"/>
    <cellStyle name="Currency 5 6 3 2" xfId="1868" xr:uid="{00000000-0005-0000-0000-0000C5090000}"/>
    <cellStyle name="Currency 5 6 3 2 2" xfId="1869" xr:uid="{00000000-0005-0000-0000-0000C6090000}"/>
    <cellStyle name="Currency 5 6 3 3" xfId="1870" xr:uid="{00000000-0005-0000-0000-0000C7090000}"/>
    <cellStyle name="Currency 5 6 4" xfId="1871" xr:uid="{00000000-0005-0000-0000-0000C8090000}"/>
    <cellStyle name="Currency 5 6 4 2" xfId="1872" xr:uid="{00000000-0005-0000-0000-0000C9090000}"/>
    <cellStyle name="Currency 5 6 4 2 2" xfId="1873" xr:uid="{00000000-0005-0000-0000-0000CA090000}"/>
    <cellStyle name="Currency 5 6 4 3" xfId="1874" xr:uid="{00000000-0005-0000-0000-0000CB090000}"/>
    <cellStyle name="Currency 5 6 5" xfId="1875" xr:uid="{00000000-0005-0000-0000-0000CC090000}"/>
    <cellStyle name="Currency 5 6 5 2" xfId="1876" xr:uid="{00000000-0005-0000-0000-0000CD090000}"/>
    <cellStyle name="Currency 5 6 6" xfId="1877" xr:uid="{00000000-0005-0000-0000-0000CE090000}"/>
    <cellStyle name="Currency 5 7" xfId="1878" xr:uid="{00000000-0005-0000-0000-0000CF090000}"/>
    <cellStyle name="Currency 5 7 2" xfId="1879" xr:uid="{00000000-0005-0000-0000-0000D0090000}"/>
    <cellStyle name="Currency 5 7 2 2" xfId="1880" xr:uid="{00000000-0005-0000-0000-0000D1090000}"/>
    <cellStyle name="Currency 5 7 2 2 2" xfId="1881" xr:uid="{00000000-0005-0000-0000-0000D2090000}"/>
    <cellStyle name="Currency 5 7 2 2 2 2" xfId="1882" xr:uid="{00000000-0005-0000-0000-0000D3090000}"/>
    <cellStyle name="Currency 5 7 2 2 3" xfId="1883" xr:uid="{00000000-0005-0000-0000-0000D4090000}"/>
    <cellStyle name="Currency 5 7 2 3" xfId="1884" xr:uid="{00000000-0005-0000-0000-0000D5090000}"/>
    <cellStyle name="Currency 5 7 2 3 2" xfId="1885" xr:uid="{00000000-0005-0000-0000-0000D6090000}"/>
    <cellStyle name="Currency 5 7 2 4" xfId="1886" xr:uid="{00000000-0005-0000-0000-0000D7090000}"/>
    <cellStyle name="Currency 5 7 3" xfId="1887" xr:uid="{00000000-0005-0000-0000-0000D8090000}"/>
    <cellStyle name="Currency 5 7 3 2" xfId="1888" xr:uid="{00000000-0005-0000-0000-0000D9090000}"/>
    <cellStyle name="Currency 5 7 3 2 2" xfId="1889" xr:uid="{00000000-0005-0000-0000-0000DA090000}"/>
    <cellStyle name="Currency 5 7 3 3" xfId="1890" xr:uid="{00000000-0005-0000-0000-0000DB090000}"/>
    <cellStyle name="Currency 5 7 4" xfId="1891" xr:uid="{00000000-0005-0000-0000-0000DC090000}"/>
    <cellStyle name="Currency 5 7 4 2" xfId="1892" xr:uid="{00000000-0005-0000-0000-0000DD090000}"/>
    <cellStyle name="Currency 5 7 4 2 2" xfId="1893" xr:uid="{00000000-0005-0000-0000-0000DE090000}"/>
    <cellStyle name="Currency 5 7 4 3" xfId="1894" xr:uid="{00000000-0005-0000-0000-0000DF090000}"/>
    <cellStyle name="Currency 5 7 5" xfId="1895" xr:uid="{00000000-0005-0000-0000-0000E0090000}"/>
    <cellStyle name="Currency 5 7 5 2" xfId="1896" xr:uid="{00000000-0005-0000-0000-0000E1090000}"/>
    <cellStyle name="Currency 5 7 6" xfId="1897" xr:uid="{00000000-0005-0000-0000-0000E2090000}"/>
    <cellStyle name="Currency 5 8" xfId="1898" xr:uid="{00000000-0005-0000-0000-0000E3090000}"/>
    <cellStyle name="Currency 5 8 2" xfId="1899" xr:uid="{00000000-0005-0000-0000-0000E4090000}"/>
    <cellStyle name="Currency 5 8 2 2" xfId="9937" xr:uid="{00000000-0005-0000-0000-0000E5090000}"/>
    <cellStyle name="Currency 5 8 3" xfId="1900" xr:uid="{00000000-0005-0000-0000-0000E6090000}"/>
    <cellStyle name="Currency 5 8 3 2" xfId="1901" xr:uid="{00000000-0005-0000-0000-0000E7090000}"/>
    <cellStyle name="Currency 5 8 4" xfId="1902" xr:uid="{00000000-0005-0000-0000-0000E8090000}"/>
    <cellStyle name="Currency 5 9" xfId="1903" xr:uid="{00000000-0005-0000-0000-0000E9090000}"/>
    <cellStyle name="Currency 5 9 2" xfId="1904" xr:uid="{00000000-0005-0000-0000-0000EA090000}"/>
    <cellStyle name="Currency 5 9 2 2" xfId="9938" xr:uid="{00000000-0005-0000-0000-0000EB090000}"/>
    <cellStyle name="Currency 5 9 3" xfId="1905" xr:uid="{00000000-0005-0000-0000-0000EC090000}"/>
    <cellStyle name="Currency 5 9 3 2" xfId="1906" xr:uid="{00000000-0005-0000-0000-0000ED090000}"/>
    <cellStyle name="Currency 5 9 4" xfId="1907" xr:uid="{00000000-0005-0000-0000-0000EE090000}"/>
    <cellStyle name="Currency 5_Cap Forecast" xfId="1908" xr:uid="{00000000-0005-0000-0000-0000EF090000}"/>
    <cellStyle name="Currency 6" xfId="1909" xr:uid="{00000000-0005-0000-0000-0000F0090000}"/>
    <cellStyle name="Currency 6 2" xfId="1910" xr:uid="{00000000-0005-0000-0000-0000F1090000}"/>
    <cellStyle name="Currency 6 2 2" xfId="9940" xr:uid="{00000000-0005-0000-0000-0000F2090000}"/>
    <cellStyle name="Currency 6 3" xfId="9939" xr:uid="{00000000-0005-0000-0000-0000F3090000}"/>
    <cellStyle name="Currency 7" xfId="1911" xr:uid="{00000000-0005-0000-0000-0000F4090000}"/>
    <cellStyle name="Currency 7 2" xfId="1912" xr:uid="{00000000-0005-0000-0000-0000F5090000}"/>
    <cellStyle name="Currency 7 2 2" xfId="9942" xr:uid="{00000000-0005-0000-0000-0000F6090000}"/>
    <cellStyle name="Currency 7 3" xfId="9941" xr:uid="{00000000-0005-0000-0000-0000F7090000}"/>
    <cellStyle name="Currency 8" xfId="1913" xr:uid="{00000000-0005-0000-0000-0000F8090000}"/>
    <cellStyle name="Currency 8 2" xfId="1914" xr:uid="{00000000-0005-0000-0000-0000F9090000}"/>
    <cellStyle name="Currency 8 2 2" xfId="9944" xr:uid="{00000000-0005-0000-0000-0000FA090000}"/>
    <cellStyle name="Currency 8 3" xfId="9943" xr:uid="{00000000-0005-0000-0000-0000FB090000}"/>
    <cellStyle name="Currency 9" xfId="1915" xr:uid="{00000000-0005-0000-0000-0000FC090000}"/>
    <cellStyle name="Currency 9 2" xfId="9945" xr:uid="{00000000-0005-0000-0000-0000FD090000}"/>
    <cellStyle name="Date" xfId="1916" xr:uid="{00000000-0005-0000-0000-0000FE090000}"/>
    <cellStyle name="Emphasis 1" xfId="42" xr:uid="{00000000-0005-0000-0000-0000FF090000}"/>
    <cellStyle name="Emphasis 1 2" xfId="1917" xr:uid="{00000000-0005-0000-0000-0000000A0000}"/>
    <cellStyle name="Emphasis 1 2 2" xfId="1918" xr:uid="{00000000-0005-0000-0000-0000010A0000}"/>
    <cellStyle name="Emphasis 1 2 2 2" xfId="1919" xr:uid="{00000000-0005-0000-0000-0000020A0000}"/>
    <cellStyle name="Emphasis 1 2 2 3" xfId="1920" xr:uid="{00000000-0005-0000-0000-0000030A0000}"/>
    <cellStyle name="Emphasis 1 2 2_Cap Forecast" xfId="1921" xr:uid="{00000000-0005-0000-0000-0000040A0000}"/>
    <cellStyle name="Emphasis 1 2 3" xfId="1922" xr:uid="{00000000-0005-0000-0000-0000050A0000}"/>
    <cellStyle name="Emphasis 1 2 4" xfId="1923" xr:uid="{00000000-0005-0000-0000-0000060A0000}"/>
    <cellStyle name="Emphasis 1 2 5" xfId="1924" xr:uid="{00000000-0005-0000-0000-0000070A0000}"/>
    <cellStyle name="Emphasis 1 2_Activity Fcst Variance" xfId="1925" xr:uid="{00000000-0005-0000-0000-0000080A0000}"/>
    <cellStyle name="Emphasis 1 3" xfId="1926" xr:uid="{00000000-0005-0000-0000-0000090A0000}"/>
    <cellStyle name="Emphasis 1 3 2" xfId="1927" xr:uid="{00000000-0005-0000-0000-00000A0A0000}"/>
    <cellStyle name="Emphasis 1 3 3" xfId="1928" xr:uid="{00000000-0005-0000-0000-00000B0A0000}"/>
    <cellStyle name="Emphasis 1 4" xfId="1929" xr:uid="{00000000-0005-0000-0000-00000C0A0000}"/>
    <cellStyle name="Emphasis 1 5" xfId="1930" xr:uid="{00000000-0005-0000-0000-00000D0A0000}"/>
    <cellStyle name="Emphasis 1 6" xfId="1931" xr:uid="{00000000-0005-0000-0000-00000E0A0000}"/>
    <cellStyle name="Emphasis 1 7" xfId="1932" xr:uid="{00000000-0005-0000-0000-00000F0A0000}"/>
    <cellStyle name="Emphasis 1 8" xfId="9722" xr:uid="{00000000-0005-0000-0000-0000100A0000}"/>
    <cellStyle name="Emphasis 1_BOT Summary" xfId="10493" xr:uid="{00000000-0005-0000-0000-0000110A0000}"/>
    <cellStyle name="Emphasis 2" xfId="43" xr:uid="{00000000-0005-0000-0000-0000120A0000}"/>
    <cellStyle name="Emphasis 2 2" xfId="1933" xr:uid="{00000000-0005-0000-0000-0000130A0000}"/>
    <cellStyle name="Emphasis 2 2 2" xfId="1934" xr:uid="{00000000-0005-0000-0000-0000140A0000}"/>
    <cellStyle name="Emphasis 2 2 2 2" xfId="1935" xr:uid="{00000000-0005-0000-0000-0000150A0000}"/>
    <cellStyle name="Emphasis 2 2 2 3" xfId="1936" xr:uid="{00000000-0005-0000-0000-0000160A0000}"/>
    <cellStyle name="Emphasis 2 2 2_Cap Forecast" xfId="1937" xr:uid="{00000000-0005-0000-0000-0000170A0000}"/>
    <cellStyle name="Emphasis 2 2 3" xfId="1938" xr:uid="{00000000-0005-0000-0000-0000180A0000}"/>
    <cellStyle name="Emphasis 2 2 4" xfId="1939" xr:uid="{00000000-0005-0000-0000-0000190A0000}"/>
    <cellStyle name="Emphasis 2 2 5" xfId="1940" xr:uid="{00000000-0005-0000-0000-00001A0A0000}"/>
    <cellStyle name="Emphasis 2 2_Activity Fcst Variance" xfId="1941" xr:uid="{00000000-0005-0000-0000-00001B0A0000}"/>
    <cellStyle name="Emphasis 2 3" xfId="1942" xr:uid="{00000000-0005-0000-0000-00001C0A0000}"/>
    <cellStyle name="Emphasis 2 3 2" xfId="1943" xr:uid="{00000000-0005-0000-0000-00001D0A0000}"/>
    <cellStyle name="Emphasis 2 3 3" xfId="1944" xr:uid="{00000000-0005-0000-0000-00001E0A0000}"/>
    <cellStyle name="Emphasis 2 4" xfId="1945" xr:uid="{00000000-0005-0000-0000-00001F0A0000}"/>
    <cellStyle name="Emphasis 2 5" xfId="1946" xr:uid="{00000000-0005-0000-0000-0000200A0000}"/>
    <cellStyle name="Emphasis 2 6" xfId="1947" xr:uid="{00000000-0005-0000-0000-0000210A0000}"/>
    <cellStyle name="Emphasis 2 7" xfId="1948" xr:uid="{00000000-0005-0000-0000-0000220A0000}"/>
    <cellStyle name="Emphasis 2 8" xfId="9723" xr:uid="{00000000-0005-0000-0000-0000230A0000}"/>
    <cellStyle name="Emphasis 2_BOT Summary" xfId="10494" xr:uid="{00000000-0005-0000-0000-0000240A0000}"/>
    <cellStyle name="Emphasis 3" xfId="44" xr:uid="{00000000-0005-0000-0000-0000250A0000}"/>
    <cellStyle name="Emphasis 3 2" xfId="1949" xr:uid="{00000000-0005-0000-0000-0000260A0000}"/>
    <cellStyle name="Emphasis 3 3" xfId="1950" xr:uid="{00000000-0005-0000-0000-0000270A0000}"/>
    <cellStyle name="Emphasis 3 4" xfId="1951" xr:uid="{00000000-0005-0000-0000-0000280A0000}"/>
    <cellStyle name="Explanatory Text 10" xfId="1952" xr:uid="{00000000-0005-0000-0000-0000290A0000}"/>
    <cellStyle name="Explanatory Text 2" xfId="1953" xr:uid="{00000000-0005-0000-0000-00002A0A0000}"/>
    <cellStyle name="Explanatory Text 2 2" xfId="1954" xr:uid="{00000000-0005-0000-0000-00002B0A0000}"/>
    <cellStyle name="Explanatory Text 2 2 2" xfId="1955" xr:uid="{00000000-0005-0000-0000-00002C0A0000}"/>
    <cellStyle name="Explanatory Text 2 2 3" xfId="1956" xr:uid="{00000000-0005-0000-0000-00002D0A0000}"/>
    <cellStyle name="Explanatory Text 2 2_Cap Forecast" xfId="1957" xr:uid="{00000000-0005-0000-0000-00002E0A0000}"/>
    <cellStyle name="Explanatory Text 2 3" xfId="1958" xr:uid="{00000000-0005-0000-0000-00002F0A0000}"/>
    <cellStyle name="Explanatory Text 2 4" xfId="1959" xr:uid="{00000000-0005-0000-0000-0000300A0000}"/>
    <cellStyle name="Explanatory Text 2_Activity Fcst Variance" xfId="1960" xr:uid="{00000000-0005-0000-0000-0000310A0000}"/>
    <cellStyle name="Explanatory Text 3" xfId="1961" xr:uid="{00000000-0005-0000-0000-0000320A0000}"/>
    <cellStyle name="Explanatory Text 3 2" xfId="1962" xr:uid="{00000000-0005-0000-0000-0000330A0000}"/>
    <cellStyle name="Explanatory Text 3 3" xfId="1963" xr:uid="{00000000-0005-0000-0000-0000340A0000}"/>
    <cellStyle name="Explanatory Text 3 4" xfId="1964" xr:uid="{00000000-0005-0000-0000-0000350A0000}"/>
    <cellStyle name="Explanatory Text 3_Cap Forecast" xfId="1965" xr:uid="{00000000-0005-0000-0000-0000360A0000}"/>
    <cellStyle name="Explanatory Text 4" xfId="1966" xr:uid="{00000000-0005-0000-0000-0000370A0000}"/>
    <cellStyle name="Explanatory Text 5" xfId="1967" xr:uid="{00000000-0005-0000-0000-0000380A0000}"/>
    <cellStyle name="Explanatory Text 6" xfId="1968" xr:uid="{00000000-0005-0000-0000-0000390A0000}"/>
    <cellStyle name="Explanatory Text 7" xfId="1969" xr:uid="{00000000-0005-0000-0000-00003A0A0000}"/>
    <cellStyle name="Explanatory Text 8" xfId="1970" xr:uid="{00000000-0005-0000-0000-00003B0A0000}"/>
    <cellStyle name="Explanatory Text 9" xfId="1971" xr:uid="{00000000-0005-0000-0000-00003C0A0000}"/>
    <cellStyle name="Fixed" xfId="1972" xr:uid="{00000000-0005-0000-0000-00003D0A0000}"/>
    <cellStyle name="Fixed 2" xfId="1973" xr:uid="{00000000-0005-0000-0000-00003E0A0000}"/>
    <cellStyle name="Fixed 2 2" xfId="1974" xr:uid="{00000000-0005-0000-0000-00003F0A0000}"/>
    <cellStyle name="Fixed 2 2 2" xfId="9946" xr:uid="{00000000-0005-0000-0000-0000400A0000}"/>
    <cellStyle name="Fixed 2 3" xfId="9834" xr:uid="{00000000-0005-0000-0000-0000410A0000}"/>
    <cellStyle name="Fixed 3" xfId="1975" xr:uid="{00000000-0005-0000-0000-0000420A0000}"/>
    <cellStyle name="Fixed 3 2" xfId="9947" xr:uid="{00000000-0005-0000-0000-0000430A0000}"/>
    <cellStyle name="Fixed 4" xfId="9724" xr:uid="{00000000-0005-0000-0000-0000440A0000}"/>
    <cellStyle name="Good 10" xfId="9725" xr:uid="{00000000-0005-0000-0000-0000450A0000}"/>
    <cellStyle name="Good 11" xfId="45" xr:uid="{00000000-0005-0000-0000-0000460A0000}"/>
    <cellStyle name="Good 2" xfId="1976" xr:uid="{00000000-0005-0000-0000-0000470A0000}"/>
    <cellStyle name="Good 2 2" xfId="1977" xr:uid="{00000000-0005-0000-0000-0000480A0000}"/>
    <cellStyle name="Good 2 2 2" xfId="1978" xr:uid="{00000000-0005-0000-0000-0000490A0000}"/>
    <cellStyle name="Good 2 3" xfId="1979" xr:uid="{00000000-0005-0000-0000-00004A0A0000}"/>
    <cellStyle name="Good 2 3 2" xfId="1980" xr:uid="{00000000-0005-0000-0000-00004B0A0000}"/>
    <cellStyle name="Good 2 4" xfId="1981" xr:uid="{00000000-0005-0000-0000-00004C0A0000}"/>
    <cellStyle name="Good 2_BOT Summary" xfId="10540" xr:uid="{00000000-0005-0000-0000-00004D0A0000}"/>
    <cellStyle name="Good 3" xfId="1982" xr:uid="{00000000-0005-0000-0000-00004E0A0000}"/>
    <cellStyle name="Good 3 2" xfId="1983" xr:uid="{00000000-0005-0000-0000-00004F0A0000}"/>
    <cellStyle name="Good 3_Cap Forecast" xfId="1984" xr:uid="{00000000-0005-0000-0000-0000500A0000}"/>
    <cellStyle name="Good 4" xfId="1985" xr:uid="{00000000-0005-0000-0000-0000510A0000}"/>
    <cellStyle name="Good 4 2" xfId="1986" xr:uid="{00000000-0005-0000-0000-0000520A0000}"/>
    <cellStyle name="Good 4 3" xfId="1987" xr:uid="{00000000-0005-0000-0000-0000530A0000}"/>
    <cellStyle name="Good 5" xfId="1988" xr:uid="{00000000-0005-0000-0000-0000540A0000}"/>
    <cellStyle name="Good 6" xfId="1989" xr:uid="{00000000-0005-0000-0000-0000550A0000}"/>
    <cellStyle name="Good 7" xfId="1990" xr:uid="{00000000-0005-0000-0000-0000560A0000}"/>
    <cellStyle name="Good 8" xfId="1991" xr:uid="{00000000-0005-0000-0000-0000570A0000}"/>
    <cellStyle name="Good 9" xfId="1992" xr:uid="{00000000-0005-0000-0000-0000580A0000}"/>
    <cellStyle name="Grey" xfId="1993" xr:uid="{00000000-0005-0000-0000-0000590A0000}"/>
    <cellStyle name="Grey 2" xfId="1994" xr:uid="{00000000-0005-0000-0000-00005A0A0000}"/>
    <cellStyle name="HEADER" xfId="1995" xr:uid="{00000000-0005-0000-0000-00005B0A0000}"/>
    <cellStyle name="HEADER 2" xfId="1996" xr:uid="{00000000-0005-0000-0000-00005C0A0000}"/>
    <cellStyle name="HEADER 3" xfId="1997" xr:uid="{00000000-0005-0000-0000-00005D0A0000}"/>
    <cellStyle name="Header1" xfId="1998" xr:uid="{00000000-0005-0000-0000-00005E0A0000}"/>
    <cellStyle name="Header1 2" xfId="9755" xr:uid="{00000000-0005-0000-0000-00005F0A0000}"/>
    <cellStyle name="Header2" xfId="1999" xr:uid="{00000000-0005-0000-0000-0000600A0000}"/>
    <cellStyle name="Heading 1 2" xfId="2000" xr:uid="{00000000-0005-0000-0000-0000610A0000}"/>
    <cellStyle name="Heading 1 3" xfId="2001" xr:uid="{00000000-0005-0000-0000-0000620A0000}"/>
    <cellStyle name="Heading 1 3 2" xfId="2002" xr:uid="{00000000-0005-0000-0000-0000630A0000}"/>
    <cellStyle name="Heading 1 3 3" xfId="2003" xr:uid="{00000000-0005-0000-0000-0000640A0000}"/>
    <cellStyle name="Heading 1 4" xfId="2004" xr:uid="{00000000-0005-0000-0000-0000650A0000}"/>
    <cellStyle name="Heading 1 5" xfId="2005" xr:uid="{00000000-0005-0000-0000-0000660A0000}"/>
    <cellStyle name="Heading 1 6" xfId="46" xr:uid="{00000000-0005-0000-0000-0000670A0000}"/>
    <cellStyle name="Heading 2 10" xfId="9726" xr:uid="{00000000-0005-0000-0000-0000680A0000}"/>
    <cellStyle name="Heading 2 11" xfId="47" xr:uid="{00000000-0005-0000-0000-0000690A0000}"/>
    <cellStyle name="Heading 2 2" xfId="2006" xr:uid="{00000000-0005-0000-0000-00006A0A0000}"/>
    <cellStyle name="Heading 2 2 2" xfId="2007" xr:uid="{00000000-0005-0000-0000-00006B0A0000}"/>
    <cellStyle name="Heading 2 2 2 2" xfId="2008" xr:uid="{00000000-0005-0000-0000-00006C0A0000}"/>
    <cellStyle name="Heading 2 2 3" xfId="2009" xr:uid="{00000000-0005-0000-0000-00006D0A0000}"/>
    <cellStyle name="Heading 2 2 3 2" xfId="2010" xr:uid="{00000000-0005-0000-0000-00006E0A0000}"/>
    <cellStyle name="Heading 2 2 4" xfId="2011" xr:uid="{00000000-0005-0000-0000-00006F0A0000}"/>
    <cellStyle name="Heading 2 2_BOT Summary" xfId="10541" xr:uid="{00000000-0005-0000-0000-0000700A0000}"/>
    <cellStyle name="Heading 2 3" xfId="2012" xr:uid="{00000000-0005-0000-0000-0000710A0000}"/>
    <cellStyle name="Heading 2 3 2" xfId="2013" xr:uid="{00000000-0005-0000-0000-0000720A0000}"/>
    <cellStyle name="Heading 2 3 3" xfId="2014" xr:uid="{00000000-0005-0000-0000-0000730A0000}"/>
    <cellStyle name="Heading 2 3_Cap Forecast" xfId="2015" xr:uid="{00000000-0005-0000-0000-0000740A0000}"/>
    <cellStyle name="Heading 2 4" xfId="2016" xr:uid="{00000000-0005-0000-0000-0000750A0000}"/>
    <cellStyle name="Heading 2 4 2" xfId="2017" xr:uid="{00000000-0005-0000-0000-0000760A0000}"/>
    <cellStyle name="Heading 2 4 3" xfId="2018" xr:uid="{00000000-0005-0000-0000-0000770A0000}"/>
    <cellStyle name="Heading 2 5" xfId="2019" xr:uid="{00000000-0005-0000-0000-0000780A0000}"/>
    <cellStyle name="Heading 2 6" xfId="2020" xr:uid="{00000000-0005-0000-0000-0000790A0000}"/>
    <cellStyle name="Heading 2 7" xfId="2021" xr:uid="{00000000-0005-0000-0000-00007A0A0000}"/>
    <cellStyle name="Heading 2 8" xfId="2022" xr:uid="{00000000-0005-0000-0000-00007B0A0000}"/>
    <cellStyle name="Heading 2 9" xfId="2023" xr:uid="{00000000-0005-0000-0000-00007C0A0000}"/>
    <cellStyle name="Heading 3 10" xfId="9727" xr:uid="{00000000-0005-0000-0000-00007D0A0000}"/>
    <cellStyle name="Heading 3 11" xfId="48" xr:uid="{00000000-0005-0000-0000-00007E0A0000}"/>
    <cellStyle name="Heading 3 2" xfId="2024" xr:uid="{00000000-0005-0000-0000-00007F0A0000}"/>
    <cellStyle name="Heading 3 2 2" xfId="2025" xr:uid="{00000000-0005-0000-0000-0000800A0000}"/>
    <cellStyle name="Heading 3 2 2 2" xfId="2026" xr:uid="{00000000-0005-0000-0000-0000810A0000}"/>
    <cellStyle name="Heading 3 2 3" xfId="2027" xr:uid="{00000000-0005-0000-0000-0000820A0000}"/>
    <cellStyle name="Heading 3 2 3 2" xfId="2028" xr:uid="{00000000-0005-0000-0000-0000830A0000}"/>
    <cellStyle name="Heading 3 2 4" xfId="2029" xr:uid="{00000000-0005-0000-0000-0000840A0000}"/>
    <cellStyle name="Heading 3 2_BOT Summary" xfId="10542" xr:uid="{00000000-0005-0000-0000-0000850A0000}"/>
    <cellStyle name="Heading 3 3" xfId="2030" xr:uid="{00000000-0005-0000-0000-0000860A0000}"/>
    <cellStyle name="Heading 3 3 2" xfId="2031" xr:uid="{00000000-0005-0000-0000-0000870A0000}"/>
    <cellStyle name="Heading 3 3 3" xfId="2032" xr:uid="{00000000-0005-0000-0000-0000880A0000}"/>
    <cellStyle name="Heading 3 3_Cap Forecast" xfId="2033" xr:uid="{00000000-0005-0000-0000-0000890A0000}"/>
    <cellStyle name="Heading 3 4" xfId="2034" xr:uid="{00000000-0005-0000-0000-00008A0A0000}"/>
    <cellStyle name="Heading 3 4 2" xfId="2035" xr:uid="{00000000-0005-0000-0000-00008B0A0000}"/>
    <cellStyle name="Heading 3 4 3" xfId="2036" xr:uid="{00000000-0005-0000-0000-00008C0A0000}"/>
    <cellStyle name="Heading 3 5" xfId="2037" xr:uid="{00000000-0005-0000-0000-00008D0A0000}"/>
    <cellStyle name="Heading 3 6" xfId="2038" xr:uid="{00000000-0005-0000-0000-00008E0A0000}"/>
    <cellStyle name="Heading 3 7" xfId="2039" xr:uid="{00000000-0005-0000-0000-00008F0A0000}"/>
    <cellStyle name="Heading 3 8" xfId="2040" xr:uid="{00000000-0005-0000-0000-0000900A0000}"/>
    <cellStyle name="Heading 3 9" xfId="2041" xr:uid="{00000000-0005-0000-0000-0000910A0000}"/>
    <cellStyle name="Heading 4 2" xfId="2042" xr:uid="{00000000-0005-0000-0000-0000920A0000}"/>
    <cellStyle name="Heading 4 3" xfId="2043" xr:uid="{00000000-0005-0000-0000-0000930A0000}"/>
    <cellStyle name="Heading 4 3 2" xfId="2044" xr:uid="{00000000-0005-0000-0000-0000940A0000}"/>
    <cellStyle name="Heading 4 3 3" xfId="2045" xr:uid="{00000000-0005-0000-0000-0000950A0000}"/>
    <cellStyle name="Heading 4 4" xfId="2046" xr:uid="{00000000-0005-0000-0000-0000960A0000}"/>
    <cellStyle name="Heading 4 5" xfId="2047" xr:uid="{00000000-0005-0000-0000-0000970A0000}"/>
    <cellStyle name="Heading 4 6" xfId="49" xr:uid="{00000000-0005-0000-0000-0000980A0000}"/>
    <cellStyle name="Heading1" xfId="2048" xr:uid="{00000000-0005-0000-0000-0000990A0000}"/>
    <cellStyle name="Heading1 2" xfId="2049" xr:uid="{00000000-0005-0000-0000-00009A0A0000}"/>
    <cellStyle name="Heading1 2 2" xfId="2050" xr:uid="{00000000-0005-0000-0000-00009B0A0000}"/>
    <cellStyle name="Heading1 2 2 2" xfId="9948" xr:uid="{00000000-0005-0000-0000-00009C0A0000}"/>
    <cellStyle name="Heading1 2 3" xfId="9835" xr:uid="{00000000-0005-0000-0000-00009D0A0000}"/>
    <cellStyle name="Heading1 3" xfId="2051" xr:uid="{00000000-0005-0000-0000-00009E0A0000}"/>
    <cellStyle name="Heading1 3 2" xfId="9949" xr:uid="{00000000-0005-0000-0000-00009F0A0000}"/>
    <cellStyle name="Heading1 4" xfId="9728" xr:uid="{00000000-0005-0000-0000-0000A00A0000}"/>
    <cellStyle name="Heading2" xfId="2052" xr:uid="{00000000-0005-0000-0000-0000A10A0000}"/>
    <cellStyle name="Heading2 2" xfId="2053" xr:uid="{00000000-0005-0000-0000-0000A20A0000}"/>
    <cellStyle name="Heading2 2 2" xfId="2054" xr:uid="{00000000-0005-0000-0000-0000A30A0000}"/>
    <cellStyle name="Heading2 2 2 2" xfId="9950" xr:uid="{00000000-0005-0000-0000-0000A40A0000}"/>
    <cellStyle name="Heading2 2 3" xfId="9836" xr:uid="{00000000-0005-0000-0000-0000A50A0000}"/>
    <cellStyle name="Heading2 3" xfId="2055" xr:uid="{00000000-0005-0000-0000-0000A60A0000}"/>
    <cellStyle name="Heading2 3 2" xfId="9951" xr:uid="{00000000-0005-0000-0000-0000A70A0000}"/>
    <cellStyle name="Heading2 4" xfId="9729" xr:uid="{00000000-0005-0000-0000-0000A80A0000}"/>
    <cellStyle name="HIGHLIGHT" xfId="2056" xr:uid="{00000000-0005-0000-0000-0000A90A0000}"/>
    <cellStyle name="HIGHLIGHT 2" xfId="2057" xr:uid="{00000000-0005-0000-0000-0000AA0A0000}"/>
    <cellStyle name="HIGHLIGHT 3" xfId="2058" xr:uid="{00000000-0005-0000-0000-0000AB0A0000}"/>
    <cellStyle name="Hyperlink 2" xfId="2059" xr:uid="{00000000-0005-0000-0000-0000AC0A0000}"/>
    <cellStyle name="Hyperlink 3" xfId="2060" xr:uid="{00000000-0005-0000-0000-0000AD0A0000}"/>
    <cellStyle name="Input [yellow]" xfId="2061" xr:uid="{00000000-0005-0000-0000-0000AE0A0000}"/>
    <cellStyle name="Input [yellow] 2" xfId="2062" xr:uid="{00000000-0005-0000-0000-0000AF0A0000}"/>
    <cellStyle name="Input 10" xfId="2063" xr:uid="{00000000-0005-0000-0000-0000B00A0000}"/>
    <cellStyle name="Input 100" xfId="11542" xr:uid="{00000000-0005-0000-0000-0000B10A0000}"/>
    <cellStyle name="Input 101" xfId="11557" xr:uid="{00000000-0005-0000-0000-0000B20A0000}"/>
    <cellStyle name="Input 102" xfId="11558" xr:uid="{00000000-0005-0000-0000-0000B30A0000}"/>
    <cellStyle name="Input 103" xfId="11573" xr:uid="{00000000-0005-0000-0000-0000B40A0000}"/>
    <cellStyle name="Input 104" xfId="11606" xr:uid="{00000000-0005-0000-0000-0000B50A0000}"/>
    <cellStyle name="Input 105" xfId="11609" xr:uid="{00000000-0005-0000-0000-0000B60A0000}"/>
    <cellStyle name="Input 106" xfId="11608" xr:uid="{00000000-0005-0000-0000-0000B70A0000}"/>
    <cellStyle name="Input 107" xfId="11611" xr:uid="{00000000-0005-0000-0000-0000B80A0000}"/>
    <cellStyle name="Input 108" xfId="11607" xr:uid="{00000000-0005-0000-0000-0000B90A0000}"/>
    <cellStyle name="Input 109" xfId="11612" xr:uid="{00000000-0005-0000-0000-0000BA0A0000}"/>
    <cellStyle name="Input 11" xfId="2064" xr:uid="{00000000-0005-0000-0000-0000BB0A0000}"/>
    <cellStyle name="Input 110" xfId="11605" xr:uid="{00000000-0005-0000-0000-0000BC0A0000}"/>
    <cellStyle name="Input 111" xfId="11613" xr:uid="{00000000-0005-0000-0000-0000BD0A0000}"/>
    <cellStyle name="Input 112" xfId="11604" xr:uid="{00000000-0005-0000-0000-0000BE0A0000}"/>
    <cellStyle name="Input 113" xfId="11614" xr:uid="{00000000-0005-0000-0000-0000BF0A0000}"/>
    <cellStyle name="Input 114" xfId="11610" xr:uid="{00000000-0005-0000-0000-0000C00A0000}"/>
    <cellStyle name="Input 115" xfId="11692" xr:uid="{00000000-0005-0000-0000-0000C10A0000}"/>
    <cellStyle name="Input 116" xfId="11691" xr:uid="{00000000-0005-0000-0000-0000C20A0000}"/>
    <cellStyle name="Input 117" xfId="11693" xr:uid="{00000000-0005-0000-0000-0000C30A0000}"/>
    <cellStyle name="Input 118" xfId="11688" xr:uid="{00000000-0005-0000-0000-0000C40A0000}"/>
    <cellStyle name="Input 119" xfId="11690" xr:uid="{00000000-0005-0000-0000-0000C50A0000}"/>
    <cellStyle name="Input 12" xfId="2065" xr:uid="{00000000-0005-0000-0000-0000C60A0000}"/>
    <cellStyle name="Input 120" xfId="11769" xr:uid="{00000000-0005-0000-0000-0000C70A0000}"/>
    <cellStyle name="Input 121" xfId="11791" xr:uid="{00000000-0005-0000-0000-0000C80A0000}"/>
    <cellStyle name="Input 122" xfId="11792" xr:uid="{00000000-0005-0000-0000-0000C90A0000}"/>
    <cellStyle name="Input 123" xfId="11790" xr:uid="{00000000-0005-0000-0000-0000CA0A0000}"/>
    <cellStyle name="Input 124" xfId="11817" xr:uid="{00000000-0005-0000-0000-0000CB0A0000}"/>
    <cellStyle name="Input 125" xfId="11816" xr:uid="{00000000-0005-0000-0000-0000CC0A0000}"/>
    <cellStyle name="Input 126" xfId="50" xr:uid="{00000000-0005-0000-0000-0000CD0A0000}"/>
    <cellStyle name="Input 127" xfId="11845" xr:uid="{00000000-0005-0000-0000-0000CE0A0000}"/>
    <cellStyle name="Input 128" xfId="11846" xr:uid="{00000000-0005-0000-0000-0000CF0A0000}"/>
    <cellStyle name="Input 13" xfId="2066" xr:uid="{00000000-0005-0000-0000-0000D00A0000}"/>
    <cellStyle name="Input 14" xfId="2067" xr:uid="{00000000-0005-0000-0000-0000D10A0000}"/>
    <cellStyle name="Input 15" xfId="2068" xr:uid="{00000000-0005-0000-0000-0000D20A0000}"/>
    <cellStyle name="Input 16" xfId="2069" xr:uid="{00000000-0005-0000-0000-0000D30A0000}"/>
    <cellStyle name="Input 17" xfId="2070" xr:uid="{00000000-0005-0000-0000-0000D40A0000}"/>
    <cellStyle name="Input 18" xfId="2071" xr:uid="{00000000-0005-0000-0000-0000D50A0000}"/>
    <cellStyle name="Input 19" xfId="2072" xr:uid="{00000000-0005-0000-0000-0000D60A0000}"/>
    <cellStyle name="Input 2" xfId="2073" xr:uid="{00000000-0005-0000-0000-0000D70A0000}"/>
    <cellStyle name="Input 2 2" xfId="2074" xr:uid="{00000000-0005-0000-0000-0000D80A0000}"/>
    <cellStyle name="Input 2 2 2" xfId="2075" xr:uid="{00000000-0005-0000-0000-0000D90A0000}"/>
    <cellStyle name="Input 2 3" xfId="2076" xr:uid="{00000000-0005-0000-0000-0000DA0A0000}"/>
    <cellStyle name="Input 2 3 2" xfId="2077" xr:uid="{00000000-0005-0000-0000-0000DB0A0000}"/>
    <cellStyle name="Input 2 4" xfId="2078" xr:uid="{00000000-0005-0000-0000-0000DC0A0000}"/>
    <cellStyle name="Input 2_BOT Summary" xfId="10543" xr:uid="{00000000-0005-0000-0000-0000DD0A0000}"/>
    <cellStyle name="Input 20" xfId="2079" xr:uid="{00000000-0005-0000-0000-0000DE0A0000}"/>
    <cellStyle name="Input 21" xfId="2080" xr:uid="{00000000-0005-0000-0000-0000DF0A0000}"/>
    <cellStyle name="Input 22" xfId="2081" xr:uid="{00000000-0005-0000-0000-0000E00A0000}"/>
    <cellStyle name="Input 23" xfId="2082" xr:uid="{00000000-0005-0000-0000-0000E10A0000}"/>
    <cellStyle name="Input 24" xfId="2083" xr:uid="{00000000-0005-0000-0000-0000E20A0000}"/>
    <cellStyle name="Input 25" xfId="2084" xr:uid="{00000000-0005-0000-0000-0000E30A0000}"/>
    <cellStyle name="Input 26" xfId="2085" xr:uid="{00000000-0005-0000-0000-0000E40A0000}"/>
    <cellStyle name="Input 27" xfId="2086" xr:uid="{00000000-0005-0000-0000-0000E50A0000}"/>
    <cellStyle name="Input 28" xfId="2087" xr:uid="{00000000-0005-0000-0000-0000E60A0000}"/>
    <cellStyle name="Input 29" xfId="2088" xr:uid="{00000000-0005-0000-0000-0000E70A0000}"/>
    <cellStyle name="Input 3" xfId="2089" xr:uid="{00000000-0005-0000-0000-0000E80A0000}"/>
    <cellStyle name="Input 3 2" xfId="2090" xr:uid="{00000000-0005-0000-0000-0000E90A0000}"/>
    <cellStyle name="Input 3 3" xfId="2091" xr:uid="{00000000-0005-0000-0000-0000EA0A0000}"/>
    <cellStyle name="Input 3 4" xfId="2092" xr:uid="{00000000-0005-0000-0000-0000EB0A0000}"/>
    <cellStyle name="Input 3_Activity Fcst Variance" xfId="2093" xr:uid="{00000000-0005-0000-0000-0000EC0A0000}"/>
    <cellStyle name="Input 30" xfId="9623" xr:uid="{00000000-0005-0000-0000-0000ED0A0000}"/>
    <cellStyle name="Input 31" xfId="9624" xr:uid="{00000000-0005-0000-0000-0000EE0A0000}"/>
    <cellStyle name="Input 32" xfId="9622" xr:uid="{00000000-0005-0000-0000-0000EF0A0000}"/>
    <cellStyle name="Input 33" xfId="9625" xr:uid="{00000000-0005-0000-0000-0000F00A0000}"/>
    <cellStyle name="Input 34" xfId="9621" xr:uid="{00000000-0005-0000-0000-0000F10A0000}"/>
    <cellStyle name="Input 35" xfId="9626" xr:uid="{00000000-0005-0000-0000-0000F20A0000}"/>
    <cellStyle name="Input 36" xfId="9620" xr:uid="{00000000-0005-0000-0000-0000F30A0000}"/>
    <cellStyle name="Input 37" xfId="9627" xr:uid="{00000000-0005-0000-0000-0000F40A0000}"/>
    <cellStyle name="Input 38" xfId="9730" xr:uid="{00000000-0005-0000-0000-0000F50A0000}"/>
    <cellStyle name="Input 39" xfId="10577" xr:uid="{00000000-0005-0000-0000-0000F60A0000}"/>
    <cellStyle name="Input 4" xfId="2094" xr:uid="{00000000-0005-0000-0000-0000F70A0000}"/>
    <cellStyle name="Input 4 2" xfId="2095" xr:uid="{00000000-0005-0000-0000-0000F80A0000}"/>
    <cellStyle name="Input 40" xfId="10578" xr:uid="{00000000-0005-0000-0000-0000F90A0000}"/>
    <cellStyle name="Input 41" xfId="10599" xr:uid="{00000000-0005-0000-0000-0000FA0A0000}"/>
    <cellStyle name="Input 42" xfId="10617" xr:uid="{00000000-0005-0000-0000-0000FB0A0000}"/>
    <cellStyle name="Input 43" xfId="10635" xr:uid="{00000000-0005-0000-0000-0000FC0A0000}"/>
    <cellStyle name="Input 44" xfId="10636" xr:uid="{00000000-0005-0000-0000-0000FD0A0000}"/>
    <cellStyle name="Input 45" xfId="10681" xr:uid="{00000000-0005-0000-0000-0000FE0A0000}"/>
    <cellStyle name="Input 46" xfId="10680" xr:uid="{00000000-0005-0000-0000-0000FF0A0000}"/>
    <cellStyle name="Input 47" xfId="10678" xr:uid="{00000000-0005-0000-0000-0000000B0000}"/>
    <cellStyle name="Input 48" xfId="10722" xr:uid="{00000000-0005-0000-0000-0000010B0000}"/>
    <cellStyle name="Input 49" xfId="10721" xr:uid="{00000000-0005-0000-0000-0000020B0000}"/>
    <cellStyle name="Input 5" xfId="2096" xr:uid="{00000000-0005-0000-0000-0000030B0000}"/>
    <cellStyle name="Input 5 2" xfId="2097" xr:uid="{00000000-0005-0000-0000-0000040B0000}"/>
    <cellStyle name="Input 50" xfId="10720" xr:uid="{00000000-0005-0000-0000-0000050B0000}"/>
    <cellStyle name="Input 51" xfId="10765" xr:uid="{00000000-0005-0000-0000-0000060B0000}"/>
    <cellStyle name="Input 52" xfId="10781" xr:uid="{00000000-0005-0000-0000-0000070B0000}"/>
    <cellStyle name="Input 53" xfId="10782" xr:uid="{00000000-0005-0000-0000-0000080B0000}"/>
    <cellStyle name="Input 54" xfId="10780" xr:uid="{00000000-0005-0000-0000-0000090B0000}"/>
    <cellStyle name="Input 55" xfId="10814" xr:uid="{00000000-0005-0000-0000-00000A0B0000}"/>
    <cellStyle name="Input 56" xfId="10813" xr:uid="{00000000-0005-0000-0000-00000B0B0000}"/>
    <cellStyle name="Input 57" xfId="10812" xr:uid="{00000000-0005-0000-0000-00000C0B0000}"/>
    <cellStyle name="Input 58" xfId="10815" xr:uid="{00000000-0005-0000-0000-00000D0B0000}"/>
    <cellStyle name="Input 59" xfId="10811" xr:uid="{00000000-0005-0000-0000-00000E0B0000}"/>
    <cellStyle name="Input 6" xfId="2098" xr:uid="{00000000-0005-0000-0000-00000F0B0000}"/>
    <cellStyle name="Input 6 2" xfId="2099" xr:uid="{00000000-0005-0000-0000-0000100B0000}"/>
    <cellStyle name="Input 60" xfId="10816" xr:uid="{00000000-0005-0000-0000-0000110B0000}"/>
    <cellStyle name="Input 61" xfId="10810" xr:uid="{00000000-0005-0000-0000-0000120B0000}"/>
    <cellStyle name="Input 62" xfId="10818" xr:uid="{00000000-0005-0000-0000-0000130B0000}"/>
    <cellStyle name="Input 63" xfId="10937" xr:uid="{00000000-0005-0000-0000-0000140B0000}"/>
    <cellStyle name="Input 64" xfId="11025" xr:uid="{00000000-0005-0000-0000-0000150B0000}"/>
    <cellStyle name="Input 65" xfId="10948" xr:uid="{00000000-0005-0000-0000-0000160B0000}"/>
    <cellStyle name="Input 66" xfId="10938" xr:uid="{00000000-0005-0000-0000-0000170B0000}"/>
    <cellStyle name="Input 67" xfId="11212" xr:uid="{00000000-0005-0000-0000-0000180B0000}"/>
    <cellStyle name="Input 68" xfId="11211" xr:uid="{00000000-0005-0000-0000-0000190B0000}"/>
    <cellStyle name="Input 69" xfId="11244" xr:uid="{00000000-0005-0000-0000-00001A0B0000}"/>
    <cellStyle name="Input 7" xfId="2100" xr:uid="{00000000-0005-0000-0000-00001B0B0000}"/>
    <cellStyle name="Input 7 2" xfId="2101" xr:uid="{00000000-0005-0000-0000-00001C0B0000}"/>
    <cellStyle name="Input 70" xfId="11275" xr:uid="{00000000-0005-0000-0000-00001D0B0000}"/>
    <cellStyle name="Input 71" xfId="11283" xr:uid="{00000000-0005-0000-0000-00001E0B0000}"/>
    <cellStyle name="Input 72" xfId="11274" xr:uid="{00000000-0005-0000-0000-00001F0B0000}"/>
    <cellStyle name="Input 73" xfId="11277" xr:uid="{00000000-0005-0000-0000-0000200B0000}"/>
    <cellStyle name="Input 74" xfId="11273" xr:uid="{00000000-0005-0000-0000-0000210B0000}"/>
    <cellStyle name="Input 75" xfId="11276" xr:uid="{00000000-0005-0000-0000-0000220B0000}"/>
    <cellStyle name="Input 76" xfId="11272" xr:uid="{00000000-0005-0000-0000-0000230B0000}"/>
    <cellStyle name="Input 77" xfId="11279" xr:uid="{00000000-0005-0000-0000-0000240B0000}"/>
    <cellStyle name="Input 78" xfId="11271" xr:uid="{00000000-0005-0000-0000-0000250B0000}"/>
    <cellStyle name="Input 79" xfId="11280" xr:uid="{00000000-0005-0000-0000-0000260B0000}"/>
    <cellStyle name="Input 8" xfId="2102" xr:uid="{00000000-0005-0000-0000-0000270B0000}"/>
    <cellStyle name="Input 8 2" xfId="2103" xr:uid="{00000000-0005-0000-0000-0000280B0000}"/>
    <cellStyle name="Input 8 3" xfId="2104" xr:uid="{00000000-0005-0000-0000-0000290B0000}"/>
    <cellStyle name="Input 8 4" xfId="2105" xr:uid="{00000000-0005-0000-0000-00002A0B0000}"/>
    <cellStyle name="Input 80" xfId="11270" xr:uid="{00000000-0005-0000-0000-00002B0B0000}"/>
    <cellStyle name="Input 81" xfId="11278" xr:uid="{00000000-0005-0000-0000-00002C0B0000}"/>
    <cellStyle name="Input 82" xfId="11269" xr:uid="{00000000-0005-0000-0000-00002D0B0000}"/>
    <cellStyle name="Input 83" xfId="11281" xr:uid="{00000000-0005-0000-0000-00002E0B0000}"/>
    <cellStyle name="Input 84" xfId="11268" xr:uid="{00000000-0005-0000-0000-00002F0B0000}"/>
    <cellStyle name="Input 85" xfId="11282" xr:uid="{00000000-0005-0000-0000-0000300B0000}"/>
    <cellStyle name="Input 86" xfId="11266" xr:uid="{00000000-0005-0000-0000-0000310B0000}"/>
    <cellStyle name="Input 87" xfId="11284" xr:uid="{00000000-0005-0000-0000-0000320B0000}"/>
    <cellStyle name="Input 88" xfId="11415" xr:uid="{00000000-0005-0000-0000-0000330B0000}"/>
    <cellStyle name="Input 89" xfId="11414" xr:uid="{00000000-0005-0000-0000-0000340B0000}"/>
    <cellStyle name="Input 9" xfId="2106" xr:uid="{00000000-0005-0000-0000-0000350B0000}"/>
    <cellStyle name="Input 90" xfId="11416" xr:uid="{00000000-0005-0000-0000-0000360B0000}"/>
    <cellStyle name="Input 91" xfId="11462" xr:uid="{00000000-0005-0000-0000-0000370B0000}"/>
    <cellStyle name="Input 92" xfId="11480" xr:uid="{00000000-0005-0000-0000-0000380B0000}"/>
    <cellStyle name="Input 93" xfId="11496" xr:uid="{00000000-0005-0000-0000-0000390B0000}"/>
    <cellStyle name="Input 94" xfId="11502" xr:uid="{00000000-0005-0000-0000-00003A0B0000}"/>
    <cellStyle name="Input 95" xfId="11495" xr:uid="{00000000-0005-0000-0000-00003B0B0000}"/>
    <cellStyle name="Input 96" xfId="11503" xr:uid="{00000000-0005-0000-0000-00003C0B0000}"/>
    <cellStyle name="Input 97" xfId="11494" xr:uid="{00000000-0005-0000-0000-00003D0B0000}"/>
    <cellStyle name="Input 98" xfId="11533" xr:uid="{00000000-0005-0000-0000-00003E0B0000}"/>
    <cellStyle name="Input 99" xfId="11541" xr:uid="{00000000-0005-0000-0000-00003F0B0000}"/>
    <cellStyle name="Linked Cell 10" xfId="9731" xr:uid="{00000000-0005-0000-0000-0000400B0000}"/>
    <cellStyle name="Linked Cell 11" xfId="51" xr:uid="{00000000-0005-0000-0000-0000410B0000}"/>
    <cellStyle name="Linked Cell 2" xfId="2107" xr:uid="{00000000-0005-0000-0000-0000420B0000}"/>
    <cellStyle name="Linked Cell 2 2" xfId="2108" xr:uid="{00000000-0005-0000-0000-0000430B0000}"/>
    <cellStyle name="Linked Cell 2 2 2" xfId="2109" xr:uid="{00000000-0005-0000-0000-0000440B0000}"/>
    <cellStyle name="Linked Cell 2 3" xfId="2110" xr:uid="{00000000-0005-0000-0000-0000450B0000}"/>
    <cellStyle name="Linked Cell 2 3 2" xfId="2111" xr:uid="{00000000-0005-0000-0000-0000460B0000}"/>
    <cellStyle name="Linked Cell 2 4" xfId="2112" xr:uid="{00000000-0005-0000-0000-0000470B0000}"/>
    <cellStyle name="Linked Cell 2_BOT Summary" xfId="10544" xr:uid="{00000000-0005-0000-0000-0000480B0000}"/>
    <cellStyle name="Linked Cell 3" xfId="2113" xr:uid="{00000000-0005-0000-0000-0000490B0000}"/>
    <cellStyle name="Linked Cell 3 2" xfId="2114" xr:uid="{00000000-0005-0000-0000-00004A0B0000}"/>
    <cellStyle name="Linked Cell 3 3" xfId="2115" xr:uid="{00000000-0005-0000-0000-00004B0B0000}"/>
    <cellStyle name="Linked Cell 3_Cap Forecast" xfId="2116" xr:uid="{00000000-0005-0000-0000-00004C0B0000}"/>
    <cellStyle name="Linked Cell 4" xfId="2117" xr:uid="{00000000-0005-0000-0000-00004D0B0000}"/>
    <cellStyle name="Linked Cell 4 2" xfId="2118" xr:uid="{00000000-0005-0000-0000-00004E0B0000}"/>
    <cellStyle name="Linked Cell 4 3" xfId="2119" xr:uid="{00000000-0005-0000-0000-00004F0B0000}"/>
    <cellStyle name="Linked Cell 5" xfId="2120" xr:uid="{00000000-0005-0000-0000-0000500B0000}"/>
    <cellStyle name="Linked Cell 6" xfId="2121" xr:uid="{00000000-0005-0000-0000-0000510B0000}"/>
    <cellStyle name="Linked Cell 7" xfId="2122" xr:uid="{00000000-0005-0000-0000-0000520B0000}"/>
    <cellStyle name="Linked Cell 8" xfId="2123" xr:uid="{00000000-0005-0000-0000-0000530B0000}"/>
    <cellStyle name="Linked Cell 9" xfId="2124" xr:uid="{00000000-0005-0000-0000-0000540B0000}"/>
    <cellStyle name="Neutral 10" xfId="9732" xr:uid="{00000000-0005-0000-0000-0000550B0000}"/>
    <cellStyle name="Neutral 11" xfId="52" xr:uid="{00000000-0005-0000-0000-0000560B0000}"/>
    <cellStyle name="Neutral 2" xfId="2125" xr:uid="{00000000-0005-0000-0000-0000570B0000}"/>
    <cellStyle name="Neutral 2 2" xfId="2126" xr:uid="{00000000-0005-0000-0000-0000580B0000}"/>
    <cellStyle name="Neutral 2 2 2" xfId="2127" xr:uid="{00000000-0005-0000-0000-0000590B0000}"/>
    <cellStyle name="Neutral 2 3" xfId="2128" xr:uid="{00000000-0005-0000-0000-00005A0B0000}"/>
    <cellStyle name="Neutral 2 3 2" xfId="2129" xr:uid="{00000000-0005-0000-0000-00005B0B0000}"/>
    <cellStyle name="Neutral 2 4" xfId="2130" xr:uid="{00000000-0005-0000-0000-00005C0B0000}"/>
    <cellStyle name="Neutral 2_BOT Summary" xfId="10545" xr:uid="{00000000-0005-0000-0000-00005D0B0000}"/>
    <cellStyle name="Neutral 3" xfId="2131" xr:uid="{00000000-0005-0000-0000-00005E0B0000}"/>
    <cellStyle name="Neutral 3 2" xfId="2132" xr:uid="{00000000-0005-0000-0000-00005F0B0000}"/>
    <cellStyle name="Neutral 3 3" xfId="2133" xr:uid="{00000000-0005-0000-0000-0000600B0000}"/>
    <cellStyle name="Neutral 3_Cap Forecast" xfId="2134" xr:uid="{00000000-0005-0000-0000-0000610B0000}"/>
    <cellStyle name="Neutral 4" xfId="2135" xr:uid="{00000000-0005-0000-0000-0000620B0000}"/>
    <cellStyle name="Neutral 4 2" xfId="2136" xr:uid="{00000000-0005-0000-0000-0000630B0000}"/>
    <cellStyle name="Neutral 4 3" xfId="2137" xr:uid="{00000000-0005-0000-0000-0000640B0000}"/>
    <cellStyle name="Neutral 5" xfId="2138" xr:uid="{00000000-0005-0000-0000-0000650B0000}"/>
    <cellStyle name="Neutral 6" xfId="2139" xr:uid="{00000000-0005-0000-0000-0000660B0000}"/>
    <cellStyle name="Neutral 7" xfId="2140" xr:uid="{00000000-0005-0000-0000-0000670B0000}"/>
    <cellStyle name="Neutral 8" xfId="2141" xr:uid="{00000000-0005-0000-0000-0000680B0000}"/>
    <cellStyle name="Neutral 9" xfId="2142" xr:uid="{00000000-0005-0000-0000-0000690B0000}"/>
    <cellStyle name="no dec" xfId="2143" xr:uid="{00000000-0005-0000-0000-00006A0B0000}"/>
    <cellStyle name="Normal" xfId="0" builtinId="0"/>
    <cellStyle name="Normal - Style1" xfId="2144" xr:uid="{00000000-0005-0000-0000-00006C0B0000}"/>
    <cellStyle name="Normal 10" xfId="2145" xr:uid="{00000000-0005-0000-0000-00006D0B0000}"/>
    <cellStyle name="Normal 10 10" xfId="2146" xr:uid="{00000000-0005-0000-0000-00006E0B0000}"/>
    <cellStyle name="Normal 10 10 2" xfId="9952" xr:uid="{00000000-0005-0000-0000-00006F0B0000}"/>
    <cellStyle name="Normal 10 11" xfId="2147" xr:uid="{00000000-0005-0000-0000-0000700B0000}"/>
    <cellStyle name="Normal 10 11 2" xfId="9953" xr:uid="{00000000-0005-0000-0000-0000710B0000}"/>
    <cellStyle name="Normal 10 12" xfId="2148" xr:uid="{00000000-0005-0000-0000-0000720B0000}"/>
    <cellStyle name="Normal 10 12 2" xfId="9954" xr:uid="{00000000-0005-0000-0000-0000730B0000}"/>
    <cellStyle name="Normal 10 13" xfId="2149" xr:uid="{00000000-0005-0000-0000-0000740B0000}"/>
    <cellStyle name="Normal 10 13 2" xfId="2150" xr:uid="{00000000-0005-0000-0000-0000750B0000}"/>
    <cellStyle name="Normal 10 13 2 2" xfId="2151" xr:uid="{00000000-0005-0000-0000-0000760B0000}"/>
    <cellStyle name="Normal 10 13 3" xfId="2152" xr:uid="{00000000-0005-0000-0000-0000770B0000}"/>
    <cellStyle name="Normal 10 14" xfId="2153" xr:uid="{00000000-0005-0000-0000-0000780B0000}"/>
    <cellStyle name="Normal 10 14 2" xfId="2154" xr:uid="{00000000-0005-0000-0000-0000790B0000}"/>
    <cellStyle name="Normal 10 15" xfId="2155" xr:uid="{00000000-0005-0000-0000-00007A0B0000}"/>
    <cellStyle name="Normal 10 15 2" xfId="2156" xr:uid="{00000000-0005-0000-0000-00007B0B0000}"/>
    <cellStyle name="Normal 10 16" xfId="2157" xr:uid="{00000000-0005-0000-0000-00007C0B0000}"/>
    <cellStyle name="Normal 10 2" xfId="2158" xr:uid="{00000000-0005-0000-0000-00007D0B0000}"/>
    <cellStyle name="Normal 10 2 10" xfId="2159" xr:uid="{00000000-0005-0000-0000-00007E0B0000}"/>
    <cellStyle name="Normal 10 2 2" xfId="2160" xr:uid="{00000000-0005-0000-0000-00007F0B0000}"/>
    <cellStyle name="Normal 10 2 2 2" xfId="2161" xr:uid="{00000000-0005-0000-0000-0000800B0000}"/>
    <cellStyle name="Normal 10 2 2 2 2" xfId="2162" xr:uid="{00000000-0005-0000-0000-0000810B0000}"/>
    <cellStyle name="Normal 10 2 2 2 2 2" xfId="2163" xr:uid="{00000000-0005-0000-0000-0000820B0000}"/>
    <cellStyle name="Normal 10 2 2 2 2 2 2" xfId="2164" xr:uid="{00000000-0005-0000-0000-0000830B0000}"/>
    <cellStyle name="Normal 10 2 2 2 2 3" xfId="2165" xr:uid="{00000000-0005-0000-0000-0000840B0000}"/>
    <cellStyle name="Normal 10 2 2 2 3" xfId="2166" xr:uid="{00000000-0005-0000-0000-0000850B0000}"/>
    <cellStyle name="Normal 10 2 2 2 3 2" xfId="2167" xr:uid="{00000000-0005-0000-0000-0000860B0000}"/>
    <cellStyle name="Normal 10 2 2 2 4" xfId="2168" xr:uid="{00000000-0005-0000-0000-0000870B0000}"/>
    <cellStyle name="Normal 10 2 2 3" xfId="2169" xr:uid="{00000000-0005-0000-0000-0000880B0000}"/>
    <cellStyle name="Normal 10 2 2 3 2" xfId="2170" xr:uid="{00000000-0005-0000-0000-0000890B0000}"/>
    <cellStyle name="Normal 10 2 2 3 2 2" xfId="2171" xr:uid="{00000000-0005-0000-0000-00008A0B0000}"/>
    <cellStyle name="Normal 10 2 2 3 3" xfId="2172" xr:uid="{00000000-0005-0000-0000-00008B0B0000}"/>
    <cellStyle name="Normal 10 2 2 4" xfId="2173" xr:uid="{00000000-0005-0000-0000-00008C0B0000}"/>
    <cellStyle name="Normal 10 2 2 4 2" xfId="2174" xr:uid="{00000000-0005-0000-0000-00008D0B0000}"/>
    <cellStyle name="Normal 10 2 2 4 2 2" xfId="2175" xr:uid="{00000000-0005-0000-0000-00008E0B0000}"/>
    <cellStyle name="Normal 10 2 2 4 3" xfId="2176" xr:uid="{00000000-0005-0000-0000-00008F0B0000}"/>
    <cellStyle name="Normal 10 2 2 5" xfId="2177" xr:uid="{00000000-0005-0000-0000-0000900B0000}"/>
    <cellStyle name="Normal 10 2 2 5 2" xfId="2178" xr:uid="{00000000-0005-0000-0000-0000910B0000}"/>
    <cellStyle name="Normal 10 2 2 6" xfId="2179" xr:uid="{00000000-0005-0000-0000-0000920B0000}"/>
    <cellStyle name="Normal 10 2 3" xfId="2180" xr:uid="{00000000-0005-0000-0000-0000930B0000}"/>
    <cellStyle name="Normal 10 2 3 2" xfId="2181" xr:uid="{00000000-0005-0000-0000-0000940B0000}"/>
    <cellStyle name="Normal 10 2 3 2 2" xfId="2182" xr:uid="{00000000-0005-0000-0000-0000950B0000}"/>
    <cellStyle name="Normal 10 2 3 2 2 2" xfId="2183" xr:uid="{00000000-0005-0000-0000-0000960B0000}"/>
    <cellStyle name="Normal 10 2 3 2 2 2 2" xfId="2184" xr:uid="{00000000-0005-0000-0000-0000970B0000}"/>
    <cellStyle name="Normal 10 2 3 2 2 3" xfId="2185" xr:uid="{00000000-0005-0000-0000-0000980B0000}"/>
    <cellStyle name="Normal 10 2 3 2 3" xfId="2186" xr:uid="{00000000-0005-0000-0000-0000990B0000}"/>
    <cellStyle name="Normal 10 2 3 2 3 2" xfId="2187" xr:uid="{00000000-0005-0000-0000-00009A0B0000}"/>
    <cellStyle name="Normal 10 2 3 2 4" xfId="2188" xr:uid="{00000000-0005-0000-0000-00009B0B0000}"/>
    <cellStyle name="Normal 10 2 3 3" xfId="2189" xr:uid="{00000000-0005-0000-0000-00009C0B0000}"/>
    <cellStyle name="Normal 10 2 3 3 2" xfId="2190" xr:uid="{00000000-0005-0000-0000-00009D0B0000}"/>
    <cellStyle name="Normal 10 2 3 3 2 2" xfId="2191" xr:uid="{00000000-0005-0000-0000-00009E0B0000}"/>
    <cellStyle name="Normal 10 2 3 3 3" xfId="2192" xr:uid="{00000000-0005-0000-0000-00009F0B0000}"/>
    <cellStyle name="Normal 10 2 3 4" xfId="2193" xr:uid="{00000000-0005-0000-0000-0000A00B0000}"/>
    <cellStyle name="Normal 10 2 3 4 2" xfId="2194" xr:uid="{00000000-0005-0000-0000-0000A10B0000}"/>
    <cellStyle name="Normal 10 2 3 4 2 2" xfId="2195" xr:uid="{00000000-0005-0000-0000-0000A20B0000}"/>
    <cellStyle name="Normal 10 2 3 4 3" xfId="2196" xr:uid="{00000000-0005-0000-0000-0000A30B0000}"/>
    <cellStyle name="Normal 10 2 3 5" xfId="2197" xr:uid="{00000000-0005-0000-0000-0000A40B0000}"/>
    <cellStyle name="Normal 10 2 3 5 2" xfId="2198" xr:uid="{00000000-0005-0000-0000-0000A50B0000}"/>
    <cellStyle name="Normal 10 2 3 6" xfId="2199" xr:uid="{00000000-0005-0000-0000-0000A60B0000}"/>
    <cellStyle name="Normal 10 2 4" xfId="2200" xr:uid="{00000000-0005-0000-0000-0000A70B0000}"/>
    <cellStyle name="Normal 10 2 4 2" xfId="2201" xr:uid="{00000000-0005-0000-0000-0000A80B0000}"/>
    <cellStyle name="Normal 10 2 4 2 2" xfId="2202" xr:uid="{00000000-0005-0000-0000-0000A90B0000}"/>
    <cellStyle name="Normal 10 2 4 2 2 2" xfId="2203" xr:uid="{00000000-0005-0000-0000-0000AA0B0000}"/>
    <cellStyle name="Normal 10 2 4 2 2 2 2" xfId="2204" xr:uid="{00000000-0005-0000-0000-0000AB0B0000}"/>
    <cellStyle name="Normal 10 2 4 2 2 3" xfId="2205" xr:uid="{00000000-0005-0000-0000-0000AC0B0000}"/>
    <cellStyle name="Normal 10 2 4 2 3" xfId="2206" xr:uid="{00000000-0005-0000-0000-0000AD0B0000}"/>
    <cellStyle name="Normal 10 2 4 2 3 2" xfId="2207" xr:uid="{00000000-0005-0000-0000-0000AE0B0000}"/>
    <cellStyle name="Normal 10 2 4 2 4" xfId="2208" xr:uid="{00000000-0005-0000-0000-0000AF0B0000}"/>
    <cellStyle name="Normal 10 2 4 3" xfId="2209" xr:uid="{00000000-0005-0000-0000-0000B00B0000}"/>
    <cellStyle name="Normal 10 2 4 3 2" xfId="2210" xr:uid="{00000000-0005-0000-0000-0000B10B0000}"/>
    <cellStyle name="Normal 10 2 4 3 2 2" xfId="2211" xr:uid="{00000000-0005-0000-0000-0000B20B0000}"/>
    <cellStyle name="Normal 10 2 4 3 3" xfId="2212" xr:uid="{00000000-0005-0000-0000-0000B30B0000}"/>
    <cellStyle name="Normal 10 2 4 4" xfId="2213" xr:uid="{00000000-0005-0000-0000-0000B40B0000}"/>
    <cellStyle name="Normal 10 2 4 4 2" xfId="2214" xr:uid="{00000000-0005-0000-0000-0000B50B0000}"/>
    <cellStyle name="Normal 10 2 4 4 2 2" xfId="2215" xr:uid="{00000000-0005-0000-0000-0000B60B0000}"/>
    <cellStyle name="Normal 10 2 4 4 3" xfId="2216" xr:uid="{00000000-0005-0000-0000-0000B70B0000}"/>
    <cellStyle name="Normal 10 2 4 5" xfId="2217" xr:uid="{00000000-0005-0000-0000-0000B80B0000}"/>
    <cellStyle name="Normal 10 2 4 5 2" xfId="2218" xr:uid="{00000000-0005-0000-0000-0000B90B0000}"/>
    <cellStyle name="Normal 10 2 4 6" xfId="2219" xr:uid="{00000000-0005-0000-0000-0000BA0B0000}"/>
    <cellStyle name="Normal 10 2 5" xfId="2220" xr:uid="{00000000-0005-0000-0000-0000BB0B0000}"/>
    <cellStyle name="Normal 10 2 5 2" xfId="2221" xr:uid="{00000000-0005-0000-0000-0000BC0B0000}"/>
    <cellStyle name="Normal 10 2 5 3" xfId="2222" xr:uid="{00000000-0005-0000-0000-0000BD0B0000}"/>
    <cellStyle name="Normal 10 2 5 3 2" xfId="2223" xr:uid="{00000000-0005-0000-0000-0000BE0B0000}"/>
    <cellStyle name="Normal 10 2 5 4" xfId="2224" xr:uid="{00000000-0005-0000-0000-0000BF0B0000}"/>
    <cellStyle name="Normal 10 2 6" xfId="2225" xr:uid="{00000000-0005-0000-0000-0000C00B0000}"/>
    <cellStyle name="Normal 10 2 6 2" xfId="2226" xr:uid="{00000000-0005-0000-0000-0000C10B0000}"/>
    <cellStyle name="Normal 10 2 6 2 2" xfId="2227" xr:uid="{00000000-0005-0000-0000-0000C20B0000}"/>
    <cellStyle name="Normal 10 2 6 3" xfId="2228" xr:uid="{00000000-0005-0000-0000-0000C30B0000}"/>
    <cellStyle name="Normal 10 2 7" xfId="2229" xr:uid="{00000000-0005-0000-0000-0000C40B0000}"/>
    <cellStyle name="Normal 10 2 7 2" xfId="2230" xr:uid="{00000000-0005-0000-0000-0000C50B0000}"/>
    <cellStyle name="Normal 10 2 7 2 2" xfId="2231" xr:uid="{00000000-0005-0000-0000-0000C60B0000}"/>
    <cellStyle name="Normal 10 2 7 3" xfId="2232" xr:uid="{00000000-0005-0000-0000-0000C70B0000}"/>
    <cellStyle name="Normal 10 2 8" xfId="2233" xr:uid="{00000000-0005-0000-0000-0000C80B0000}"/>
    <cellStyle name="Normal 10 2 8 2" xfId="2234" xr:uid="{00000000-0005-0000-0000-0000C90B0000}"/>
    <cellStyle name="Normal 10 2 9" xfId="2235" xr:uid="{00000000-0005-0000-0000-0000CA0B0000}"/>
    <cellStyle name="Normal 10 2_Cap Forecast" xfId="2236" xr:uid="{00000000-0005-0000-0000-0000CB0B0000}"/>
    <cellStyle name="Normal 10 3" xfId="2237" xr:uid="{00000000-0005-0000-0000-0000CC0B0000}"/>
    <cellStyle name="Normal 10 3 2" xfId="2238" xr:uid="{00000000-0005-0000-0000-0000CD0B0000}"/>
    <cellStyle name="Normal 10 3 2 2" xfId="2239" xr:uid="{00000000-0005-0000-0000-0000CE0B0000}"/>
    <cellStyle name="Normal 10 3 2 2 2" xfId="2240" xr:uid="{00000000-0005-0000-0000-0000CF0B0000}"/>
    <cellStyle name="Normal 10 3 2 2 2 2" xfId="2241" xr:uid="{00000000-0005-0000-0000-0000D00B0000}"/>
    <cellStyle name="Normal 10 3 2 2 2 2 2" xfId="2242" xr:uid="{00000000-0005-0000-0000-0000D10B0000}"/>
    <cellStyle name="Normal 10 3 2 2 2 3" xfId="2243" xr:uid="{00000000-0005-0000-0000-0000D20B0000}"/>
    <cellStyle name="Normal 10 3 2 2 3" xfId="2244" xr:uid="{00000000-0005-0000-0000-0000D30B0000}"/>
    <cellStyle name="Normal 10 3 2 2 3 2" xfId="2245" xr:uid="{00000000-0005-0000-0000-0000D40B0000}"/>
    <cellStyle name="Normal 10 3 2 2 4" xfId="2246" xr:uid="{00000000-0005-0000-0000-0000D50B0000}"/>
    <cellStyle name="Normal 10 3 2 3" xfId="2247" xr:uid="{00000000-0005-0000-0000-0000D60B0000}"/>
    <cellStyle name="Normal 10 3 2 3 2" xfId="2248" xr:uid="{00000000-0005-0000-0000-0000D70B0000}"/>
    <cellStyle name="Normal 10 3 2 3 2 2" xfId="2249" xr:uid="{00000000-0005-0000-0000-0000D80B0000}"/>
    <cellStyle name="Normal 10 3 2 3 3" xfId="2250" xr:uid="{00000000-0005-0000-0000-0000D90B0000}"/>
    <cellStyle name="Normal 10 3 2 4" xfId="2251" xr:uid="{00000000-0005-0000-0000-0000DA0B0000}"/>
    <cellStyle name="Normal 10 3 2 4 2" xfId="2252" xr:uid="{00000000-0005-0000-0000-0000DB0B0000}"/>
    <cellStyle name="Normal 10 3 2 4 2 2" xfId="2253" xr:uid="{00000000-0005-0000-0000-0000DC0B0000}"/>
    <cellStyle name="Normal 10 3 2 4 3" xfId="2254" xr:uid="{00000000-0005-0000-0000-0000DD0B0000}"/>
    <cellStyle name="Normal 10 3 2 5" xfId="2255" xr:uid="{00000000-0005-0000-0000-0000DE0B0000}"/>
    <cellStyle name="Normal 10 3 2 5 2" xfId="2256" xr:uid="{00000000-0005-0000-0000-0000DF0B0000}"/>
    <cellStyle name="Normal 10 3 2 6" xfId="2257" xr:uid="{00000000-0005-0000-0000-0000E00B0000}"/>
    <cellStyle name="Normal 10 3 3" xfId="2258" xr:uid="{00000000-0005-0000-0000-0000E10B0000}"/>
    <cellStyle name="Normal 10 3 3 2" xfId="2259" xr:uid="{00000000-0005-0000-0000-0000E20B0000}"/>
    <cellStyle name="Normal 10 3 3 2 2" xfId="2260" xr:uid="{00000000-0005-0000-0000-0000E30B0000}"/>
    <cellStyle name="Normal 10 3 3 2 2 2" xfId="2261" xr:uid="{00000000-0005-0000-0000-0000E40B0000}"/>
    <cellStyle name="Normal 10 3 3 2 2 2 2" xfId="2262" xr:uid="{00000000-0005-0000-0000-0000E50B0000}"/>
    <cellStyle name="Normal 10 3 3 2 2 3" xfId="2263" xr:uid="{00000000-0005-0000-0000-0000E60B0000}"/>
    <cellStyle name="Normal 10 3 3 2 3" xfId="2264" xr:uid="{00000000-0005-0000-0000-0000E70B0000}"/>
    <cellStyle name="Normal 10 3 3 2 3 2" xfId="2265" xr:uid="{00000000-0005-0000-0000-0000E80B0000}"/>
    <cellStyle name="Normal 10 3 3 2 4" xfId="2266" xr:uid="{00000000-0005-0000-0000-0000E90B0000}"/>
    <cellStyle name="Normal 10 3 3 3" xfId="2267" xr:uid="{00000000-0005-0000-0000-0000EA0B0000}"/>
    <cellStyle name="Normal 10 3 3 3 2" xfId="2268" xr:uid="{00000000-0005-0000-0000-0000EB0B0000}"/>
    <cellStyle name="Normal 10 3 3 3 2 2" xfId="2269" xr:uid="{00000000-0005-0000-0000-0000EC0B0000}"/>
    <cellStyle name="Normal 10 3 3 3 3" xfId="2270" xr:uid="{00000000-0005-0000-0000-0000ED0B0000}"/>
    <cellStyle name="Normal 10 3 3 4" xfId="2271" xr:uid="{00000000-0005-0000-0000-0000EE0B0000}"/>
    <cellStyle name="Normal 10 3 3 4 2" xfId="2272" xr:uid="{00000000-0005-0000-0000-0000EF0B0000}"/>
    <cellStyle name="Normal 10 3 3 4 2 2" xfId="2273" xr:uid="{00000000-0005-0000-0000-0000F00B0000}"/>
    <cellStyle name="Normal 10 3 3 4 3" xfId="2274" xr:uid="{00000000-0005-0000-0000-0000F10B0000}"/>
    <cellStyle name="Normal 10 3 3 5" xfId="2275" xr:uid="{00000000-0005-0000-0000-0000F20B0000}"/>
    <cellStyle name="Normal 10 3 3 5 2" xfId="2276" xr:uid="{00000000-0005-0000-0000-0000F30B0000}"/>
    <cellStyle name="Normal 10 3 3 6" xfId="2277" xr:uid="{00000000-0005-0000-0000-0000F40B0000}"/>
    <cellStyle name="Normal 10 3 4" xfId="2278" xr:uid="{00000000-0005-0000-0000-0000F50B0000}"/>
    <cellStyle name="Normal 10 3 4 2" xfId="2279" xr:uid="{00000000-0005-0000-0000-0000F60B0000}"/>
    <cellStyle name="Normal 10 3 4 2 2" xfId="2280" xr:uid="{00000000-0005-0000-0000-0000F70B0000}"/>
    <cellStyle name="Normal 10 3 4 2 2 2" xfId="2281" xr:uid="{00000000-0005-0000-0000-0000F80B0000}"/>
    <cellStyle name="Normal 10 3 4 2 3" xfId="2282" xr:uid="{00000000-0005-0000-0000-0000F90B0000}"/>
    <cellStyle name="Normal 10 3 4 3" xfId="2283" xr:uid="{00000000-0005-0000-0000-0000FA0B0000}"/>
    <cellStyle name="Normal 10 3 4 3 2" xfId="2284" xr:uid="{00000000-0005-0000-0000-0000FB0B0000}"/>
    <cellStyle name="Normal 10 3 4 4" xfId="2285" xr:uid="{00000000-0005-0000-0000-0000FC0B0000}"/>
    <cellStyle name="Normal 10 3 5" xfId="2286" xr:uid="{00000000-0005-0000-0000-0000FD0B0000}"/>
    <cellStyle name="Normal 10 3 5 2" xfId="2287" xr:uid="{00000000-0005-0000-0000-0000FE0B0000}"/>
    <cellStyle name="Normal 10 3 5 3" xfId="2288" xr:uid="{00000000-0005-0000-0000-0000FF0B0000}"/>
    <cellStyle name="Normal 10 3 5 3 2" xfId="2289" xr:uid="{00000000-0005-0000-0000-0000000C0000}"/>
    <cellStyle name="Normal 10 3 5 4" xfId="2290" xr:uid="{00000000-0005-0000-0000-0000010C0000}"/>
    <cellStyle name="Normal 10 3 6" xfId="2291" xr:uid="{00000000-0005-0000-0000-0000020C0000}"/>
    <cellStyle name="Normal 10 3 6 2" xfId="2292" xr:uid="{00000000-0005-0000-0000-0000030C0000}"/>
    <cellStyle name="Normal 10 3 6 2 2" xfId="2293" xr:uid="{00000000-0005-0000-0000-0000040C0000}"/>
    <cellStyle name="Normal 10 3 6 3" xfId="2294" xr:uid="{00000000-0005-0000-0000-0000050C0000}"/>
    <cellStyle name="Normal 10 3 7" xfId="2295" xr:uid="{00000000-0005-0000-0000-0000060C0000}"/>
    <cellStyle name="Normal 10 3 7 2" xfId="2296" xr:uid="{00000000-0005-0000-0000-0000070C0000}"/>
    <cellStyle name="Normal 10 3 8" xfId="2297" xr:uid="{00000000-0005-0000-0000-0000080C0000}"/>
    <cellStyle name="Normal 10 4" xfId="2298" xr:uid="{00000000-0005-0000-0000-0000090C0000}"/>
    <cellStyle name="Normal 10 4 2" xfId="2299" xr:uid="{00000000-0005-0000-0000-00000A0C0000}"/>
    <cellStyle name="Normal 10 4 2 2" xfId="2300" xr:uid="{00000000-0005-0000-0000-00000B0C0000}"/>
    <cellStyle name="Normal 10 4 2 2 2" xfId="2301" xr:uid="{00000000-0005-0000-0000-00000C0C0000}"/>
    <cellStyle name="Normal 10 4 2 2 2 2" xfId="2302" xr:uid="{00000000-0005-0000-0000-00000D0C0000}"/>
    <cellStyle name="Normal 10 4 2 2 3" xfId="2303" xr:uid="{00000000-0005-0000-0000-00000E0C0000}"/>
    <cellStyle name="Normal 10 4 2 3" xfId="2304" xr:uid="{00000000-0005-0000-0000-00000F0C0000}"/>
    <cellStyle name="Normal 10 4 2 3 2" xfId="2305" xr:uid="{00000000-0005-0000-0000-0000100C0000}"/>
    <cellStyle name="Normal 10 4 2 4" xfId="2306" xr:uid="{00000000-0005-0000-0000-0000110C0000}"/>
    <cellStyle name="Normal 10 4 3" xfId="2307" xr:uid="{00000000-0005-0000-0000-0000120C0000}"/>
    <cellStyle name="Normal 10 4 3 2" xfId="2308" xr:uid="{00000000-0005-0000-0000-0000130C0000}"/>
    <cellStyle name="Normal 10 4 3 2 2" xfId="9955" xr:uid="{00000000-0005-0000-0000-0000140C0000}"/>
    <cellStyle name="Normal 10 4 3 3" xfId="2309" xr:uid="{00000000-0005-0000-0000-0000150C0000}"/>
    <cellStyle name="Normal 10 4 3 3 2" xfId="2310" xr:uid="{00000000-0005-0000-0000-0000160C0000}"/>
    <cellStyle name="Normal 10 4 3 4" xfId="2311" xr:uid="{00000000-0005-0000-0000-0000170C0000}"/>
    <cellStyle name="Normal 10 4 4" xfId="2312" xr:uid="{00000000-0005-0000-0000-0000180C0000}"/>
    <cellStyle name="Normal 10 4 4 2" xfId="2313" xr:uid="{00000000-0005-0000-0000-0000190C0000}"/>
    <cellStyle name="Normal 10 4 4 2 2" xfId="2314" xr:uid="{00000000-0005-0000-0000-00001A0C0000}"/>
    <cellStyle name="Normal 10 4 4 3" xfId="2315" xr:uid="{00000000-0005-0000-0000-00001B0C0000}"/>
    <cellStyle name="Normal 10 4 5" xfId="2316" xr:uid="{00000000-0005-0000-0000-00001C0C0000}"/>
    <cellStyle name="Normal 10 4 5 2" xfId="2317" xr:uid="{00000000-0005-0000-0000-00001D0C0000}"/>
    <cellStyle name="Normal 10 4 6" xfId="2318" xr:uid="{00000000-0005-0000-0000-00001E0C0000}"/>
    <cellStyle name="Normal 10 5" xfId="2319" xr:uid="{00000000-0005-0000-0000-00001F0C0000}"/>
    <cellStyle name="Normal 10 5 2" xfId="2320" xr:uid="{00000000-0005-0000-0000-0000200C0000}"/>
    <cellStyle name="Normal 10 5 2 2" xfId="2321" xr:uid="{00000000-0005-0000-0000-0000210C0000}"/>
    <cellStyle name="Normal 10 5 2 2 2" xfId="2322" xr:uid="{00000000-0005-0000-0000-0000220C0000}"/>
    <cellStyle name="Normal 10 5 2 2 2 2" xfId="2323" xr:uid="{00000000-0005-0000-0000-0000230C0000}"/>
    <cellStyle name="Normal 10 5 2 2 3" xfId="2324" xr:uid="{00000000-0005-0000-0000-0000240C0000}"/>
    <cellStyle name="Normal 10 5 2 3" xfId="2325" xr:uid="{00000000-0005-0000-0000-0000250C0000}"/>
    <cellStyle name="Normal 10 5 2 3 2" xfId="2326" xr:uid="{00000000-0005-0000-0000-0000260C0000}"/>
    <cellStyle name="Normal 10 5 2 4" xfId="2327" xr:uid="{00000000-0005-0000-0000-0000270C0000}"/>
    <cellStyle name="Normal 10 5 3" xfId="2328" xr:uid="{00000000-0005-0000-0000-0000280C0000}"/>
    <cellStyle name="Normal 10 5 3 2" xfId="2329" xr:uid="{00000000-0005-0000-0000-0000290C0000}"/>
    <cellStyle name="Normal 10 5 3 2 2" xfId="2330" xr:uid="{00000000-0005-0000-0000-00002A0C0000}"/>
    <cellStyle name="Normal 10 5 3 3" xfId="2331" xr:uid="{00000000-0005-0000-0000-00002B0C0000}"/>
    <cellStyle name="Normal 10 5 4" xfId="2332" xr:uid="{00000000-0005-0000-0000-00002C0C0000}"/>
    <cellStyle name="Normal 10 5 4 2" xfId="2333" xr:uid="{00000000-0005-0000-0000-00002D0C0000}"/>
    <cellStyle name="Normal 10 5 4 2 2" xfId="2334" xr:uid="{00000000-0005-0000-0000-00002E0C0000}"/>
    <cellStyle name="Normal 10 5 4 3" xfId="2335" xr:uid="{00000000-0005-0000-0000-00002F0C0000}"/>
    <cellStyle name="Normal 10 5 5" xfId="2336" xr:uid="{00000000-0005-0000-0000-0000300C0000}"/>
    <cellStyle name="Normal 10 5 5 2" xfId="2337" xr:uid="{00000000-0005-0000-0000-0000310C0000}"/>
    <cellStyle name="Normal 10 5 6" xfId="2338" xr:uid="{00000000-0005-0000-0000-0000320C0000}"/>
    <cellStyle name="Normal 10 6" xfId="2339" xr:uid="{00000000-0005-0000-0000-0000330C0000}"/>
    <cellStyle name="Normal 10 6 2" xfId="2340" xr:uid="{00000000-0005-0000-0000-0000340C0000}"/>
    <cellStyle name="Normal 10 6 2 2" xfId="2341" xr:uid="{00000000-0005-0000-0000-0000350C0000}"/>
    <cellStyle name="Normal 10 6 2 2 2" xfId="2342" xr:uid="{00000000-0005-0000-0000-0000360C0000}"/>
    <cellStyle name="Normal 10 6 2 2 2 2" xfId="2343" xr:uid="{00000000-0005-0000-0000-0000370C0000}"/>
    <cellStyle name="Normal 10 6 2 2 3" xfId="2344" xr:uid="{00000000-0005-0000-0000-0000380C0000}"/>
    <cellStyle name="Normal 10 6 2 3" xfId="2345" xr:uid="{00000000-0005-0000-0000-0000390C0000}"/>
    <cellStyle name="Normal 10 6 2 3 2" xfId="2346" xr:uid="{00000000-0005-0000-0000-00003A0C0000}"/>
    <cellStyle name="Normal 10 6 2 4" xfId="2347" xr:uid="{00000000-0005-0000-0000-00003B0C0000}"/>
    <cellStyle name="Normal 10 6 3" xfId="2348" xr:uid="{00000000-0005-0000-0000-00003C0C0000}"/>
    <cellStyle name="Normal 10 6 3 2" xfId="2349" xr:uid="{00000000-0005-0000-0000-00003D0C0000}"/>
    <cellStyle name="Normal 10 6 3 2 2" xfId="9956" xr:uid="{00000000-0005-0000-0000-00003E0C0000}"/>
    <cellStyle name="Normal 10 6 3 3" xfId="2350" xr:uid="{00000000-0005-0000-0000-00003F0C0000}"/>
    <cellStyle name="Normal 10 6 3 3 2" xfId="2351" xr:uid="{00000000-0005-0000-0000-0000400C0000}"/>
    <cellStyle name="Normal 10 6 3 4" xfId="2352" xr:uid="{00000000-0005-0000-0000-0000410C0000}"/>
    <cellStyle name="Normal 10 6 4" xfId="2353" xr:uid="{00000000-0005-0000-0000-0000420C0000}"/>
    <cellStyle name="Normal 10 6 4 2" xfId="2354" xr:uid="{00000000-0005-0000-0000-0000430C0000}"/>
    <cellStyle name="Normal 10 6 4 2 2" xfId="2355" xr:uid="{00000000-0005-0000-0000-0000440C0000}"/>
    <cellStyle name="Normal 10 6 4 3" xfId="2356" xr:uid="{00000000-0005-0000-0000-0000450C0000}"/>
    <cellStyle name="Normal 10 6 5" xfId="2357" xr:uid="{00000000-0005-0000-0000-0000460C0000}"/>
    <cellStyle name="Normal 10 6 5 2" xfId="2358" xr:uid="{00000000-0005-0000-0000-0000470C0000}"/>
    <cellStyle name="Normal 10 6 6" xfId="2359" xr:uid="{00000000-0005-0000-0000-0000480C0000}"/>
    <cellStyle name="Normal 10 7" xfId="2360" xr:uid="{00000000-0005-0000-0000-0000490C0000}"/>
    <cellStyle name="Normal 10 7 2" xfId="2361" xr:uid="{00000000-0005-0000-0000-00004A0C0000}"/>
    <cellStyle name="Normal 10 7 2 2" xfId="9957" xr:uid="{00000000-0005-0000-0000-00004B0C0000}"/>
    <cellStyle name="Normal 10 7 3" xfId="2362" xr:uid="{00000000-0005-0000-0000-00004C0C0000}"/>
    <cellStyle name="Normal 10 7 3 2" xfId="2363" xr:uid="{00000000-0005-0000-0000-00004D0C0000}"/>
    <cellStyle name="Normal 10 7 4" xfId="2364" xr:uid="{00000000-0005-0000-0000-00004E0C0000}"/>
    <cellStyle name="Normal 10 8" xfId="2365" xr:uid="{00000000-0005-0000-0000-00004F0C0000}"/>
    <cellStyle name="Normal 10 8 2" xfId="2366" xr:uid="{00000000-0005-0000-0000-0000500C0000}"/>
    <cellStyle name="Normal 10 8 2 2" xfId="9958" xr:uid="{00000000-0005-0000-0000-0000510C0000}"/>
    <cellStyle name="Normal 10 8 3" xfId="2367" xr:uid="{00000000-0005-0000-0000-0000520C0000}"/>
    <cellStyle name="Normal 10 8 3 2" xfId="2368" xr:uid="{00000000-0005-0000-0000-0000530C0000}"/>
    <cellStyle name="Normal 10 8 4" xfId="2369" xr:uid="{00000000-0005-0000-0000-0000540C0000}"/>
    <cellStyle name="Normal 10 9" xfId="2370" xr:uid="{00000000-0005-0000-0000-0000550C0000}"/>
    <cellStyle name="Normal 10 9 2" xfId="9959" xr:uid="{00000000-0005-0000-0000-0000560C0000}"/>
    <cellStyle name="Normal 10_Activity Fcst Variance" xfId="2371" xr:uid="{00000000-0005-0000-0000-0000570C0000}"/>
    <cellStyle name="Normal 100" xfId="2372" xr:uid="{00000000-0005-0000-0000-0000580C0000}"/>
    <cellStyle name="Normal 100 2" xfId="9846" xr:uid="{00000000-0005-0000-0000-0000590C0000}"/>
    <cellStyle name="Normal 101" xfId="2373" xr:uid="{00000000-0005-0000-0000-00005A0C0000}"/>
    <cellStyle name="Normal 101 2" xfId="9960" xr:uid="{00000000-0005-0000-0000-00005B0C0000}"/>
    <cellStyle name="Normal 102" xfId="2374" xr:uid="{00000000-0005-0000-0000-00005C0C0000}"/>
    <cellStyle name="Normal 102 2" xfId="9961" xr:uid="{00000000-0005-0000-0000-00005D0C0000}"/>
    <cellStyle name="Normal 103" xfId="2375" xr:uid="{00000000-0005-0000-0000-00005E0C0000}"/>
    <cellStyle name="Normal 103 2" xfId="9962" xr:uid="{00000000-0005-0000-0000-00005F0C0000}"/>
    <cellStyle name="Normal 104" xfId="2376" xr:uid="{00000000-0005-0000-0000-0000600C0000}"/>
    <cellStyle name="Normal 104 2" xfId="9963" xr:uid="{00000000-0005-0000-0000-0000610C0000}"/>
    <cellStyle name="Normal 105" xfId="2377" xr:uid="{00000000-0005-0000-0000-0000620C0000}"/>
    <cellStyle name="Normal 105 2" xfId="9964" xr:uid="{00000000-0005-0000-0000-0000630C0000}"/>
    <cellStyle name="Normal 106" xfId="2378" xr:uid="{00000000-0005-0000-0000-0000640C0000}"/>
    <cellStyle name="Normal 106 2" xfId="9965" xr:uid="{00000000-0005-0000-0000-0000650C0000}"/>
    <cellStyle name="Normal 107" xfId="2379" xr:uid="{00000000-0005-0000-0000-0000660C0000}"/>
    <cellStyle name="Normal 107 2" xfId="9966" xr:uid="{00000000-0005-0000-0000-0000670C0000}"/>
    <cellStyle name="Normal 108" xfId="2380" xr:uid="{00000000-0005-0000-0000-0000680C0000}"/>
    <cellStyle name="Normal 108 2" xfId="9967" xr:uid="{00000000-0005-0000-0000-0000690C0000}"/>
    <cellStyle name="Normal 109" xfId="2381" xr:uid="{00000000-0005-0000-0000-00006A0C0000}"/>
    <cellStyle name="Normal 109 2" xfId="9968" xr:uid="{00000000-0005-0000-0000-00006B0C0000}"/>
    <cellStyle name="Normal 11" xfId="2382" xr:uid="{00000000-0005-0000-0000-00006C0C0000}"/>
    <cellStyle name="Normal 11 10" xfId="2383" xr:uid="{00000000-0005-0000-0000-00006D0C0000}"/>
    <cellStyle name="Normal 11 11" xfId="2384" xr:uid="{00000000-0005-0000-0000-00006E0C0000}"/>
    <cellStyle name="Normal 11 2" xfId="2385" xr:uid="{00000000-0005-0000-0000-00006F0C0000}"/>
    <cellStyle name="Normal 11 2 2" xfId="2386" xr:uid="{00000000-0005-0000-0000-0000700C0000}"/>
    <cellStyle name="Normal 11 2 2 2" xfId="9969" xr:uid="{00000000-0005-0000-0000-0000710C0000}"/>
    <cellStyle name="Normal 11 2 3" xfId="2387" xr:uid="{00000000-0005-0000-0000-0000720C0000}"/>
    <cellStyle name="Normal 11 3" xfId="2388" xr:uid="{00000000-0005-0000-0000-0000730C0000}"/>
    <cellStyle name="Normal 11 3 2" xfId="2389" xr:uid="{00000000-0005-0000-0000-0000740C0000}"/>
    <cellStyle name="Normal 11 3 2 2" xfId="2390" xr:uid="{00000000-0005-0000-0000-0000750C0000}"/>
    <cellStyle name="Normal 11 3 2 2 2" xfId="2391" xr:uid="{00000000-0005-0000-0000-0000760C0000}"/>
    <cellStyle name="Normal 11 3 2 2 2 2" xfId="2392" xr:uid="{00000000-0005-0000-0000-0000770C0000}"/>
    <cellStyle name="Normal 11 3 2 2 3" xfId="2393" xr:uid="{00000000-0005-0000-0000-0000780C0000}"/>
    <cellStyle name="Normal 11 3 2 3" xfId="2394" xr:uid="{00000000-0005-0000-0000-0000790C0000}"/>
    <cellStyle name="Normal 11 3 2 3 2" xfId="2395" xr:uid="{00000000-0005-0000-0000-00007A0C0000}"/>
    <cellStyle name="Normal 11 3 2 4" xfId="2396" xr:uid="{00000000-0005-0000-0000-00007B0C0000}"/>
    <cellStyle name="Normal 11 3 3" xfId="2397" xr:uid="{00000000-0005-0000-0000-00007C0C0000}"/>
    <cellStyle name="Normal 11 3 3 2" xfId="2398" xr:uid="{00000000-0005-0000-0000-00007D0C0000}"/>
    <cellStyle name="Normal 11 3 3 3" xfId="2399" xr:uid="{00000000-0005-0000-0000-00007E0C0000}"/>
    <cellStyle name="Normal 11 3 3 3 2" xfId="2400" xr:uid="{00000000-0005-0000-0000-00007F0C0000}"/>
    <cellStyle name="Normal 11 3 3 4" xfId="2401" xr:uid="{00000000-0005-0000-0000-0000800C0000}"/>
    <cellStyle name="Normal 11 3 4" xfId="2402" xr:uid="{00000000-0005-0000-0000-0000810C0000}"/>
    <cellStyle name="Normal 11 3 5" xfId="2403" xr:uid="{00000000-0005-0000-0000-0000820C0000}"/>
    <cellStyle name="Normal 11 3 5 2" xfId="2404" xr:uid="{00000000-0005-0000-0000-0000830C0000}"/>
    <cellStyle name="Normal 11 3 5 2 2" xfId="2405" xr:uid="{00000000-0005-0000-0000-0000840C0000}"/>
    <cellStyle name="Normal 11 3 5 3" xfId="2406" xr:uid="{00000000-0005-0000-0000-0000850C0000}"/>
    <cellStyle name="Normal 11 3 6" xfId="2407" xr:uid="{00000000-0005-0000-0000-0000860C0000}"/>
    <cellStyle name="Normal 11 3 6 2" xfId="2408" xr:uid="{00000000-0005-0000-0000-0000870C0000}"/>
    <cellStyle name="Normal 11 3 7" xfId="2409" xr:uid="{00000000-0005-0000-0000-0000880C0000}"/>
    <cellStyle name="Normal 11 3_Activity Fcst Variance" xfId="2410" xr:uid="{00000000-0005-0000-0000-0000890C0000}"/>
    <cellStyle name="Normal 11 4" xfId="2411" xr:uid="{00000000-0005-0000-0000-00008A0C0000}"/>
    <cellStyle name="Normal 11 4 2" xfId="2412" xr:uid="{00000000-0005-0000-0000-00008B0C0000}"/>
    <cellStyle name="Normal 11 4 2 2" xfId="2413" xr:uid="{00000000-0005-0000-0000-00008C0C0000}"/>
    <cellStyle name="Normal 11 4 2 2 2" xfId="2414" xr:uid="{00000000-0005-0000-0000-00008D0C0000}"/>
    <cellStyle name="Normal 11 4 2 2 2 2" xfId="2415" xr:uid="{00000000-0005-0000-0000-00008E0C0000}"/>
    <cellStyle name="Normal 11 4 2 2 3" xfId="2416" xr:uid="{00000000-0005-0000-0000-00008F0C0000}"/>
    <cellStyle name="Normal 11 4 2 3" xfId="2417" xr:uid="{00000000-0005-0000-0000-0000900C0000}"/>
    <cellStyle name="Normal 11 4 2 3 2" xfId="2418" xr:uid="{00000000-0005-0000-0000-0000910C0000}"/>
    <cellStyle name="Normal 11 4 2 4" xfId="2419" xr:uid="{00000000-0005-0000-0000-0000920C0000}"/>
    <cellStyle name="Normal 11 4 3" xfId="2420" xr:uid="{00000000-0005-0000-0000-0000930C0000}"/>
    <cellStyle name="Normal 11 4 3 2" xfId="2421" xr:uid="{00000000-0005-0000-0000-0000940C0000}"/>
    <cellStyle name="Normal 11 4 3 2 2" xfId="9970" xr:uid="{00000000-0005-0000-0000-0000950C0000}"/>
    <cellStyle name="Normal 11 4 3 3" xfId="2422" xr:uid="{00000000-0005-0000-0000-0000960C0000}"/>
    <cellStyle name="Normal 11 4 3 3 2" xfId="2423" xr:uid="{00000000-0005-0000-0000-0000970C0000}"/>
    <cellStyle name="Normal 11 4 3 4" xfId="2424" xr:uid="{00000000-0005-0000-0000-0000980C0000}"/>
    <cellStyle name="Normal 11 4 4" xfId="2425" xr:uid="{00000000-0005-0000-0000-0000990C0000}"/>
    <cellStyle name="Normal 11 4 4 2" xfId="2426" xr:uid="{00000000-0005-0000-0000-00009A0C0000}"/>
    <cellStyle name="Normal 11 4 4 2 2" xfId="2427" xr:uid="{00000000-0005-0000-0000-00009B0C0000}"/>
    <cellStyle name="Normal 11 4 4 3" xfId="2428" xr:uid="{00000000-0005-0000-0000-00009C0C0000}"/>
    <cellStyle name="Normal 11 4 5" xfId="2429" xr:uid="{00000000-0005-0000-0000-00009D0C0000}"/>
    <cellStyle name="Normal 11 4 5 2" xfId="2430" xr:uid="{00000000-0005-0000-0000-00009E0C0000}"/>
    <cellStyle name="Normal 11 4 6" xfId="2431" xr:uid="{00000000-0005-0000-0000-00009F0C0000}"/>
    <cellStyle name="Normal 11 5" xfId="2432" xr:uid="{00000000-0005-0000-0000-0000A00C0000}"/>
    <cellStyle name="Normal 11 5 2" xfId="2433" xr:uid="{00000000-0005-0000-0000-0000A10C0000}"/>
    <cellStyle name="Normal 11 5 2 2" xfId="2434" xr:uid="{00000000-0005-0000-0000-0000A20C0000}"/>
    <cellStyle name="Normal 11 5 2 2 2" xfId="2435" xr:uid="{00000000-0005-0000-0000-0000A30C0000}"/>
    <cellStyle name="Normal 11 5 2 2 2 2" xfId="2436" xr:uid="{00000000-0005-0000-0000-0000A40C0000}"/>
    <cellStyle name="Normal 11 5 2 2 3" xfId="2437" xr:uid="{00000000-0005-0000-0000-0000A50C0000}"/>
    <cellStyle name="Normal 11 5 2 3" xfId="2438" xr:uid="{00000000-0005-0000-0000-0000A60C0000}"/>
    <cellStyle name="Normal 11 5 2 3 2" xfId="2439" xr:uid="{00000000-0005-0000-0000-0000A70C0000}"/>
    <cellStyle name="Normal 11 5 2 4" xfId="2440" xr:uid="{00000000-0005-0000-0000-0000A80C0000}"/>
    <cellStyle name="Normal 11 5 3" xfId="2441" xr:uid="{00000000-0005-0000-0000-0000A90C0000}"/>
    <cellStyle name="Normal 11 5 3 2" xfId="2442" xr:uid="{00000000-0005-0000-0000-0000AA0C0000}"/>
    <cellStyle name="Normal 11 5 3 2 2" xfId="9971" xr:uid="{00000000-0005-0000-0000-0000AB0C0000}"/>
    <cellStyle name="Normal 11 5 3 3" xfId="2443" xr:uid="{00000000-0005-0000-0000-0000AC0C0000}"/>
    <cellStyle name="Normal 11 5 3 3 2" xfId="2444" xr:uid="{00000000-0005-0000-0000-0000AD0C0000}"/>
    <cellStyle name="Normal 11 5 3 4" xfId="2445" xr:uid="{00000000-0005-0000-0000-0000AE0C0000}"/>
    <cellStyle name="Normal 11 5 4" xfId="2446" xr:uid="{00000000-0005-0000-0000-0000AF0C0000}"/>
    <cellStyle name="Normal 11 5 4 2" xfId="2447" xr:uid="{00000000-0005-0000-0000-0000B00C0000}"/>
    <cellStyle name="Normal 11 5 4 2 2" xfId="2448" xr:uid="{00000000-0005-0000-0000-0000B10C0000}"/>
    <cellStyle name="Normal 11 5 4 3" xfId="2449" xr:uid="{00000000-0005-0000-0000-0000B20C0000}"/>
    <cellStyle name="Normal 11 5 5" xfId="2450" xr:uid="{00000000-0005-0000-0000-0000B30C0000}"/>
    <cellStyle name="Normal 11 5 5 2" xfId="2451" xr:uid="{00000000-0005-0000-0000-0000B40C0000}"/>
    <cellStyle name="Normal 11 5 6" xfId="2452" xr:uid="{00000000-0005-0000-0000-0000B50C0000}"/>
    <cellStyle name="Normal 11 6" xfId="2453" xr:uid="{00000000-0005-0000-0000-0000B60C0000}"/>
    <cellStyle name="Normal 11 6 2" xfId="2454" xr:uid="{00000000-0005-0000-0000-0000B70C0000}"/>
    <cellStyle name="Normal 11 6 2 2" xfId="2455" xr:uid="{00000000-0005-0000-0000-0000B80C0000}"/>
    <cellStyle name="Normal 11 6 3" xfId="2456" xr:uid="{00000000-0005-0000-0000-0000B90C0000}"/>
    <cellStyle name="Normal 11 7" xfId="2457" xr:uid="{00000000-0005-0000-0000-0000BA0C0000}"/>
    <cellStyle name="Normal 11 7 2" xfId="2458" xr:uid="{00000000-0005-0000-0000-0000BB0C0000}"/>
    <cellStyle name="Normal 11 7 2 2" xfId="2459" xr:uid="{00000000-0005-0000-0000-0000BC0C0000}"/>
    <cellStyle name="Normal 11 7 3" xfId="2460" xr:uid="{00000000-0005-0000-0000-0000BD0C0000}"/>
    <cellStyle name="Normal 11 8" xfId="2461" xr:uid="{00000000-0005-0000-0000-0000BE0C0000}"/>
    <cellStyle name="Normal 11 8 2" xfId="2462" xr:uid="{00000000-0005-0000-0000-0000BF0C0000}"/>
    <cellStyle name="Normal 11 8 2 2" xfId="2463" xr:uid="{00000000-0005-0000-0000-0000C00C0000}"/>
    <cellStyle name="Normal 11 8 3" xfId="2464" xr:uid="{00000000-0005-0000-0000-0000C10C0000}"/>
    <cellStyle name="Normal 11 9" xfId="2465" xr:uid="{00000000-0005-0000-0000-0000C20C0000}"/>
    <cellStyle name="Normal 11 9 2" xfId="2466" xr:uid="{00000000-0005-0000-0000-0000C30C0000}"/>
    <cellStyle name="Normal 11_Activity Fcst Variance" xfId="2467" xr:uid="{00000000-0005-0000-0000-0000C40C0000}"/>
    <cellStyle name="Normal 110" xfId="2468" xr:uid="{00000000-0005-0000-0000-0000C50C0000}"/>
    <cellStyle name="Normal 110 2" xfId="9972" xr:uid="{00000000-0005-0000-0000-0000C60C0000}"/>
    <cellStyle name="Normal 111" xfId="2469" xr:uid="{00000000-0005-0000-0000-0000C70C0000}"/>
    <cellStyle name="Normal 111 2" xfId="9973" xr:uid="{00000000-0005-0000-0000-0000C80C0000}"/>
    <cellStyle name="Normal 112" xfId="2470" xr:uid="{00000000-0005-0000-0000-0000C90C0000}"/>
    <cellStyle name="Normal 112 2" xfId="9974" xr:uid="{00000000-0005-0000-0000-0000CA0C0000}"/>
    <cellStyle name="Normal 113" xfId="2471" xr:uid="{00000000-0005-0000-0000-0000CB0C0000}"/>
    <cellStyle name="Normal 113 2" xfId="9975" xr:uid="{00000000-0005-0000-0000-0000CC0C0000}"/>
    <cellStyle name="Normal 114" xfId="2472" xr:uid="{00000000-0005-0000-0000-0000CD0C0000}"/>
    <cellStyle name="Normal 114 2" xfId="9976" xr:uid="{00000000-0005-0000-0000-0000CE0C0000}"/>
    <cellStyle name="Normal 115" xfId="2473" xr:uid="{00000000-0005-0000-0000-0000CF0C0000}"/>
    <cellStyle name="Normal 115 2" xfId="9977" xr:uid="{00000000-0005-0000-0000-0000D00C0000}"/>
    <cellStyle name="Normal 116" xfId="2474" xr:uid="{00000000-0005-0000-0000-0000D10C0000}"/>
    <cellStyle name="Normal 116 2" xfId="9978" xr:uid="{00000000-0005-0000-0000-0000D20C0000}"/>
    <cellStyle name="Normal 117" xfId="2475" xr:uid="{00000000-0005-0000-0000-0000D30C0000}"/>
    <cellStyle name="Normal 117 2" xfId="9979" xr:uid="{00000000-0005-0000-0000-0000D40C0000}"/>
    <cellStyle name="Normal 118" xfId="2476" xr:uid="{00000000-0005-0000-0000-0000D50C0000}"/>
    <cellStyle name="Normal 118 2" xfId="9980" xr:uid="{00000000-0005-0000-0000-0000D60C0000}"/>
    <cellStyle name="Normal 119" xfId="2477" xr:uid="{00000000-0005-0000-0000-0000D70C0000}"/>
    <cellStyle name="Normal 119 2" xfId="9981" xr:uid="{00000000-0005-0000-0000-0000D80C0000}"/>
    <cellStyle name="Normal 12" xfId="2478" xr:uid="{00000000-0005-0000-0000-0000D90C0000}"/>
    <cellStyle name="Normal 12 10" xfId="2479" xr:uid="{00000000-0005-0000-0000-0000DA0C0000}"/>
    <cellStyle name="Normal 12 10 2" xfId="2480" xr:uid="{00000000-0005-0000-0000-0000DB0C0000}"/>
    <cellStyle name="Normal 12 11" xfId="2481" xr:uid="{00000000-0005-0000-0000-0000DC0C0000}"/>
    <cellStyle name="Normal 12 12" xfId="2482" xr:uid="{00000000-0005-0000-0000-0000DD0C0000}"/>
    <cellStyle name="Normal 12 2" xfId="2483" xr:uid="{00000000-0005-0000-0000-0000DE0C0000}"/>
    <cellStyle name="Normal 12 3" xfId="2484" xr:uid="{00000000-0005-0000-0000-0000DF0C0000}"/>
    <cellStyle name="Normal 12 3 2" xfId="2485" xr:uid="{00000000-0005-0000-0000-0000E00C0000}"/>
    <cellStyle name="Normal 12 3 2 2" xfId="9983" xr:uid="{00000000-0005-0000-0000-0000E10C0000}"/>
    <cellStyle name="Normal 12 3 3" xfId="2486" xr:uid="{00000000-0005-0000-0000-0000E20C0000}"/>
    <cellStyle name="Normal 12 3 4" xfId="9982" xr:uid="{00000000-0005-0000-0000-0000E30C0000}"/>
    <cellStyle name="Normal 12 4" xfId="2487" xr:uid="{00000000-0005-0000-0000-0000E40C0000}"/>
    <cellStyle name="Normal 12 4 2" xfId="2488" xr:uid="{00000000-0005-0000-0000-0000E50C0000}"/>
    <cellStyle name="Normal 12 4 2 2" xfId="2489" xr:uid="{00000000-0005-0000-0000-0000E60C0000}"/>
    <cellStyle name="Normal 12 4 2 2 2" xfId="2490" xr:uid="{00000000-0005-0000-0000-0000E70C0000}"/>
    <cellStyle name="Normal 12 4 2 2 2 2" xfId="2491" xr:uid="{00000000-0005-0000-0000-0000E80C0000}"/>
    <cellStyle name="Normal 12 4 2 2 3" xfId="2492" xr:uid="{00000000-0005-0000-0000-0000E90C0000}"/>
    <cellStyle name="Normal 12 4 2 3" xfId="2493" xr:uid="{00000000-0005-0000-0000-0000EA0C0000}"/>
    <cellStyle name="Normal 12 4 2 3 2" xfId="2494" xr:uid="{00000000-0005-0000-0000-0000EB0C0000}"/>
    <cellStyle name="Normal 12 4 2 4" xfId="2495" xr:uid="{00000000-0005-0000-0000-0000EC0C0000}"/>
    <cellStyle name="Normal 12 4 3" xfId="2496" xr:uid="{00000000-0005-0000-0000-0000ED0C0000}"/>
    <cellStyle name="Normal 12 4 3 2" xfId="2497" xr:uid="{00000000-0005-0000-0000-0000EE0C0000}"/>
    <cellStyle name="Normal 12 4 3 2 2" xfId="9984" xr:uid="{00000000-0005-0000-0000-0000EF0C0000}"/>
    <cellStyle name="Normal 12 4 3 3" xfId="2498" xr:uid="{00000000-0005-0000-0000-0000F00C0000}"/>
    <cellStyle name="Normal 12 4 3 3 2" xfId="2499" xr:uid="{00000000-0005-0000-0000-0000F10C0000}"/>
    <cellStyle name="Normal 12 4 3 4" xfId="2500" xr:uid="{00000000-0005-0000-0000-0000F20C0000}"/>
    <cellStyle name="Normal 12 4 4" xfId="2501" xr:uid="{00000000-0005-0000-0000-0000F30C0000}"/>
    <cellStyle name="Normal 12 4 4 2" xfId="2502" xr:uid="{00000000-0005-0000-0000-0000F40C0000}"/>
    <cellStyle name="Normal 12 4 4 2 2" xfId="2503" xr:uid="{00000000-0005-0000-0000-0000F50C0000}"/>
    <cellStyle name="Normal 12 4 4 3" xfId="2504" xr:uid="{00000000-0005-0000-0000-0000F60C0000}"/>
    <cellStyle name="Normal 12 4 5" xfId="2505" xr:uid="{00000000-0005-0000-0000-0000F70C0000}"/>
    <cellStyle name="Normal 12 4 5 2" xfId="2506" xr:uid="{00000000-0005-0000-0000-0000F80C0000}"/>
    <cellStyle name="Normal 12 4 6" xfId="2507" xr:uid="{00000000-0005-0000-0000-0000F90C0000}"/>
    <cellStyle name="Normal 12 5" xfId="2508" xr:uid="{00000000-0005-0000-0000-0000FA0C0000}"/>
    <cellStyle name="Normal 12 5 2" xfId="2509" xr:uid="{00000000-0005-0000-0000-0000FB0C0000}"/>
    <cellStyle name="Normal 12 5 2 2" xfId="2510" xr:uid="{00000000-0005-0000-0000-0000FC0C0000}"/>
    <cellStyle name="Normal 12 5 2 2 2" xfId="2511" xr:uid="{00000000-0005-0000-0000-0000FD0C0000}"/>
    <cellStyle name="Normal 12 5 2 2 2 2" xfId="2512" xr:uid="{00000000-0005-0000-0000-0000FE0C0000}"/>
    <cellStyle name="Normal 12 5 2 2 3" xfId="2513" xr:uid="{00000000-0005-0000-0000-0000FF0C0000}"/>
    <cellStyle name="Normal 12 5 2 3" xfId="2514" xr:uid="{00000000-0005-0000-0000-0000000D0000}"/>
    <cellStyle name="Normal 12 5 2 3 2" xfId="2515" xr:uid="{00000000-0005-0000-0000-0000010D0000}"/>
    <cellStyle name="Normal 12 5 2 4" xfId="2516" xr:uid="{00000000-0005-0000-0000-0000020D0000}"/>
    <cellStyle name="Normal 12 5 3" xfId="2517" xr:uid="{00000000-0005-0000-0000-0000030D0000}"/>
    <cellStyle name="Normal 12 5 3 2" xfId="2518" xr:uid="{00000000-0005-0000-0000-0000040D0000}"/>
    <cellStyle name="Normal 12 5 3 2 2" xfId="9985" xr:uid="{00000000-0005-0000-0000-0000050D0000}"/>
    <cellStyle name="Normal 12 5 3 3" xfId="2519" xr:uid="{00000000-0005-0000-0000-0000060D0000}"/>
    <cellStyle name="Normal 12 5 3 3 2" xfId="2520" xr:uid="{00000000-0005-0000-0000-0000070D0000}"/>
    <cellStyle name="Normal 12 5 3 4" xfId="2521" xr:uid="{00000000-0005-0000-0000-0000080D0000}"/>
    <cellStyle name="Normal 12 5 4" xfId="2522" xr:uid="{00000000-0005-0000-0000-0000090D0000}"/>
    <cellStyle name="Normal 12 5 4 2" xfId="2523" xr:uid="{00000000-0005-0000-0000-00000A0D0000}"/>
    <cellStyle name="Normal 12 5 4 2 2" xfId="2524" xr:uid="{00000000-0005-0000-0000-00000B0D0000}"/>
    <cellStyle name="Normal 12 5 4 3" xfId="2525" xr:uid="{00000000-0005-0000-0000-00000C0D0000}"/>
    <cellStyle name="Normal 12 5 5" xfId="2526" xr:uid="{00000000-0005-0000-0000-00000D0D0000}"/>
    <cellStyle name="Normal 12 5 5 2" xfId="2527" xr:uid="{00000000-0005-0000-0000-00000E0D0000}"/>
    <cellStyle name="Normal 12 5 6" xfId="2528" xr:uid="{00000000-0005-0000-0000-00000F0D0000}"/>
    <cellStyle name="Normal 12 6" xfId="2529" xr:uid="{00000000-0005-0000-0000-0000100D0000}"/>
    <cellStyle name="Normal 12 6 2" xfId="2530" xr:uid="{00000000-0005-0000-0000-0000110D0000}"/>
    <cellStyle name="Normal 12 6 2 2" xfId="2531" xr:uid="{00000000-0005-0000-0000-0000120D0000}"/>
    <cellStyle name="Normal 12 6 2 2 2" xfId="2532" xr:uid="{00000000-0005-0000-0000-0000130D0000}"/>
    <cellStyle name="Normal 12 6 2 2 2 2" xfId="2533" xr:uid="{00000000-0005-0000-0000-0000140D0000}"/>
    <cellStyle name="Normal 12 6 2 2 3" xfId="2534" xr:uid="{00000000-0005-0000-0000-0000150D0000}"/>
    <cellStyle name="Normal 12 6 2 3" xfId="2535" xr:uid="{00000000-0005-0000-0000-0000160D0000}"/>
    <cellStyle name="Normal 12 6 2 3 2" xfId="2536" xr:uid="{00000000-0005-0000-0000-0000170D0000}"/>
    <cellStyle name="Normal 12 6 2 4" xfId="2537" xr:uid="{00000000-0005-0000-0000-0000180D0000}"/>
    <cellStyle name="Normal 12 6 3" xfId="2538" xr:uid="{00000000-0005-0000-0000-0000190D0000}"/>
    <cellStyle name="Normal 12 6 3 2" xfId="2539" xr:uid="{00000000-0005-0000-0000-00001A0D0000}"/>
    <cellStyle name="Normal 12 6 3 2 2" xfId="2540" xr:uid="{00000000-0005-0000-0000-00001B0D0000}"/>
    <cellStyle name="Normal 12 6 3 3" xfId="2541" xr:uid="{00000000-0005-0000-0000-00001C0D0000}"/>
    <cellStyle name="Normal 12 6 4" xfId="2542" xr:uid="{00000000-0005-0000-0000-00001D0D0000}"/>
    <cellStyle name="Normal 12 6 4 2" xfId="2543" xr:uid="{00000000-0005-0000-0000-00001E0D0000}"/>
    <cellStyle name="Normal 12 6 4 2 2" xfId="2544" xr:uid="{00000000-0005-0000-0000-00001F0D0000}"/>
    <cellStyle name="Normal 12 6 4 3" xfId="2545" xr:uid="{00000000-0005-0000-0000-0000200D0000}"/>
    <cellStyle name="Normal 12 6 5" xfId="2546" xr:uid="{00000000-0005-0000-0000-0000210D0000}"/>
    <cellStyle name="Normal 12 6 5 2" xfId="2547" xr:uid="{00000000-0005-0000-0000-0000220D0000}"/>
    <cellStyle name="Normal 12 6 6" xfId="2548" xr:uid="{00000000-0005-0000-0000-0000230D0000}"/>
    <cellStyle name="Normal 12 7" xfId="2549" xr:uid="{00000000-0005-0000-0000-0000240D0000}"/>
    <cellStyle name="Normal 12 7 2" xfId="2550" xr:uid="{00000000-0005-0000-0000-0000250D0000}"/>
    <cellStyle name="Normal 12 7 2 2" xfId="2551" xr:uid="{00000000-0005-0000-0000-0000260D0000}"/>
    <cellStyle name="Normal 12 7 2 2 2" xfId="2552" xr:uid="{00000000-0005-0000-0000-0000270D0000}"/>
    <cellStyle name="Normal 12 7 2 3" xfId="2553" xr:uid="{00000000-0005-0000-0000-0000280D0000}"/>
    <cellStyle name="Normal 12 7 3" xfId="2554" xr:uid="{00000000-0005-0000-0000-0000290D0000}"/>
    <cellStyle name="Normal 12 7 3 2" xfId="2555" xr:uid="{00000000-0005-0000-0000-00002A0D0000}"/>
    <cellStyle name="Normal 12 7 4" xfId="2556" xr:uid="{00000000-0005-0000-0000-00002B0D0000}"/>
    <cellStyle name="Normal 12 8" xfId="2557" xr:uid="{00000000-0005-0000-0000-00002C0D0000}"/>
    <cellStyle name="Normal 12 8 2" xfId="2558" xr:uid="{00000000-0005-0000-0000-00002D0D0000}"/>
    <cellStyle name="Normal 12 8 2 2" xfId="2559" xr:uid="{00000000-0005-0000-0000-00002E0D0000}"/>
    <cellStyle name="Normal 12 8 3" xfId="2560" xr:uid="{00000000-0005-0000-0000-00002F0D0000}"/>
    <cellStyle name="Normal 12 9" xfId="2561" xr:uid="{00000000-0005-0000-0000-0000300D0000}"/>
    <cellStyle name="Normal 12 9 2" xfId="2562" xr:uid="{00000000-0005-0000-0000-0000310D0000}"/>
    <cellStyle name="Normal 12 9 2 2" xfId="2563" xr:uid="{00000000-0005-0000-0000-0000320D0000}"/>
    <cellStyle name="Normal 12 9 3" xfId="2564" xr:uid="{00000000-0005-0000-0000-0000330D0000}"/>
    <cellStyle name="Normal 12_Activity Fcst Variance" xfId="2565" xr:uid="{00000000-0005-0000-0000-0000340D0000}"/>
    <cellStyle name="Normal 120" xfId="2566" xr:uid="{00000000-0005-0000-0000-0000350D0000}"/>
    <cellStyle name="Normal 120 2" xfId="9986" xr:uid="{00000000-0005-0000-0000-0000360D0000}"/>
    <cellStyle name="Normal 121" xfId="2567" xr:uid="{00000000-0005-0000-0000-0000370D0000}"/>
    <cellStyle name="Normal 121 2" xfId="9987" xr:uid="{00000000-0005-0000-0000-0000380D0000}"/>
    <cellStyle name="Normal 122" xfId="2568" xr:uid="{00000000-0005-0000-0000-0000390D0000}"/>
    <cellStyle name="Normal 122 2" xfId="9988" xr:uid="{00000000-0005-0000-0000-00003A0D0000}"/>
    <cellStyle name="Normal 123" xfId="2569" xr:uid="{00000000-0005-0000-0000-00003B0D0000}"/>
    <cellStyle name="Normal 123 2" xfId="9989" xr:uid="{00000000-0005-0000-0000-00003C0D0000}"/>
    <cellStyle name="Normal 124" xfId="2570" xr:uid="{00000000-0005-0000-0000-00003D0D0000}"/>
    <cellStyle name="Normal 124 2" xfId="9990" xr:uid="{00000000-0005-0000-0000-00003E0D0000}"/>
    <cellStyle name="Normal 125" xfId="2571" xr:uid="{00000000-0005-0000-0000-00003F0D0000}"/>
    <cellStyle name="Normal 125 2" xfId="9991" xr:uid="{00000000-0005-0000-0000-0000400D0000}"/>
    <cellStyle name="Normal 126" xfId="2572" xr:uid="{00000000-0005-0000-0000-0000410D0000}"/>
    <cellStyle name="Normal 126 2" xfId="9992" xr:uid="{00000000-0005-0000-0000-0000420D0000}"/>
    <cellStyle name="Normal 127" xfId="2573" xr:uid="{00000000-0005-0000-0000-0000430D0000}"/>
    <cellStyle name="Normal 127 2" xfId="9993" xr:uid="{00000000-0005-0000-0000-0000440D0000}"/>
    <cellStyle name="Normal 128" xfId="2574" xr:uid="{00000000-0005-0000-0000-0000450D0000}"/>
    <cellStyle name="Normal 128 2" xfId="9994" xr:uid="{00000000-0005-0000-0000-0000460D0000}"/>
    <cellStyle name="Normal 129" xfId="2575" xr:uid="{00000000-0005-0000-0000-0000470D0000}"/>
    <cellStyle name="Normal 129 2" xfId="9995" xr:uid="{00000000-0005-0000-0000-0000480D0000}"/>
    <cellStyle name="Normal 13" xfId="2576" xr:uid="{00000000-0005-0000-0000-0000490D0000}"/>
    <cellStyle name="Normal 13 10" xfId="2577" xr:uid="{00000000-0005-0000-0000-00004A0D0000}"/>
    <cellStyle name="Normal 13 10 2" xfId="2578" xr:uid="{00000000-0005-0000-0000-00004B0D0000}"/>
    <cellStyle name="Normal 13 11" xfId="2579" xr:uid="{00000000-0005-0000-0000-00004C0D0000}"/>
    <cellStyle name="Normal 13 12" xfId="2580" xr:uid="{00000000-0005-0000-0000-00004D0D0000}"/>
    <cellStyle name="Normal 13 2" xfId="2581" xr:uid="{00000000-0005-0000-0000-00004E0D0000}"/>
    <cellStyle name="Normal 13 3" xfId="2582" xr:uid="{00000000-0005-0000-0000-00004F0D0000}"/>
    <cellStyle name="Normal 13 3 2" xfId="2583" xr:uid="{00000000-0005-0000-0000-0000500D0000}"/>
    <cellStyle name="Normal 13 3 2 2" xfId="9997" xr:uid="{00000000-0005-0000-0000-0000510D0000}"/>
    <cellStyle name="Normal 13 3 3" xfId="2584" xr:uid="{00000000-0005-0000-0000-0000520D0000}"/>
    <cellStyle name="Normal 13 3 4" xfId="9996" xr:uid="{00000000-0005-0000-0000-0000530D0000}"/>
    <cellStyle name="Normal 13 4" xfId="2585" xr:uid="{00000000-0005-0000-0000-0000540D0000}"/>
    <cellStyle name="Normal 13 4 2" xfId="2586" xr:uid="{00000000-0005-0000-0000-0000550D0000}"/>
    <cellStyle name="Normal 13 4 2 2" xfId="2587" xr:uid="{00000000-0005-0000-0000-0000560D0000}"/>
    <cellStyle name="Normal 13 4 2 2 2" xfId="2588" xr:uid="{00000000-0005-0000-0000-0000570D0000}"/>
    <cellStyle name="Normal 13 4 2 2 2 2" xfId="2589" xr:uid="{00000000-0005-0000-0000-0000580D0000}"/>
    <cellStyle name="Normal 13 4 2 2 3" xfId="2590" xr:uid="{00000000-0005-0000-0000-0000590D0000}"/>
    <cellStyle name="Normal 13 4 2 3" xfId="2591" xr:uid="{00000000-0005-0000-0000-00005A0D0000}"/>
    <cellStyle name="Normal 13 4 2 3 2" xfId="2592" xr:uid="{00000000-0005-0000-0000-00005B0D0000}"/>
    <cellStyle name="Normal 13 4 2 4" xfId="2593" xr:uid="{00000000-0005-0000-0000-00005C0D0000}"/>
    <cellStyle name="Normal 13 4 3" xfId="2594" xr:uid="{00000000-0005-0000-0000-00005D0D0000}"/>
    <cellStyle name="Normal 13 4 3 2" xfId="2595" xr:uid="{00000000-0005-0000-0000-00005E0D0000}"/>
    <cellStyle name="Normal 13 4 3 2 2" xfId="9998" xr:uid="{00000000-0005-0000-0000-00005F0D0000}"/>
    <cellStyle name="Normal 13 4 3 3" xfId="2596" xr:uid="{00000000-0005-0000-0000-0000600D0000}"/>
    <cellStyle name="Normal 13 4 3 3 2" xfId="2597" xr:uid="{00000000-0005-0000-0000-0000610D0000}"/>
    <cellStyle name="Normal 13 4 3 4" xfId="2598" xr:uid="{00000000-0005-0000-0000-0000620D0000}"/>
    <cellStyle name="Normal 13 4 4" xfId="2599" xr:uid="{00000000-0005-0000-0000-0000630D0000}"/>
    <cellStyle name="Normal 13 4 4 2" xfId="2600" xr:uid="{00000000-0005-0000-0000-0000640D0000}"/>
    <cellStyle name="Normal 13 4 4 2 2" xfId="2601" xr:uid="{00000000-0005-0000-0000-0000650D0000}"/>
    <cellStyle name="Normal 13 4 4 3" xfId="2602" xr:uid="{00000000-0005-0000-0000-0000660D0000}"/>
    <cellStyle name="Normal 13 4 5" xfId="2603" xr:uid="{00000000-0005-0000-0000-0000670D0000}"/>
    <cellStyle name="Normal 13 4 5 2" xfId="2604" xr:uid="{00000000-0005-0000-0000-0000680D0000}"/>
    <cellStyle name="Normal 13 4 6" xfId="2605" xr:uid="{00000000-0005-0000-0000-0000690D0000}"/>
    <cellStyle name="Normal 13 5" xfId="2606" xr:uid="{00000000-0005-0000-0000-00006A0D0000}"/>
    <cellStyle name="Normal 13 5 2" xfId="2607" xr:uid="{00000000-0005-0000-0000-00006B0D0000}"/>
    <cellStyle name="Normal 13 5 2 2" xfId="2608" xr:uid="{00000000-0005-0000-0000-00006C0D0000}"/>
    <cellStyle name="Normal 13 5 2 2 2" xfId="2609" xr:uid="{00000000-0005-0000-0000-00006D0D0000}"/>
    <cellStyle name="Normal 13 5 2 2 2 2" xfId="2610" xr:uid="{00000000-0005-0000-0000-00006E0D0000}"/>
    <cellStyle name="Normal 13 5 2 2 3" xfId="2611" xr:uid="{00000000-0005-0000-0000-00006F0D0000}"/>
    <cellStyle name="Normal 13 5 2 3" xfId="2612" xr:uid="{00000000-0005-0000-0000-0000700D0000}"/>
    <cellStyle name="Normal 13 5 2 3 2" xfId="2613" xr:uid="{00000000-0005-0000-0000-0000710D0000}"/>
    <cellStyle name="Normal 13 5 2 4" xfId="2614" xr:uid="{00000000-0005-0000-0000-0000720D0000}"/>
    <cellStyle name="Normal 13 5 3" xfId="2615" xr:uid="{00000000-0005-0000-0000-0000730D0000}"/>
    <cellStyle name="Normal 13 5 3 2" xfId="2616" xr:uid="{00000000-0005-0000-0000-0000740D0000}"/>
    <cellStyle name="Normal 13 5 3 2 2" xfId="9999" xr:uid="{00000000-0005-0000-0000-0000750D0000}"/>
    <cellStyle name="Normal 13 5 3 3" xfId="2617" xr:uid="{00000000-0005-0000-0000-0000760D0000}"/>
    <cellStyle name="Normal 13 5 3 3 2" xfId="2618" xr:uid="{00000000-0005-0000-0000-0000770D0000}"/>
    <cellStyle name="Normal 13 5 3 4" xfId="2619" xr:uid="{00000000-0005-0000-0000-0000780D0000}"/>
    <cellStyle name="Normal 13 5 4" xfId="2620" xr:uid="{00000000-0005-0000-0000-0000790D0000}"/>
    <cellStyle name="Normal 13 5 4 2" xfId="2621" xr:uid="{00000000-0005-0000-0000-00007A0D0000}"/>
    <cellStyle name="Normal 13 5 4 2 2" xfId="2622" xr:uid="{00000000-0005-0000-0000-00007B0D0000}"/>
    <cellStyle name="Normal 13 5 4 3" xfId="2623" xr:uid="{00000000-0005-0000-0000-00007C0D0000}"/>
    <cellStyle name="Normal 13 5 5" xfId="2624" xr:uid="{00000000-0005-0000-0000-00007D0D0000}"/>
    <cellStyle name="Normal 13 5 5 2" xfId="2625" xr:uid="{00000000-0005-0000-0000-00007E0D0000}"/>
    <cellStyle name="Normal 13 5 6" xfId="2626" xr:uid="{00000000-0005-0000-0000-00007F0D0000}"/>
    <cellStyle name="Normal 13 6" xfId="2627" xr:uid="{00000000-0005-0000-0000-0000800D0000}"/>
    <cellStyle name="Normal 13 6 2" xfId="2628" xr:uid="{00000000-0005-0000-0000-0000810D0000}"/>
    <cellStyle name="Normal 13 6 2 2" xfId="2629" xr:uid="{00000000-0005-0000-0000-0000820D0000}"/>
    <cellStyle name="Normal 13 6 2 2 2" xfId="2630" xr:uid="{00000000-0005-0000-0000-0000830D0000}"/>
    <cellStyle name="Normal 13 6 2 2 2 2" xfId="2631" xr:uid="{00000000-0005-0000-0000-0000840D0000}"/>
    <cellStyle name="Normal 13 6 2 2 3" xfId="2632" xr:uid="{00000000-0005-0000-0000-0000850D0000}"/>
    <cellStyle name="Normal 13 6 2 3" xfId="2633" xr:uid="{00000000-0005-0000-0000-0000860D0000}"/>
    <cellStyle name="Normal 13 6 2 3 2" xfId="2634" xr:uid="{00000000-0005-0000-0000-0000870D0000}"/>
    <cellStyle name="Normal 13 6 2 4" xfId="2635" xr:uid="{00000000-0005-0000-0000-0000880D0000}"/>
    <cellStyle name="Normal 13 6 3" xfId="2636" xr:uid="{00000000-0005-0000-0000-0000890D0000}"/>
    <cellStyle name="Normal 13 6 3 2" xfId="2637" xr:uid="{00000000-0005-0000-0000-00008A0D0000}"/>
    <cellStyle name="Normal 13 6 3 2 2" xfId="2638" xr:uid="{00000000-0005-0000-0000-00008B0D0000}"/>
    <cellStyle name="Normal 13 6 3 3" xfId="2639" xr:uid="{00000000-0005-0000-0000-00008C0D0000}"/>
    <cellStyle name="Normal 13 6 4" xfId="2640" xr:uid="{00000000-0005-0000-0000-00008D0D0000}"/>
    <cellStyle name="Normal 13 6 4 2" xfId="2641" xr:uid="{00000000-0005-0000-0000-00008E0D0000}"/>
    <cellStyle name="Normal 13 6 4 2 2" xfId="2642" xr:uid="{00000000-0005-0000-0000-00008F0D0000}"/>
    <cellStyle name="Normal 13 6 4 3" xfId="2643" xr:uid="{00000000-0005-0000-0000-0000900D0000}"/>
    <cellStyle name="Normal 13 6 5" xfId="2644" xr:uid="{00000000-0005-0000-0000-0000910D0000}"/>
    <cellStyle name="Normal 13 6 5 2" xfId="2645" xr:uid="{00000000-0005-0000-0000-0000920D0000}"/>
    <cellStyle name="Normal 13 6 6" xfId="2646" xr:uid="{00000000-0005-0000-0000-0000930D0000}"/>
    <cellStyle name="Normal 13 7" xfId="2647" xr:uid="{00000000-0005-0000-0000-0000940D0000}"/>
    <cellStyle name="Normal 13 7 2" xfId="2648" xr:uid="{00000000-0005-0000-0000-0000950D0000}"/>
    <cellStyle name="Normal 13 7 2 2" xfId="2649" xr:uid="{00000000-0005-0000-0000-0000960D0000}"/>
    <cellStyle name="Normal 13 7 2 2 2" xfId="2650" xr:uid="{00000000-0005-0000-0000-0000970D0000}"/>
    <cellStyle name="Normal 13 7 2 3" xfId="2651" xr:uid="{00000000-0005-0000-0000-0000980D0000}"/>
    <cellStyle name="Normal 13 7 3" xfId="2652" xr:uid="{00000000-0005-0000-0000-0000990D0000}"/>
    <cellStyle name="Normal 13 7 3 2" xfId="2653" xr:uid="{00000000-0005-0000-0000-00009A0D0000}"/>
    <cellStyle name="Normal 13 7 4" xfId="2654" xr:uid="{00000000-0005-0000-0000-00009B0D0000}"/>
    <cellStyle name="Normal 13 8" xfId="2655" xr:uid="{00000000-0005-0000-0000-00009C0D0000}"/>
    <cellStyle name="Normal 13 8 2" xfId="2656" xr:uid="{00000000-0005-0000-0000-00009D0D0000}"/>
    <cellStyle name="Normal 13 8 2 2" xfId="2657" xr:uid="{00000000-0005-0000-0000-00009E0D0000}"/>
    <cellStyle name="Normal 13 8 3" xfId="2658" xr:uid="{00000000-0005-0000-0000-00009F0D0000}"/>
    <cellStyle name="Normal 13 9" xfId="2659" xr:uid="{00000000-0005-0000-0000-0000A00D0000}"/>
    <cellStyle name="Normal 13 9 2" xfId="2660" xr:uid="{00000000-0005-0000-0000-0000A10D0000}"/>
    <cellStyle name="Normal 13 9 2 2" xfId="2661" xr:uid="{00000000-0005-0000-0000-0000A20D0000}"/>
    <cellStyle name="Normal 13 9 3" xfId="2662" xr:uid="{00000000-0005-0000-0000-0000A30D0000}"/>
    <cellStyle name="Normal 13_Activity Fcst Variance" xfId="2663" xr:uid="{00000000-0005-0000-0000-0000A40D0000}"/>
    <cellStyle name="Normal 130" xfId="2664" xr:uid="{00000000-0005-0000-0000-0000A50D0000}"/>
    <cellStyle name="Normal 130 2" xfId="10000" xr:uid="{00000000-0005-0000-0000-0000A60D0000}"/>
    <cellStyle name="Normal 131" xfId="9601" xr:uid="{00000000-0005-0000-0000-0000A70D0000}"/>
    <cellStyle name="Normal 132" xfId="9603" xr:uid="{00000000-0005-0000-0000-0000A80D0000}"/>
    <cellStyle name="Normal 133" xfId="9647" xr:uid="{00000000-0005-0000-0000-0000A90D0000}"/>
    <cellStyle name="Normal 134" xfId="9654" xr:uid="{00000000-0005-0000-0000-0000AA0D0000}"/>
    <cellStyle name="Normal 135" xfId="9660" xr:uid="{00000000-0005-0000-0000-0000AB0D0000}"/>
    <cellStyle name="Normal 136" xfId="9665" xr:uid="{00000000-0005-0000-0000-0000AC0D0000}"/>
    <cellStyle name="Normal 137" xfId="9671" xr:uid="{00000000-0005-0000-0000-0000AD0D0000}"/>
    <cellStyle name="Normal 138" xfId="9675" xr:uid="{00000000-0005-0000-0000-0000AE0D0000}"/>
    <cellStyle name="Normal 139" xfId="9678" xr:uid="{00000000-0005-0000-0000-0000AF0D0000}"/>
    <cellStyle name="Normal 14" xfId="2665" xr:uid="{00000000-0005-0000-0000-0000B00D0000}"/>
    <cellStyle name="Normal 14 2" xfId="2666" xr:uid="{00000000-0005-0000-0000-0000B10D0000}"/>
    <cellStyle name="Normal 14 2 2" xfId="2667" xr:uid="{00000000-0005-0000-0000-0000B20D0000}"/>
    <cellStyle name="Normal 14 2 2 2" xfId="2668" xr:uid="{00000000-0005-0000-0000-0000B30D0000}"/>
    <cellStyle name="Normal 14 2 2 2 2" xfId="2669" xr:uid="{00000000-0005-0000-0000-0000B40D0000}"/>
    <cellStyle name="Normal 14 2 2 2 2 2" xfId="2670" xr:uid="{00000000-0005-0000-0000-0000B50D0000}"/>
    <cellStyle name="Normal 14 2 2 2 2 2 2" xfId="2671" xr:uid="{00000000-0005-0000-0000-0000B60D0000}"/>
    <cellStyle name="Normal 14 2 2 2 2 3" xfId="2672" xr:uid="{00000000-0005-0000-0000-0000B70D0000}"/>
    <cellStyle name="Normal 14 2 2 2 3" xfId="2673" xr:uid="{00000000-0005-0000-0000-0000B80D0000}"/>
    <cellStyle name="Normal 14 2 2 2 3 2" xfId="2674" xr:uid="{00000000-0005-0000-0000-0000B90D0000}"/>
    <cellStyle name="Normal 14 2 2 2 4" xfId="2675" xr:uid="{00000000-0005-0000-0000-0000BA0D0000}"/>
    <cellStyle name="Normal 14 2 2 3" xfId="2676" xr:uid="{00000000-0005-0000-0000-0000BB0D0000}"/>
    <cellStyle name="Normal 14 2 2 3 2" xfId="2677" xr:uid="{00000000-0005-0000-0000-0000BC0D0000}"/>
    <cellStyle name="Normal 14 2 2 3 2 2" xfId="2678" xr:uid="{00000000-0005-0000-0000-0000BD0D0000}"/>
    <cellStyle name="Normal 14 2 2 3 3" xfId="2679" xr:uid="{00000000-0005-0000-0000-0000BE0D0000}"/>
    <cellStyle name="Normal 14 2 2 4" xfId="2680" xr:uid="{00000000-0005-0000-0000-0000BF0D0000}"/>
    <cellStyle name="Normal 14 2 2 4 2" xfId="2681" xr:uid="{00000000-0005-0000-0000-0000C00D0000}"/>
    <cellStyle name="Normal 14 2 2 4 2 2" xfId="2682" xr:uid="{00000000-0005-0000-0000-0000C10D0000}"/>
    <cellStyle name="Normal 14 2 2 4 3" xfId="2683" xr:uid="{00000000-0005-0000-0000-0000C20D0000}"/>
    <cellStyle name="Normal 14 2 2 5" xfId="2684" xr:uid="{00000000-0005-0000-0000-0000C30D0000}"/>
    <cellStyle name="Normal 14 2 2 5 2" xfId="2685" xr:uid="{00000000-0005-0000-0000-0000C40D0000}"/>
    <cellStyle name="Normal 14 2 2 6" xfId="2686" xr:uid="{00000000-0005-0000-0000-0000C50D0000}"/>
    <cellStyle name="Normal 14 2 3" xfId="2687" xr:uid="{00000000-0005-0000-0000-0000C60D0000}"/>
    <cellStyle name="Normal 14 2 3 2" xfId="2688" xr:uid="{00000000-0005-0000-0000-0000C70D0000}"/>
    <cellStyle name="Normal 14 2 3 2 2" xfId="2689" xr:uid="{00000000-0005-0000-0000-0000C80D0000}"/>
    <cellStyle name="Normal 14 2 3 2 2 2" xfId="2690" xr:uid="{00000000-0005-0000-0000-0000C90D0000}"/>
    <cellStyle name="Normal 14 2 3 2 2 2 2" xfId="2691" xr:uid="{00000000-0005-0000-0000-0000CA0D0000}"/>
    <cellStyle name="Normal 14 2 3 2 2 3" xfId="2692" xr:uid="{00000000-0005-0000-0000-0000CB0D0000}"/>
    <cellStyle name="Normal 14 2 3 2 3" xfId="2693" xr:uid="{00000000-0005-0000-0000-0000CC0D0000}"/>
    <cellStyle name="Normal 14 2 3 2 3 2" xfId="2694" xr:uid="{00000000-0005-0000-0000-0000CD0D0000}"/>
    <cellStyle name="Normal 14 2 3 2 4" xfId="2695" xr:uid="{00000000-0005-0000-0000-0000CE0D0000}"/>
    <cellStyle name="Normal 14 2 3 3" xfId="2696" xr:uid="{00000000-0005-0000-0000-0000CF0D0000}"/>
    <cellStyle name="Normal 14 2 3 3 2" xfId="2697" xr:uid="{00000000-0005-0000-0000-0000D00D0000}"/>
    <cellStyle name="Normal 14 2 3 3 2 2" xfId="2698" xr:uid="{00000000-0005-0000-0000-0000D10D0000}"/>
    <cellStyle name="Normal 14 2 3 3 3" xfId="2699" xr:uid="{00000000-0005-0000-0000-0000D20D0000}"/>
    <cellStyle name="Normal 14 2 3 4" xfId="2700" xr:uid="{00000000-0005-0000-0000-0000D30D0000}"/>
    <cellStyle name="Normal 14 2 3 4 2" xfId="2701" xr:uid="{00000000-0005-0000-0000-0000D40D0000}"/>
    <cellStyle name="Normal 14 2 3 4 2 2" xfId="2702" xr:uid="{00000000-0005-0000-0000-0000D50D0000}"/>
    <cellStyle name="Normal 14 2 3 4 3" xfId="2703" xr:uid="{00000000-0005-0000-0000-0000D60D0000}"/>
    <cellStyle name="Normal 14 2 3 5" xfId="2704" xr:uid="{00000000-0005-0000-0000-0000D70D0000}"/>
    <cellStyle name="Normal 14 2 3 5 2" xfId="2705" xr:uid="{00000000-0005-0000-0000-0000D80D0000}"/>
    <cellStyle name="Normal 14 2 3 6" xfId="2706" xr:uid="{00000000-0005-0000-0000-0000D90D0000}"/>
    <cellStyle name="Normal 14 2 4" xfId="2707" xr:uid="{00000000-0005-0000-0000-0000DA0D0000}"/>
    <cellStyle name="Normal 14 2 4 2" xfId="2708" xr:uid="{00000000-0005-0000-0000-0000DB0D0000}"/>
    <cellStyle name="Normal 14 2 4 2 2" xfId="2709" xr:uid="{00000000-0005-0000-0000-0000DC0D0000}"/>
    <cellStyle name="Normal 14 2 4 2 2 2" xfId="2710" xr:uid="{00000000-0005-0000-0000-0000DD0D0000}"/>
    <cellStyle name="Normal 14 2 4 2 3" xfId="2711" xr:uid="{00000000-0005-0000-0000-0000DE0D0000}"/>
    <cellStyle name="Normal 14 2 4 3" xfId="2712" xr:uid="{00000000-0005-0000-0000-0000DF0D0000}"/>
    <cellStyle name="Normal 14 2 4 3 2" xfId="2713" xr:uid="{00000000-0005-0000-0000-0000E00D0000}"/>
    <cellStyle name="Normal 14 2 4 4" xfId="2714" xr:uid="{00000000-0005-0000-0000-0000E10D0000}"/>
    <cellStyle name="Normal 14 2 5" xfId="2715" xr:uid="{00000000-0005-0000-0000-0000E20D0000}"/>
    <cellStyle name="Normal 14 2 5 2" xfId="2716" xr:uid="{00000000-0005-0000-0000-0000E30D0000}"/>
    <cellStyle name="Normal 14 2 5 2 2" xfId="10001" xr:uid="{00000000-0005-0000-0000-0000E40D0000}"/>
    <cellStyle name="Normal 14 2 5 3" xfId="2717" xr:uid="{00000000-0005-0000-0000-0000E50D0000}"/>
    <cellStyle name="Normal 14 2 5 3 2" xfId="2718" xr:uid="{00000000-0005-0000-0000-0000E60D0000}"/>
    <cellStyle name="Normal 14 2 5 4" xfId="2719" xr:uid="{00000000-0005-0000-0000-0000E70D0000}"/>
    <cellStyle name="Normal 14 2 6" xfId="2720" xr:uid="{00000000-0005-0000-0000-0000E80D0000}"/>
    <cellStyle name="Normal 14 2 6 2" xfId="2721" xr:uid="{00000000-0005-0000-0000-0000E90D0000}"/>
    <cellStyle name="Normal 14 2 6 2 2" xfId="2722" xr:uid="{00000000-0005-0000-0000-0000EA0D0000}"/>
    <cellStyle name="Normal 14 2 6 3" xfId="2723" xr:uid="{00000000-0005-0000-0000-0000EB0D0000}"/>
    <cellStyle name="Normal 14 2 7" xfId="2724" xr:uid="{00000000-0005-0000-0000-0000EC0D0000}"/>
    <cellStyle name="Normal 14 2 7 2" xfId="2725" xr:uid="{00000000-0005-0000-0000-0000ED0D0000}"/>
    <cellStyle name="Normal 14 2 8" xfId="2726" xr:uid="{00000000-0005-0000-0000-0000EE0D0000}"/>
    <cellStyle name="Normal 14 3" xfId="2727" xr:uid="{00000000-0005-0000-0000-0000EF0D0000}"/>
    <cellStyle name="Normal 14 3 2" xfId="2728" xr:uid="{00000000-0005-0000-0000-0000F00D0000}"/>
    <cellStyle name="Normal 14 3 2 2" xfId="2729" xr:uid="{00000000-0005-0000-0000-0000F10D0000}"/>
    <cellStyle name="Normal 14 3 3" xfId="2730" xr:uid="{00000000-0005-0000-0000-0000F20D0000}"/>
    <cellStyle name="Normal 14 4" xfId="2731" xr:uid="{00000000-0005-0000-0000-0000F30D0000}"/>
    <cellStyle name="Normal 14 5" xfId="9837" xr:uid="{00000000-0005-0000-0000-0000F40D0000}"/>
    <cellStyle name="Normal 14_Activity Fcst Variance" xfId="2732" xr:uid="{00000000-0005-0000-0000-0000F50D0000}"/>
    <cellStyle name="Normal 140" xfId="9694" xr:uid="{00000000-0005-0000-0000-0000F60D0000}"/>
    <cellStyle name="Normal 141" xfId="10549" xr:uid="{00000000-0005-0000-0000-0000F70D0000}"/>
    <cellStyle name="Normal 141 2" xfId="11027" xr:uid="{00000000-0005-0000-0000-0000F80D0000}"/>
    <cellStyle name="Normal 142" xfId="10585" xr:uid="{00000000-0005-0000-0000-0000F90D0000}"/>
    <cellStyle name="Normal 142 2" xfId="11028" xr:uid="{00000000-0005-0000-0000-0000FA0D0000}"/>
    <cellStyle name="Normal 143" xfId="10594" xr:uid="{00000000-0005-0000-0000-0000FB0D0000}"/>
    <cellStyle name="Normal 143 2" xfId="11030" xr:uid="{00000000-0005-0000-0000-0000FC0D0000}"/>
    <cellStyle name="Normal 144" xfId="10610" xr:uid="{00000000-0005-0000-0000-0000FD0D0000}"/>
    <cellStyle name="Normal 144 2" xfId="11041" xr:uid="{00000000-0005-0000-0000-0000FE0D0000}"/>
    <cellStyle name="Normal 145" xfId="10629" xr:uid="{00000000-0005-0000-0000-0000FF0D0000}"/>
    <cellStyle name="Normal 146" xfId="10643" xr:uid="{00000000-0005-0000-0000-0000000E0000}"/>
    <cellStyle name="Normal 147" xfId="10670" xr:uid="{00000000-0005-0000-0000-0000010E0000}"/>
    <cellStyle name="Normal 147 2" xfId="11052" xr:uid="{00000000-0005-0000-0000-0000020E0000}"/>
    <cellStyle name="Normal 148" xfId="10699" xr:uid="{00000000-0005-0000-0000-0000030E0000}"/>
    <cellStyle name="Normal 148 2" xfId="11065" xr:uid="{00000000-0005-0000-0000-0000040E0000}"/>
    <cellStyle name="Normal 149" xfId="10706" xr:uid="{00000000-0005-0000-0000-0000050E0000}"/>
    <cellStyle name="Normal 149 2" xfId="11067" xr:uid="{00000000-0005-0000-0000-0000060E0000}"/>
    <cellStyle name="Normal 15" xfId="2733" xr:uid="{00000000-0005-0000-0000-0000070E0000}"/>
    <cellStyle name="Normal 15 2" xfId="2734" xr:uid="{00000000-0005-0000-0000-0000080E0000}"/>
    <cellStyle name="Normal 15 2 2" xfId="2735" xr:uid="{00000000-0005-0000-0000-0000090E0000}"/>
    <cellStyle name="Normal 15 2 2 2" xfId="2736" xr:uid="{00000000-0005-0000-0000-00000A0E0000}"/>
    <cellStyle name="Normal 15 2 2 2 2" xfId="2737" xr:uid="{00000000-0005-0000-0000-00000B0E0000}"/>
    <cellStyle name="Normal 15 2 2 2 2 2" xfId="2738" xr:uid="{00000000-0005-0000-0000-00000C0E0000}"/>
    <cellStyle name="Normal 15 2 2 2 2 2 2" xfId="2739" xr:uid="{00000000-0005-0000-0000-00000D0E0000}"/>
    <cellStyle name="Normal 15 2 2 2 2 3" xfId="2740" xr:uid="{00000000-0005-0000-0000-00000E0E0000}"/>
    <cellStyle name="Normal 15 2 2 2 3" xfId="2741" xr:uid="{00000000-0005-0000-0000-00000F0E0000}"/>
    <cellStyle name="Normal 15 2 2 2 3 2" xfId="2742" xr:uid="{00000000-0005-0000-0000-0000100E0000}"/>
    <cellStyle name="Normal 15 2 2 2 4" xfId="2743" xr:uid="{00000000-0005-0000-0000-0000110E0000}"/>
    <cellStyle name="Normal 15 2 2 3" xfId="2744" xr:uid="{00000000-0005-0000-0000-0000120E0000}"/>
    <cellStyle name="Normal 15 2 2 3 2" xfId="2745" xr:uid="{00000000-0005-0000-0000-0000130E0000}"/>
    <cellStyle name="Normal 15 2 2 3 2 2" xfId="2746" xr:uid="{00000000-0005-0000-0000-0000140E0000}"/>
    <cellStyle name="Normal 15 2 2 3 3" xfId="2747" xr:uid="{00000000-0005-0000-0000-0000150E0000}"/>
    <cellStyle name="Normal 15 2 2 4" xfId="2748" xr:uid="{00000000-0005-0000-0000-0000160E0000}"/>
    <cellStyle name="Normal 15 2 2 4 2" xfId="2749" xr:uid="{00000000-0005-0000-0000-0000170E0000}"/>
    <cellStyle name="Normal 15 2 2 4 2 2" xfId="2750" xr:uid="{00000000-0005-0000-0000-0000180E0000}"/>
    <cellStyle name="Normal 15 2 2 4 3" xfId="2751" xr:uid="{00000000-0005-0000-0000-0000190E0000}"/>
    <cellStyle name="Normal 15 2 2 5" xfId="2752" xr:uid="{00000000-0005-0000-0000-00001A0E0000}"/>
    <cellStyle name="Normal 15 2 2 5 2" xfId="2753" xr:uid="{00000000-0005-0000-0000-00001B0E0000}"/>
    <cellStyle name="Normal 15 2 2 6" xfId="2754" xr:uid="{00000000-0005-0000-0000-00001C0E0000}"/>
    <cellStyle name="Normal 15 2 3" xfId="2755" xr:uid="{00000000-0005-0000-0000-00001D0E0000}"/>
    <cellStyle name="Normal 15 2 3 2" xfId="2756" xr:uid="{00000000-0005-0000-0000-00001E0E0000}"/>
    <cellStyle name="Normal 15 2 3 2 2" xfId="2757" xr:uid="{00000000-0005-0000-0000-00001F0E0000}"/>
    <cellStyle name="Normal 15 2 3 2 2 2" xfId="2758" xr:uid="{00000000-0005-0000-0000-0000200E0000}"/>
    <cellStyle name="Normal 15 2 3 2 2 2 2" xfId="2759" xr:uid="{00000000-0005-0000-0000-0000210E0000}"/>
    <cellStyle name="Normal 15 2 3 2 2 3" xfId="2760" xr:uid="{00000000-0005-0000-0000-0000220E0000}"/>
    <cellStyle name="Normal 15 2 3 2 3" xfId="2761" xr:uid="{00000000-0005-0000-0000-0000230E0000}"/>
    <cellStyle name="Normal 15 2 3 2 3 2" xfId="2762" xr:uid="{00000000-0005-0000-0000-0000240E0000}"/>
    <cellStyle name="Normal 15 2 3 2 4" xfId="2763" xr:uid="{00000000-0005-0000-0000-0000250E0000}"/>
    <cellStyle name="Normal 15 2 3 3" xfId="2764" xr:uid="{00000000-0005-0000-0000-0000260E0000}"/>
    <cellStyle name="Normal 15 2 3 3 2" xfId="2765" xr:uid="{00000000-0005-0000-0000-0000270E0000}"/>
    <cellStyle name="Normal 15 2 3 3 2 2" xfId="2766" xr:uid="{00000000-0005-0000-0000-0000280E0000}"/>
    <cellStyle name="Normal 15 2 3 3 3" xfId="2767" xr:uid="{00000000-0005-0000-0000-0000290E0000}"/>
    <cellStyle name="Normal 15 2 3 4" xfId="2768" xr:uid="{00000000-0005-0000-0000-00002A0E0000}"/>
    <cellStyle name="Normal 15 2 3 4 2" xfId="2769" xr:uid="{00000000-0005-0000-0000-00002B0E0000}"/>
    <cellStyle name="Normal 15 2 3 4 2 2" xfId="2770" xr:uid="{00000000-0005-0000-0000-00002C0E0000}"/>
    <cellStyle name="Normal 15 2 3 4 3" xfId="2771" xr:uid="{00000000-0005-0000-0000-00002D0E0000}"/>
    <cellStyle name="Normal 15 2 3 5" xfId="2772" xr:uid="{00000000-0005-0000-0000-00002E0E0000}"/>
    <cellStyle name="Normal 15 2 3 5 2" xfId="2773" xr:uid="{00000000-0005-0000-0000-00002F0E0000}"/>
    <cellStyle name="Normal 15 2 3 6" xfId="2774" xr:uid="{00000000-0005-0000-0000-0000300E0000}"/>
    <cellStyle name="Normal 15 2 4" xfId="2775" xr:uid="{00000000-0005-0000-0000-0000310E0000}"/>
    <cellStyle name="Normal 15 2 4 2" xfId="2776" xr:uid="{00000000-0005-0000-0000-0000320E0000}"/>
    <cellStyle name="Normal 15 2 4 2 2" xfId="2777" xr:uid="{00000000-0005-0000-0000-0000330E0000}"/>
    <cellStyle name="Normal 15 2 4 2 2 2" xfId="2778" xr:uid="{00000000-0005-0000-0000-0000340E0000}"/>
    <cellStyle name="Normal 15 2 4 2 3" xfId="2779" xr:uid="{00000000-0005-0000-0000-0000350E0000}"/>
    <cellStyle name="Normal 15 2 4 3" xfId="2780" xr:uid="{00000000-0005-0000-0000-0000360E0000}"/>
    <cellStyle name="Normal 15 2 4 3 2" xfId="2781" xr:uid="{00000000-0005-0000-0000-0000370E0000}"/>
    <cellStyle name="Normal 15 2 4 4" xfId="2782" xr:uid="{00000000-0005-0000-0000-0000380E0000}"/>
    <cellStyle name="Normal 15 2 5" xfId="2783" xr:uid="{00000000-0005-0000-0000-0000390E0000}"/>
    <cellStyle name="Normal 15 2 5 2" xfId="2784" xr:uid="{00000000-0005-0000-0000-00003A0E0000}"/>
    <cellStyle name="Normal 15 2 5 2 2" xfId="2785" xr:uid="{00000000-0005-0000-0000-00003B0E0000}"/>
    <cellStyle name="Normal 15 2 5 3" xfId="2786" xr:uid="{00000000-0005-0000-0000-00003C0E0000}"/>
    <cellStyle name="Normal 15 2 6" xfId="2787" xr:uid="{00000000-0005-0000-0000-00003D0E0000}"/>
    <cellStyle name="Normal 15 2 6 2" xfId="2788" xr:uid="{00000000-0005-0000-0000-00003E0E0000}"/>
    <cellStyle name="Normal 15 2 6 2 2" xfId="2789" xr:uid="{00000000-0005-0000-0000-00003F0E0000}"/>
    <cellStyle name="Normal 15 2 6 3" xfId="2790" xr:uid="{00000000-0005-0000-0000-0000400E0000}"/>
    <cellStyle name="Normal 15 2 7" xfId="2791" xr:uid="{00000000-0005-0000-0000-0000410E0000}"/>
    <cellStyle name="Normal 15 2 7 2" xfId="2792" xr:uid="{00000000-0005-0000-0000-0000420E0000}"/>
    <cellStyle name="Normal 15 2 8" xfId="2793" xr:uid="{00000000-0005-0000-0000-0000430E0000}"/>
    <cellStyle name="Normal 15 3" xfId="2794" xr:uid="{00000000-0005-0000-0000-0000440E0000}"/>
    <cellStyle name="Normal 15 3 2" xfId="10002" xr:uid="{00000000-0005-0000-0000-0000450E0000}"/>
    <cellStyle name="Normal 15 4" xfId="2795" xr:uid="{00000000-0005-0000-0000-0000460E0000}"/>
    <cellStyle name="Normal 15 5" xfId="2796" xr:uid="{00000000-0005-0000-0000-0000470E0000}"/>
    <cellStyle name="Normal 15_Cap Forecast" xfId="2797" xr:uid="{00000000-0005-0000-0000-0000480E0000}"/>
    <cellStyle name="Normal 150" xfId="10707" xr:uid="{00000000-0005-0000-0000-0000490E0000}"/>
    <cellStyle name="Normal 150 2" xfId="11068" xr:uid="{00000000-0005-0000-0000-00004A0E0000}"/>
    <cellStyle name="Normal 151" xfId="10745" xr:uid="{00000000-0005-0000-0000-00004B0E0000}"/>
    <cellStyle name="Normal 151 2" xfId="11089" xr:uid="{00000000-0005-0000-0000-00004C0E0000}"/>
    <cellStyle name="Normal 152" xfId="10755" xr:uid="{00000000-0005-0000-0000-00004D0E0000}"/>
    <cellStyle name="Normal 152 2" xfId="11095" xr:uid="{00000000-0005-0000-0000-00004E0E0000}"/>
    <cellStyle name="Normal 153" xfId="10758" xr:uid="{00000000-0005-0000-0000-00004F0E0000}"/>
    <cellStyle name="Normal 154" xfId="10769" xr:uid="{00000000-0005-0000-0000-0000500E0000}"/>
    <cellStyle name="Normal 155" xfId="10789" xr:uid="{00000000-0005-0000-0000-0000510E0000}"/>
    <cellStyle name="Normal 156" xfId="10792" xr:uid="{00000000-0005-0000-0000-0000520E0000}"/>
    <cellStyle name="Normal 157" xfId="10793" xr:uid="{00000000-0005-0000-0000-0000530E0000}"/>
    <cellStyle name="Normal 157 2" xfId="11098" xr:uid="{00000000-0005-0000-0000-0000540E0000}"/>
    <cellStyle name="Normal 158" xfId="10845" xr:uid="{00000000-0005-0000-0000-0000550E0000}"/>
    <cellStyle name="Normal 158 2" xfId="11118" xr:uid="{00000000-0005-0000-0000-0000560E0000}"/>
    <cellStyle name="Normal 159" xfId="10861" xr:uid="{00000000-0005-0000-0000-0000570E0000}"/>
    <cellStyle name="Normal 159 2" xfId="11129" xr:uid="{00000000-0005-0000-0000-0000580E0000}"/>
    <cellStyle name="Normal 16" xfId="2798" xr:uid="{00000000-0005-0000-0000-0000590E0000}"/>
    <cellStyle name="Normal 16 10" xfId="2799" xr:uid="{00000000-0005-0000-0000-00005A0E0000}"/>
    <cellStyle name="Normal 16 10 2" xfId="2800" xr:uid="{00000000-0005-0000-0000-00005B0E0000}"/>
    <cellStyle name="Normal 16 11" xfId="2801" xr:uid="{00000000-0005-0000-0000-00005C0E0000}"/>
    <cellStyle name="Normal 16 12" xfId="2802" xr:uid="{00000000-0005-0000-0000-00005D0E0000}"/>
    <cellStyle name="Normal 16 2" xfId="2803" xr:uid="{00000000-0005-0000-0000-00005E0E0000}"/>
    <cellStyle name="Normal 16 2 2" xfId="10003" xr:uid="{00000000-0005-0000-0000-00005F0E0000}"/>
    <cellStyle name="Normal 16 3" xfId="2804" xr:uid="{00000000-0005-0000-0000-0000600E0000}"/>
    <cellStyle name="Normal 16 3 2" xfId="10004" xr:uid="{00000000-0005-0000-0000-0000610E0000}"/>
    <cellStyle name="Normal 16 4" xfId="2805" xr:uid="{00000000-0005-0000-0000-0000620E0000}"/>
    <cellStyle name="Normal 16 4 2" xfId="2806" xr:uid="{00000000-0005-0000-0000-0000630E0000}"/>
    <cellStyle name="Normal 16 4 2 2" xfId="2807" xr:uid="{00000000-0005-0000-0000-0000640E0000}"/>
    <cellStyle name="Normal 16 4 2 2 2" xfId="2808" xr:uid="{00000000-0005-0000-0000-0000650E0000}"/>
    <cellStyle name="Normal 16 4 2 2 2 2" xfId="2809" xr:uid="{00000000-0005-0000-0000-0000660E0000}"/>
    <cellStyle name="Normal 16 4 2 2 3" xfId="2810" xr:uid="{00000000-0005-0000-0000-0000670E0000}"/>
    <cellStyle name="Normal 16 4 2 3" xfId="2811" xr:uid="{00000000-0005-0000-0000-0000680E0000}"/>
    <cellStyle name="Normal 16 4 2 3 2" xfId="2812" xr:uid="{00000000-0005-0000-0000-0000690E0000}"/>
    <cellStyle name="Normal 16 4 2 4" xfId="2813" xr:uid="{00000000-0005-0000-0000-00006A0E0000}"/>
    <cellStyle name="Normal 16 4 3" xfId="2814" xr:uid="{00000000-0005-0000-0000-00006B0E0000}"/>
    <cellStyle name="Normal 16 4 3 2" xfId="2815" xr:uid="{00000000-0005-0000-0000-00006C0E0000}"/>
    <cellStyle name="Normal 16 4 3 2 2" xfId="2816" xr:uid="{00000000-0005-0000-0000-00006D0E0000}"/>
    <cellStyle name="Normal 16 4 3 3" xfId="2817" xr:uid="{00000000-0005-0000-0000-00006E0E0000}"/>
    <cellStyle name="Normal 16 4 4" xfId="2818" xr:uid="{00000000-0005-0000-0000-00006F0E0000}"/>
    <cellStyle name="Normal 16 4 4 2" xfId="2819" xr:uid="{00000000-0005-0000-0000-0000700E0000}"/>
    <cellStyle name="Normal 16 4 4 2 2" xfId="2820" xr:uid="{00000000-0005-0000-0000-0000710E0000}"/>
    <cellStyle name="Normal 16 4 4 3" xfId="2821" xr:uid="{00000000-0005-0000-0000-0000720E0000}"/>
    <cellStyle name="Normal 16 4 5" xfId="2822" xr:uid="{00000000-0005-0000-0000-0000730E0000}"/>
    <cellStyle name="Normal 16 4 5 2" xfId="2823" xr:uid="{00000000-0005-0000-0000-0000740E0000}"/>
    <cellStyle name="Normal 16 4 6" xfId="2824" xr:uid="{00000000-0005-0000-0000-0000750E0000}"/>
    <cellStyle name="Normal 16 5" xfId="2825" xr:uid="{00000000-0005-0000-0000-0000760E0000}"/>
    <cellStyle name="Normal 16 5 2" xfId="2826" xr:uid="{00000000-0005-0000-0000-0000770E0000}"/>
    <cellStyle name="Normal 16 5 2 2" xfId="2827" xr:uid="{00000000-0005-0000-0000-0000780E0000}"/>
    <cellStyle name="Normal 16 5 2 2 2" xfId="2828" xr:uid="{00000000-0005-0000-0000-0000790E0000}"/>
    <cellStyle name="Normal 16 5 2 2 2 2" xfId="2829" xr:uid="{00000000-0005-0000-0000-00007A0E0000}"/>
    <cellStyle name="Normal 16 5 2 2 3" xfId="2830" xr:uid="{00000000-0005-0000-0000-00007B0E0000}"/>
    <cellStyle name="Normal 16 5 2 3" xfId="2831" xr:uid="{00000000-0005-0000-0000-00007C0E0000}"/>
    <cellStyle name="Normal 16 5 2 3 2" xfId="2832" xr:uid="{00000000-0005-0000-0000-00007D0E0000}"/>
    <cellStyle name="Normal 16 5 2 4" xfId="2833" xr:uid="{00000000-0005-0000-0000-00007E0E0000}"/>
    <cellStyle name="Normal 16 5 3" xfId="2834" xr:uid="{00000000-0005-0000-0000-00007F0E0000}"/>
    <cellStyle name="Normal 16 5 3 2" xfId="2835" xr:uid="{00000000-0005-0000-0000-0000800E0000}"/>
    <cellStyle name="Normal 16 5 3 2 2" xfId="2836" xr:uid="{00000000-0005-0000-0000-0000810E0000}"/>
    <cellStyle name="Normal 16 5 3 3" xfId="2837" xr:uid="{00000000-0005-0000-0000-0000820E0000}"/>
    <cellStyle name="Normal 16 5 4" xfId="2838" xr:uid="{00000000-0005-0000-0000-0000830E0000}"/>
    <cellStyle name="Normal 16 5 4 2" xfId="2839" xr:uid="{00000000-0005-0000-0000-0000840E0000}"/>
    <cellStyle name="Normal 16 5 4 2 2" xfId="2840" xr:uid="{00000000-0005-0000-0000-0000850E0000}"/>
    <cellStyle name="Normal 16 5 4 3" xfId="2841" xr:uid="{00000000-0005-0000-0000-0000860E0000}"/>
    <cellStyle name="Normal 16 5 5" xfId="2842" xr:uid="{00000000-0005-0000-0000-0000870E0000}"/>
    <cellStyle name="Normal 16 5 5 2" xfId="2843" xr:uid="{00000000-0005-0000-0000-0000880E0000}"/>
    <cellStyle name="Normal 16 5 6" xfId="2844" xr:uid="{00000000-0005-0000-0000-0000890E0000}"/>
    <cellStyle name="Normal 16 6" xfId="2845" xr:uid="{00000000-0005-0000-0000-00008A0E0000}"/>
    <cellStyle name="Normal 16 6 2" xfId="2846" xr:uid="{00000000-0005-0000-0000-00008B0E0000}"/>
    <cellStyle name="Normal 16 6 2 2" xfId="2847" xr:uid="{00000000-0005-0000-0000-00008C0E0000}"/>
    <cellStyle name="Normal 16 6 2 2 2" xfId="2848" xr:uid="{00000000-0005-0000-0000-00008D0E0000}"/>
    <cellStyle name="Normal 16 6 2 2 2 2" xfId="2849" xr:uid="{00000000-0005-0000-0000-00008E0E0000}"/>
    <cellStyle name="Normal 16 6 2 2 3" xfId="2850" xr:uid="{00000000-0005-0000-0000-00008F0E0000}"/>
    <cellStyle name="Normal 16 6 2 3" xfId="2851" xr:uid="{00000000-0005-0000-0000-0000900E0000}"/>
    <cellStyle name="Normal 16 6 2 3 2" xfId="2852" xr:uid="{00000000-0005-0000-0000-0000910E0000}"/>
    <cellStyle name="Normal 16 6 2 4" xfId="2853" xr:uid="{00000000-0005-0000-0000-0000920E0000}"/>
    <cellStyle name="Normal 16 6 3" xfId="2854" xr:uid="{00000000-0005-0000-0000-0000930E0000}"/>
    <cellStyle name="Normal 16 6 3 2" xfId="2855" xr:uid="{00000000-0005-0000-0000-0000940E0000}"/>
    <cellStyle name="Normal 16 6 3 2 2" xfId="2856" xr:uid="{00000000-0005-0000-0000-0000950E0000}"/>
    <cellStyle name="Normal 16 6 3 3" xfId="2857" xr:uid="{00000000-0005-0000-0000-0000960E0000}"/>
    <cellStyle name="Normal 16 6 4" xfId="2858" xr:uid="{00000000-0005-0000-0000-0000970E0000}"/>
    <cellStyle name="Normal 16 6 4 2" xfId="2859" xr:uid="{00000000-0005-0000-0000-0000980E0000}"/>
    <cellStyle name="Normal 16 6 4 2 2" xfId="2860" xr:uid="{00000000-0005-0000-0000-0000990E0000}"/>
    <cellStyle name="Normal 16 6 4 3" xfId="2861" xr:uid="{00000000-0005-0000-0000-00009A0E0000}"/>
    <cellStyle name="Normal 16 6 5" xfId="2862" xr:uid="{00000000-0005-0000-0000-00009B0E0000}"/>
    <cellStyle name="Normal 16 6 5 2" xfId="2863" xr:uid="{00000000-0005-0000-0000-00009C0E0000}"/>
    <cellStyle name="Normal 16 6 6" xfId="2864" xr:uid="{00000000-0005-0000-0000-00009D0E0000}"/>
    <cellStyle name="Normal 16 7" xfId="2865" xr:uid="{00000000-0005-0000-0000-00009E0E0000}"/>
    <cellStyle name="Normal 16 7 2" xfId="2866" xr:uid="{00000000-0005-0000-0000-00009F0E0000}"/>
    <cellStyle name="Normal 16 7 2 2" xfId="2867" xr:uid="{00000000-0005-0000-0000-0000A00E0000}"/>
    <cellStyle name="Normal 16 7 2 2 2" xfId="2868" xr:uid="{00000000-0005-0000-0000-0000A10E0000}"/>
    <cellStyle name="Normal 16 7 2 3" xfId="2869" xr:uid="{00000000-0005-0000-0000-0000A20E0000}"/>
    <cellStyle name="Normal 16 7 3" xfId="2870" xr:uid="{00000000-0005-0000-0000-0000A30E0000}"/>
    <cellStyle name="Normal 16 7 3 2" xfId="2871" xr:uid="{00000000-0005-0000-0000-0000A40E0000}"/>
    <cellStyle name="Normal 16 7 4" xfId="2872" xr:uid="{00000000-0005-0000-0000-0000A50E0000}"/>
    <cellStyle name="Normal 16 8" xfId="2873" xr:uid="{00000000-0005-0000-0000-0000A60E0000}"/>
    <cellStyle name="Normal 16 8 2" xfId="2874" xr:uid="{00000000-0005-0000-0000-0000A70E0000}"/>
    <cellStyle name="Normal 16 8 3" xfId="2875" xr:uid="{00000000-0005-0000-0000-0000A80E0000}"/>
    <cellStyle name="Normal 16 8 3 2" xfId="2876" xr:uid="{00000000-0005-0000-0000-0000A90E0000}"/>
    <cellStyle name="Normal 16 8 4" xfId="2877" xr:uid="{00000000-0005-0000-0000-0000AA0E0000}"/>
    <cellStyle name="Normal 16 9" xfId="2878" xr:uid="{00000000-0005-0000-0000-0000AB0E0000}"/>
    <cellStyle name="Normal 16 9 2" xfId="2879" xr:uid="{00000000-0005-0000-0000-0000AC0E0000}"/>
    <cellStyle name="Normal 16 9 2 2" xfId="2880" xr:uid="{00000000-0005-0000-0000-0000AD0E0000}"/>
    <cellStyle name="Normal 16 9 3" xfId="2881" xr:uid="{00000000-0005-0000-0000-0000AE0E0000}"/>
    <cellStyle name="Normal 16_Cap Forecast" xfId="2882" xr:uid="{00000000-0005-0000-0000-0000AF0E0000}"/>
    <cellStyle name="Normal 160" xfId="10876" xr:uid="{00000000-0005-0000-0000-0000B00E0000}"/>
    <cellStyle name="Normal 160 2" xfId="11139" xr:uid="{00000000-0005-0000-0000-0000B10E0000}"/>
    <cellStyle name="Normal 161" xfId="10890" xr:uid="{00000000-0005-0000-0000-0000B20E0000}"/>
    <cellStyle name="Normal 161 2" xfId="11149" xr:uid="{00000000-0005-0000-0000-0000B30E0000}"/>
    <cellStyle name="Normal 162" xfId="10904" xr:uid="{00000000-0005-0000-0000-0000B40E0000}"/>
    <cellStyle name="Normal 162 2" xfId="11159" xr:uid="{00000000-0005-0000-0000-0000B50E0000}"/>
    <cellStyle name="Normal 163" xfId="10917" xr:uid="{00000000-0005-0000-0000-0000B60E0000}"/>
    <cellStyle name="Normal 163 2" xfId="11169" xr:uid="{00000000-0005-0000-0000-0000B70E0000}"/>
    <cellStyle name="Normal 164" xfId="10925" xr:uid="{00000000-0005-0000-0000-0000B80E0000}"/>
    <cellStyle name="Normal 164 2" xfId="11174" xr:uid="{00000000-0005-0000-0000-0000B90E0000}"/>
    <cellStyle name="Normal 165" xfId="10939" xr:uid="{00000000-0005-0000-0000-0000BA0E0000}"/>
    <cellStyle name="Normal 166" xfId="10963" xr:uid="{00000000-0005-0000-0000-0000BB0E0000}"/>
    <cellStyle name="Normal 167" xfId="11184" xr:uid="{00000000-0005-0000-0000-0000BC0E0000}"/>
    <cellStyle name="Normal 168" xfId="11181" xr:uid="{00000000-0005-0000-0000-0000BD0E0000}"/>
    <cellStyle name="Normal 169" xfId="11183" xr:uid="{00000000-0005-0000-0000-0000BE0E0000}"/>
    <cellStyle name="Normal 17" xfId="2883" xr:uid="{00000000-0005-0000-0000-0000BF0E0000}"/>
    <cellStyle name="Normal 17 10" xfId="2884" xr:uid="{00000000-0005-0000-0000-0000C00E0000}"/>
    <cellStyle name="Normal 17 10 2" xfId="2885" xr:uid="{00000000-0005-0000-0000-0000C10E0000}"/>
    <cellStyle name="Normal 17 11" xfId="2886" xr:uid="{00000000-0005-0000-0000-0000C20E0000}"/>
    <cellStyle name="Normal 17 2" xfId="2887" xr:uid="{00000000-0005-0000-0000-0000C30E0000}"/>
    <cellStyle name="Normal 17 2 2" xfId="2888" xr:uid="{00000000-0005-0000-0000-0000C40E0000}"/>
    <cellStyle name="Normal 17 2 2 2" xfId="2889" xr:uid="{00000000-0005-0000-0000-0000C50E0000}"/>
    <cellStyle name="Normal 17 2 2 2 2" xfId="2890" xr:uid="{00000000-0005-0000-0000-0000C60E0000}"/>
    <cellStyle name="Normal 17 2 2 2 2 2" xfId="2891" xr:uid="{00000000-0005-0000-0000-0000C70E0000}"/>
    <cellStyle name="Normal 17 2 2 2 2 2 2" xfId="2892" xr:uid="{00000000-0005-0000-0000-0000C80E0000}"/>
    <cellStyle name="Normal 17 2 2 2 2 3" xfId="2893" xr:uid="{00000000-0005-0000-0000-0000C90E0000}"/>
    <cellStyle name="Normal 17 2 2 2 3" xfId="2894" xr:uid="{00000000-0005-0000-0000-0000CA0E0000}"/>
    <cellStyle name="Normal 17 2 2 2 3 2" xfId="2895" xr:uid="{00000000-0005-0000-0000-0000CB0E0000}"/>
    <cellStyle name="Normal 17 2 2 2 4" xfId="2896" xr:uid="{00000000-0005-0000-0000-0000CC0E0000}"/>
    <cellStyle name="Normal 17 2 2 3" xfId="2897" xr:uid="{00000000-0005-0000-0000-0000CD0E0000}"/>
    <cellStyle name="Normal 17 2 2 3 2" xfId="2898" xr:uid="{00000000-0005-0000-0000-0000CE0E0000}"/>
    <cellStyle name="Normal 17 2 2 3 2 2" xfId="2899" xr:uid="{00000000-0005-0000-0000-0000CF0E0000}"/>
    <cellStyle name="Normal 17 2 2 3 3" xfId="2900" xr:uid="{00000000-0005-0000-0000-0000D00E0000}"/>
    <cellStyle name="Normal 17 2 2 4" xfId="2901" xr:uid="{00000000-0005-0000-0000-0000D10E0000}"/>
    <cellStyle name="Normal 17 2 2 4 2" xfId="2902" xr:uid="{00000000-0005-0000-0000-0000D20E0000}"/>
    <cellStyle name="Normal 17 2 2 4 2 2" xfId="2903" xr:uid="{00000000-0005-0000-0000-0000D30E0000}"/>
    <cellStyle name="Normal 17 2 2 4 3" xfId="2904" xr:uid="{00000000-0005-0000-0000-0000D40E0000}"/>
    <cellStyle name="Normal 17 2 2 5" xfId="2905" xr:uid="{00000000-0005-0000-0000-0000D50E0000}"/>
    <cellStyle name="Normal 17 2 2 5 2" xfId="2906" xr:uid="{00000000-0005-0000-0000-0000D60E0000}"/>
    <cellStyle name="Normal 17 2 2 6" xfId="2907" xr:uid="{00000000-0005-0000-0000-0000D70E0000}"/>
    <cellStyle name="Normal 17 2 3" xfId="2908" xr:uid="{00000000-0005-0000-0000-0000D80E0000}"/>
    <cellStyle name="Normal 17 2 3 2" xfId="2909" xr:uid="{00000000-0005-0000-0000-0000D90E0000}"/>
    <cellStyle name="Normal 17 2 3 2 2" xfId="2910" xr:uid="{00000000-0005-0000-0000-0000DA0E0000}"/>
    <cellStyle name="Normal 17 2 3 2 2 2" xfId="2911" xr:uid="{00000000-0005-0000-0000-0000DB0E0000}"/>
    <cellStyle name="Normal 17 2 3 2 2 2 2" xfId="2912" xr:uid="{00000000-0005-0000-0000-0000DC0E0000}"/>
    <cellStyle name="Normal 17 2 3 2 2 3" xfId="2913" xr:uid="{00000000-0005-0000-0000-0000DD0E0000}"/>
    <cellStyle name="Normal 17 2 3 2 3" xfId="2914" xr:uid="{00000000-0005-0000-0000-0000DE0E0000}"/>
    <cellStyle name="Normal 17 2 3 2 3 2" xfId="2915" xr:uid="{00000000-0005-0000-0000-0000DF0E0000}"/>
    <cellStyle name="Normal 17 2 3 2 4" xfId="2916" xr:uid="{00000000-0005-0000-0000-0000E00E0000}"/>
    <cellStyle name="Normal 17 2 3 3" xfId="2917" xr:uid="{00000000-0005-0000-0000-0000E10E0000}"/>
    <cellStyle name="Normal 17 2 3 3 2" xfId="2918" xr:uid="{00000000-0005-0000-0000-0000E20E0000}"/>
    <cellStyle name="Normal 17 2 3 3 2 2" xfId="2919" xr:uid="{00000000-0005-0000-0000-0000E30E0000}"/>
    <cellStyle name="Normal 17 2 3 3 3" xfId="2920" xr:uid="{00000000-0005-0000-0000-0000E40E0000}"/>
    <cellStyle name="Normal 17 2 3 4" xfId="2921" xr:uid="{00000000-0005-0000-0000-0000E50E0000}"/>
    <cellStyle name="Normal 17 2 3 4 2" xfId="2922" xr:uid="{00000000-0005-0000-0000-0000E60E0000}"/>
    <cellStyle name="Normal 17 2 3 4 2 2" xfId="2923" xr:uid="{00000000-0005-0000-0000-0000E70E0000}"/>
    <cellStyle name="Normal 17 2 3 4 3" xfId="2924" xr:uid="{00000000-0005-0000-0000-0000E80E0000}"/>
    <cellStyle name="Normal 17 2 3 5" xfId="2925" xr:uid="{00000000-0005-0000-0000-0000E90E0000}"/>
    <cellStyle name="Normal 17 2 3 5 2" xfId="2926" xr:uid="{00000000-0005-0000-0000-0000EA0E0000}"/>
    <cellStyle name="Normal 17 2 3 6" xfId="2927" xr:uid="{00000000-0005-0000-0000-0000EB0E0000}"/>
    <cellStyle name="Normal 17 2 4" xfId="2928" xr:uid="{00000000-0005-0000-0000-0000EC0E0000}"/>
    <cellStyle name="Normal 17 2 4 2" xfId="2929" xr:uid="{00000000-0005-0000-0000-0000ED0E0000}"/>
    <cellStyle name="Normal 17 2 4 2 2" xfId="2930" xr:uid="{00000000-0005-0000-0000-0000EE0E0000}"/>
    <cellStyle name="Normal 17 2 4 2 2 2" xfId="2931" xr:uid="{00000000-0005-0000-0000-0000EF0E0000}"/>
    <cellStyle name="Normal 17 2 4 2 3" xfId="2932" xr:uid="{00000000-0005-0000-0000-0000F00E0000}"/>
    <cellStyle name="Normal 17 2 4 3" xfId="2933" xr:uid="{00000000-0005-0000-0000-0000F10E0000}"/>
    <cellStyle name="Normal 17 2 4 3 2" xfId="2934" xr:uid="{00000000-0005-0000-0000-0000F20E0000}"/>
    <cellStyle name="Normal 17 2 4 4" xfId="2935" xr:uid="{00000000-0005-0000-0000-0000F30E0000}"/>
    <cellStyle name="Normal 17 2 5" xfId="2936" xr:uid="{00000000-0005-0000-0000-0000F40E0000}"/>
    <cellStyle name="Normal 17 2 5 2" xfId="2937" xr:uid="{00000000-0005-0000-0000-0000F50E0000}"/>
    <cellStyle name="Normal 17 2 5 2 2" xfId="2938" xr:uid="{00000000-0005-0000-0000-0000F60E0000}"/>
    <cellStyle name="Normal 17 2 5 3" xfId="2939" xr:uid="{00000000-0005-0000-0000-0000F70E0000}"/>
    <cellStyle name="Normal 17 2 6" xfId="2940" xr:uid="{00000000-0005-0000-0000-0000F80E0000}"/>
    <cellStyle name="Normal 17 2 6 2" xfId="2941" xr:uid="{00000000-0005-0000-0000-0000F90E0000}"/>
    <cellStyle name="Normal 17 2 6 2 2" xfId="2942" xr:uid="{00000000-0005-0000-0000-0000FA0E0000}"/>
    <cellStyle name="Normal 17 2 6 3" xfId="2943" xr:uid="{00000000-0005-0000-0000-0000FB0E0000}"/>
    <cellStyle name="Normal 17 2 7" xfId="2944" xr:uid="{00000000-0005-0000-0000-0000FC0E0000}"/>
    <cellStyle name="Normal 17 2 7 2" xfId="2945" xr:uid="{00000000-0005-0000-0000-0000FD0E0000}"/>
    <cellStyle name="Normal 17 2 8" xfId="2946" xr:uid="{00000000-0005-0000-0000-0000FE0E0000}"/>
    <cellStyle name="Normal 17 3" xfId="2947" xr:uid="{00000000-0005-0000-0000-0000FF0E0000}"/>
    <cellStyle name="Normal 17 3 2" xfId="2948" xr:uid="{00000000-0005-0000-0000-0000000F0000}"/>
    <cellStyle name="Normal 17 3 2 2" xfId="2949" xr:uid="{00000000-0005-0000-0000-0000010F0000}"/>
    <cellStyle name="Normal 17 3 2 2 2" xfId="2950" xr:uid="{00000000-0005-0000-0000-0000020F0000}"/>
    <cellStyle name="Normal 17 3 2 2 2 2" xfId="2951" xr:uid="{00000000-0005-0000-0000-0000030F0000}"/>
    <cellStyle name="Normal 17 3 2 2 3" xfId="2952" xr:uid="{00000000-0005-0000-0000-0000040F0000}"/>
    <cellStyle name="Normal 17 3 2 3" xfId="2953" xr:uid="{00000000-0005-0000-0000-0000050F0000}"/>
    <cellStyle name="Normal 17 3 2 3 2" xfId="2954" xr:uid="{00000000-0005-0000-0000-0000060F0000}"/>
    <cellStyle name="Normal 17 3 2 4" xfId="2955" xr:uid="{00000000-0005-0000-0000-0000070F0000}"/>
    <cellStyle name="Normal 17 3 3" xfId="2956" xr:uid="{00000000-0005-0000-0000-0000080F0000}"/>
    <cellStyle name="Normal 17 3 3 2" xfId="2957" xr:uid="{00000000-0005-0000-0000-0000090F0000}"/>
    <cellStyle name="Normal 17 3 3 2 2" xfId="2958" xr:uid="{00000000-0005-0000-0000-00000A0F0000}"/>
    <cellStyle name="Normal 17 3 3 3" xfId="2959" xr:uid="{00000000-0005-0000-0000-00000B0F0000}"/>
    <cellStyle name="Normal 17 3 4" xfId="2960" xr:uid="{00000000-0005-0000-0000-00000C0F0000}"/>
    <cellStyle name="Normal 17 3 4 2" xfId="2961" xr:uid="{00000000-0005-0000-0000-00000D0F0000}"/>
    <cellStyle name="Normal 17 3 4 2 2" xfId="2962" xr:uid="{00000000-0005-0000-0000-00000E0F0000}"/>
    <cellStyle name="Normal 17 3 4 3" xfId="2963" xr:uid="{00000000-0005-0000-0000-00000F0F0000}"/>
    <cellStyle name="Normal 17 3 5" xfId="2964" xr:uid="{00000000-0005-0000-0000-0000100F0000}"/>
    <cellStyle name="Normal 17 3 5 2" xfId="2965" xr:uid="{00000000-0005-0000-0000-0000110F0000}"/>
    <cellStyle name="Normal 17 3 6" xfId="2966" xr:uid="{00000000-0005-0000-0000-0000120F0000}"/>
    <cellStyle name="Normal 17 4" xfId="2967" xr:uid="{00000000-0005-0000-0000-0000130F0000}"/>
    <cellStyle name="Normal 17 4 2" xfId="2968" xr:uid="{00000000-0005-0000-0000-0000140F0000}"/>
    <cellStyle name="Normal 17 4 2 2" xfId="2969" xr:uid="{00000000-0005-0000-0000-0000150F0000}"/>
    <cellStyle name="Normal 17 4 2 2 2" xfId="2970" xr:uid="{00000000-0005-0000-0000-0000160F0000}"/>
    <cellStyle name="Normal 17 4 2 2 2 2" xfId="2971" xr:uid="{00000000-0005-0000-0000-0000170F0000}"/>
    <cellStyle name="Normal 17 4 2 2 3" xfId="2972" xr:uid="{00000000-0005-0000-0000-0000180F0000}"/>
    <cellStyle name="Normal 17 4 2 3" xfId="2973" xr:uid="{00000000-0005-0000-0000-0000190F0000}"/>
    <cellStyle name="Normal 17 4 2 3 2" xfId="2974" xr:uid="{00000000-0005-0000-0000-00001A0F0000}"/>
    <cellStyle name="Normal 17 4 2 4" xfId="2975" xr:uid="{00000000-0005-0000-0000-00001B0F0000}"/>
    <cellStyle name="Normal 17 4 3" xfId="2976" xr:uid="{00000000-0005-0000-0000-00001C0F0000}"/>
    <cellStyle name="Normal 17 4 3 2" xfId="2977" xr:uid="{00000000-0005-0000-0000-00001D0F0000}"/>
    <cellStyle name="Normal 17 4 3 2 2" xfId="2978" xr:uid="{00000000-0005-0000-0000-00001E0F0000}"/>
    <cellStyle name="Normal 17 4 3 3" xfId="2979" xr:uid="{00000000-0005-0000-0000-00001F0F0000}"/>
    <cellStyle name="Normal 17 4 4" xfId="2980" xr:uid="{00000000-0005-0000-0000-0000200F0000}"/>
    <cellStyle name="Normal 17 4 4 2" xfId="2981" xr:uid="{00000000-0005-0000-0000-0000210F0000}"/>
    <cellStyle name="Normal 17 4 4 2 2" xfId="2982" xr:uid="{00000000-0005-0000-0000-0000220F0000}"/>
    <cellStyle name="Normal 17 4 4 3" xfId="2983" xr:uid="{00000000-0005-0000-0000-0000230F0000}"/>
    <cellStyle name="Normal 17 4 5" xfId="2984" xr:uid="{00000000-0005-0000-0000-0000240F0000}"/>
    <cellStyle name="Normal 17 4 5 2" xfId="2985" xr:uid="{00000000-0005-0000-0000-0000250F0000}"/>
    <cellStyle name="Normal 17 4 6" xfId="2986" xr:uid="{00000000-0005-0000-0000-0000260F0000}"/>
    <cellStyle name="Normal 17 5" xfId="2987" xr:uid="{00000000-0005-0000-0000-0000270F0000}"/>
    <cellStyle name="Normal 17 5 2" xfId="2988" xr:uid="{00000000-0005-0000-0000-0000280F0000}"/>
    <cellStyle name="Normal 17 5 2 2" xfId="2989" xr:uid="{00000000-0005-0000-0000-0000290F0000}"/>
    <cellStyle name="Normal 17 5 2 2 2" xfId="2990" xr:uid="{00000000-0005-0000-0000-00002A0F0000}"/>
    <cellStyle name="Normal 17 5 2 2 2 2" xfId="2991" xr:uid="{00000000-0005-0000-0000-00002B0F0000}"/>
    <cellStyle name="Normal 17 5 2 2 3" xfId="2992" xr:uid="{00000000-0005-0000-0000-00002C0F0000}"/>
    <cellStyle name="Normal 17 5 2 3" xfId="2993" xr:uid="{00000000-0005-0000-0000-00002D0F0000}"/>
    <cellStyle name="Normal 17 5 2 3 2" xfId="2994" xr:uid="{00000000-0005-0000-0000-00002E0F0000}"/>
    <cellStyle name="Normal 17 5 2 4" xfId="2995" xr:uid="{00000000-0005-0000-0000-00002F0F0000}"/>
    <cellStyle name="Normal 17 5 3" xfId="2996" xr:uid="{00000000-0005-0000-0000-0000300F0000}"/>
    <cellStyle name="Normal 17 5 3 2" xfId="2997" xr:uid="{00000000-0005-0000-0000-0000310F0000}"/>
    <cellStyle name="Normal 17 5 3 2 2" xfId="2998" xr:uid="{00000000-0005-0000-0000-0000320F0000}"/>
    <cellStyle name="Normal 17 5 3 3" xfId="2999" xr:uid="{00000000-0005-0000-0000-0000330F0000}"/>
    <cellStyle name="Normal 17 5 4" xfId="3000" xr:uid="{00000000-0005-0000-0000-0000340F0000}"/>
    <cellStyle name="Normal 17 5 4 2" xfId="3001" xr:uid="{00000000-0005-0000-0000-0000350F0000}"/>
    <cellStyle name="Normal 17 5 4 2 2" xfId="3002" xr:uid="{00000000-0005-0000-0000-0000360F0000}"/>
    <cellStyle name="Normal 17 5 4 3" xfId="3003" xr:uid="{00000000-0005-0000-0000-0000370F0000}"/>
    <cellStyle name="Normal 17 5 5" xfId="3004" xr:uid="{00000000-0005-0000-0000-0000380F0000}"/>
    <cellStyle name="Normal 17 5 5 2" xfId="3005" xr:uid="{00000000-0005-0000-0000-0000390F0000}"/>
    <cellStyle name="Normal 17 5 6" xfId="3006" xr:uid="{00000000-0005-0000-0000-00003A0F0000}"/>
    <cellStyle name="Normal 17 6" xfId="3007" xr:uid="{00000000-0005-0000-0000-00003B0F0000}"/>
    <cellStyle name="Normal 17 6 2" xfId="3008" xr:uid="{00000000-0005-0000-0000-00003C0F0000}"/>
    <cellStyle name="Normal 17 6 3" xfId="3009" xr:uid="{00000000-0005-0000-0000-00003D0F0000}"/>
    <cellStyle name="Normal 17 6 3 2" xfId="3010" xr:uid="{00000000-0005-0000-0000-00003E0F0000}"/>
    <cellStyle name="Normal 17 6 4" xfId="3011" xr:uid="{00000000-0005-0000-0000-00003F0F0000}"/>
    <cellStyle name="Normal 17 7" xfId="3012" xr:uid="{00000000-0005-0000-0000-0000400F0000}"/>
    <cellStyle name="Normal 17 7 2" xfId="3013" xr:uid="{00000000-0005-0000-0000-0000410F0000}"/>
    <cellStyle name="Normal 17 7 2 2" xfId="3014" xr:uid="{00000000-0005-0000-0000-0000420F0000}"/>
    <cellStyle name="Normal 17 7 3" xfId="3015" xr:uid="{00000000-0005-0000-0000-0000430F0000}"/>
    <cellStyle name="Normal 17 8" xfId="3016" xr:uid="{00000000-0005-0000-0000-0000440F0000}"/>
    <cellStyle name="Normal 17 8 2" xfId="3017" xr:uid="{00000000-0005-0000-0000-0000450F0000}"/>
    <cellStyle name="Normal 17 8 2 2" xfId="3018" xr:uid="{00000000-0005-0000-0000-0000460F0000}"/>
    <cellStyle name="Normal 17 8 3" xfId="3019" xr:uid="{00000000-0005-0000-0000-0000470F0000}"/>
    <cellStyle name="Normal 17 9" xfId="3020" xr:uid="{00000000-0005-0000-0000-0000480F0000}"/>
    <cellStyle name="Normal 17 9 2" xfId="3021" xr:uid="{00000000-0005-0000-0000-0000490F0000}"/>
    <cellStyle name="Normal 17_Cap Forecast" xfId="3022" xr:uid="{00000000-0005-0000-0000-00004A0F0000}"/>
    <cellStyle name="Normal 170" xfId="11182" xr:uid="{00000000-0005-0000-0000-00004B0F0000}"/>
    <cellStyle name="Normal 171" xfId="10930" xr:uid="{00000000-0005-0000-0000-00004C0F0000}"/>
    <cellStyle name="Normal 172" xfId="10974" xr:uid="{00000000-0005-0000-0000-00004D0F0000}"/>
    <cellStyle name="Normal 173" xfId="11193" xr:uid="{00000000-0005-0000-0000-00004E0F0000}"/>
    <cellStyle name="Normal 174" xfId="11190" xr:uid="{00000000-0005-0000-0000-00004F0F0000}"/>
    <cellStyle name="Normal 175" xfId="11192" xr:uid="{00000000-0005-0000-0000-0000500F0000}"/>
    <cellStyle name="Normal 176" xfId="11191" xr:uid="{00000000-0005-0000-0000-0000510F0000}"/>
    <cellStyle name="Normal 177" xfId="11011" xr:uid="{00000000-0005-0000-0000-0000520F0000}"/>
    <cellStyle name="Normal 178" xfId="10964" xr:uid="{00000000-0005-0000-0000-0000530F0000}"/>
    <cellStyle name="Normal 179" xfId="11003" xr:uid="{00000000-0005-0000-0000-0000540F0000}"/>
    <cellStyle name="Normal 18" xfId="3023" xr:uid="{00000000-0005-0000-0000-0000550F0000}"/>
    <cellStyle name="Normal 18 10" xfId="3024" xr:uid="{00000000-0005-0000-0000-0000560F0000}"/>
    <cellStyle name="Normal 18 11" xfId="3025" xr:uid="{00000000-0005-0000-0000-0000570F0000}"/>
    <cellStyle name="Normal 18 2" xfId="3026" xr:uid="{00000000-0005-0000-0000-0000580F0000}"/>
    <cellStyle name="Normal 18 2 2" xfId="10005" xr:uid="{00000000-0005-0000-0000-0000590F0000}"/>
    <cellStyle name="Normal 18 3" xfId="3027" xr:uid="{00000000-0005-0000-0000-00005A0F0000}"/>
    <cellStyle name="Normal 18 3 2" xfId="3028" xr:uid="{00000000-0005-0000-0000-00005B0F0000}"/>
    <cellStyle name="Normal 18 3 2 2" xfId="3029" xr:uid="{00000000-0005-0000-0000-00005C0F0000}"/>
    <cellStyle name="Normal 18 3 2 2 2" xfId="3030" xr:uid="{00000000-0005-0000-0000-00005D0F0000}"/>
    <cellStyle name="Normal 18 3 2 2 2 2" xfId="3031" xr:uid="{00000000-0005-0000-0000-00005E0F0000}"/>
    <cellStyle name="Normal 18 3 2 2 3" xfId="3032" xr:uid="{00000000-0005-0000-0000-00005F0F0000}"/>
    <cellStyle name="Normal 18 3 2 3" xfId="3033" xr:uid="{00000000-0005-0000-0000-0000600F0000}"/>
    <cellStyle name="Normal 18 3 2 3 2" xfId="3034" xr:uid="{00000000-0005-0000-0000-0000610F0000}"/>
    <cellStyle name="Normal 18 3 2 4" xfId="3035" xr:uid="{00000000-0005-0000-0000-0000620F0000}"/>
    <cellStyle name="Normal 18 3 3" xfId="3036" xr:uid="{00000000-0005-0000-0000-0000630F0000}"/>
    <cellStyle name="Normal 18 3 3 2" xfId="3037" xr:uid="{00000000-0005-0000-0000-0000640F0000}"/>
    <cellStyle name="Normal 18 3 3 2 2" xfId="3038" xr:uid="{00000000-0005-0000-0000-0000650F0000}"/>
    <cellStyle name="Normal 18 3 3 3" xfId="3039" xr:uid="{00000000-0005-0000-0000-0000660F0000}"/>
    <cellStyle name="Normal 18 3 4" xfId="3040" xr:uid="{00000000-0005-0000-0000-0000670F0000}"/>
    <cellStyle name="Normal 18 3 4 2" xfId="3041" xr:uid="{00000000-0005-0000-0000-0000680F0000}"/>
    <cellStyle name="Normal 18 3 4 2 2" xfId="3042" xr:uid="{00000000-0005-0000-0000-0000690F0000}"/>
    <cellStyle name="Normal 18 3 4 3" xfId="3043" xr:uid="{00000000-0005-0000-0000-00006A0F0000}"/>
    <cellStyle name="Normal 18 3 5" xfId="3044" xr:uid="{00000000-0005-0000-0000-00006B0F0000}"/>
    <cellStyle name="Normal 18 3 5 2" xfId="3045" xr:uid="{00000000-0005-0000-0000-00006C0F0000}"/>
    <cellStyle name="Normal 18 3 6" xfId="3046" xr:uid="{00000000-0005-0000-0000-00006D0F0000}"/>
    <cellStyle name="Normal 18 4" xfId="3047" xr:uid="{00000000-0005-0000-0000-00006E0F0000}"/>
    <cellStyle name="Normal 18 4 2" xfId="3048" xr:uid="{00000000-0005-0000-0000-00006F0F0000}"/>
    <cellStyle name="Normal 18 4 2 2" xfId="3049" xr:uid="{00000000-0005-0000-0000-0000700F0000}"/>
    <cellStyle name="Normal 18 4 2 2 2" xfId="3050" xr:uid="{00000000-0005-0000-0000-0000710F0000}"/>
    <cellStyle name="Normal 18 4 2 2 2 2" xfId="3051" xr:uid="{00000000-0005-0000-0000-0000720F0000}"/>
    <cellStyle name="Normal 18 4 2 2 3" xfId="3052" xr:uid="{00000000-0005-0000-0000-0000730F0000}"/>
    <cellStyle name="Normal 18 4 2 3" xfId="3053" xr:uid="{00000000-0005-0000-0000-0000740F0000}"/>
    <cellStyle name="Normal 18 4 2 3 2" xfId="3054" xr:uid="{00000000-0005-0000-0000-0000750F0000}"/>
    <cellStyle name="Normal 18 4 2 4" xfId="3055" xr:uid="{00000000-0005-0000-0000-0000760F0000}"/>
    <cellStyle name="Normal 18 4 3" xfId="3056" xr:uid="{00000000-0005-0000-0000-0000770F0000}"/>
    <cellStyle name="Normal 18 4 3 2" xfId="3057" xr:uid="{00000000-0005-0000-0000-0000780F0000}"/>
    <cellStyle name="Normal 18 4 3 2 2" xfId="3058" xr:uid="{00000000-0005-0000-0000-0000790F0000}"/>
    <cellStyle name="Normal 18 4 3 3" xfId="3059" xr:uid="{00000000-0005-0000-0000-00007A0F0000}"/>
    <cellStyle name="Normal 18 4 4" xfId="3060" xr:uid="{00000000-0005-0000-0000-00007B0F0000}"/>
    <cellStyle name="Normal 18 4 4 2" xfId="3061" xr:uid="{00000000-0005-0000-0000-00007C0F0000}"/>
    <cellStyle name="Normal 18 4 4 2 2" xfId="3062" xr:uid="{00000000-0005-0000-0000-00007D0F0000}"/>
    <cellStyle name="Normal 18 4 4 3" xfId="3063" xr:uid="{00000000-0005-0000-0000-00007E0F0000}"/>
    <cellStyle name="Normal 18 4 5" xfId="3064" xr:uid="{00000000-0005-0000-0000-00007F0F0000}"/>
    <cellStyle name="Normal 18 4 5 2" xfId="3065" xr:uid="{00000000-0005-0000-0000-0000800F0000}"/>
    <cellStyle name="Normal 18 4 6" xfId="3066" xr:uid="{00000000-0005-0000-0000-0000810F0000}"/>
    <cellStyle name="Normal 18 5" xfId="3067" xr:uid="{00000000-0005-0000-0000-0000820F0000}"/>
    <cellStyle name="Normal 18 5 2" xfId="3068" xr:uid="{00000000-0005-0000-0000-0000830F0000}"/>
    <cellStyle name="Normal 18 5 2 2" xfId="3069" xr:uid="{00000000-0005-0000-0000-0000840F0000}"/>
    <cellStyle name="Normal 18 5 2 2 2" xfId="3070" xr:uid="{00000000-0005-0000-0000-0000850F0000}"/>
    <cellStyle name="Normal 18 5 2 2 2 2" xfId="3071" xr:uid="{00000000-0005-0000-0000-0000860F0000}"/>
    <cellStyle name="Normal 18 5 2 2 3" xfId="3072" xr:uid="{00000000-0005-0000-0000-0000870F0000}"/>
    <cellStyle name="Normal 18 5 2 3" xfId="3073" xr:uid="{00000000-0005-0000-0000-0000880F0000}"/>
    <cellStyle name="Normal 18 5 2 3 2" xfId="3074" xr:uid="{00000000-0005-0000-0000-0000890F0000}"/>
    <cellStyle name="Normal 18 5 2 4" xfId="3075" xr:uid="{00000000-0005-0000-0000-00008A0F0000}"/>
    <cellStyle name="Normal 18 5 3" xfId="3076" xr:uid="{00000000-0005-0000-0000-00008B0F0000}"/>
    <cellStyle name="Normal 18 5 3 2" xfId="3077" xr:uid="{00000000-0005-0000-0000-00008C0F0000}"/>
    <cellStyle name="Normal 18 5 3 2 2" xfId="3078" xr:uid="{00000000-0005-0000-0000-00008D0F0000}"/>
    <cellStyle name="Normal 18 5 3 3" xfId="3079" xr:uid="{00000000-0005-0000-0000-00008E0F0000}"/>
    <cellStyle name="Normal 18 5 4" xfId="3080" xr:uid="{00000000-0005-0000-0000-00008F0F0000}"/>
    <cellStyle name="Normal 18 5 4 2" xfId="3081" xr:uid="{00000000-0005-0000-0000-0000900F0000}"/>
    <cellStyle name="Normal 18 5 4 2 2" xfId="3082" xr:uid="{00000000-0005-0000-0000-0000910F0000}"/>
    <cellStyle name="Normal 18 5 4 3" xfId="3083" xr:uid="{00000000-0005-0000-0000-0000920F0000}"/>
    <cellStyle name="Normal 18 5 5" xfId="3084" xr:uid="{00000000-0005-0000-0000-0000930F0000}"/>
    <cellStyle name="Normal 18 5 5 2" xfId="3085" xr:uid="{00000000-0005-0000-0000-0000940F0000}"/>
    <cellStyle name="Normal 18 5 6" xfId="3086" xr:uid="{00000000-0005-0000-0000-0000950F0000}"/>
    <cellStyle name="Normal 18 6" xfId="3087" xr:uid="{00000000-0005-0000-0000-0000960F0000}"/>
    <cellStyle name="Normal 18 6 2" xfId="3088" xr:uid="{00000000-0005-0000-0000-0000970F0000}"/>
    <cellStyle name="Normal 18 6 2 2" xfId="3089" xr:uid="{00000000-0005-0000-0000-0000980F0000}"/>
    <cellStyle name="Normal 18 6 2 2 2" xfId="3090" xr:uid="{00000000-0005-0000-0000-0000990F0000}"/>
    <cellStyle name="Normal 18 6 2 3" xfId="3091" xr:uid="{00000000-0005-0000-0000-00009A0F0000}"/>
    <cellStyle name="Normal 18 6 3" xfId="3092" xr:uid="{00000000-0005-0000-0000-00009B0F0000}"/>
    <cellStyle name="Normal 18 6 3 2" xfId="3093" xr:uid="{00000000-0005-0000-0000-00009C0F0000}"/>
    <cellStyle name="Normal 18 6 4" xfId="3094" xr:uid="{00000000-0005-0000-0000-00009D0F0000}"/>
    <cellStyle name="Normal 18 7" xfId="3095" xr:uid="{00000000-0005-0000-0000-00009E0F0000}"/>
    <cellStyle name="Normal 18 7 2" xfId="3096" xr:uid="{00000000-0005-0000-0000-00009F0F0000}"/>
    <cellStyle name="Normal 18 7 3" xfId="3097" xr:uid="{00000000-0005-0000-0000-0000A00F0000}"/>
    <cellStyle name="Normal 18 7 3 2" xfId="3098" xr:uid="{00000000-0005-0000-0000-0000A10F0000}"/>
    <cellStyle name="Normal 18 7 4" xfId="3099" xr:uid="{00000000-0005-0000-0000-0000A20F0000}"/>
    <cellStyle name="Normal 18 8" xfId="3100" xr:uid="{00000000-0005-0000-0000-0000A30F0000}"/>
    <cellStyle name="Normal 18 8 2" xfId="3101" xr:uid="{00000000-0005-0000-0000-0000A40F0000}"/>
    <cellStyle name="Normal 18 8 2 2" xfId="3102" xr:uid="{00000000-0005-0000-0000-0000A50F0000}"/>
    <cellStyle name="Normal 18 8 3" xfId="3103" xr:uid="{00000000-0005-0000-0000-0000A60F0000}"/>
    <cellStyle name="Normal 18 9" xfId="3104" xr:uid="{00000000-0005-0000-0000-0000A70F0000}"/>
    <cellStyle name="Normal 18 9 2" xfId="3105" xr:uid="{00000000-0005-0000-0000-0000A80F0000}"/>
    <cellStyle name="Normal 18_Cap Forecast" xfId="3106" xr:uid="{00000000-0005-0000-0000-0000A90F0000}"/>
    <cellStyle name="Normal 180" xfId="10999" xr:uid="{00000000-0005-0000-0000-0000AA0F0000}"/>
    <cellStyle name="Normal 181" xfId="11001" xr:uid="{00000000-0005-0000-0000-0000AB0F0000}"/>
    <cellStyle name="Normal 182" xfId="11000" xr:uid="{00000000-0005-0000-0000-0000AC0F0000}"/>
    <cellStyle name="Normal 183" xfId="10949" xr:uid="{00000000-0005-0000-0000-0000AD0F0000}"/>
    <cellStyle name="Normal 184" xfId="10973" xr:uid="{00000000-0005-0000-0000-0000AE0F0000}"/>
    <cellStyle name="Normal 185" xfId="10957" xr:uid="{00000000-0005-0000-0000-0000AF0F0000}"/>
    <cellStyle name="Normal 186" xfId="10960" xr:uid="{00000000-0005-0000-0000-0000B00F0000}"/>
    <cellStyle name="Normal 187" xfId="10958" xr:uid="{00000000-0005-0000-0000-0000B10F0000}"/>
    <cellStyle name="Normal 188" xfId="10959" xr:uid="{00000000-0005-0000-0000-0000B20F0000}"/>
    <cellStyle name="Normal 189" xfId="10986" xr:uid="{00000000-0005-0000-0000-0000B30F0000}"/>
    <cellStyle name="Normal 19" xfId="3107" xr:uid="{00000000-0005-0000-0000-0000B40F0000}"/>
    <cellStyle name="Normal 19 2" xfId="3108" xr:uid="{00000000-0005-0000-0000-0000B50F0000}"/>
    <cellStyle name="Normal 19 2 2" xfId="3109" xr:uid="{00000000-0005-0000-0000-0000B60F0000}"/>
    <cellStyle name="Normal 19 2 2 2" xfId="3110" xr:uid="{00000000-0005-0000-0000-0000B70F0000}"/>
    <cellStyle name="Normal 19 2 2 2 2" xfId="3111" xr:uid="{00000000-0005-0000-0000-0000B80F0000}"/>
    <cellStyle name="Normal 19 2 2 2 2 2" xfId="3112" xr:uid="{00000000-0005-0000-0000-0000B90F0000}"/>
    <cellStyle name="Normal 19 2 2 2 2 2 2" xfId="3113" xr:uid="{00000000-0005-0000-0000-0000BA0F0000}"/>
    <cellStyle name="Normal 19 2 2 2 2 3" xfId="3114" xr:uid="{00000000-0005-0000-0000-0000BB0F0000}"/>
    <cellStyle name="Normal 19 2 2 2 3" xfId="3115" xr:uid="{00000000-0005-0000-0000-0000BC0F0000}"/>
    <cellStyle name="Normal 19 2 2 2 3 2" xfId="3116" xr:uid="{00000000-0005-0000-0000-0000BD0F0000}"/>
    <cellStyle name="Normal 19 2 2 2 4" xfId="3117" xr:uid="{00000000-0005-0000-0000-0000BE0F0000}"/>
    <cellStyle name="Normal 19 2 2 3" xfId="3118" xr:uid="{00000000-0005-0000-0000-0000BF0F0000}"/>
    <cellStyle name="Normal 19 2 2 3 2" xfId="3119" xr:uid="{00000000-0005-0000-0000-0000C00F0000}"/>
    <cellStyle name="Normal 19 2 2 3 2 2" xfId="3120" xr:uid="{00000000-0005-0000-0000-0000C10F0000}"/>
    <cellStyle name="Normal 19 2 2 3 3" xfId="3121" xr:uid="{00000000-0005-0000-0000-0000C20F0000}"/>
    <cellStyle name="Normal 19 2 2 4" xfId="3122" xr:uid="{00000000-0005-0000-0000-0000C30F0000}"/>
    <cellStyle name="Normal 19 2 2 4 2" xfId="3123" xr:uid="{00000000-0005-0000-0000-0000C40F0000}"/>
    <cellStyle name="Normal 19 2 2 4 2 2" xfId="3124" xr:uid="{00000000-0005-0000-0000-0000C50F0000}"/>
    <cellStyle name="Normal 19 2 2 4 3" xfId="3125" xr:uid="{00000000-0005-0000-0000-0000C60F0000}"/>
    <cellStyle name="Normal 19 2 2 5" xfId="3126" xr:uid="{00000000-0005-0000-0000-0000C70F0000}"/>
    <cellStyle name="Normal 19 2 2 5 2" xfId="3127" xr:uid="{00000000-0005-0000-0000-0000C80F0000}"/>
    <cellStyle name="Normal 19 2 2 6" xfId="3128" xr:uid="{00000000-0005-0000-0000-0000C90F0000}"/>
    <cellStyle name="Normal 19 2 3" xfId="3129" xr:uid="{00000000-0005-0000-0000-0000CA0F0000}"/>
    <cellStyle name="Normal 19 2 3 2" xfId="3130" xr:uid="{00000000-0005-0000-0000-0000CB0F0000}"/>
    <cellStyle name="Normal 19 2 3 2 2" xfId="3131" xr:uid="{00000000-0005-0000-0000-0000CC0F0000}"/>
    <cellStyle name="Normal 19 2 3 2 2 2" xfId="3132" xr:uid="{00000000-0005-0000-0000-0000CD0F0000}"/>
    <cellStyle name="Normal 19 2 3 2 2 2 2" xfId="3133" xr:uid="{00000000-0005-0000-0000-0000CE0F0000}"/>
    <cellStyle name="Normal 19 2 3 2 2 3" xfId="3134" xr:uid="{00000000-0005-0000-0000-0000CF0F0000}"/>
    <cellStyle name="Normal 19 2 3 2 3" xfId="3135" xr:uid="{00000000-0005-0000-0000-0000D00F0000}"/>
    <cellStyle name="Normal 19 2 3 2 3 2" xfId="3136" xr:uid="{00000000-0005-0000-0000-0000D10F0000}"/>
    <cellStyle name="Normal 19 2 3 2 4" xfId="3137" xr:uid="{00000000-0005-0000-0000-0000D20F0000}"/>
    <cellStyle name="Normal 19 2 3 3" xfId="3138" xr:uid="{00000000-0005-0000-0000-0000D30F0000}"/>
    <cellStyle name="Normal 19 2 3 3 2" xfId="3139" xr:uid="{00000000-0005-0000-0000-0000D40F0000}"/>
    <cellStyle name="Normal 19 2 3 3 2 2" xfId="3140" xr:uid="{00000000-0005-0000-0000-0000D50F0000}"/>
    <cellStyle name="Normal 19 2 3 3 3" xfId="3141" xr:uid="{00000000-0005-0000-0000-0000D60F0000}"/>
    <cellStyle name="Normal 19 2 3 4" xfId="3142" xr:uid="{00000000-0005-0000-0000-0000D70F0000}"/>
    <cellStyle name="Normal 19 2 3 4 2" xfId="3143" xr:uid="{00000000-0005-0000-0000-0000D80F0000}"/>
    <cellStyle name="Normal 19 2 3 4 2 2" xfId="3144" xr:uid="{00000000-0005-0000-0000-0000D90F0000}"/>
    <cellStyle name="Normal 19 2 3 4 3" xfId="3145" xr:uid="{00000000-0005-0000-0000-0000DA0F0000}"/>
    <cellStyle name="Normal 19 2 3 5" xfId="3146" xr:uid="{00000000-0005-0000-0000-0000DB0F0000}"/>
    <cellStyle name="Normal 19 2 3 5 2" xfId="3147" xr:uid="{00000000-0005-0000-0000-0000DC0F0000}"/>
    <cellStyle name="Normal 19 2 3 6" xfId="3148" xr:uid="{00000000-0005-0000-0000-0000DD0F0000}"/>
    <cellStyle name="Normal 19 2 4" xfId="3149" xr:uid="{00000000-0005-0000-0000-0000DE0F0000}"/>
    <cellStyle name="Normal 19 2 4 2" xfId="3150" xr:uid="{00000000-0005-0000-0000-0000DF0F0000}"/>
    <cellStyle name="Normal 19 2 4 2 2" xfId="3151" xr:uid="{00000000-0005-0000-0000-0000E00F0000}"/>
    <cellStyle name="Normal 19 2 4 2 2 2" xfId="3152" xr:uid="{00000000-0005-0000-0000-0000E10F0000}"/>
    <cellStyle name="Normal 19 2 4 2 3" xfId="3153" xr:uid="{00000000-0005-0000-0000-0000E20F0000}"/>
    <cellStyle name="Normal 19 2 4 3" xfId="3154" xr:uid="{00000000-0005-0000-0000-0000E30F0000}"/>
    <cellStyle name="Normal 19 2 4 3 2" xfId="3155" xr:uid="{00000000-0005-0000-0000-0000E40F0000}"/>
    <cellStyle name="Normal 19 2 4 4" xfId="3156" xr:uid="{00000000-0005-0000-0000-0000E50F0000}"/>
    <cellStyle name="Normal 19 2 5" xfId="3157" xr:uid="{00000000-0005-0000-0000-0000E60F0000}"/>
    <cellStyle name="Normal 19 2 5 2" xfId="3158" xr:uid="{00000000-0005-0000-0000-0000E70F0000}"/>
    <cellStyle name="Normal 19 2 5 2 2" xfId="10006" xr:uid="{00000000-0005-0000-0000-0000E80F0000}"/>
    <cellStyle name="Normal 19 2 5 3" xfId="3159" xr:uid="{00000000-0005-0000-0000-0000E90F0000}"/>
    <cellStyle name="Normal 19 2 5 3 2" xfId="3160" xr:uid="{00000000-0005-0000-0000-0000EA0F0000}"/>
    <cellStyle name="Normal 19 2 5 4" xfId="3161" xr:uid="{00000000-0005-0000-0000-0000EB0F0000}"/>
    <cellStyle name="Normal 19 2 6" xfId="3162" xr:uid="{00000000-0005-0000-0000-0000EC0F0000}"/>
    <cellStyle name="Normal 19 2 6 2" xfId="3163" xr:uid="{00000000-0005-0000-0000-0000ED0F0000}"/>
    <cellStyle name="Normal 19 2 6 2 2" xfId="3164" xr:uid="{00000000-0005-0000-0000-0000EE0F0000}"/>
    <cellStyle name="Normal 19 2 6 3" xfId="3165" xr:uid="{00000000-0005-0000-0000-0000EF0F0000}"/>
    <cellStyle name="Normal 19 2 7" xfId="3166" xr:uid="{00000000-0005-0000-0000-0000F00F0000}"/>
    <cellStyle name="Normal 19 2 7 2" xfId="3167" xr:uid="{00000000-0005-0000-0000-0000F10F0000}"/>
    <cellStyle name="Normal 19 2 8" xfId="3168" xr:uid="{00000000-0005-0000-0000-0000F20F0000}"/>
    <cellStyle name="Normal 19 3" xfId="3169" xr:uid="{00000000-0005-0000-0000-0000F30F0000}"/>
    <cellStyle name="Normal 19 3 2" xfId="3170" xr:uid="{00000000-0005-0000-0000-0000F40F0000}"/>
    <cellStyle name="Normal 19 3 2 2" xfId="3171" xr:uid="{00000000-0005-0000-0000-0000F50F0000}"/>
    <cellStyle name="Normal 19 3 3" xfId="3172" xr:uid="{00000000-0005-0000-0000-0000F60F0000}"/>
    <cellStyle name="Normal 19 4" xfId="3173" xr:uid="{00000000-0005-0000-0000-0000F70F0000}"/>
    <cellStyle name="Normal 19 5" xfId="9847" xr:uid="{00000000-0005-0000-0000-0000F80F0000}"/>
    <cellStyle name="Normal 19_Activity Fcst Variance" xfId="3174" xr:uid="{00000000-0005-0000-0000-0000F90F0000}"/>
    <cellStyle name="Normal 190" xfId="11199" xr:uid="{00000000-0005-0000-0000-0000FA0F0000}"/>
    <cellStyle name="Normal 191" xfId="11229" xr:uid="{00000000-0005-0000-0000-0000FB0F0000}"/>
    <cellStyle name="Normal 192" xfId="11236" xr:uid="{00000000-0005-0000-0000-0000FC0F0000}"/>
    <cellStyle name="Normal 193" xfId="11255" xr:uid="{00000000-0005-0000-0000-0000FD0F0000}"/>
    <cellStyle name="Normal 194" xfId="11307" xr:uid="{00000000-0005-0000-0000-0000FE0F0000}"/>
    <cellStyle name="Normal 195" xfId="11314" xr:uid="{00000000-0005-0000-0000-0000FF0F0000}"/>
    <cellStyle name="Normal 196" xfId="11316" xr:uid="{00000000-0005-0000-0000-000000100000}"/>
    <cellStyle name="Normal 197" xfId="11328" xr:uid="{00000000-0005-0000-0000-000001100000}"/>
    <cellStyle name="Normal 198" xfId="11334" xr:uid="{00000000-0005-0000-0000-000002100000}"/>
    <cellStyle name="Normal 199" xfId="11340" xr:uid="{00000000-0005-0000-0000-000003100000}"/>
    <cellStyle name="Normal 2" xfId="4" xr:uid="{00000000-0005-0000-0000-000004100000}"/>
    <cellStyle name="Normal 2 10" xfId="3175" xr:uid="{00000000-0005-0000-0000-000005100000}"/>
    <cellStyle name="Normal 2 10 2" xfId="10007" xr:uid="{00000000-0005-0000-0000-000006100000}"/>
    <cellStyle name="Normal 2 11" xfId="9682" xr:uid="{00000000-0005-0000-0000-000007100000}"/>
    <cellStyle name="Normal 2 11 2" xfId="11014" xr:uid="{00000000-0005-0000-0000-000008100000}"/>
    <cellStyle name="Normal 2 2" xfId="3176" xr:uid="{00000000-0005-0000-0000-000009100000}"/>
    <cellStyle name="Normal 2 2 10" xfId="3177" xr:uid="{00000000-0005-0000-0000-00000A100000}"/>
    <cellStyle name="Normal 2 2 10 2" xfId="3178" xr:uid="{00000000-0005-0000-0000-00000B100000}"/>
    <cellStyle name="Normal 2 2 10 2 2" xfId="3179" xr:uid="{00000000-0005-0000-0000-00000C100000}"/>
    <cellStyle name="Normal 2 2 10 3" xfId="3180" xr:uid="{00000000-0005-0000-0000-00000D100000}"/>
    <cellStyle name="Normal 2 2 11" xfId="3181" xr:uid="{00000000-0005-0000-0000-00000E100000}"/>
    <cellStyle name="Normal 2 2 12" xfId="3182" xr:uid="{00000000-0005-0000-0000-00000F100000}"/>
    <cellStyle name="Normal 2 2 12 2" xfId="3183" xr:uid="{00000000-0005-0000-0000-000010100000}"/>
    <cellStyle name="Normal 2 2 12 2 2" xfId="3184" xr:uid="{00000000-0005-0000-0000-000011100000}"/>
    <cellStyle name="Normal 2 2 12 2 2 2" xfId="10010" xr:uid="{00000000-0005-0000-0000-000012100000}"/>
    <cellStyle name="Normal 2 2 12 2 3" xfId="10009" xr:uid="{00000000-0005-0000-0000-000013100000}"/>
    <cellStyle name="Normal 2 2 12 3" xfId="3185" xr:uid="{00000000-0005-0000-0000-000014100000}"/>
    <cellStyle name="Normal 2 2 12 3 2" xfId="10011" xr:uid="{00000000-0005-0000-0000-000015100000}"/>
    <cellStyle name="Normal 2 2 12 4" xfId="10008" xr:uid="{00000000-0005-0000-0000-000016100000}"/>
    <cellStyle name="Normal 2 2 2" xfId="3186" xr:uid="{00000000-0005-0000-0000-000017100000}"/>
    <cellStyle name="Normal 2 2 2 2" xfId="3187" xr:uid="{00000000-0005-0000-0000-000018100000}"/>
    <cellStyle name="Normal 2 2 2 3" xfId="3188" xr:uid="{00000000-0005-0000-0000-000019100000}"/>
    <cellStyle name="Normal 2 2 2 3 2" xfId="10012" xr:uid="{00000000-0005-0000-0000-00001A100000}"/>
    <cellStyle name="Normal 2 2 2_Cap Forecast" xfId="3189" xr:uid="{00000000-0005-0000-0000-00001B100000}"/>
    <cellStyle name="Normal 2 2 3" xfId="3190" xr:uid="{00000000-0005-0000-0000-00001C100000}"/>
    <cellStyle name="Normal 2 2 3 2" xfId="3191" xr:uid="{00000000-0005-0000-0000-00001D100000}"/>
    <cellStyle name="Normal 2 2 3 2 2" xfId="10014" xr:uid="{00000000-0005-0000-0000-00001E100000}"/>
    <cellStyle name="Normal 2 2 3 3" xfId="3192" xr:uid="{00000000-0005-0000-0000-00001F100000}"/>
    <cellStyle name="Normal 2 2 3 3 2" xfId="3193" xr:uid="{00000000-0005-0000-0000-000020100000}"/>
    <cellStyle name="Normal 2 2 3 3 2 2" xfId="3194" xr:uid="{00000000-0005-0000-0000-000021100000}"/>
    <cellStyle name="Normal 2 2 3 3 3" xfId="3195" xr:uid="{00000000-0005-0000-0000-000022100000}"/>
    <cellStyle name="Normal 2 2 3 4" xfId="10013" xr:uid="{00000000-0005-0000-0000-000023100000}"/>
    <cellStyle name="Normal 2 2 3_Activity Fcst Variance" xfId="3196" xr:uid="{00000000-0005-0000-0000-000024100000}"/>
    <cellStyle name="Normal 2 2 4" xfId="3197" xr:uid="{00000000-0005-0000-0000-000025100000}"/>
    <cellStyle name="Normal 2 2 4 2" xfId="3198" xr:uid="{00000000-0005-0000-0000-000026100000}"/>
    <cellStyle name="Normal 2 2 4 2 2" xfId="3199" xr:uid="{00000000-0005-0000-0000-000027100000}"/>
    <cellStyle name="Normal 2 2 4 2 2 2" xfId="10017" xr:uid="{00000000-0005-0000-0000-000028100000}"/>
    <cellStyle name="Normal 2 2 4 2 3" xfId="10016" xr:uid="{00000000-0005-0000-0000-000029100000}"/>
    <cellStyle name="Normal 2 2 4 3" xfId="3200" xr:uid="{00000000-0005-0000-0000-00002A100000}"/>
    <cellStyle name="Normal 2 2 4 3 2" xfId="10018" xr:uid="{00000000-0005-0000-0000-00002B100000}"/>
    <cellStyle name="Normal 2 2 4 4" xfId="10015" xr:uid="{00000000-0005-0000-0000-00002C100000}"/>
    <cellStyle name="Normal 2 2 5" xfId="3201" xr:uid="{00000000-0005-0000-0000-00002D100000}"/>
    <cellStyle name="Normal 2 2 5 2" xfId="3202" xr:uid="{00000000-0005-0000-0000-00002E100000}"/>
    <cellStyle name="Normal 2 2 5 2 2" xfId="3203" xr:uid="{00000000-0005-0000-0000-00002F100000}"/>
    <cellStyle name="Normal 2 2 5 2 2 2" xfId="10021" xr:uid="{00000000-0005-0000-0000-000030100000}"/>
    <cellStyle name="Normal 2 2 5 2 3" xfId="10020" xr:uid="{00000000-0005-0000-0000-000031100000}"/>
    <cellStyle name="Normal 2 2 5 3" xfId="3204" xr:uid="{00000000-0005-0000-0000-000032100000}"/>
    <cellStyle name="Normal 2 2 5 3 2" xfId="10022" xr:uid="{00000000-0005-0000-0000-000033100000}"/>
    <cellStyle name="Normal 2 2 5 4" xfId="10019" xr:uid="{00000000-0005-0000-0000-000034100000}"/>
    <cellStyle name="Normal 2 2 6" xfId="3205" xr:uid="{00000000-0005-0000-0000-000035100000}"/>
    <cellStyle name="Normal 2 2 6 2" xfId="3206" xr:uid="{00000000-0005-0000-0000-000036100000}"/>
    <cellStyle name="Normal 2 2 6 2 2" xfId="3207" xr:uid="{00000000-0005-0000-0000-000037100000}"/>
    <cellStyle name="Normal 2 2 6 2 2 2" xfId="10025" xr:uid="{00000000-0005-0000-0000-000038100000}"/>
    <cellStyle name="Normal 2 2 6 2 3" xfId="10024" xr:uid="{00000000-0005-0000-0000-000039100000}"/>
    <cellStyle name="Normal 2 2 6 3" xfId="3208" xr:uid="{00000000-0005-0000-0000-00003A100000}"/>
    <cellStyle name="Normal 2 2 6 3 2" xfId="10026" xr:uid="{00000000-0005-0000-0000-00003B100000}"/>
    <cellStyle name="Normal 2 2 6 4" xfId="10023" xr:uid="{00000000-0005-0000-0000-00003C100000}"/>
    <cellStyle name="Normal 2 2 7" xfId="3209" xr:uid="{00000000-0005-0000-0000-00003D100000}"/>
    <cellStyle name="Normal 2 2 7 2" xfId="3210" xr:uid="{00000000-0005-0000-0000-00003E100000}"/>
    <cellStyle name="Normal 2 2 7 2 2" xfId="3211" xr:uid="{00000000-0005-0000-0000-00003F100000}"/>
    <cellStyle name="Normal 2 2 7 3" xfId="3212" xr:uid="{00000000-0005-0000-0000-000040100000}"/>
    <cellStyle name="Normal 2 2 8" xfId="3213" xr:uid="{00000000-0005-0000-0000-000041100000}"/>
    <cellStyle name="Normal 2 2 8 2" xfId="3214" xr:uid="{00000000-0005-0000-0000-000042100000}"/>
    <cellStyle name="Normal 2 2 8 2 2" xfId="3215" xr:uid="{00000000-0005-0000-0000-000043100000}"/>
    <cellStyle name="Normal 2 2 8 3" xfId="3216" xr:uid="{00000000-0005-0000-0000-000044100000}"/>
    <cellStyle name="Normal 2 2 9" xfId="3217" xr:uid="{00000000-0005-0000-0000-000045100000}"/>
    <cellStyle name="Normal 2 2_Activity Fcst Variance" xfId="3218" xr:uid="{00000000-0005-0000-0000-000046100000}"/>
    <cellStyle name="Normal 2 3" xfId="3219" xr:uid="{00000000-0005-0000-0000-000047100000}"/>
    <cellStyle name="Normal 2 3 10" xfId="10971" xr:uid="{00000000-0005-0000-0000-000048100000}"/>
    <cellStyle name="Normal 2 3 2" xfId="3220" xr:uid="{00000000-0005-0000-0000-000049100000}"/>
    <cellStyle name="Normal 2 3 2 2" xfId="3221" xr:uid="{00000000-0005-0000-0000-00004A100000}"/>
    <cellStyle name="Normal 2 3 2 2 2" xfId="3222" xr:uid="{00000000-0005-0000-0000-00004B100000}"/>
    <cellStyle name="Normal 2 3 2 2 2 2" xfId="3223" xr:uid="{00000000-0005-0000-0000-00004C100000}"/>
    <cellStyle name="Normal 2 3 2 2 2 2 2" xfId="3224" xr:uid="{00000000-0005-0000-0000-00004D100000}"/>
    <cellStyle name="Normal 2 3 2 2 2 2 2 2" xfId="3225" xr:uid="{00000000-0005-0000-0000-00004E100000}"/>
    <cellStyle name="Normal 2 3 2 2 2 2 3" xfId="3226" xr:uid="{00000000-0005-0000-0000-00004F100000}"/>
    <cellStyle name="Normal 2 3 2 2 2 3" xfId="3227" xr:uid="{00000000-0005-0000-0000-000050100000}"/>
    <cellStyle name="Normal 2 3 2 2 2 3 2" xfId="3228" xr:uid="{00000000-0005-0000-0000-000051100000}"/>
    <cellStyle name="Normal 2 3 2 2 2 4" xfId="3229" xr:uid="{00000000-0005-0000-0000-000052100000}"/>
    <cellStyle name="Normal 2 3 2 2 3" xfId="3230" xr:uid="{00000000-0005-0000-0000-000053100000}"/>
    <cellStyle name="Normal 2 3 2 2 3 2" xfId="3231" xr:uid="{00000000-0005-0000-0000-000054100000}"/>
    <cellStyle name="Normal 2 3 2 2 3 2 2" xfId="3232" xr:uid="{00000000-0005-0000-0000-000055100000}"/>
    <cellStyle name="Normal 2 3 2 2 3 2 2 2" xfId="3233" xr:uid="{00000000-0005-0000-0000-000056100000}"/>
    <cellStyle name="Normal 2 3 2 2 3 2 2 2 2" xfId="10029" xr:uid="{00000000-0005-0000-0000-000057100000}"/>
    <cellStyle name="Normal 2 3 2 2 3 2 2 3" xfId="10028" xr:uid="{00000000-0005-0000-0000-000058100000}"/>
    <cellStyle name="Normal 2 3 2 2 3 2 3" xfId="3234" xr:uid="{00000000-0005-0000-0000-000059100000}"/>
    <cellStyle name="Normal 2 3 2 2 3 2 3 2" xfId="10030" xr:uid="{00000000-0005-0000-0000-00005A100000}"/>
    <cellStyle name="Normal 2 3 2 2 3 2 4" xfId="10027" xr:uid="{00000000-0005-0000-0000-00005B100000}"/>
    <cellStyle name="Normal 2 3 2 2 3 3" xfId="3235" xr:uid="{00000000-0005-0000-0000-00005C100000}"/>
    <cellStyle name="Normal 2 3 2 2 3 3 2" xfId="3236" xr:uid="{00000000-0005-0000-0000-00005D100000}"/>
    <cellStyle name="Normal 2 3 2 2 3 4" xfId="3237" xr:uid="{00000000-0005-0000-0000-00005E100000}"/>
    <cellStyle name="Normal 2 3 2 2 4" xfId="3238" xr:uid="{00000000-0005-0000-0000-00005F100000}"/>
    <cellStyle name="Normal 2 3 2 2 4 2" xfId="3239" xr:uid="{00000000-0005-0000-0000-000060100000}"/>
    <cellStyle name="Normal 2 3 2 2 4 2 2" xfId="3240" xr:uid="{00000000-0005-0000-0000-000061100000}"/>
    <cellStyle name="Normal 2 3 2 2 4 3" xfId="3241" xr:uid="{00000000-0005-0000-0000-000062100000}"/>
    <cellStyle name="Normal 2 3 2 2 5" xfId="3242" xr:uid="{00000000-0005-0000-0000-000063100000}"/>
    <cellStyle name="Normal 2 3 2 2 5 2" xfId="3243" xr:uid="{00000000-0005-0000-0000-000064100000}"/>
    <cellStyle name="Normal 2 3 2 2 6" xfId="3244" xr:uid="{00000000-0005-0000-0000-000065100000}"/>
    <cellStyle name="Normal 2 3 2 3" xfId="3245" xr:uid="{00000000-0005-0000-0000-000066100000}"/>
    <cellStyle name="Normal 2 3 2 3 2" xfId="3246" xr:uid="{00000000-0005-0000-0000-000067100000}"/>
    <cellStyle name="Normal 2 3 2 3 2 2" xfId="3247" xr:uid="{00000000-0005-0000-0000-000068100000}"/>
    <cellStyle name="Normal 2 3 2 3 2 2 2" xfId="3248" xr:uid="{00000000-0005-0000-0000-000069100000}"/>
    <cellStyle name="Normal 2 3 2 3 2 2 2 2" xfId="3249" xr:uid="{00000000-0005-0000-0000-00006A100000}"/>
    <cellStyle name="Normal 2 3 2 3 2 2 3" xfId="3250" xr:uid="{00000000-0005-0000-0000-00006B100000}"/>
    <cellStyle name="Normal 2 3 2 3 2 3" xfId="3251" xr:uid="{00000000-0005-0000-0000-00006C100000}"/>
    <cellStyle name="Normal 2 3 2 3 2 3 2" xfId="3252" xr:uid="{00000000-0005-0000-0000-00006D100000}"/>
    <cellStyle name="Normal 2 3 2 3 2 4" xfId="3253" xr:uid="{00000000-0005-0000-0000-00006E100000}"/>
    <cellStyle name="Normal 2 3 2 3 3" xfId="3254" xr:uid="{00000000-0005-0000-0000-00006F100000}"/>
    <cellStyle name="Normal 2 3 2 3 3 2" xfId="3255" xr:uid="{00000000-0005-0000-0000-000070100000}"/>
    <cellStyle name="Normal 2 3 2 3 3 2 2" xfId="3256" xr:uid="{00000000-0005-0000-0000-000071100000}"/>
    <cellStyle name="Normal 2 3 2 3 3 3" xfId="3257" xr:uid="{00000000-0005-0000-0000-000072100000}"/>
    <cellStyle name="Normal 2 3 2 3 4" xfId="3258" xr:uid="{00000000-0005-0000-0000-000073100000}"/>
    <cellStyle name="Normal 2 3 2 3 4 2" xfId="3259" xr:uid="{00000000-0005-0000-0000-000074100000}"/>
    <cellStyle name="Normal 2 3 2 3 4 2 2" xfId="3260" xr:uid="{00000000-0005-0000-0000-000075100000}"/>
    <cellStyle name="Normal 2 3 2 3 4 3" xfId="3261" xr:uid="{00000000-0005-0000-0000-000076100000}"/>
    <cellStyle name="Normal 2 3 2 3 5" xfId="3262" xr:uid="{00000000-0005-0000-0000-000077100000}"/>
    <cellStyle name="Normal 2 3 2 3 5 2" xfId="3263" xr:uid="{00000000-0005-0000-0000-000078100000}"/>
    <cellStyle name="Normal 2 3 2 3 6" xfId="3264" xr:uid="{00000000-0005-0000-0000-000079100000}"/>
    <cellStyle name="Normal 2 3 2 4" xfId="3265" xr:uid="{00000000-0005-0000-0000-00007A100000}"/>
    <cellStyle name="Normal 2 3 2 4 2" xfId="3266" xr:uid="{00000000-0005-0000-0000-00007B100000}"/>
    <cellStyle name="Normal 2 3 2 4 2 2" xfId="3267" xr:uid="{00000000-0005-0000-0000-00007C100000}"/>
    <cellStyle name="Normal 2 3 2 4 2 2 2" xfId="3268" xr:uid="{00000000-0005-0000-0000-00007D100000}"/>
    <cellStyle name="Normal 2 3 2 4 2 2 2 2" xfId="10033" xr:uid="{00000000-0005-0000-0000-00007E100000}"/>
    <cellStyle name="Normal 2 3 2 4 2 2 3" xfId="10032" xr:uid="{00000000-0005-0000-0000-00007F100000}"/>
    <cellStyle name="Normal 2 3 2 4 2 3" xfId="3269" xr:uid="{00000000-0005-0000-0000-000080100000}"/>
    <cellStyle name="Normal 2 3 2 4 2 3 2" xfId="10034" xr:uid="{00000000-0005-0000-0000-000081100000}"/>
    <cellStyle name="Normal 2 3 2 4 2 4" xfId="10031" xr:uid="{00000000-0005-0000-0000-000082100000}"/>
    <cellStyle name="Normal 2 3 2 4 3" xfId="3270" xr:uid="{00000000-0005-0000-0000-000083100000}"/>
    <cellStyle name="Normal 2 3 2 4 3 2" xfId="3271" xr:uid="{00000000-0005-0000-0000-000084100000}"/>
    <cellStyle name="Normal 2 3 2 4 4" xfId="3272" xr:uid="{00000000-0005-0000-0000-000085100000}"/>
    <cellStyle name="Normal 2 3 2 5" xfId="3273" xr:uid="{00000000-0005-0000-0000-000086100000}"/>
    <cellStyle name="Normal 2 3 2 5 2" xfId="3274" xr:uid="{00000000-0005-0000-0000-000087100000}"/>
    <cellStyle name="Normal 2 3 2 5 2 2" xfId="3275" xr:uid="{00000000-0005-0000-0000-000088100000}"/>
    <cellStyle name="Normal 2 3 2 5 3" xfId="3276" xr:uid="{00000000-0005-0000-0000-000089100000}"/>
    <cellStyle name="Normal 2 3 2 6" xfId="3277" xr:uid="{00000000-0005-0000-0000-00008A100000}"/>
    <cellStyle name="Normal 2 3 2 6 2" xfId="3278" xr:uid="{00000000-0005-0000-0000-00008B100000}"/>
    <cellStyle name="Normal 2 3 2 6 2 2" xfId="3279" xr:uid="{00000000-0005-0000-0000-00008C100000}"/>
    <cellStyle name="Normal 2 3 2 6 3" xfId="3280" xr:uid="{00000000-0005-0000-0000-00008D100000}"/>
    <cellStyle name="Normal 2 3 2 7" xfId="3281" xr:uid="{00000000-0005-0000-0000-00008E100000}"/>
    <cellStyle name="Normal 2 3 2 7 2" xfId="3282" xr:uid="{00000000-0005-0000-0000-00008F100000}"/>
    <cellStyle name="Normal 2 3 2 8" xfId="3283" xr:uid="{00000000-0005-0000-0000-000090100000}"/>
    <cellStyle name="Normal 2 3 2 9" xfId="3284" xr:uid="{00000000-0005-0000-0000-000091100000}"/>
    <cellStyle name="Normal 2 3 2_Activity Fcst Variance" xfId="3285" xr:uid="{00000000-0005-0000-0000-000092100000}"/>
    <cellStyle name="Normal 2 3 3" xfId="3286" xr:uid="{00000000-0005-0000-0000-000093100000}"/>
    <cellStyle name="Normal 2 3 3 2" xfId="10035" xr:uid="{00000000-0005-0000-0000-000094100000}"/>
    <cellStyle name="Normal 2 3 4" xfId="3287" xr:uid="{00000000-0005-0000-0000-000095100000}"/>
    <cellStyle name="Normal 2 3 4 2" xfId="10036" xr:uid="{00000000-0005-0000-0000-000096100000}"/>
    <cellStyle name="Normal 2 3 5" xfId="3288" xr:uid="{00000000-0005-0000-0000-000097100000}"/>
    <cellStyle name="Normal 2 3 5 2" xfId="3289" xr:uid="{00000000-0005-0000-0000-000098100000}"/>
    <cellStyle name="Normal 2 3 5 2 2" xfId="3290" xr:uid="{00000000-0005-0000-0000-000099100000}"/>
    <cellStyle name="Normal 2 3 5 2 2 2" xfId="10039" xr:uid="{00000000-0005-0000-0000-00009A100000}"/>
    <cellStyle name="Normal 2 3 5 2 3" xfId="10038" xr:uid="{00000000-0005-0000-0000-00009B100000}"/>
    <cellStyle name="Normal 2 3 5 3" xfId="3291" xr:uid="{00000000-0005-0000-0000-00009C100000}"/>
    <cellStyle name="Normal 2 3 5 3 2" xfId="10040" xr:uid="{00000000-0005-0000-0000-00009D100000}"/>
    <cellStyle name="Normal 2 3 5 4" xfId="10037" xr:uid="{00000000-0005-0000-0000-00009E100000}"/>
    <cellStyle name="Normal 2 3 6" xfId="9877" xr:uid="{00000000-0005-0000-0000-00009F100000}"/>
    <cellStyle name="Normal 2 3 7" xfId="10966" xr:uid="{00000000-0005-0000-0000-0000A0100000}"/>
    <cellStyle name="Normal 2 3 8" xfId="10972" xr:uid="{00000000-0005-0000-0000-0000A1100000}"/>
    <cellStyle name="Normal 2 3 9" xfId="10965" xr:uid="{00000000-0005-0000-0000-0000A2100000}"/>
    <cellStyle name="Normal 2 3_Activity Fcst Variance" xfId="3292" xr:uid="{00000000-0005-0000-0000-0000A3100000}"/>
    <cellStyle name="Normal 2 4" xfId="3293" xr:uid="{00000000-0005-0000-0000-0000A4100000}"/>
    <cellStyle name="Normal 2 4 2" xfId="3294" xr:uid="{00000000-0005-0000-0000-0000A5100000}"/>
    <cellStyle name="Normal 2 4 3" xfId="3295" xr:uid="{00000000-0005-0000-0000-0000A6100000}"/>
    <cellStyle name="Normal 2 4 3 2" xfId="3296" xr:uid="{00000000-0005-0000-0000-0000A7100000}"/>
    <cellStyle name="Normal 2 4 3 2 2" xfId="3297" xr:uid="{00000000-0005-0000-0000-0000A8100000}"/>
    <cellStyle name="Normal 2 4 3 2 2 2" xfId="10043" xr:uid="{00000000-0005-0000-0000-0000A9100000}"/>
    <cellStyle name="Normal 2 4 3 2 3" xfId="10042" xr:uid="{00000000-0005-0000-0000-0000AA100000}"/>
    <cellStyle name="Normal 2 4 3 3" xfId="3298" xr:uid="{00000000-0005-0000-0000-0000AB100000}"/>
    <cellStyle name="Normal 2 4 3 3 2" xfId="10044" xr:uid="{00000000-0005-0000-0000-0000AC100000}"/>
    <cellStyle name="Normal 2 4 3 4" xfId="10041" xr:uid="{00000000-0005-0000-0000-0000AD100000}"/>
    <cellStyle name="Normal 2 4_Activity Fcst Variance" xfId="3299" xr:uid="{00000000-0005-0000-0000-0000AE100000}"/>
    <cellStyle name="Normal 2 5" xfId="3300" xr:uid="{00000000-0005-0000-0000-0000AF100000}"/>
    <cellStyle name="Normal 2 5 2" xfId="3301" xr:uid="{00000000-0005-0000-0000-0000B0100000}"/>
    <cellStyle name="Normal 2 5 3" xfId="3302" xr:uid="{00000000-0005-0000-0000-0000B1100000}"/>
    <cellStyle name="Normal 2 5 3 2" xfId="10045" xr:uid="{00000000-0005-0000-0000-0000B2100000}"/>
    <cellStyle name="Normal 2 5_Cap Forecast" xfId="3303" xr:uid="{00000000-0005-0000-0000-0000B3100000}"/>
    <cellStyle name="Normal 2 6" xfId="3304" xr:uid="{00000000-0005-0000-0000-0000B4100000}"/>
    <cellStyle name="Normal 2 6 2" xfId="3305" xr:uid="{00000000-0005-0000-0000-0000B5100000}"/>
    <cellStyle name="Normal 2 6 2 2" xfId="3306" xr:uid="{00000000-0005-0000-0000-0000B6100000}"/>
    <cellStyle name="Normal 2 6 3" xfId="3307" xr:uid="{00000000-0005-0000-0000-0000B7100000}"/>
    <cellStyle name="Normal 2 7" xfId="3308" xr:uid="{00000000-0005-0000-0000-0000B8100000}"/>
    <cellStyle name="Normal 2 7 2" xfId="3309" xr:uid="{00000000-0005-0000-0000-0000B9100000}"/>
    <cellStyle name="Normal 2 7 2 2" xfId="3310" xr:uid="{00000000-0005-0000-0000-0000BA100000}"/>
    <cellStyle name="Normal 2 7 3" xfId="3311" xr:uid="{00000000-0005-0000-0000-0000BB100000}"/>
    <cellStyle name="Normal 2 8" xfId="3312" xr:uid="{00000000-0005-0000-0000-0000BC100000}"/>
    <cellStyle name="Normal 2 8 2" xfId="3313" xr:uid="{00000000-0005-0000-0000-0000BD100000}"/>
    <cellStyle name="Normal 2 8 2 2" xfId="3314" xr:uid="{00000000-0005-0000-0000-0000BE100000}"/>
    <cellStyle name="Normal 2 8 3" xfId="3315" xr:uid="{00000000-0005-0000-0000-0000BF100000}"/>
    <cellStyle name="Normal 2 9" xfId="3316" xr:uid="{00000000-0005-0000-0000-0000C0100000}"/>
    <cellStyle name="Normal 2 9 2" xfId="3317" xr:uid="{00000000-0005-0000-0000-0000C1100000}"/>
    <cellStyle name="Normal 2 9 2 2" xfId="3318" xr:uid="{00000000-0005-0000-0000-0000C2100000}"/>
    <cellStyle name="Normal 2 9 3" xfId="3319" xr:uid="{00000000-0005-0000-0000-0000C3100000}"/>
    <cellStyle name="Normal 2_Activity Fcst Variance" xfId="3320" xr:uid="{00000000-0005-0000-0000-0000C4100000}"/>
    <cellStyle name="Normal 20" xfId="3321" xr:uid="{00000000-0005-0000-0000-0000C5100000}"/>
    <cellStyle name="Normal 20 10" xfId="3322" xr:uid="{00000000-0005-0000-0000-0000C6100000}"/>
    <cellStyle name="Normal 20 2" xfId="3323" xr:uid="{00000000-0005-0000-0000-0000C7100000}"/>
    <cellStyle name="Normal 20 2 2" xfId="3324" xr:uid="{00000000-0005-0000-0000-0000C8100000}"/>
    <cellStyle name="Normal 20 2 2 2" xfId="3325" xr:uid="{00000000-0005-0000-0000-0000C9100000}"/>
    <cellStyle name="Normal 20 2 2 2 2" xfId="3326" xr:uid="{00000000-0005-0000-0000-0000CA100000}"/>
    <cellStyle name="Normal 20 2 2 2 2 2" xfId="3327" xr:uid="{00000000-0005-0000-0000-0000CB100000}"/>
    <cellStyle name="Normal 20 2 2 2 3" xfId="3328" xr:uid="{00000000-0005-0000-0000-0000CC100000}"/>
    <cellStyle name="Normal 20 2 2 3" xfId="3329" xr:uid="{00000000-0005-0000-0000-0000CD100000}"/>
    <cellStyle name="Normal 20 2 2 3 2" xfId="3330" xr:uid="{00000000-0005-0000-0000-0000CE100000}"/>
    <cellStyle name="Normal 20 2 2 4" xfId="3331" xr:uid="{00000000-0005-0000-0000-0000CF100000}"/>
    <cellStyle name="Normal 20 2 3" xfId="3332" xr:uid="{00000000-0005-0000-0000-0000D0100000}"/>
    <cellStyle name="Normal 20 2 3 2" xfId="3333" xr:uid="{00000000-0005-0000-0000-0000D1100000}"/>
    <cellStyle name="Normal 20 2 3 2 2" xfId="10046" xr:uid="{00000000-0005-0000-0000-0000D2100000}"/>
    <cellStyle name="Normal 20 2 3 3" xfId="3334" xr:uid="{00000000-0005-0000-0000-0000D3100000}"/>
    <cellStyle name="Normal 20 2 3 3 2" xfId="3335" xr:uid="{00000000-0005-0000-0000-0000D4100000}"/>
    <cellStyle name="Normal 20 2 3 4" xfId="3336" xr:uid="{00000000-0005-0000-0000-0000D5100000}"/>
    <cellStyle name="Normal 20 2 4" xfId="3337" xr:uid="{00000000-0005-0000-0000-0000D6100000}"/>
    <cellStyle name="Normal 20 2 4 2" xfId="3338" xr:uid="{00000000-0005-0000-0000-0000D7100000}"/>
    <cellStyle name="Normal 20 2 4 2 2" xfId="3339" xr:uid="{00000000-0005-0000-0000-0000D8100000}"/>
    <cellStyle name="Normal 20 2 4 3" xfId="3340" xr:uid="{00000000-0005-0000-0000-0000D9100000}"/>
    <cellStyle name="Normal 20 2 5" xfId="3341" xr:uid="{00000000-0005-0000-0000-0000DA100000}"/>
    <cellStyle name="Normal 20 2 5 2" xfId="3342" xr:uid="{00000000-0005-0000-0000-0000DB100000}"/>
    <cellStyle name="Normal 20 2 6" xfId="3343" xr:uid="{00000000-0005-0000-0000-0000DC100000}"/>
    <cellStyle name="Normal 20 3" xfId="3344" xr:uid="{00000000-0005-0000-0000-0000DD100000}"/>
    <cellStyle name="Normal 20 3 2" xfId="3345" xr:uid="{00000000-0005-0000-0000-0000DE100000}"/>
    <cellStyle name="Normal 20 3 2 2" xfId="3346" xr:uid="{00000000-0005-0000-0000-0000DF100000}"/>
    <cellStyle name="Normal 20 3 2 2 2" xfId="3347" xr:uid="{00000000-0005-0000-0000-0000E0100000}"/>
    <cellStyle name="Normal 20 3 2 2 2 2" xfId="3348" xr:uid="{00000000-0005-0000-0000-0000E1100000}"/>
    <cellStyle name="Normal 20 3 2 2 3" xfId="3349" xr:uid="{00000000-0005-0000-0000-0000E2100000}"/>
    <cellStyle name="Normal 20 3 2 3" xfId="3350" xr:uid="{00000000-0005-0000-0000-0000E3100000}"/>
    <cellStyle name="Normal 20 3 2 3 2" xfId="3351" xr:uid="{00000000-0005-0000-0000-0000E4100000}"/>
    <cellStyle name="Normal 20 3 2 4" xfId="3352" xr:uid="{00000000-0005-0000-0000-0000E5100000}"/>
    <cellStyle name="Normal 20 3 3" xfId="3353" xr:uid="{00000000-0005-0000-0000-0000E6100000}"/>
    <cellStyle name="Normal 20 3 3 2" xfId="3354" xr:uid="{00000000-0005-0000-0000-0000E7100000}"/>
    <cellStyle name="Normal 20 3 3 2 2" xfId="3355" xr:uid="{00000000-0005-0000-0000-0000E8100000}"/>
    <cellStyle name="Normal 20 3 3 3" xfId="3356" xr:uid="{00000000-0005-0000-0000-0000E9100000}"/>
    <cellStyle name="Normal 20 3 4" xfId="3357" xr:uid="{00000000-0005-0000-0000-0000EA100000}"/>
    <cellStyle name="Normal 20 3 4 2" xfId="3358" xr:uid="{00000000-0005-0000-0000-0000EB100000}"/>
    <cellStyle name="Normal 20 3 4 2 2" xfId="3359" xr:uid="{00000000-0005-0000-0000-0000EC100000}"/>
    <cellStyle name="Normal 20 3 4 3" xfId="3360" xr:uid="{00000000-0005-0000-0000-0000ED100000}"/>
    <cellStyle name="Normal 20 3 5" xfId="3361" xr:uid="{00000000-0005-0000-0000-0000EE100000}"/>
    <cellStyle name="Normal 20 3 5 2" xfId="3362" xr:uid="{00000000-0005-0000-0000-0000EF100000}"/>
    <cellStyle name="Normal 20 3 6" xfId="3363" xr:uid="{00000000-0005-0000-0000-0000F0100000}"/>
    <cellStyle name="Normal 20 4" xfId="3364" xr:uid="{00000000-0005-0000-0000-0000F1100000}"/>
    <cellStyle name="Normal 20 4 2" xfId="3365" xr:uid="{00000000-0005-0000-0000-0000F2100000}"/>
    <cellStyle name="Normal 20 4 2 2" xfId="3366" xr:uid="{00000000-0005-0000-0000-0000F3100000}"/>
    <cellStyle name="Normal 20 4 2 2 2" xfId="3367" xr:uid="{00000000-0005-0000-0000-0000F4100000}"/>
    <cellStyle name="Normal 20 4 2 2 2 2" xfId="3368" xr:uid="{00000000-0005-0000-0000-0000F5100000}"/>
    <cellStyle name="Normal 20 4 2 2 3" xfId="3369" xr:uid="{00000000-0005-0000-0000-0000F6100000}"/>
    <cellStyle name="Normal 20 4 2 3" xfId="3370" xr:uid="{00000000-0005-0000-0000-0000F7100000}"/>
    <cellStyle name="Normal 20 4 2 3 2" xfId="3371" xr:uid="{00000000-0005-0000-0000-0000F8100000}"/>
    <cellStyle name="Normal 20 4 2 4" xfId="3372" xr:uid="{00000000-0005-0000-0000-0000F9100000}"/>
    <cellStyle name="Normal 20 4 3" xfId="3373" xr:uid="{00000000-0005-0000-0000-0000FA100000}"/>
    <cellStyle name="Normal 20 4 3 2" xfId="3374" xr:uid="{00000000-0005-0000-0000-0000FB100000}"/>
    <cellStyle name="Normal 20 4 3 2 2" xfId="3375" xr:uid="{00000000-0005-0000-0000-0000FC100000}"/>
    <cellStyle name="Normal 20 4 3 3" xfId="3376" xr:uid="{00000000-0005-0000-0000-0000FD100000}"/>
    <cellStyle name="Normal 20 4 4" xfId="3377" xr:uid="{00000000-0005-0000-0000-0000FE100000}"/>
    <cellStyle name="Normal 20 4 4 2" xfId="3378" xr:uid="{00000000-0005-0000-0000-0000FF100000}"/>
    <cellStyle name="Normal 20 4 4 2 2" xfId="3379" xr:uid="{00000000-0005-0000-0000-000000110000}"/>
    <cellStyle name="Normal 20 4 4 3" xfId="3380" xr:uid="{00000000-0005-0000-0000-000001110000}"/>
    <cellStyle name="Normal 20 4 5" xfId="3381" xr:uid="{00000000-0005-0000-0000-000002110000}"/>
    <cellStyle name="Normal 20 4 5 2" xfId="3382" xr:uid="{00000000-0005-0000-0000-000003110000}"/>
    <cellStyle name="Normal 20 4 6" xfId="3383" xr:uid="{00000000-0005-0000-0000-000004110000}"/>
    <cellStyle name="Normal 20 5" xfId="3384" xr:uid="{00000000-0005-0000-0000-000005110000}"/>
    <cellStyle name="Normal 20 5 2" xfId="3385" xr:uid="{00000000-0005-0000-0000-000006110000}"/>
    <cellStyle name="Normal 20 5 2 2" xfId="3386" xr:uid="{00000000-0005-0000-0000-000007110000}"/>
    <cellStyle name="Normal 20 5 2 2 2" xfId="3387" xr:uid="{00000000-0005-0000-0000-000008110000}"/>
    <cellStyle name="Normal 20 5 2 3" xfId="3388" xr:uid="{00000000-0005-0000-0000-000009110000}"/>
    <cellStyle name="Normal 20 5 3" xfId="3389" xr:uid="{00000000-0005-0000-0000-00000A110000}"/>
    <cellStyle name="Normal 20 5 3 2" xfId="3390" xr:uid="{00000000-0005-0000-0000-00000B110000}"/>
    <cellStyle name="Normal 20 5 4" xfId="3391" xr:uid="{00000000-0005-0000-0000-00000C110000}"/>
    <cellStyle name="Normal 20 6" xfId="3392" xr:uid="{00000000-0005-0000-0000-00000D110000}"/>
    <cellStyle name="Normal 20 6 2" xfId="3393" xr:uid="{00000000-0005-0000-0000-00000E110000}"/>
    <cellStyle name="Normal 20 6 2 2" xfId="10047" xr:uid="{00000000-0005-0000-0000-00000F110000}"/>
    <cellStyle name="Normal 20 6 3" xfId="3394" xr:uid="{00000000-0005-0000-0000-000010110000}"/>
    <cellStyle name="Normal 20 6 3 2" xfId="3395" xr:uid="{00000000-0005-0000-0000-000011110000}"/>
    <cellStyle name="Normal 20 6 4" xfId="3396" xr:uid="{00000000-0005-0000-0000-000012110000}"/>
    <cellStyle name="Normal 20 7" xfId="3397" xr:uid="{00000000-0005-0000-0000-000013110000}"/>
    <cellStyle name="Normal 20 7 2" xfId="3398" xr:uid="{00000000-0005-0000-0000-000014110000}"/>
    <cellStyle name="Normal 20 7 2 2" xfId="3399" xr:uid="{00000000-0005-0000-0000-000015110000}"/>
    <cellStyle name="Normal 20 7 3" xfId="3400" xr:uid="{00000000-0005-0000-0000-000016110000}"/>
    <cellStyle name="Normal 20 8" xfId="3401" xr:uid="{00000000-0005-0000-0000-000017110000}"/>
    <cellStyle name="Normal 20 8 2" xfId="3402" xr:uid="{00000000-0005-0000-0000-000018110000}"/>
    <cellStyle name="Normal 20 9" xfId="3403" xr:uid="{00000000-0005-0000-0000-000019110000}"/>
    <cellStyle name="Normal 20_Activity Fcst Variance" xfId="3404" xr:uid="{00000000-0005-0000-0000-00001A110000}"/>
    <cellStyle name="Normal 200" xfId="11348" xr:uid="{00000000-0005-0000-0000-00001B110000}"/>
    <cellStyle name="Normal 201" xfId="11355" xr:uid="{00000000-0005-0000-0000-00001C110000}"/>
    <cellStyle name="Normal 202" xfId="11361" xr:uid="{00000000-0005-0000-0000-00001D110000}"/>
    <cellStyle name="Normal 203" xfId="11367" xr:uid="{00000000-0005-0000-0000-00001E110000}"/>
    <cellStyle name="Normal 204" xfId="11373" xr:uid="{00000000-0005-0000-0000-00001F110000}"/>
    <cellStyle name="Normal 205" xfId="11379" xr:uid="{00000000-0005-0000-0000-000020110000}"/>
    <cellStyle name="Normal 206" xfId="11384" xr:uid="{00000000-0005-0000-0000-000021110000}"/>
    <cellStyle name="Normal 207" xfId="11388" xr:uid="{00000000-0005-0000-0000-000022110000}"/>
    <cellStyle name="Normal 208" xfId="11392" xr:uid="{00000000-0005-0000-0000-000023110000}"/>
    <cellStyle name="Normal 209" xfId="11395" xr:uid="{00000000-0005-0000-0000-000024110000}"/>
    <cellStyle name="Normal 21" xfId="3405" xr:uid="{00000000-0005-0000-0000-000025110000}"/>
    <cellStyle name="Normal 21 10" xfId="3406" xr:uid="{00000000-0005-0000-0000-000026110000}"/>
    <cellStyle name="Normal 21 2" xfId="3407" xr:uid="{00000000-0005-0000-0000-000027110000}"/>
    <cellStyle name="Normal 21 2 2" xfId="3408" xr:uid="{00000000-0005-0000-0000-000028110000}"/>
    <cellStyle name="Normal 21 2 2 2" xfId="3409" xr:uid="{00000000-0005-0000-0000-000029110000}"/>
    <cellStyle name="Normal 21 2 2 2 2" xfId="3410" xr:uid="{00000000-0005-0000-0000-00002A110000}"/>
    <cellStyle name="Normal 21 2 2 2 2 2" xfId="3411" xr:uid="{00000000-0005-0000-0000-00002B110000}"/>
    <cellStyle name="Normal 21 2 2 2 3" xfId="3412" xr:uid="{00000000-0005-0000-0000-00002C110000}"/>
    <cellStyle name="Normal 21 2 2 3" xfId="3413" xr:uid="{00000000-0005-0000-0000-00002D110000}"/>
    <cellStyle name="Normal 21 2 2 3 2" xfId="3414" xr:uid="{00000000-0005-0000-0000-00002E110000}"/>
    <cellStyle name="Normal 21 2 2 4" xfId="3415" xr:uid="{00000000-0005-0000-0000-00002F110000}"/>
    <cellStyle name="Normal 21 2 3" xfId="3416" xr:uid="{00000000-0005-0000-0000-000030110000}"/>
    <cellStyle name="Normal 21 2 3 2" xfId="3417" xr:uid="{00000000-0005-0000-0000-000031110000}"/>
    <cellStyle name="Normal 21 2 3 2 2" xfId="10048" xr:uid="{00000000-0005-0000-0000-000032110000}"/>
    <cellStyle name="Normal 21 2 3 3" xfId="3418" xr:uid="{00000000-0005-0000-0000-000033110000}"/>
    <cellStyle name="Normal 21 2 3 3 2" xfId="3419" xr:uid="{00000000-0005-0000-0000-000034110000}"/>
    <cellStyle name="Normal 21 2 3 4" xfId="3420" xr:uid="{00000000-0005-0000-0000-000035110000}"/>
    <cellStyle name="Normal 21 2 4" xfId="3421" xr:uid="{00000000-0005-0000-0000-000036110000}"/>
    <cellStyle name="Normal 21 2 4 2" xfId="3422" xr:uid="{00000000-0005-0000-0000-000037110000}"/>
    <cellStyle name="Normal 21 2 4 2 2" xfId="3423" xr:uid="{00000000-0005-0000-0000-000038110000}"/>
    <cellStyle name="Normal 21 2 4 3" xfId="3424" xr:uid="{00000000-0005-0000-0000-000039110000}"/>
    <cellStyle name="Normal 21 2 5" xfId="3425" xr:uid="{00000000-0005-0000-0000-00003A110000}"/>
    <cellStyle name="Normal 21 2 5 2" xfId="3426" xr:uid="{00000000-0005-0000-0000-00003B110000}"/>
    <cellStyle name="Normal 21 2 6" xfId="3427" xr:uid="{00000000-0005-0000-0000-00003C110000}"/>
    <cellStyle name="Normal 21 3" xfId="3428" xr:uid="{00000000-0005-0000-0000-00003D110000}"/>
    <cellStyle name="Normal 21 3 2" xfId="3429" xr:uid="{00000000-0005-0000-0000-00003E110000}"/>
    <cellStyle name="Normal 21 3 2 2" xfId="3430" xr:uid="{00000000-0005-0000-0000-00003F110000}"/>
    <cellStyle name="Normal 21 3 2 2 2" xfId="3431" xr:uid="{00000000-0005-0000-0000-000040110000}"/>
    <cellStyle name="Normal 21 3 2 2 2 2" xfId="3432" xr:uid="{00000000-0005-0000-0000-000041110000}"/>
    <cellStyle name="Normal 21 3 2 2 3" xfId="3433" xr:uid="{00000000-0005-0000-0000-000042110000}"/>
    <cellStyle name="Normal 21 3 2 3" xfId="3434" xr:uid="{00000000-0005-0000-0000-000043110000}"/>
    <cellStyle name="Normal 21 3 2 3 2" xfId="3435" xr:uid="{00000000-0005-0000-0000-000044110000}"/>
    <cellStyle name="Normal 21 3 2 4" xfId="3436" xr:uid="{00000000-0005-0000-0000-000045110000}"/>
    <cellStyle name="Normal 21 3 3" xfId="3437" xr:uid="{00000000-0005-0000-0000-000046110000}"/>
    <cellStyle name="Normal 21 3 3 2" xfId="3438" xr:uid="{00000000-0005-0000-0000-000047110000}"/>
    <cellStyle name="Normal 21 3 3 2 2" xfId="3439" xr:uid="{00000000-0005-0000-0000-000048110000}"/>
    <cellStyle name="Normal 21 3 3 3" xfId="3440" xr:uid="{00000000-0005-0000-0000-000049110000}"/>
    <cellStyle name="Normal 21 3 4" xfId="3441" xr:uid="{00000000-0005-0000-0000-00004A110000}"/>
    <cellStyle name="Normal 21 3 4 2" xfId="3442" xr:uid="{00000000-0005-0000-0000-00004B110000}"/>
    <cellStyle name="Normal 21 3 4 2 2" xfId="3443" xr:uid="{00000000-0005-0000-0000-00004C110000}"/>
    <cellStyle name="Normal 21 3 4 3" xfId="3444" xr:uid="{00000000-0005-0000-0000-00004D110000}"/>
    <cellStyle name="Normal 21 3 5" xfId="3445" xr:uid="{00000000-0005-0000-0000-00004E110000}"/>
    <cellStyle name="Normal 21 3 5 2" xfId="3446" xr:uid="{00000000-0005-0000-0000-00004F110000}"/>
    <cellStyle name="Normal 21 3 6" xfId="3447" xr:uid="{00000000-0005-0000-0000-000050110000}"/>
    <cellStyle name="Normal 21 4" xfId="3448" xr:uid="{00000000-0005-0000-0000-000051110000}"/>
    <cellStyle name="Normal 21 4 2" xfId="3449" xr:uid="{00000000-0005-0000-0000-000052110000}"/>
    <cellStyle name="Normal 21 4 2 2" xfId="3450" xr:uid="{00000000-0005-0000-0000-000053110000}"/>
    <cellStyle name="Normal 21 4 2 2 2" xfId="3451" xr:uid="{00000000-0005-0000-0000-000054110000}"/>
    <cellStyle name="Normal 21 4 2 2 2 2" xfId="3452" xr:uid="{00000000-0005-0000-0000-000055110000}"/>
    <cellStyle name="Normal 21 4 2 2 3" xfId="3453" xr:uid="{00000000-0005-0000-0000-000056110000}"/>
    <cellStyle name="Normal 21 4 2 3" xfId="3454" xr:uid="{00000000-0005-0000-0000-000057110000}"/>
    <cellStyle name="Normal 21 4 2 3 2" xfId="3455" xr:uid="{00000000-0005-0000-0000-000058110000}"/>
    <cellStyle name="Normal 21 4 2 4" xfId="3456" xr:uid="{00000000-0005-0000-0000-000059110000}"/>
    <cellStyle name="Normal 21 4 3" xfId="3457" xr:uid="{00000000-0005-0000-0000-00005A110000}"/>
    <cellStyle name="Normal 21 4 3 2" xfId="3458" xr:uid="{00000000-0005-0000-0000-00005B110000}"/>
    <cellStyle name="Normal 21 4 3 2 2" xfId="3459" xr:uid="{00000000-0005-0000-0000-00005C110000}"/>
    <cellStyle name="Normal 21 4 3 3" xfId="3460" xr:uid="{00000000-0005-0000-0000-00005D110000}"/>
    <cellStyle name="Normal 21 4 4" xfId="3461" xr:uid="{00000000-0005-0000-0000-00005E110000}"/>
    <cellStyle name="Normal 21 4 4 2" xfId="3462" xr:uid="{00000000-0005-0000-0000-00005F110000}"/>
    <cellStyle name="Normal 21 4 4 2 2" xfId="3463" xr:uid="{00000000-0005-0000-0000-000060110000}"/>
    <cellStyle name="Normal 21 4 4 3" xfId="3464" xr:uid="{00000000-0005-0000-0000-000061110000}"/>
    <cellStyle name="Normal 21 4 5" xfId="3465" xr:uid="{00000000-0005-0000-0000-000062110000}"/>
    <cellStyle name="Normal 21 4 5 2" xfId="3466" xr:uid="{00000000-0005-0000-0000-000063110000}"/>
    <cellStyle name="Normal 21 4 6" xfId="3467" xr:uid="{00000000-0005-0000-0000-000064110000}"/>
    <cellStyle name="Normal 21 5" xfId="3468" xr:uid="{00000000-0005-0000-0000-000065110000}"/>
    <cellStyle name="Normal 21 5 2" xfId="3469" xr:uid="{00000000-0005-0000-0000-000066110000}"/>
    <cellStyle name="Normal 21 5 2 2" xfId="3470" xr:uid="{00000000-0005-0000-0000-000067110000}"/>
    <cellStyle name="Normal 21 5 2 2 2" xfId="3471" xr:uid="{00000000-0005-0000-0000-000068110000}"/>
    <cellStyle name="Normal 21 5 2 3" xfId="3472" xr:uid="{00000000-0005-0000-0000-000069110000}"/>
    <cellStyle name="Normal 21 5 3" xfId="3473" xr:uid="{00000000-0005-0000-0000-00006A110000}"/>
    <cellStyle name="Normal 21 5 3 2" xfId="3474" xr:uid="{00000000-0005-0000-0000-00006B110000}"/>
    <cellStyle name="Normal 21 5 4" xfId="3475" xr:uid="{00000000-0005-0000-0000-00006C110000}"/>
    <cellStyle name="Normal 21 6" xfId="3476" xr:uid="{00000000-0005-0000-0000-00006D110000}"/>
    <cellStyle name="Normal 21 6 2" xfId="3477" xr:uid="{00000000-0005-0000-0000-00006E110000}"/>
    <cellStyle name="Normal 21 6 2 2" xfId="10049" xr:uid="{00000000-0005-0000-0000-00006F110000}"/>
    <cellStyle name="Normal 21 6 3" xfId="3478" xr:uid="{00000000-0005-0000-0000-000070110000}"/>
    <cellStyle name="Normal 21 6 3 2" xfId="3479" xr:uid="{00000000-0005-0000-0000-000071110000}"/>
    <cellStyle name="Normal 21 6 4" xfId="3480" xr:uid="{00000000-0005-0000-0000-000072110000}"/>
    <cellStyle name="Normal 21 7" xfId="3481" xr:uid="{00000000-0005-0000-0000-000073110000}"/>
    <cellStyle name="Normal 21 7 2" xfId="3482" xr:uid="{00000000-0005-0000-0000-000074110000}"/>
    <cellStyle name="Normal 21 7 2 2" xfId="3483" xr:uid="{00000000-0005-0000-0000-000075110000}"/>
    <cellStyle name="Normal 21 7 3" xfId="3484" xr:uid="{00000000-0005-0000-0000-000076110000}"/>
    <cellStyle name="Normal 21 8" xfId="3485" xr:uid="{00000000-0005-0000-0000-000077110000}"/>
    <cellStyle name="Normal 21 8 2" xfId="3486" xr:uid="{00000000-0005-0000-0000-000078110000}"/>
    <cellStyle name="Normal 21 9" xfId="3487" xr:uid="{00000000-0005-0000-0000-000079110000}"/>
    <cellStyle name="Normal 21_Activity Fcst Variance" xfId="3488" xr:uid="{00000000-0005-0000-0000-00007A110000}"/>
    <cellStyle name="Normal 210" xfId="11398" xr:uid="{00000000-0005-0000-0000-00007B110000}"/>
    <cellStyle name="Normal 211" xfId="11400" xr:uid="{00000000-0005-0000-0000-00007C110000}"/>
    <cellStyle name="Normal 212" xfId="11438" xr:uid="{00000000-0005-0000-0000-00007D110000}"/>
    <cellStyle name="Normal 213" xfId="11448" xr:uid="{00000000-0005-0000-0000-00007E110000}"/>
    <cellStyle name="Normal 214" xfId="11455" xr:uid="{00000000-0005-0000-0000-00007F110000}"/>
    <cellStyle name="Normal 215" xfId="11477" xr:uid="{00000000-0005-0000-0000-000080110000}"/>
    <cellStyle name="Normal 216" xfId="11481" xr:uid="{00000000-0005-0000-0000-000081110000}"/>
    <cellStyle name="Normal 217" xfId="11514" xr:uid="{00000000-0005-0000-0000-000082110000}"/>
    <cellStyle name="Normal 218" xfId="11519" xr:uid="{00000000-0005-0000-0000-000083110000}"/>
    <cellStyle name="Normal 219" xfId="11522" xr:uid="{00000000-0005-0000-0000-000084110000}"/>
    <cellStyle name="Normal 22" xfId="3489" xr:uid="{00000000-0005-0000-0000-000085110000}"/>
    <cellStyle name="Normal 22 10" xfId="3490" xr:uid="{00000000-0005-0000-0000-000086110000}"/>
    <cellStyle name="Normal 22 11" xfId="10766" xr:uid="{00000000-0005-0000-0000-000087110000}"/>
    <cellStyle name="Normal 22 2" xfId="3491" xr:uid="{00000000-0005-0000-0000-000088110000}"/>
    <cellStyle name="Normal 22 2 2" xfId="3492" xr:uid="{00000000-0005-0000-0000-000089110000}"/>
    <cellStyle name="Normal 22 2 2 2" xfId="3493" xr:uid="{00000000-0005-0000-0000-00008A110000}"/>
    <cellStyle name="Normal 22 2 2 2 2" xfId="3494" xr:uid="{00000000-0005-0000-0000-00008B110000}"/>
    <cellStyle name="Normal 22 2 2 2 2 2" xfId="3495" xr:uid="{00000000-0005-0000-0000-00008C110000}"/>
    <cellStyle name="Normal 22 2 2 2 3" xfId="3496" xr:uid="{00000000-0005-0000-0000-00008D110000}"/>
    <cellStyle name="Normal 22 2 2 3" xfId="3497" xr:uid="{00000000-0005-0000-0000-00008E110000}"/>
    <cellStyle name="Normal 22 2 2 3 2" xfId="3498" xr:uid="{00000000-0005-0000-0000-00008F110000}"/>
    <cellStyle name="Normal 22 2 2 4" xfId="3499" xr:uid="{00000000-0005-0000-0000-000090110000}"/>
    <cellStyle name="Normal 22 2 3" xfId="3500" xr:uid="{00000000-0005-0000-0000-000091110000}"/>
    <cellStyle name="Normal 22 2 3 2" xfId="3501" xr:uid="{00000000-0005-0000-0000-000092110000}"/>
    <cellStyle name="Normal 22 2 3 2 2" xfId="10050" xr:uid="{00000000-0005-0000-0000-000093110000}"/>
    <cellStyle name="Normal 22 2 3 3" xfId="3502" xr:uid="{00000000-0005-0000-0000-000094110000}"/>
    <cellStyle name="Normal 22 2 3 3 2" xfId="3503" xr:uid="{00000000-0005-0000-0000-000095110000}"/>
    <cellStyle name="Normal 22 2 3 4" xfId="3504" xr:uid="{00000000-0005-0000-0000-000096110000}"/>
    <cellStyle name="Normal 22 2 4" xfId="3505" xr:uid="{00000000-0005-0000-0000-000097110000}"/>
    <cellStyle name="Normal 22 2 4 2" xfId="3506" xr:uid="{00000000-0005-0000-0000-000098110000}"/>
    <cellStyle name="Normal 22 2 4 2 2" xfId="3507" xr:uid="{00000000-0005-0000-0000-000099110000}"/>
    <cellStyle name="Normal 22 2 4 3" xfId="3508" xr:uid="{00000000-0005-0000-0000-00009A110000}"/>
    <cellStyle name="Normal 22 2 5" xfId="3509" xr:uid="{00000000-0005-0000-0000-00009B110000}"/>
    <cellStyle name="Normal 22 2 5 2" xfId="3510" xr:uid="{00000000-0005-0000-0000-00009C110000}"/>
    <cellStyle name="Normal 22 2 6" xfId="3511" xr:uid="{00000000-0005-0000-0000-00009D110000}"/>
    <cellStyle name="Normal 22 3" xfId="3512" xr:uid="{00000000-0005-0000-0000-00009E110000}"/>
    <cellStyle name="Normal 22 3 2" xfId="3513" xr:uid="{00000000-0005-0000-0000-00009F110000}"/>
    <cellStyle name="Normal 22 3 2 2" xfId="3514" xr:uid="{00000000-0005-0000-0000-0000A0110000}"/>
    <cellStyle name="Normal 22 3 2 2 2" xfId="3515" xr:uid="{00000000-0005-0000-0000-0000A1110000}"/>
    <cellStyle name="Normal 22 3 2 2 2 2" xfId="3516" xr:uid="{00000000-0005-0000-0000-0000A2110000}"/>
    <cellStyle name="Normal 22 3 2 2 3" xfId="3517" xr:uid="{00000000-0005-0000-0000-0000A3110000}"/>
    <cellStyle name="Normal 22 3 2 3" xfId="3518" xr:uid="{00000000-0005-0000-0000-0000A4110000}"/>
    <cellStyle name="Normal 22 3 2 3 2" xfId="3519" xr:uid="{00000000-0005-0000-0000-0000A5110000}"/>
    <cellStyle name="Normal 22 3 2 4" xfId="3520" xr:uid="{00000000-0005-0000-0000-0000A6110000}"/>
    <cellStyle name="Normal 22 3 3" xfId="3521" xr:uid="{00000000-0005-0000-0000-0000A7110000}"/>
    <cellStyle name="Normal 22 3 3 2" xfId="3522" xr:uid="{00000000-0005-0000-0000-0000A8110000}"/>
    <cellStyle name="Normal 22 3 3 2 2" xfId="3523" xr:uid="{00000000-0005-0000-0000-0000A9110000}"/>
    <cellStyle name="Normal 22 3 3 3" xfId="3524" xr:uid="{00000000-0005-0000-0000-0000AA110000}"/>
    <cellStyle name="Normal 22 3 4" xfId="3525" xr:uid="{00000000-0005-0000-0000-0000AB110000}"/>
    <cellStyle name="Normal 22 3 4 2" xfId="3526" xr:uid="{00000000-0005-0000-0000-0000AC110000}"/>
    <cellStyle name="Normal 22 3 4 2 2" xfId="3527" xr:uid="{00000000-0005-0000-0000-0000AD110000}"/>
    <cellStyle name="Normal 22 3 4 3" xfId="3528" xr:uid="{00000000-0005-0000-0000-0000AE110000}"/>
    <cellStyle name="Normal 22 3 5" xfId="3529" xr:uid="{00000000-0005-0000-0000-0000AF110000}"/>
    <cellStyle name="Normal 22 3 5 2" xfId="3530" xr:uid="{00000000-0005-0000-0000-0000B0110000}"/>
    <cellStyle name="Normal 22 3 6" xfId="3531" xr:uid="{00000000-0005-0000-0000-0000B1110000}"/>
    <cellStyle name="Normal 22 4" xfId="3532" xr:uid="{00000000-0005-0000-0000-0000B2110000}"/>
    <cellStyle name="Normal 22 4 2" xfId="3533" xr:uid="{00000000-0005-0000-0000-0000B3110000}"/>
    <cellStyle name="Normal 22 4 2 2" xfId="3534" xr:uid="{00000000-0005-0000-0000-0000B4110000}"/>
    <cellStyle name="Normal 22 4 2 2 2" xfId="3535" xr:uid="{00000000-0005-0000-0000-0000B5110000}"/>
    <cellStyle name="Normal 22 4 2 2 2 2" xfId="3536" xr:uid="{00000000-0005-0000-0000-0000B6110000}"/>
    <cellStyle name="Normal 22 4 2 2 3" xfId="3537" xr:uid="{00000000-0005-0000-0000-0000B7110000}"/>
    <cellStyle name="Normal 22 4 2 3" xfId="3538" xr:uid="{00000000-0005-0000-0000-0000B8110000}"/>
    <cellStyle name="Normal 22 4 2 3 2" xfId="3539" xr:uid="{00000000-0005-0000-0000-0000B9110000}"/>
    <cellStyle name="Normal 22 4 2 4" xfId="3540" xr:uid="{00000000-0005-0000-0000-0000BA110000}"/>
    <cellStyle name="Normal 22 4 3" xfId="3541" xr:uid="{00000000-0005-0000-0000-0000BB110000}"/>
    <cellStyle name="Normal 22 4 3 2" xfId="3542" xr:uid="{00000000-0005-0000-0000-0000BC110000}"/>
    <cellStyle name="Normal 22 4 3 2 2" xfId="3543" xr:uid="{00000000-0005-0000-0000-0000BD110000}"/>
    <cellStyle name="Normal 22 4 3 3" xfId="3544" xr:uid="{00000000-0005-0000-0000-0000BE110000}"/>
    <cellStyle name="Normal 22 4 4" xfId="3545" xr:uid="{00000000-0005-0000-0000-0000BF110000}"/>
    <cellStyle name="Normal 22 4 4 2" xfId="3546" xr:uid="{00000000-0005-0000-0000-0000C0110000}"/>
    <cellStyle name="Normal 22 4 4 2 2" xfId="3547" xr:uid="{00000000-0005-0000-0000-0000C1110000}"/>
    <cellStyle name="Normal 22 4 4 3" xfId="3548" xr:uid="{00000000-0005-0000-0000-0000C2110000}"/>
    <cellStyle name="Normal 22 4 5" xfId="3549" xr:uid="{00000000-0005-0000-0000-0000C3110000}"/>
    <cellStyle name="Normal 22 4 5 2" xfId="3550" xr:uid="{00000000-0005-0000-0000-0000C4110000}"/>
    <cellStyle name="Normal 22 4 6" xfId="3551" xr:uid="{00000000-0005-0000-0000-0000C5110000}"/>
    <cellStyle name="Normal 22 5" xfId="3552" xr:uid="{00000000-0005-0000-0000-0000C6110000}"/>
    <cellStyle name="Normal 22 5 2" xfId="3553" xr:uid="{00000000-0005-0000-0000-0000C7110000}"/>
    <cellStyle name="Normal 22 5 2 2" xfId="3554" xr:uid="{00000000-0005-0000-0000-0000C8110000}"/>
    <cellStyle name="Normal 22 5 2 2 2" xfId="3555" xr:uid="{00000000-0005-0000-0000-0000C9110000}"/>
    <cellStyle name="Normal 22 5 2 3" xfId="3556" xr:uid="{00000000-0005-0000-0000-0000CA110000}"/>
    <cellStyle name="Normal 22 5 3" xfId="3557" xr:uid="{00000000-0005-0000-0000-0000CB110000}"/>
    <cellStyle name="Normal 22 5 3 2" xfId="3558" xr:uid="{00000000-0005-0000-0000-0000CC110000}"/>
    <cellStyle name="Normal 22 5 4" xfId="3559" xr:uid="{00000000-0005-0000-0000-0000CD110000}"/>
    <cellStyle name="Normal 22 6" xfId="3560" xr:uid="{00000000-0005-0000-0000-0000CE110000}"/>
    <cellStyle name="Normal 22 6 2" xfId="3561" xr:uid="{00000000-0005-0000-0000-0000CF110000}"/>
    <cellStyle name="Normal 22 6 2 2" xfId="10051" xr:uid="{00000000-0005-0000-0000-0000D0110000}"/>
    <cellStyle name="Normal 22 6 3" xfId="3562" xr:uid="{00000000-0005-0000-0000-0000D1110000}"/>
    <cellStyle name="Normal 22 6 3 2" xfId="3563" xr:uid="{00000000-0005-0000-0000-0000D2110000}"/>
    <cellStyle name="Normal 22 6 4" xfId="3564" xr:uid="{00000000-0005-0000-0000-0000D3110000}"/>
    <cellStyle name="Normal 22 7" xfId="3565" xr:uid="{00000000-0005-0000-0000-0000D4110000}"/>
    <cellStyle name="Normal 22 7 2" xfId="3566" xr:uid="{00000000-0005-0000-0000-0000D5110000}"/>
    <cellStyle name="Normal 22 7 2 2" xfId="3567" xr:uid="{00000000-0005-0000-0000-0000D6110000}"/>
    <cellStyle name="Normal 22 7 3" xfId="3568" xr:uid="{00000000-0005-0000-0000-0000D7110000}"/>
    <cellStyle name="Normal 22 8" xfId="3569" xr:uid="{00000000-0005-0000-0000-0000D8110000}"/>
    <cellStyle name="Normal 22 8 2" xfId="3570" xr:uid="{00000000-0005-0000-0000-0000D9110000}"/>
    <cellStyle name="Normal 22 9" xfId="3571" xr:uid="{00000000-0005-0000-0000-0000DA110000}"/>
    <cellStyle name="Normal 22_Activity Fcst Variance" xfId="3572" xr:uid="{00000000-0005-0000-0000-0000DB110000}"/>
    <cellStyle name="Normal 220" xfId="11525" xr:uid="{00000000-0005-0000-0000-0000DC110000}"/>
    <cellStyle name="Normal 221" xfId="11526" xr:uid="{00000000-0005-0000-0000-0000DD110000}"/>
    <cellStyle name="Normal 222" xfId="11534" xr:uid="{00000000-0005-0000-0000-0000DE110000}"/>
    <cellStyle name="Normal 223" xfId="11549" xr:uid="{00000000-0005-0000-0000-0000DF110000}"/>
    <cellStyle name="Normal 224" xfId="11551" xr:uid="{00000000-0005-0000-0000-0000E0110000}"/>
    <cellStyle name="Normal 225" xfId="11565" xr:uid="{00000000-0005-0000-0000-0000E1110000}"/>
    <cellStyle name="Normal 226" xfId="11568" xr:uid="{00000000-0005-0000-0000-0000E2110000}"/>
    <cellStyle name="Normal 227" xfId="11584" xr:uid="{00000000-0005-0000-0000-0000E3110000}"/>
    <cellStyle name="Normal 228" xfId="11629" xr:uid="{00000000-0005-0000-0000-0000E4110000}"/>
    <cellStyle name="Normal 229" xfId="11635" xr:uid="{00000000-0005-0000-0000-0000E5110000}"/>
    <cellStyle name="Normal 23" xfId="3573" xr:uid="{00000000-0005-0000-0000-0000E6110000}"/>
    <cellStyle name="Normal 23 10" xfId="3574" xr:uid="{00000000-0005-0000-0000-0000E7110000}"/>
    <cellStyle name="Normal 23 2" xfId="3575" xr:uid="{00000000-0005-0000-0000-0000E8110000}"/>
    <cellStyle name="Normal 23 2 2" xfId="3576" xr:uid="{00000000-0005-0000-0000-0000E9110000}"/>
    <cellStyle name="Normal 23 2 2 2" xfId="3577" xr:uid="{00000000-0005-0000-0000-0000EA110000}"/>
    <cellStyle name="Normal 23 2 2 2 2" xfId="3578" xr:uid="{00000000-0005-0000-0000-0000EB110000}"/>
    <cellStyle name="Normal 23 2 2 2 2 2" xfId="3579" xr:uid="{00000000-0005-0000-0000-0000EC110000}"/>
    <cellStyle name="Normal 23 2 2 2 3" xfId="3580" xr:uid="{00000000-0005-0000-0000-0000ED110000}"/>
    <cellStyle name="Normal 23 2 2 3" xfId="3581" xr:uid="{00000000-0005-0000-0000-0000EE110000}"/>
    <cellStyle name="Normal 23 2 2 3 2" xfId="3582" xr:uid="{00000000-0005-0000-0000-0000EF110000}"/>
    <cellStyle name="Normal 23 2 2 4" xfId="3583" xr:uid="{00000000-0005-0000-0000-0000F0110000}"/>
    <cellStyle name="Normal 23 2 3" xfId="3584" xr:uid="{00000000-0005-0000-0000-0000F1110000}"/>
    <cellStyle name="Normal 23 2 3 2" xfId="3585" xr:uid="{00000000-0005-0000-0000-0000F2110000}"/>
    <cellStyle name="Normal 23 2 3 2 2" xfId="10052" xr:uid="{00000000-0005-0000-0000-0000F3110000}"/>
    <cellStyle name="Normal 23 2 3 3" xfId="3586" xr:uid="{00000000-0005-0000-0000-0000F4110000}"/>
    <cellStyle name="Normal 23 2 3 3 2" xfId="3587" xr:uid="{00000000-0005-0000-0000-0000F5110000}"/>
    <cellStyle name="Normal 23 2 3 4" xfId="3588" xr:uid="{00000000-0005-0000-0000-0000F6110000}"/>
    <cellStyle name="Normal 23 2 4" xfId="3589" xr:uid="{00000000-0005-0000-0000-0000F7110000}"/>
    <cellStyle name="Normal 23 2 4 2" xfId="3590" xr:uid="{00000000-0005-0000-0000-0000F8110000}"/>
    <cellStyle name="Normal 23 2 4 2 2" xfId="3591" xr:uid="{00000000-0005-0000-0000-0000F9110000}"/>
    <cellStyle name="Normal 23 2 4 3" xfId="3592" xr:uid="{00000000-0005-0000-0000-0000FA110000}"/>
    <cellStyle name="Normal 23 2 5" xfId="3593" xr:uid="{00000000-0005-0000-0000-0000FB110000}"/>
    <cellStyle name="Normal 23 2 5 2" xfId="3594" xr:uid="{00000000-0005-0000-0000-0000FC110000}"/>
    <cellStyle name="Normal 23 2 6" xfId="3595" xr:uid="{00000000-0005-0000-0000-0000FD110000}"/>
    <cellStyle name="Normal 23 3" xfId="3596" xr:uid="{00000000-0005-0000-0000-0000FE110000}"/>
    <cellStyle name="Normal 23 3 2" xfId="3597" xr:uid="{00000000-0005-0000-0000-0000FF110000}"/>
    <cellStyle name="Normal 23 3 2 2" xfId="3598" xr:uid="{00000000-0005-0000-0000-000000120000}"/>
    <cellStyle name="Normal 23 3 2 2 2" xfId="3599" xr:uid="{00000000-0005-0000-0000-000001120000}"/>
    <cellStyle name="Normal 23 3 2 2 2 2" xfId="3600" xr:uid="{00000000-0005-0000-0000-000002120000}"/>
    <cellStyle name="Normal 23 3 2 2 3" xfId="3601" xr:uid="{00000000-0005-0000-0000-000003120000}"/>
    <cellStyle name="Normal 23 3 2 3" xfId="3602" xr:uid="{00000000-0005-0000-0000-000004120000}"/>
    <cellStyle name="Normal 23 3 2 3 2" xfId="3603" xr:uid="{00000000-0005-0000-0000-000005120000}"/>
    <cellStyle name="Normal 23 3 2 4" xfId="3604" xr:uid="{00000000-0005-0000-0000-000006120000}"/>
    <cellStyle name="Normal 23 3 3" xfId="3605" xr:uid="{00000000-0005-0000-0000-000007120000}"/>
    <cellStyle name="Normal 23 3 3 2" xfId="3606" xr:uid="{00000000-0005-0000-0000-000008120000}"/>
    <cellStyle name="Normal 23 3 3 2 2" xfId="3607" xr:uid="{00000000-0005-0000-0000-000009120000}"/>
    <cellStyle name="Normal 23 3 3 3" xfId="3608" xr:uid="{00000000-0005-0000-0000-00000A120000}"/>
    <cellStyle name="Normal 23 3 4" xfId="3609" xr:uid="{00000000-0005-0000-0000-00000B120000}"/>
    <cellStyle name="Normal 23 3 4 2" xfId="3610" xr:uid="{00000000-0005-0000-0000-00000C120000}"/>
    <cellStyle name="Normal 23 3 4 2 2" xfId="3611" xr:uid="{00000000-0005-0000-0000-00000D120000}"/>
    <cellStyle name="Normal 23 3 4 3" xfId="3612" xr:uid="{00000000-0005-0000-0000-00000E120000}"/>
    <cellStyle name="Normal 23 3 5" xfId="3613" xr:uid="{00000000-0005-0000-0000-00000F120000}"/>
    <cellStyle name="Normal 23 3 5 2" xfId="3614" xr:uid="{00000000-0005-0000-0000-000010120000}"/>
    <cellStyle name="Normal 23 3 6" xfId="3615" xr:uid="{00000000-0005-0000-0000-000011120000}"/>
    <cellStyle name="Normal 23 4" xfId="3616" xr:uid="{00000000-0005-0000-0000-000012120000}"/>
    <cellStyle name="Normal 23 4 2" xfId="3617" xr:uid="{00000000-0005-0000-0000-000013120000}"/>
    <cellStyle name="Normal 23 4 2 2" xfId="3618" xr:uid="{00000000-0005-0000-0000-000014120000}"/>
    <cellStyle name="Normal 23 4 2 2 2" xfId="3619" xr:uid="{00000000-0005-0000-0000-000015120000}"/>
    <cellStyle name="Normal 23 4 2 2 2 2" xfId="3620" xr:uid="{00000000-0005-0000-0000-000016120000}"/>
    <cellStyle name="Normal 23 4 2 2 3" xfId="3621" xr:uid="{00000000-0005-0000-0000-000017120000}"/>
    <cellStyle name="Normal 23 4 2 3" xfId="3622" xr:uid="{00000000-0005-0000-0000-000018120000}"/>
    <cellStyle name="Normal 23 4 2 3 2" xfId="3623" xr:uid="{00000000-0005-0000-0000-000019120000}"/>
    <cellStyle name="Normal 23 4 2 4" xfId="3624" xr:uid="{00000000-0005-0000-0000-00001A120000}"/>
    <cellStyle name="Normal 23 4 3" xfId="3625" xr:uid="{00000000-0005-0000-0000-00001B120000}"/>
    <cellStyle name="Normal 23 4 3 2" xfId="3626" xr:uid="{00000000-0005-0000-0000-00001C120000}"/>
    <cellStyle name="Normal 23 4 3 2 2" xfId="3627" xr:uid="{00000000-0005-0000-0000-00001D120000}"/>
    <cellStyle name="Normal 23 4 3 3" xfId="3628" xr:uid="{00000000-0005-0000-0000-00001E120000}"/>
    <cellStyle name="Normal 23 4 4" xfId="3629" xr:uid="{00000000-0005-0000-0000-00001F120000}"/>
    <cellStyle name="Normal 23 4 4 2" xfId="3630" xr:uid="{00000000-0005-0000-0000-000020120000}"/>
    <cellStyle name="Normal 23 4 4 2 2" xfId="3631" xr:uid="{00000000-0005-0000-0000-000021120000}"/>
    <cellStyle name="Normal 23 4 4 3" xfId="3632" xr:uid="{00000000-0005-0000-0000-000022120000}"/>
    <cellStyle name="Normal 23 4 5" xfId="3633" xr:uid="{00000000-0005-0000-0000-000023120000}"/>
    <cellStyle name="Normal 23 4 5 2" xfId="3634" xr:uid="{00000000-0005-0000-0000-000024120000}"/>
    <cellStyle name="Normal 23 4 6" xfId="3635" xr:uid="{00000000-0005-0000-0000-000025120000}"/>
    <cellStyle name="Normal 23 5" xfId="3636" xr:uid="{00000000-0005-0000-0000-000026120000}"/>
    <cellStyle name="Normal 23 5 2" xfId="3637" xr:uid="{00000000-0005-0000-0000-000027120000}"/>
    <cellStyle name="Normal 23 5 2 2" xfId="3638" xr:uid="{00000000-0005-0000-0000-000028120000}"/>
    <cellStyle name="Normal 23 5 2 2 2" xfId="3639" xr:uid="{00000000-0005-0000-0000-000029120000}"/>
    <cellStyle name="Normal 23 5 2 3" xfId="3640" xr:uid="{00000000-0005-0000-0000-00002A120000}"/>
    <cellStyle name="Normal 23 5 3" xfId="3641" xr:uid="{00000000-0005-0000-0000-00002B120000}"/>
    <cellStyle name="Normal 23 5 3 2" xfId="3642" xr:uid="{00000000-0005-0000-0000-00002C120000}"/>
    <cellStyle name="Normal 23 5 4" xfId="3643" xr:uid="{00000000-0005-0000-0000-00002D120000}"/>
    <cellStyle name="Normal 23 6" xfId="3644" xr:uid="{00000000-0005-0000-0000-00002E120000}"/>
    <cellStyle name="Normal 23 6 2" xfId="3645" xr:uid="{00000000-0005-0000-0000-00002F120000}"/>
    <cellStyle name="Normal 23 6 2 2" xfId="10053" xr:uid="{00000000-0005-0000-0000-000030120000}"/>
    <cellStyle name="Normal 23 6 3" xfId="3646" xr:uid="{00000000-0005-0000-0000-000031120000}"/>
    <cellStyle name="Normal 23 6 3 2" xfId="3647" xr:uid="{00000000-0005-0000-0000-000032120000}"/>
    <cellStyle name="Normal 23 6 4" xfId="3648" xr:uid="{00000000-0005-0000-0000-000033120000}"/>
    <cellStyle name="Normal 23 7" xfId="3649" xr:uid="{00000000-0005-0000-0000-000034120000}"/>
    <cellStyle name="Normal 23 7 2" xfId="3650" xr:uid="{00000000-0005-0000-0000-000035120000}"/>
    <cellStyle name="Normal 23 7 2 2" xfId="3651" xr:uid="{00000000-0005-0000-0000-000036120000}"/>
    <cellStyle name="Normal 23 7 3" xfId="3652" xr:uid="{00000000-0005-0000-0000-000037120000}"/>
    <cellStyle name="Normal 23 8" xfId="3653" xr:uid="{00000000-0005-0000-0000-000038120000}"/>
    <cellStyle name="Normal 23 8 2" xfId="3654" xr:uid="{00000000-0005-0000-0000-000039120000}"/>
    <cellStyle name="Normal 23 9" xfId="3655" xr:uid="{00000000-0005-0000-0000-00003A120000}"/>
    <cellStyle name="Normal 23_Activity Fcst Variance" xfId="3656" xr:uid="{00000000-0005-0000-0000-00003B120000}"/>
    <cellStyle name="Normal 230" xfId="11643" xr:uid="{00000000-0005-0000-0000-00003C120000}"/>
    <cellStyle name="Normal 231" xfId="11649" xr:uid="{00000000-0005-0000-0000-00003D120000}"/>
    <cellStyle name="Normal 232" xfId="11654" xr:uid="{00000000-0005-0000-0000-00003E120000}"/>
    <cellStyle name="Normal 233" xfId="11659" xr:uid="{00000000-0005-0000-0000-00003F120000}"/>
    <cellStyle name="Normal 234" xfId="11663" xr:uid="{00000000-0005-0000-0000-000040120000}"/>
    <cellStyle name="Normal 235" xfId="11668" xr:uid="{00000000-0005-0000-0000-000041120000}"/>
    <cellStyle name="Normal 236" xfId="11671" xr:uid="{00000000-0005-0000-0000-000042120000}"/>
    <cellStyle name="Normal 237" xfId="11666" xr:uid="{00000000-0005-0000-0000-000043120000}"/>
    <cellStyle name="Normal 238" xfId="11672" xr:uid="{00000000-0005-0000-0000-000044120000}"/>
    <cellStyle name="Normal 239" xfId="11719" xr:uid="{00000000-0005-0000-0000-000045120000}"/>
    <cellStyle name="Normal 24" xfId="3657" xr:uid="{00000000-0005-0000-0000-000046120000}"/>
    <cellStyle name="Normal 24 10" xfId="3658" xr:uid="{00000000-0005-0000-0000-000047120000}"/>
    <cellStyle name="Normal 24 2" xfId="3659" xr:uid="{00000000-0005-0000-0000-000048120000}"/>
    <cellStyle name="Normal 24 2 2" xfId="3660" xr:uid="{00000000-0005-0000-0000-000049120000}"/>
    <cellStyle name="Normal 24 2 2 2" xfId="3661" xr:uid="{00000000-0005-0000-0000-00004A120000}"/>
    <cellStyle name="Normal 24 2 2 2 2" xfId="3662" xr:uid="{00000000-0005-0000-0000-00004B120000}"/>
    <cellStyle name="Normal 24 2 2 2 2 2" xfId="3663" xr:uid="{00000000-0005-0000-0000-00004C120000}"/>
    <cellStyle name="Normal 24 2 2 2 3" xfId="3664" xr:uid="{00000000-0005-0000-0000-00004D120000}"/>
    <cellStyle name="Normal 24 2 2 3" xfId="3665" xr:uid="{00000000-0005-0000-0000-00004E120000}"/>
    <cellStyle name="Normal 24 2 2 3 2" xfId="3666" xr:uid="{00000000-0005-0000-0000-00004F120000}"/>
    <cellStyle name="Normal 24 2 2 4" xfId="3667" xr:uid="{00000000-0005-0000-0000-000050120000}"/>
    <cellStyle name="Normal 24 2 3" xfId="3668" xr:uid="{00000000-0005-0000-0000-000051120000}"/>
    <cellStyle name="Normal 24 2 3 2" xfId="3669" xr:uid="{00000000-0005-0000-0000-000052120000}"/>
    <cellStyle name="Normal 24 2 3 2 2" xfId="10054" xr:uid="{00000000-0005-0000-0000-000053120000}"/>
    <cellStyle name="Normal 24 2 3 3" xfId="3670" xr:uid="{00000000-0005-0000-0000-000054120000}"/>
    <cellStyle name="Normal 24 2 3 3 2" xfId="3671" xr:uid="{00000000-0005-0000-0000-000055120000}"/>
    <cellStyle name="Normal 24 2 3 4" xfId="3672" xr:uid="{00000000-0005-0000-0000-000056120000}"/>
    <cellStyle name="Normal 24 2 4" xfId="3673" xr:uid="{00000000-0005-0000-0000-000057120000}"/>
    <cellStyle name="Normal 24 2 4 2" xfId="3674" xr:uid="{00000000-0005-0000-0000-000058120000}"/>
    <cellStyle name="Normal 24 2 4 2 2" xfId="3675" xr:uid="{00000000-0005-0000-0000-000059120000}"/>
    <cellStyle name="Normal 24 2 4 3" xfId="3676" xr:uid="{00000000-0005-0000-0000-00005A120000}"/>
    <cellStyle name="Normal 24 2 5" xfId="3677" xr:uid="{00000000-0005-0000-0000-00005B120000}"/>
    <cellStyle name="Normal 24 2 5 2" xfId="3678" xr:uid="{00000000-0005-0000-0000-00005C120000}"/>
    <cellStyle name="Normal 24 2 6" xfId="3679" xr:uid="{00000000-0005-0000-0000-00005D120000}"/>
    <cellStyle name="Normal 24 3" xfId="3680" xr:uid="{00000000-0005-0000-0000-00005E120000}"/>
    <cellStyle name="Normal 24 3 2" xfId="3681" xr:uid="{00000000-0005-0000-0000-00005F120000}"/>
    <cellStyle name="Normal 24 3 2 2" xfId="3682" xr:uid="{00000000-0005-0000-0000-000060120000}"/>
    <cellStyle name="Normal 24 3 2 2 2" xfId="3683" xr:uid="{00000000-0005-0000-0000-000061120000}"/>
    <cellStyle name="Normal 24 3 2 2 2 2" xfId="3684" xr:uid="{00000000-0005-0000-0000-000062120000}"/>
    <cellStyle name="Normal 24 3 2 2 3" xfId="3685" xr:uid="{00000000-0005-0000-0000-000063120000}"/>
    <cellStyle name="Normal 24 3 2 3" xfId="3686" xr:uid="{00000000-0005-0000-0000-000064120000}"/>
    <cellStyle name="Normal 24 3 2 3 2" xfId="3687" xr:uid="{00000000-0005-0000-0000-000065120000}"/>
    <cellStyle name="Normal 24 3 2 4" xfId="3688" xr:uid="{00000000-0005-0000-0000-000066120000}"/>
    <cellStyle name="Normal 24 3 3" xfId="3689" xr:uid="{00000000-0005-0000-0000-000067120000}"/>
    <cellStyle name="Normal 24 3 3 2" xfId="3690" xr:uid="{00000000-0005-0000-0000-000068120000}"/>
    <cellStyle name="Normal 24 3 3 2 2" xfId="3691" xr:uid="{00000000-0005-0000-0000-000069120000}"/>
    <cellStyle name="Normal 24 3 3 3" xfId="3692" xr:uid="{00000000-0005-0000-0000-00006A120000}"/>
    <cellStyle name="Normal 24 3 4" xfId="3693" xr:uid="{00000000-0005-0000-0000-00006B120000}"/>
    <cellStyle name="Normal 24 3 4 2" xfId="3694" xr:uid="{00000000-0005-0000-0000-00006C120000}"/>
    <cellStyle name="Normal 24 3 4 2 2" xfId="3695" xr:uid="{00000000-0005-0000-0000-00006D120000}"/>
    <cellStyle name="Normal 24 3 4 3" xfId="3696" xr:uid="{00000000-0005-0000-0000-00006E120000}"/>
    <cellStyle name="Normal 24 3 5" xfId="3697" xr:uid="{00000000-0005-0000-0000-00006F120000}"/>
    <cellStyle name="Normal 24 3 5 2" xfId="3698" xr:uid="{00000000-0005-0000-0000-000070120000}"/>
    <cellStyle name="Normal 24 3 6" xfId="3699" xr:uid="{00000000-0005-0000-0000-000071120000}"/>
    <cellStyle name="Normal 24 4" xfId="3700" xr:uid="{00000000-0005-0000-0000-000072120000}"/>
    <cellStyle name="Normal 24 4 2" xfId="3701" xr:uid="{00000000-0005-0000-0000-000073120000}"/>
    <cellStyle name="Normal 24 4 2 2" xfId="3702" xr:uid="{00000000-0005-0000-0000-000074120000}"/>
    <cellStyle name="Normal 24 4 2 2 2" xfId="3703" xr:uid="{00000000-0005-0000-0000-000075120000}"/>
    <cellStyle name="Normal 24 4 2 2 2 2" xfId="3704" xr:uid="{00000000-0005-0000-0000-000076120000}"/>
    <cellStyle name="Normal 24 4 2 2 3" xfId="3705" xr:uid="{00000000-0005-0000-0000-000077120000}"/>
    <cellStyle name="Normal 24 4 2 3" xfId="3706" xr:uid="{00000000-0005-0000-0000-000078120000}"/>
    <cellStyle name="Normal 24 4 2 3 2" xfId="3707" xr:uid="{00000000-0005-0000-0000-000079120000}"/>
    <cellStyle name="Normal 24 4 2 4" xfId="3708" xr:uid="{00000000-0005-0000-0000-00007A120000}"/>
    <cellStyle name="Normal 24 4 3" xfId="3709" xr:uid="{00000000-0005-0000-0000-00007B120000}"/>
    <cellStyle name="Normal 24 4 3 2" xfId="3710" xr:uid="{00000000-0005-0000-0000-00007C120000}"/>
    <cellStyle name="Normal 24 4 3 2 2" xfId="3711" xr:uid="{00000000-0005-0000-0000-00007D120000}"/>
    <cellStyle name="Normal 24 4 3 3" xfId="3712" xr:uid="{00000000-0005-0000-0000-00007E120000}"/>
    <cellStyle name="Normal 24 4 4" xfId="3713" xr:uid="{00000000-0005-0000-0000-00007F120000}"/>
    <cellStyle name="Normal 24 4 4 2" xfId="3714" xr:uid="{00000000-0005-0000-0000-000080120000}"/>
    <cellStyle name="Normal 24 4 4 2 2" xfId="3715" xr:uid="{00000000-0005-0000-0000-000081120000}"/>
    <cellStyle name="Normal 24 4 4 3" xfId="3716" xr:uid="{00000000-0005-0000-0000-000082120000}"/>
    <cellStyle name="Normal 24 4 5" xfId="3717" xr:uid="{00000000-0005-0000-0000-000083120000}"/>
    <cellStyle name="Normal 24 4 5 2" xfId="3718" xr:uid="{00000000-0005-0000-0000-000084120000}"/>
    <cellStyle name="Normal 24 4 6" xfId="3719" xr:uid="{00000000-0005-0000-0000-000085120000}"/>
    <cellStyle name="Normal 24 5" xfId="3720" xr:uid="{00000000-0005-0000-0000-000086120000}"/>
    <cellStyle name="Normal 24 5 2" xfId="3721" xr:uid="{00000000-0005-0000-0000-000087120000}"/>
    <cellStyle name="Normal 24 5 2 2" xfId="3722" xr:uid="{00000000-0005-0000-0000-000088120000}"/>
    <cellStyle name="Normal 24 5 2 2 2" xfId="3723" xr:uid="{00000000-0005-0000-0000-000089120000}"/>
    <cellStyle name="Normal 24 5 2 3" xfId="3724" xr:uid="{00000000-0005-0000-0000-00008A120000}"/>
    <cellStyle name="Normal 24 5 3" xfId="3725" xr:uid="{00000000-0005-0000-0000-00008B120000}"/>
    <cellStyle name="Normal 24 5 3 2" xfId="3726" xr:uid="{00000000-0005-0000-0000-00008C120000}"/>
    <cellStyle name="Normal 24 5 4" xfId="3727" xr:uid="{00000000-0005-0000-0000-00008D120000}"/>
    <cellStyle name="Normal 24 6" xfId="3728" xr:uid="{00000000-0005-0000-0000-00008E120000}"/>
    <cellStyle name="Normal 24 6 2" xfId="3729" xr:uid="{00000000-0005-0000-0000-00008F120000}"/>
    <cellStyle name="Normal 24 6 2 2" xfId="10055" xr:uid="{00000000-0005-0000-0000-000090120000}"/>
    <cellStyle name="Normal 24 6 3" xfId="3730" xr:uid="{00000000-0005-0000-0000-000091120000}"/>
    <cellStyle name="Normal 24 6 3 2" xfId="3731" xr:uid="{00000000-0005-0000-0000-000092120000}"/>
    <cellStyle name="Normal 24 6 4" xfId="3732" xr:uid="{00000000-0005-0000-0000-000093120000}"/>
    <cellStyle name="Normal 24 7" xfId="3733" xr:uid="{00000000-0005-0000-0000-000094120000}"/>
    <cellStyle name="Normal 24 7 2" xfId="3734" xr:uid="{00000000-0005-0000-0000-000095120000}"/>
    <cellStyle name="Normal 24 7 2 2" xfId="3735" xr:uid="{00000000-0005-0000-0000-000096120000}"/>
    <cellStyle name="Normal 24 7 3" xfId="3736" xr:uid="{00000000-0005-0000-0000-000097120000}"/>
    <cellStyle name="Normal 24 8" xfId="3737" xr:uid="{00000000-0005-0000-0000-000098120000}"/>
    <cellStyle name="Normal 24 8 2" xfId="3738" xr:uid="{00000000-0005-0000-0000-000099120000}"/>
    <cellStyle name="Normal 24 9" xfId="3739" xr:uid="{00000000-0005-0000-0000-00009A120000}"/>
    <cellStyle name="Normal 24_Activity Fcst Variance" xfId="3740" xr:uid="{00000000-0005-0000-0000-00009B120000}"/>
    <cellStyle name="Normal 240" xfId="11732" xr:uid="{00000000-0005-0000-0000-00009C120000}"/>
    <cellStyle name="Normal 241" xfId="11744" xr:uid="{00000000-0005-0000-0000-00009D120000}"/>
    <cellStyle name="Normal 242" xfId="11755" xr:uid="{00000000-0005-0000-0000-00009E120000}"/>
    <cellStyle name="Normal 243" xfId="11762" xr:uid="{00000000-0005-0000-0000-00009F120000}"/>
    <cellStyle name="Normal 244" xfId="11780" xr:uid="{00000000-0005-0000-0000-0000A0120000}"/>
    <cellStyle name="Normal 245" xfId="11799" xr:uid="{00000000-0005-0000-0000-0000A1120000}"/>
    <cellStyle name="Normal 246" xfId="11803" xr:uid="{00000000-0005-0000-0000-0000A2120000}"/>
    <cellStyle name="Normal 247" xfId="11811" xr:uid="{00000000-0005-0000-0000-0000A3120000}"/>
    <cellStyle name="Normal 248" xfId="11834" xr:uid="{00000000-0005-0000-0000-0000A4120000}"/>
    <cellStyle name="Normal 249" xfId="99" xr:uid="{00000000-0005-0000-0000-0000A5120000}"/>
    <cellStyle name="Normal 25" xfId="3741" xr:uid="{00000000-0005-0000-0000-0000A6120000}"/>
    <cellStyle name="Normal 25 10" xfId="3742" xr:uid="{00000000-0005-0000-0000-0000A7120000}"/>
    <cellStyle name="Normal 25 2" xfId="3743" xr:uid="{00000000-0005-0000-0000-0000A8120000}"/>
    <cellStyle name="Normal 25 2 2" xfId="3744" xr:uid="{00000000-0005-0000-0000-0000A9120000}"/>
    <cellStyle name="Normal 25 2 2 2" xfId="3745" xr:uid="{00000000-0005-0000-0000-0000AA120000}"/>
    <cellStyle name="Normal 25 2 2 2 2" xfId="3746" xr:uid="{00000000-0005-0000-0000-0000AB120000}"/>
    <cellStyle name="Normal 25 2 2 2 2 2" xfId="3747" xr:uid="{00000000-0005-0000-0000-0000AC120000}"/>
    <cellStyle name="Normal 25 2 2 2 3" xfId="3748" xr:uid="{00000000-0005-0000-0000-0000AD120000}"/>
    <cellStyle name="Normal 25 2 2 3" xfId="3749" xr:uid="{00000000-0005-0000-0000-0000AE120000}"/>
    <cellStyle name="Normal 25 2 2 3 2" xfId="3750" xr:uid="{00000000-0005-0000-0000-0000AF120000}"/>
    <cellStyle name="Normal 25 2 2 4" xfId="3751" xr:uid="{00000000-0005-0000-0000-0000B0120000}"/>
    <cellStyle name="Normal 25 2 3" xfId="3752" xr:uid="{00000000-0005-0000-0000-0000B1120000}"/>
    <cellStyle name="Normal 25 2 3 2" xfId="3753" xr:uid="{00000000-0005-0000-0000-0000B2120000}"/>
    <cellStyle name="Normal 25 2 3 2 2" xfId="10056" xr:uid="{00000000-0005-0000-0000-0000B3120000}"/>
    <cellStyle name="Normal 25 2 3 3" xfId="3754" xr:uid="{00000000-0005-0000-0000-0000B4120000}"/>
    <cellStyle name="Normal 25 2 3 3 2" xfId="3755" xr:uid="{00000000-0005-0000-0000-0000B5120000}"/>
    <cellStyle name="Normal 25 2 3 4" xfId="3756" xr:uid="{00000000-0005-0000-0000-0000B6120000}"/>
    <cellStyle name="Normal 25 2 4" xfId="3757" xr:uid="{00000000-0005-0000-0000-0000B7120000}"/>
    <cellStyle name="Normal 25 2 4 2" xfId="3758" xr:uid="{00000000-0005-0000-0000-0000B8120000}"/>
    <cellStyle name="Normal 25 2 4 2 2" xfId="3759" xr:uid="{00000000-0005-0000-0000-0000B9120000}"/>
    <cellStyle name="Normal 25 2 4 3" xfId="3760" xr:uid="{00000000-0005-0000-0000-0000BA120000}"/>
    <cellStyle name="Normal 25 2 5" xfId="3761" xr:uid="{00000000-0005-0000-0000-0000BB120000}"/>
    <cellStyle name="Normal 25 2 5 2" xfId="3762" xr:uid="{00000000-0005-0000-0000-0000BC120000}"/>
    <cellStyle name="Normal 25 2 6" xfId="3763" xr:uid="{00000000-0005-0000-0000-0000BD120000}"/>
    <cellStyle name="Normal 25 3" xfId="3764" xr:uid="{00000000-0005-0000-0000-0000BE120000}"/>
    <cellStyle name="Normal 25 3 2" xfId="3765" xr:uid="{00000000-0005-0000-0000-0000BF120000}"/>
    <cellStyle name="Normal 25 3 2 2" xfId="3766" xr:uid="{00000000-0005-0000-0000-0000C0120000}"/>
    <cellStyle name="Normal 25 3 2 2 2" xfId="3767" xr:uid="{00000000-0005-0000-0000-0000C1120000}"/>
    <cellStyle name="Normal 25 3 2 2 2 2" xfId="3768" xr:uid="{00000000-0005-0000-0000-0000C2120000}"/>
    <cellStyle name="Normal 25 3 2 2 3" xfId="3769" xr:uid="{00000000-0005-0000-0000-0000C3120000}"/>
    <cellStyle name="Normal 25 3 2 3" xfId="3770" xr:uid="{00000000-0005-0000-0000-0000C4120000}"/>
    <cellStyle name="Normal 25 3 2 3 2" xfId="3771" xr:uid="{00000000-0005-0000-0000-0000C5120000}"/>
    <cellStyle name="Normal 25 3 2 4" xfId="3772" xr:uid="{00000000-0005-0000-0000-0000C6120000}"/>
    <cellStyle name="Normal 25 3 3" xfId="3773" xr:uid="{00000000-0005-0000-0000-0000C7120000}"/>
    <cellStyle name="Normal 25 3 3 2" xfId="3774" xr:uid="{00000000-0005-0000-0000-0000C8120000}"/>
    <cellStyle name="Normal 25 3 3 2 2" xfId="3775" xr:uid="{00000000-0005-0000-0000-0000C9120000}"/>
    <cellStyle name="Normal 25 3 3 3" xfId="3776" xr:uid="{00000000-0005-0000-0000-0000CA120000}"/>
    <cellStyle name="Normal 25 3 4" xfId="3777" xr:uid="{00000000-0005-0000-0000-0000CB120000}"/>
    <cellStyle name="Normal 25 3 4 2" xfId="3778" xr:uid="{00000000-0005-0000-0000-0000CC120000}"/>
    <cellStyle name="Normal 25 3 4 2 2" xfId="3779" xr:uid="{00000000-0005-0000-0000-0000CD120000}"/>
    <cellStyle name="Normal 25 3 4 3" xfId="3780" xr:uid="{00000000-0005-0000-0000-0000CE120000}"/>
    <cellStyle name="Normal 25 3 5" xfId="3781" xr:uid="{00000000-0005-0000-0000-0000CF120000}"/>
    <cellStyle name="Normal 25 3 5 2" xfId="3782" xr:uid="{00000000-0005-0000-0000-0000D0120000}"/>
    <cellStyle name="Normal 25 3 6" xfId="3783" xr:uid="{00000000-0005-0000-0000-0000D1120000}"/>
    <cellStyle name="Normal 25 4" xfId="3784" xr:uid="{00000000-0005-0000-0000-0000D2120000}"/>
    <cellStyle name="Normal 25 4 2" xfId="3785" xr:uid="{00000000-0005-0000-0000-0000D3120000}"/>
    <cellStyle name="Normal 25 4 2 2" xfId="3786" xr:uid="{00000000-0005-0000-0000-0000D4120000}"/>
    <cellStyle name="Normal 25 4 2 2 2" xfId="3787" xr:uid="{00000000-0005-0000-0000-0000D5120000}"/>
    <cellStyle name="Normal 25 4 2 2 2 2" xfId="3788" xr:uid="{00000000-0005-0000-0000-0000D6120000}"/>
    <cellStyle name="Normal 25 4 2 2 3" xfId="3789" xr:uid="{00000000-0005-0000-0000-0000D7120000}"/>
    <cellStyle name="Normal 25 4 2 3" xfId="3790" xr:uid="{00000000-0005-0000-0000-0000D8120000}"/>
    <cellStyle name="Normal 25 4 2 3 2" xfId="3791" xr:uid="{00000000-0005-0000-0000-0000D9120000}"/>
    <cellStyle name="Normal 25 4 2 4" xfId="3792" xr:uid="{00000000-0005-0000-0000-0000DA120000}"/>
    <cellStyle name="Normal 25 4 3" xfId="3793" xr:uid="{00000000-0005-0000-0000-0000DB120000}"/>
    <cellStyle name="Normal 25 4 3 2" xfId="3794" xr:uid="{00000000-0005-0000-0000-0000DC120000}"/>
    <cellStyle name="Normal 25 4 3 2 2" xfId="3795" xr:uid="{00000000-0005-0000-0000-0000DD120000}"/>
    <cellStyle name="Normal 25 4 3 3" xfId="3796" xr:uid="{00000000-0005-0000-0000-0000DE120000}"/>
    <cellStyle name="Normal 25 4 4" xfId="3797" xr:uid="{00000000-0005-0000-0000-0000DF120000}"/>
    <cellStyle name="Normal 25 4 4 2" xfId="3798" xr:uid="{00000000-0005-0000-0000-0000E0120000}"/>
    <cellStyle name="Normal 25 4 4 2 2" xfId="3799" xr:uid="{00000000-0005-0000-0000-0000E1120000}"/>
    <cellStyle name="Normal 25 4 4 3" xfId="3800" xr:uid="{00000000-0005-0000-0000-0000E2120000}"/>
    <cellStyle name="Normal 25 4 5" xfId="3801" xr:uid="{00000000-0005-0000-0000-0000E3120000}"/>
    <cellStyle name="Normal 25 4 5 2" xfId="3802" xr:uid="{00000000-0005-0000-0000-0000E4120000}"/>
    <cellStyle name="Normal 25 4 6" xfId="3803" xr:uid="{00000000-0005-0000-0000-0000E5120000}"/>
    <cellStyle name="Normal 25 5" xfId="3804" xr:uid="{00000000-0005-0000-0000-0000E6120000}"/>
    <cellStyle name="Normal 25 5 2" xfId="3805" xr:uid="{00000000-0005-0000-0000-0000E7120000}"/>
    <cellStyle name="Normal 25 5 2 2" xfId="3806" xr:uid="{00000000-0005-0000-0000-0000E8120000}"/>
    <cellStyle name="Normal 25 5 2 2 2" xfId="3807" xr:uid="{00000000-0005-0000-0000-0000E9120000}"/>
    <cellStyle name="Normal 25 5 2 3" xfId="3808" xr:uid="{00000000-0005-0000-0000-0000EA120000}"/>
    <cellStyle name="Normal 25 5 3" xfId="3809" xr:uid="{00000000-0005-0000-0000-0000EB120000}"/>
    <cellStyle name="Normal 25 5 3 2" xfId="3810" xr:uid="{00000000-0005-0000-0000-0000EC120000}"/>
    <cellStyle name="Normal 25 5 4" xfId="3811" xr:uid="{00000000-0005-0000-0000-0000ED120000}"/>
    <cellStyle name="Normal 25 6" xfId="3812" xr:uid="{00000000-0005-0000-0000-0000EE120000}"/>
    <cellStyle name="Normal 25 6 2" xfId="3813" xr:uid="{00000000-0005-0000-0000-0000EF120000}"/>
    <cellStyle name="Normal 25 6 2 2" xfId="10057" xr:uid="{00000000-0005-0000-0000-0000F0120000}"/>
    <cellStyle name="Normal 25 6 3" xfId="3814" xr:uid="{00000000-0005-0000-0000-0000F1120000}"/>
    <cellStyle name="Normal 25 6 3 2" xfId="3815" xr:uid="{00000000-0005-0000-0000-0000F2120000}"/>
    <cellStyle name="Normal 25 6 4" xfId="3816" xr:uid="{00000000-0005-0000-0000-0000F3120000}"/>
    <cellStyle name="Normal 25 7" xfId="3817" xr:uid="{00000000-0005-0000-0000-0000F4120000}"/>
    <cellStyle name="Normal 25 7 2" xfId="3818" xr:uid="{00000000-0005-0000-0000-0000F5120000}"/>
    <cellStyle name="Normal 25 7 2 2" xfId="3819" xr:uid="{00000000-0005-0000-0000-0000F6120000}"/>
    <cellStyle name="Normal 25 7 3" xfId="3820" xr:uid="{00000000-0005-0000-0000-0000F7120000}"/>
    <cellStyle name="Normal 25 8" xfId="3821" xr:uid="{00000000-0005-0000-0000-0000F8120000}"/>
    <cellStyle name="Normal 25 8 2" xfId="3822" xr:uid="{00000000-0005-0000-0000-0000F9120000}"/>
    <cellStyle name="Normal 25 9" xfId="3823" xr:uid="{00000000-0005-0000-0000-0000FA120000}"/>
    <cellStyle name="Normal 25_Activity Fcst Variance" xfId="3824" xr:uid="{00000000-0005-0000-0000-0000FB120000}"/>
    <cellStyle name="Normal 250" xfId="14" xr:uid="{00000000-0005-0000-0000-0000FC120000}"/>
    <cellStyle name="Normal 251" xfId="4988" xr:uid="{00000000-0005-0000-0000-0000FD120000}"/>
    <cellStyle name="Normal 252" xfId="11853" xr:uid="{00000000-0005-0000-0000-0000FE120000}"/>
    <cellStyle name="Normal 26" xfId="3825" xr:uid="{00000000-0005-0000-0000-0000FF120000}"/>
    <cellStyle name="Normal 26 10" xfId="3826" xr:uid="{00000000-0005-0000-0000-000000130000}"/>
    <cellStyle name="Normal 26 2" xfId="3827" xr:uid="{00000000-0005-0000-0000-000001130000}"/>
    <cellStyle name="Normal 26 2 2" xfId="3828" xr:uid="{00000000-0005-0000-0000-000002130000}"/>
    <cellStyle name="Normal 26 2 2 2" xfId="3829" xr:uid="{00000000-0005-0000-0000-000003130000}"/>
    <cellStyle name="Normal 26 2 2 2 2" xfId="3830" xr:uid="{00000000-0005-0000-0000-000004130000}"/>
    <cellStyle name="Normal 26 2 2 2 2 2" xfId="3831" xr:uid="{00000000-0005-0000-0000-000005130000}"/>
    <cellStyle name="Normal 26 2 2 2 3" xfId="3832" xr:uid="{00000000-0005-0000-0000-000006130000}"/>
    <cellStyle name="Normal 26 2 2 3" xfId="3833" xr:uid="{00000000-0005-0000-0000-000007130000}"/>
    <cellStyle name="Normal 26 2 2 3 2" xfId="3834" xr:uid="{00000000-0005-0000-0000-000008130000}"/>
    <cellStyle name="Normal 26 2 2 4" xfId="3835" xr:uid="{00000000-0005-0000-0000-000009130000}"/>
    <cellStyle name="Normal 26 2 3" xfId="3836" xr:uid="{00000000-0005-0000-0000-00000A130000}"/>
    <cellStyle name="Normal 26 2 3 2" xfId="3837" xr:uid="{00000000-0005-0000-0000-00000B130000}"/>
    <cellStyle name="Normal 26 2 3 2 2" xfId="10058" xr:uid="{00000000-0005-0000-0000-00000C130000}"/>
    <cellStyle name="Normal 26 2 3 3" xfId="3838" xr:uid="{00000000-0005-0000-0000-00000D130000}"/>
    <cellStyle name="Normal 26 2 3 3 2" xfId="3839" xr:uid="{00000000-0005-0000-0000-00000E130000}"/>
    <cellStyle name="Normal 26 2 3 4" xfId="3840" xr:uid="{00000000-0005-0000-0000-00000F130000}"/>
    <cellStyle name="Normal 26 2 4" xfId="3841" xr:uid="{00000000-0005-0000-0000-000010130000}"/>
    <cellStyle name="Normal 26 2 4 2" xfId="3842" xr:uid="{00000000-0005-0000-0000-000011130000}"/>
    <cellStyle name="Normal 26 2 4 2 2" xfId="3843" xr:uid="{00000000-0005-0000-0000-000012130000}"/>
    <cellStyle name="Normal 26 2 4 3" xfId="3844" xr:uid="{00000000-0005-0000-0000-000013130000}"/>
    <cellStyle name="Normal 26 2 5" xfId="3845" xr:uid="{00000000-0005-0000-0000-000014130000}"/>
    <cellStyle name="Normal 26 2 5 2" xfId="3846" xr:uid="{00000000-0005-0000-0000-000015130000}"/>
    <cellStyle name="Normal 26 2 6" xfId="3847" xr:uid="{00000000-0005-0000-0000-000016130000}"/>
    <cellStyle name="Normal 26 3" xfId="3848" xr:uid="{00000000-0005-0000-0000-000017130000}"/>
    <cellStyle name="Normal 26 3 2" xfId="3849" xr:uid="{00000000-0005-0000-0000-000018130000}"/>
    <cellStyle name="Normal 26 3 2 2" xfId="3850" xr:uid="{00000000-0005-0000-0000-000019130000}"/>
    <cellStyle name="Normal 26 3 2 2 2" xfId="3851" xr:uid="{00000000-0005-0000-0000-00001A130000}"/>
    <cellStyle name="Normal 26 3 2 2 2 2" xfId="3852" xr:uid="{00000000-0005-0000-0000-00001B130000}"/>
    <cellStyle name="Normal 26 3 2 2 3" xfId="3853" xr:uid="{00000000-0005-0000-0000-00001C130000}"/>
    <cellStyle name="Normal 26 3 2 3" xfId="3854" xr:uid="{00000000-0005-0000-0000-00001D130000}"/>
    <cellStyle name="Normal 26 3 2 3 2" xfId="3855" xr:uid="{00000000-0005-0000-0000-00001E130000}"/>
    <cellStyle name="Normal 26 3 2 4" xfId="3856" xr:uid="{00000000-0005-0000-0000-00001F130000}"/>
    <cellStyle name="Normal 26 3 3" xfId="3857" xr:uid="{00000000-0005-0000-0000-000020130000}"/>
    <cellStyle name="Normal 26 3 3 2" xfId="3858" xr:uid="{00000000-0005-0000-0000-000021130000}"/>
    <cellStyle name="Normal 26 3 3 2 2" xfId="3859" xr:uid="{00000000-0005-0000-0000-000022130000}"/>
    <cellStyle name="Normal 26 3 3 3" xfId="3860" xr:uid="{00000000-0005-0000-0000-000023130000}"/>
    <cellStyle name="Normal 26 3 4" xfId="3861" xr:uid="{00000000-0005-0000-0000-000024130000}"/>
    <cellStyle name="Normal 26 3 4 2" xfId="3862" xr:uid="{00000000-0005-0000-0000-000025130000}"/>
    <cellStyle name="Normal 26 3 4 2 2" xfId="3863" xr:uid="{00000000-0005-0000-0000-000026130000}"/>
    <cellStyle name="Normal 26 3 4 3" xfId="3864" xr:uid="{00000000-0005-0000-0000-000027130000}"/>
    <cellStyle name="Normal 26 3 5" xfId="3865" xr:uid="{00000000-0005-0000-0000-000028130000}"/>
    <cellStyle name="Normal 26 3 5 2" xfId="3866" xr:uid="{00000000-0005-0000-0000-000029130000}"/>
    <cellStyle name="Normal 26 3 6" xfId="3867" xr:uid="{00000000-0005-0000-0000-00002A130000}"/>
    <cellStyle name="Normal 26 4" xfId="3868" xr:uid="{00000000-0005-0000-0000-00002B130000}"/>
    <cellStyle name="Normal 26 4 2" xfId="3869" xr:uid="{00000000-0005-0000-0000-00002C130000}"/>
    <cellStyle name="Normal 26 4 2 2" xfId="3870" xr:uid="{00000000-0005-0000-0000-00002D130000}"/>
    <cellStyle name="Normal 26 4 2 2 2" xfId="3871" xr:uid="{00000000-0005-0000-0000-00002E130000}"/>
    <cellStyle name="Normal 26 4 2 2 2 2" xfId="3872" xr:uid="{00000000-0005-0000-0000-00002F130000}"/>
    <cellStyle name="Normal 26 4 2 2 3" xfId="3873" xr:uid="{00000000-0005-0000-0000-000030130000}"/>
    <cellStyle name="Normal 26 4 2 3" xfId="3874" xr:uid="{00000000-0005-0000-0000-000031130000}"/>
    <cellStyle name="Normal 26 4 2 3 2" xfId="3875" xr:uid="{00000000-0005-0000-0000-000032130000}"/>
    <cellStyle name="Normal 26 4 2 4" xfId="3876" xr:uid="{00000000-0005-0000-0000-000033130000}"/>
    <cellStyle name="Normal 26 4 3" xfId="3877" xr:uid="{00000000-0005-0000-0000-000034130000}"/>
    <cellStyle name="Normal 26 4 3 2" xfId="3878" xr:uid="{00000000-0005-0000-0000-000035130000}"/>
    <cellStyle name="Normal 26 4 3 2 2" xfId="3879" xr:uid="{00000000-0005-0000-0000-000036130000}"/>
    <cellStyle name="Normal 26 4 3 3" xfId="3880" xr:uid="{00000000-0005-0000-0000-000037130000}"/>
    <cellStyle name="Normal 26 4 4" xfId="3881" xr:uid="{00000000-0005-0000-0000-000038130000}"/>
    <cellStyle name="Normal 26 4 4 2" xfId="3882" xr:uid="{00000000-0005-0000-0000-000039130000}"/>
    <cellStyle name="Normal 26 4 4 2 2" xfId="3883" xr:uid="{00000000-0005-0000-0000-00003A130000}"/>
    <cellStyle name="Normal 26 4 4 3" xfId="3884" xr:uid="{00000000-0005-0000-0000-00003B130000}"/>
    <cellStyle name="Normal 26 4 5" xfId="3885" xr:uid="{00000000-0005-0000-0000-00003C130000}"/>
    <cellStyle name="Normal 26 4 5 2" xfId="3886" xr:uid="{00000000-0005-0000-0000-00003D130000}"/>
    <cellStyle name="Normal 26 4 6" xfId="3887" xr:uid="{00000000-0005-0000-0000-00003E130000}"/>
    <cellStyle name="Normal 26 5" xfId="3888" xr:uid="{00000000-0005-0000-0000-00003F130000}"/>
    <cellStyle name="Normal 26 5 2" xfId="3889" xr:uid="{00000000-0005-0000-0000-000040130000}"/>
    <cellStyle name="Normal 26 5 2 2" xfId="3890" xr:uid="{00000000-0005-0000-0000-000041130000}"/>
    <cellStyle name="Normal 26 5 2 2 2" xfId="3891" xr:uid="{00000000-0005-0000-0000-000042130000}"/>
    <cellStyle name="Normal 26 5 2 3" xfId="3892" xr:uid="{00000000-0005-0000-0000-000043130000}"/>
    <cellStyle name="Normal 26 5 3" xfId="3893" xr:uid="{00000000-0005-0000-0000-000044130000}"/>
    <cellStyle name="Normal 26 5 3 2" xfId="3894" xr:uid="{00000000-0005-0000-0000-000045130000}"/>
    <cellStyle name="Normal 26 5 4" xfId="3895" xr:uid="{00000000-0005-0000-0000-000046130000}"/>
    <cellStyle name="Normal 26 6" xfId="3896" xr:uid="{00000000-0005-0000-0000-000047130000}"/>
    <cellStyle name="Normal 26 6 2" xfId="3897" xr:uid="{00000000-0005-0000-0000-000048130000}"/>
    <cellStyle name="Normal 26 6 2 2" xfId="10059" xr:uid="{00000000-0005-0000-0000-000049130000}"/>
    <cellStyle name="Normal 26 6 3" xfId="3898" xr:uid="{00000000-0005-0000-0000-00004A130000}"/>
    <cellStyle name="Normal 26 6 3 2" xfId="3899" xr:uid="{00000000-0005-0000-0000-00004B130000}"/>
    <cellStyle name="Normal 26 6 4" xfId="3900" xr:uid="{00000000-0005-0000-0000-00004C130000}"/>
    <cellStyle name="Normal 26 7" xfId="3901" xr:uid="{00000000-0005-0000-0000-00004D130000}"/>
    <cellStyle name="Normal 26 7 2" xfId="3902" xr:uid="{00000000-0005-0000-0000-00004E130000}"/>
    <cellStyle name="Normal 26 7 2 2" xfId="3903" xr:uid="{00000000-0005-0000-0000-00004F130000}"/>
    <cellStyle name="Normal 26 7 3" xfId="3904" xr:uid="{00000000-0005-0000-0000-000050130000}"/>
    <cellStyle name="Normal 26 8" xfId="3905" xr:uid="{00000000-0005-0000-0000-000051130000}"/>
    <cellStyle name="Normal 26 8 2" xfId="3906" xr:uid="{00000000-0005-0000-0000-000052130000}"/>
    <cellStyle name="Normal 26 9" xfId="3907" xr:uid="{00000000-0005-0000-0000-000053130000}"/>
    <cellStyle name="Normal 26_Activity Fcst Variance" xfId="3908" xr:uid="{00000000-0005-0000-0000-000054130000}"/>
    <cellStyle name="Normal 27" xfId="3909" xr:uid="{00000000-0005-0000-0000-000055130000}"/>
    <cellStyle name="Normal 27 10" xfId="3910" xr:uid="{00000000-0005-0000-0000-000056130000}"/>
    <cellStyle name="Normal 27 2" xfId="3911" xr:uid="{00000000-0005-0000-0000-000057130000}"/>
    <cellStyle name="Normal 27 2 2" xfId="3912" xr:uid="{00000000-0005-0000-0000-000058130000}"/>
    <cellStyle name="Normal 27 2 2 2" xfId="3913" xr:uid="{00000000-0005-0000-0000-000059130000}"/>
    <cellStyle name="Normal 27 2 2 2 2" xfId="3914" xr:uid="{00000000-0005-0000-0000-00005A130000}"/>
    <cellStyle name="Normal 27 2 2 2 2 2" xfId="3915" xr:uid="{00000000-0005-0000-0000-00005B130000}"/>
    <cellStyle name="Normal 27 2 2 2 3" xfId="3916" xr:uid="{00000000-0005-0000-0000-00005C130000}"/>
    <cellStyle name="Normal 27 2 2 3" xfId="3917" xr:uid="{00000000-0005-0000-0000-00005D130000}"/>
    <cellStyle name="Normal 27 2 2 3 2" xfId="3918" xr:uid="{00000000-0005-0000-0000-00005E130000}"/>
    <cellStyle name="Normal 27 2 2 4" xfId="3919" xr:uid="{00000000-0005-0000-0000-00005F130000}"/>
    <cellStyle name="Normal 27 2 3" xfId="3920" xr:uid="{00000000-0005-0000-0000-000060130000}"/>
    <cellStyle name="Normal 27 2 3 2" xfId="3921" xr:uid="{00000000-0005-0000-0000-000061130000}"/>
    <cellStyle name="Normal 27 2 3 2 2" xfId="10060" xr:uid="{00000000-0005-0000-0000-000062130000}"/>
    <cellStyle name="Normal 27 2 3 3" xfId="3922" xr:uid="{00000000-0005-0000-0000-000063130000}"/>
    <cellStyle name="Normal 27 2 3 3 2" xfId="3923" xr:uid="{00000000-0005-0000-0000-000064130000}"/>
    <cellStyle name="Normal 27 2 3 4" xfId="3924" xr:uid="{00000000-0005-0000-0000-000065130000}"/>
    <cellStyle name="Normal 27 2 4" xfId="3925" xr:uid="{00000000-0005-0000-0000-000066130000}"/>
    <cellStyle name="Normal 27 2 4 2" xfId="3926" xr:uid="{00000000-0005-0000-0000-000067130000}"/>
    <cellStyle name="Normal 27 2 4 2 2" xfId="3927" xr:uid="{00000000-0005-0000-0000-000068130000}"/>
    <cellStyle name="Normal 27 2 4 3" xfId="3928" xr:uid="{00000000-0005-0000-0000-000069130000}"/>
    <cellStyle name="Normal 27 2 5" xfId="3929" xr:uid="{00000000-0005-0000-0000-00006A130000}"/>
    <cellStyle name="Normal 27 2 5 2" xfId="3930" xr:uid="{00000000-0005-0000-0000-00006B130000}"/>
    <cellStyle name="Normal 27 2 6" xfId="3931" xr:uid="{00000000-0005-0000-0000-00006C130000}"/>
    <cellStyle name="Normal 27 3" xfId="3932" xr:uid="{00000000-0005-0000-0000-00006D130000}"/>
    <cellStyle name="Normal 27 3 2" xfId="3933" xr:uid="{00000000-0005-0000-0000-00006E130000}"/>
    <cellStyle name="Normal 27 3 2 2" xfId="3934" xr:uid="{00000000-0005-0000-0000-00006F130000}"/>
    <cellStyle name="Normal 27 3 2 2 2" xfId="3935" xr:uid="{00000000-0005-0000-0000-000070130000}"/>
    <cellStyle name="Normal 27 3 2 2 2 2" xfId="3936" xr:uid="{00000000-0005-0000-0000-000071130000}"/>
    <cellStyle name="Normal 27 3 2 2 3" xfId="3937" xr:uid="{00000000-0005-0000-0000-000072130000}"/>
    <cellStyle name="Normal 27 3 2 3" xfId="3938" xr:uid="{00000000-0005-0000-0000-000073130000}"/>
    <cellStyle name="Normal 27 3 2 3 2" xfId="3939" xr:uid="{00000000-0005-0000-0000-000074130000}"/>
    <cellStyle name="Normal 27 3 2 4" xfId="3940" xr:uid="{00000000-0005-0000-0000-000075130000}"/>
    <cellStyle name="Normal 27 3 3" xfId="3941" xr:uid="{00000000-0005-0000-0000-000076130000}"/>
    <cellStyle name="Normal 27 3 3 2" xfId="3942" xr:uid="{00000000-0005-0000-0000-000077130000}"/>
    <cellStyle name="Normal 27 3 3 2 2" xfId="3943" xr:uid="{00000000-0005-0000-0000-000078130000}"/>
    <cellStyle name="Normal 27 3 3 3" xfId="3944" xr:uid="{00000000-0005-0000-0000-000079130000}"/>
    <cellStyle name="Normal 27 3 4" xfId="3945" xr:uid="{00000000-0005-0000-0000-00007A130000}"/>
    <cellStyle name="Normal 27 3 4 2" xfId="3946" xr:uid="{00000000-0005-0000-0000-00007B130000}"/>
    <cellStyle name="Normal 27 3 4 2 2" xfId="3947" xr:uid="{00000000-0005-0000-0000-00007C130000}"/>
    <cellStyle name="Normal 27 3 4 3" xfId="3948" xr:uid="{00000000-0005-0000-0000-00007D130000}"/>
    <cellStyle name="Normal 27 3 5" xfId="3949" xr:uid="{00000000-0005-0000-0000-00007E130000}"/>
    <cellStyle name="Normal 27 3 5 2" xfId="3950" xr:uid="{00000000-0005-0000-0000-00007F130000}"/>
    <cellStyle name="Normal 27 3 6" xfId="3951" xr:uid="{00000000-0005-0000-0000-000080130000}"/>
    <cellStyle name="Normal 27 4" xfId="3952" xr:uid="{00000000-0005-0000-0000-000081130000}"/>
    <cellStyle name="Normal 27 4 2" xfId="3953" xr:uid="{00000000-0005-0000-0000-000082130000}"/>
    <cellStyle name="Normal 27 4 2 2" xfId="3954" xr:uid="{00000000-0005-0000-0000-000083130000}"/>
    <cellStyle name="Normal 27 4 2 2 2" xfId="3955" xr:uid="{00000000-0005-0000-0000-000084130000}"/>
    <cellStyle name="Normal 27 4 2 2 2 2" xfId="3956" xr:uid="{00000000-0005-0000-0000-000085130000}"/>
    <cellStyle name="Normal 27 4 2 2 3" xfId="3957" xr:uid="{00000000-0005-0000-0000-000086130000}"/>
    <cellStyle name="Normal 27 4 2 3" xfId="3958" xr:uid="{00000000-0005-0000-0000-000087130000}"/>
    <cellStyle name="Normal 27 4 2 3 2" xfId="3959" xr:uid="{00000000-0005-0000-0000-000088130000}"/>
    <cellStyle name="Normal 27 4 2 4" xfId="3960" xr:uid="{00000000-0005-0000-0000-000089130000}"/>
    <cellStyle name="Normal 27 4 3" xfId="3961" xr:uid="{00000000-0005-0000-0000-00008A130000}"/>
    <cellStyle name="Normal 27 4 3 2" xfId="3962" xr:uid="{00000000-0005-0000-0000-00008B130000}"/>
    <cellStyle name="Normal 27 4 3 2 2" xfId="3963" xr:uid="{00000000-0005-0000-0000-00008C130000}"/>
    <cellStyle name="Normal 27 4 3 3" xfId="3964" xr:uid="{00000000-0005-0000-0000-00008D130000}"/>
    <cellStyle name="Normal 27 4 4" xfId="3965" xr:uid="{00000000-0005-0000-0000-00008E130000}"/>
    <cellStyle name="Normal 27 4 4 2" xfId="3966" xr:uid="{00000000-0005-0000-0000-00008F130000}"/>
    <cellStyle name="Normal 27 4 4 2 2" xfId="3967" xr:uid="{00000000-0005-0000-0000-000090130000}"/>
    <cellStyle name="Normal 27 4 4 3" xfId="3968" xr:uid="{00000000-0005-0000-0000-000091130000}"/>
    <cellStyle name="Normal 27 4 5" xfId="3969" xr:uid="{00000000-0005-0000-0000-000092130000}"/>
    <cellStyle name="Normal 27 4 5 2" xfId="3970" xr:uid="{00000000-0005-0000-0000-000093130000}"/>
    <cellStyle name="Normal 27 4 6" xfId="3971" xr:uid="{00000000-0005-0000-0000-000094130000}"/>
    <cellStyle name="Normal 27 5" xfId="3972" xr:uid="{00000000-0005-0000-0000-000095130000}"/>
    <cellStyle name="Normal 27 5 2" xfId="3973" xr:uid="{00000000-0005-0000-0000-000096130000}"/>
    <cellStyle name="Normal 27 5 2 2" xfId="3974" xr:uid="{00000000-0005-0000-0000-000097130000}"/>
    <cellStyle name="Normal 27 5 2 2 2" xfId="3975" xr:uid="{00000000-0005-0000-0000-000098130000}"/>
    <cellStyle name="Normal 27 5 2 3" xfId="3976" xr:uid="{00000000-0005-0000-0000-000099130000}"/>
    <cellStyle name="Normal 27 5 3" xfId="3977" xr:uid="{00000000-0005-0000-0000-00009A130000}"/>
    <cellStyle name="Normal 27 5 3 2" xfId="3978" xr:uid="{00000000-0005-0000-0000-00009B130000}"/>
    <cellStyle name="Normal 27 5 4" xfId="3979" xr:uid="{00000000-0005-0000-0000-00009C130000}"/>
    <cellStyle name="Normal 27 6" xfId="3980" xr:uid="{00000000-0005-0000-0000-00009D130000}"/>
    <cellStyle name="Normal 27 6 2" xfId="3981" xr:uid="{00000000-0005-0000-0000-00009E130000}"/>
    <cellStyle name="Normal 27 6 2 2" xfId="10061" xr:uid="{00000000-0005-0000-0000-00009F130000}"/>
    <cellStyle name="Normal 27 6 3" xfId="3982" xr:uid="{00000000-0005-0000-0000-0000A0130000}"/>
    <cellStyle name="Normal 27 6 3 2" xfId="3983" xr:uid="{00000000-0005-0000-0000-0000A1130000}"/>
    <cellStyle name="Normal 27 6 4" xfId="3984" xr:uid="{00000000-0005-0000-0000-0000A2130000}"/>
    <cellStyle name="Normal 27 7" xfId="3985" xr:uid="{00000000-0005-0000-0000-0000A3130000}"/>
    <cellStyle name="Normal 27 7 2" xfId="3986" xr:uid="{00000000-0005-0000-0000-0000A4130000}"/>
    <cellStyle name="Normal 27 7 2 2" xfId="3987" xr:uid="{00000000-0005-0000-0000-0000A5130000}"/>
    <cellStyle name="Normal 27 7 3" xfId="3988" xr:uid="{00000000-0005-0000-0000-0000A6130000}"/>
    <cellStyle name="Normal 27 8" xfId="3989" xr:uid="{00000000-0005-0000-0000-0000A7130000}"/>
    <cellStyle name="Normal 27 8 2" xfId="3990" xr:uid="{00000000-0005-0000-0000-0000A8130000}"/>
    <cellStyle name="Normal 27 9" xfId="3991" xr:uid="{00000000-0005-0000-0000-0000A9130000}"/>
    <cellStyle name="Normal 27_Activity Fcst Variance" xfId="3992" xr:uid="{00000000-0005-0000-0000-0000AA130000}"/>
    <cellStyle name="Normal 28" xfId="3993" xr:uid="{00000000-0005-0000-0000-0000AB130000}"/>
    <cellStyle name="Normal 28 10" xfId="3994" xr:uid="{00000000-0005-0000-0000-0000AC130000}"/>
    <cellStyle name="Normal 28 2" xfId="3995" xr:uid="{00000000-0005-0000-0000-0000AD130000}"/>
    <cellStyle name="Normal 28 2 2" xfId="3996" xr:uid="{00000000-0005-0000-0000-0000AE130000}"/>
    <cellStyle name="Normal 28 2 2 2" xfId="3997" xr:uid="{00000000-0005-0000-0000-0000AF130000}"/>
    <cellStyle name="Normal 28 2 2 2 2" xfId="3998" xr:uid="{00000000-0005-0000-0000-0000B0130000}"/>
    <cellStyle name="Normal 28 2 2 2 2 2" xfId="3999" xr:uid="{00000000-0005-0000-0000-0000B1130000}"/>
    <cellStyle name="Normal 28 2 2 2 3" xfId="4000" xr:uid="{00000000-0005-0000-0000-0000B2130000}"/>
    <cellStyle name="Normal 28 2 2 3" xfId="4001" xr:uid="{00000000-0005-0000-0000-0000B3130000}"/>
    <cellStyle name="Normal 28 2 2 3 2" xfId="4002" xr:uid="{00000000-0005-0000-0000-0000B4130000}"/>
    <cellStyle name="Normal 28 2 2 4" xfId="4003" xr:uid="{00000000-0005-0000-0000-0000B5130000}"/>
    <cellStyle name="Normal 28 2 3" xfId="4004" xr:uid="{00000000-0005-0000-0000-0000B6130000}"/>
    <cellStyle name="Normal 28 2 3 2" xfId="4005" xr:uid="{00000000-0005-0000-0000-0000B7130000}"/>
    <cellStyle name="Normal 28 2 3 2 2" xfId="10062" xr:uid="{00000000-0005-0000-0000-0000B8130000}"/>
    <cellStyle name="Normal 28 2 3 3" xfId="4006" xr:uid="{00000000-0005-0000-0000-0000B9130000}"/>
    <cellStyle name="Normal 28 2 3 3 2" xfId="4007" xr:uid="{00000000-0005-0000-0000-0000BA130000}"/>
    <cellStyle name="Normal 28 2 3 4" xfId="4008" xr:uid="{00000000-0005-0000-0000-0000BB130000}"/>
    <cellStyle name="Normal 28 2 4" xfId="4009" xr:uid="{00000000-0005-0000-0000-0000BC130000}"/>
    <cellStyle name="Normal 28 2 4 2" xfId="4010" xr:uid="{00000000-0005-0000-0000-0000BD130000}"/>
    <cellStyle name="Normal 28 2 4 2 2" xfId="4011" xr:uid="{00000000-0005-0000-0000-0000BE130000}"/>
    <cellStyle name="Normal 28 2 4 3" xfId="4012" xr:uid="{00000000-0005-0000-0000-0000BF130000}"/>
    <cellStyle name="Normal 28 2 5" xfId="4013" xr:uid="{00000000-0005-0000-0000-0000C0130000}"/>
    <cellStyle name="Normal 28 2 5 2" xfId="4014" xr:uid="{00000000-0005-0000-0000-0000C1130000}"/>
    <cellStyle name="Normal 28 2 6" xfId="4015" xr:uid="{00000000-0005-0000-0000-0000C2130000}"/>
    <cellStyle name="Normal 28 3" xfId="4016" xr:uid="{00000000-0005-0000-0000-0000C3130000}"/>
    <cellStyle name="Normal 28 3 2" xfId="4017" xr:uid="{00000000-0005-0000-0000-0000C4130000}"/>
    <cellStyle name="Normal 28 3 2 2" xfId="4018" xr:uid="{00000000-0005-0000-0000-0000C5130000}"/>
    <cellStyle name="Normal 28 3 2 2 2" xfId="4019" xr:uid="{00000000-0005-0000-0000-0000C6130000}"/>
    <cellStyle name="Normal 28 3 2 2 2 2" xfId="4020" xr:uid="{00000000-0005-0000-0000-0000C7130000}"/>
    <cellStyle name="Normal 28 3 2 2 3" xfId="4021" xr:uid="{00000000-0005-0000-0000-0000C8130000}"/>
    <cellStyle name="Normal 28 3 2 3" xfId="4022" xr:uid="{00000000-0005-0000-0000-0000C9130000}"/>
    <cellStyle name="Normal 28 3 2 3 2" xfId="4023" xr:uid="{00000000-0005-0000-0000-0000CA130000}"/>
    <cellStyle name="Normal 28 3 2 4" xfId="4024" xr:uid="{00000000-0005-0000-0000-0000CB130000}"/>
    <cellStyle name="Normal 28 3 3" xfId="4025" xr:uid="{00000000-0005-0000-0000-0000CC130000}"/>
    <cellStyle name="Normal 28 3 3 2" xfId="4026" xr:uid="{00000000-0005-0000-0000-0000CD130000}"/>
    <cellStyle name="Normal 28 3 3 2 2" xfId="4027" xr:uid="{00000000-0005-0000-0000-0000CE130000}"/>
    <cellStyle name="Normal 28 3 3 3" xfId="4028" xr:uid="{00000000-0005-0000-0000-0000CF130000}"/>
    <cellStyle name="Normal 28 3 4" xfId="4029" xr:uid="{00000000-0005-0000-0000-0000D0130000}"/>
    <cellStyle name="Normal 28 3 4 2" xfId="4030" xr:uid="{00000000-0005-0000-0000-0000D1130000}"/>
    <cellStyle name="Normal 28 3 4 2 2" xfId="4031" xr:uid="{00000000-0005-0000-0000-0000D2130000}"/>
    <cellStyle name="Normal 28 3 4 3" xfId="4032" xr:uid="{00000000-0005-0000-0000-0000D3130000}"/>
    <cellStyle name="Normal 28 3 5" xfId="4033" xr:uid="{00000000-0005-0000-0000-0000D4130000}"/>
    <cellStyle name="Normal 28 3 5 2" xfId="4034" xr:uid="{00000000-0005-0000-0000-0000D5130000}"/>
    <cellStyle name="Normal 28 3 6" xfId="4035" xr:uid="{00000000-0005-0000-0000-0000D6130000}"/>
    <cellStyle name="Normal 28 4" xfId="4036" xr:uid="{00000000-0005-0000-0000-0000D7130000}"/>
    <cellStyle name="Normal 28 4 2" xfId="4037" xr:uid="{00000000-0005-0000-0000-0000D8130000}"/>
    <cellStyle name="Normal 28 4 2 2" xfId="4038" xr:uid="{00000000-0005-0000-0000-0000D9130000}"/>
    <cellStyle name="Normal 28 4 2 2 2" xfId="4039" xr:uid="{00000000-0005-0000-0000-0000DA130000}"/>
    <cellStyle name="Normal 28 4 2 2 2 2" xfId="4040" xr:uid="{00000000-0005-0000-0000-0000DB130000}"/>
    <cellStyle name="Normal 28 4 2 2 3" xfId="4041" xr:uid="{00000000-0005-0000-0000-0000DC130000}"/>
    <cellStyle name="Normal 28 4 2 3" xfId="4042" xr:uid="{00000000-0005-0000-0000-0000DD130000}"/>
    <cellStyle name="Normal 28 4 2 3 2" xfId="4043" xr:uid="{00000000-0005-0000-0000-0000DE130000}"/>
    <cellStyle name="Normal 28 4 2 4" xfId="4044" xr:uid="{00000000-0005-0000-0000-0000DF130000}"/>
    <cellStyle name="Normal 28 4 3" xfId="4045" xr:uid="{00000000-0005-0000-0000-0000E0130000}"/>
    <cellStyle name="Normal 28 4 3 2" xfId="4046" xr:uid="{00000000-0005-0000-0000-0000E1130000}"/>
    <cellStyle name="Normal 28 4 3 2 2" xfId="4047" xr:uid="{00000000-0005-0000-0000-0000E2130000}"/>
    <cellStyle name="Normal 28 4 3 3" xfId="4048" xr:uid="{00000000-0005-0000-0000-0000E3130000}"/>
    <cellStyle name="Normal 28 4 4" xfId="4049" xr:uid="{00000000-0005-0000-0000-0000E4130000}"/>
    <cellStyle name="Normal 28 4 4 2" xfId="4050" xr:uid="{00000000-0005-0000-0000-0000E5130000}"/>
    <cellStyle name="Normal 28 4 4 2 2" xfId="4051" xr:uid="{00000000-0005-0000-0000-0000E6130000}"/>
    <cellStyle name="Normal 28 4 4 3" xfId="4052" xr:uid="{00000000-0005-0000-0000-0000E7130000}"/>
    <cellStyle name="Normal 28 4 5" xfId="4053" xr:uid="{00000000-0005-0000-0000-0000E8130000}"/>
    <cellStyle name="Normal 28 4 5 2" xfId="4054" xr:uid="{00000000-0005-0000-0000-0000E9130000}"/>
    <cellStyle name="Normal 28 4 6" xfId="4055" xr:uid="{00000000-0005-0000-0000-0000EA130000}"/>
    <cellStyle name="Normal 28 5" xfId="4056" xr:uid="{00000000-0005-0000-0000-0000EB130000}"/>
    <cellStyle name="Normal 28 5 2" xfId="4057" xr:uid="{00000000-0005-0000-0000-0000EC130000}"/>
    <cellStyle name="Normal 28 5 2 2" xfId="4058" xr:uid="{00000000-0005-0000-0000-0000ED130000}"/>
    <cellStyle name="Normal 28 5 2 2 2" xfId="4059" xr:uid="{00000000-0005-0000-0000-0000EE130000}"/>
    <cellStyle name="Normal 28 5 2 3" xfId="4060" xr:uid="{00000000-0005-0000-0000-0000EF130000}"/>
    <cellStyle name="Normal 28 5 3" xfId="4061" xr:uid="{00000000-0005-0000-0000-0000F0130000}"/>
    <cellStyle name="Normal 28 5 3 2" xfId="4062" xr:uid="{00000000-0005-0000-0000-0000F1130000}"/>
    <cellStyle name="Normal 28 5 4" xfId="4063" xr:uid="{00000000-0005-0000-0000-0000F2130000}"/>
    <cellStyle name="Normal 28 6" xfId="4064" xr:uid="{00000000-0005-0000-0000-0000F3130000}"/>
    <cellStyle name="Normal 28 6 2" xfId="4065" xr:uid="{00000000-0005-0000-0000-0000F4130000}"/>
    <cellStyle name="Normal 28 6 2 2" xfId="10063" xr:uid="{00000000-0005-0000-0000-0000F5130000}"/>
    <cellStyle name="Normal 28 6 3" xfId="4066" xr:uid="{00000000-0005-0000-0000-0000F6130000}"/>
    <cellStyle name="Normal 28 6 3 2" xfId="4067" xr:uid="{00000000-0005-0000-0000-0000F7130000}"/>
    <cellStyle name="Normal 28 6 4" xfId="4068" xr:uid="{00000000-0005-0000-0000-0000F8130000}"/>
    <cellStyle name="Normal 28 7" xfId="4069" xr:uid="{00000000-0005-0000-0000-0000F9130000}"/>
    <cellStyle name="Normal 28 7 2" xfId="4070" xr:uid="{00000000-0005-0000-0000-0000FA130000}"/>
    <cellStyle name="Normal 28 7 2 2" xfId="4071" xr:uid="{00000000-0005-0000-0000-0000FB130000}"/>
    <cellStyle name="Normal 28 7 3" xfId="4072" xr:uid="{00000000-0005-0000-0000-0000FC130000}"/>
    <cellStyle name="Normal 28 8" xfId="4073" xr:uid="{00000000-0005-0000-0000-0000FD130000}"/>
    <cellStyle name="Normal 28 8 2" xfId="4074" xr:uid="{00000000-0005-0000-0000-0000FE130000}"/>
    <cellStyle name="Normal 28 9" xfId="4075" xr:uid="{00000000-0005-0000-0000-0000FF130000}"/>
    <cellStyle name="Normal 28_Activity Fcst Variance" xfId="4076" xr:uid="{00000000-0005-0000-0000-000000140000}"/>
    <cellStyle name="Normal 29" xfId="4077" xr:uid="{00000000-0005-0000-0000-000001140000}"/>
    <cellStyle name="Normal 29 10" xfId="4078" xr:uid="{00000000-0005-0000-0000-000002140000}"/>
    <cellStyle name="Normal 29 2" xfId="4079" xr:uid="{00000000-0005-0000-0000-000003140000}"/>
    <cellStyle name="Normal 29 2 2" xfId="4080" xr:uid="{00000000-0005-0000-0000-000004140000}"/>
    <cellStyle name="Normal 29 2 2 2" xfId="4081" xr:uid="{00000000-0005-0000-0000-000005140000}"/>
    <cellStyle name="Normal 29 2 2 2 2" xfId="4082" xr:uid="{00000000-0005-0000-0000-000006140000}"/>
    <cellStyle name="Normal 29 2 2 2 2 2" xfId="4083" xr:uid="{00000000-0005-0000-0000-000007140000}"/>
    <cellStyle name="Normal 29 2 2 2 3" xfId="4084" xr:uid="{00000000-0005-0000-0000-000008140000}"/>
    <cellStyle name="Normal 29 2 2 3" xfId="4085" xr:uid="{00000000-0005-0000-0000-000009140000}"/>
    <cellStyle name="Normal 29 2 2 3 2" xfId="4086" xr:uid="{00000000-0005-0000-0000-00000A140000}"/>
    <cellStyle name="Normal 29 2 2 4" xfId="4087" xr:uid="{00000000-0005-0000-0000-00000B140000}"/>
    <cellStyle name="Normal 29 2 3" xfId="4088" xr:uid="{00000000-0005-0000-0000-00000C140000}"/>
    <cellStyle name="Normal 29 2 3 2" xfId="4089" xr:uid="{00000000-0005-0000-0000-00000D140000}"/>
    <cellStyle name="Normal 29 2 3 2 2" xfId="4090" xr:uid="{00000000-0005-0000-0000-00000E140000}"/>
    <cellStyle name="Normal 29 2 3 3" xfId="4091" xr:uid="{00000000-0005-0000-0000-00000F140000}"/>
    <cellStyle name="Normal 29 2 4" xfId="4092" xr:uid="{00000000-0005-0000-0000-000010140000}"/>
    <cellStyle name="Normal 29 2 4 2" xfId="4093" xr:uid="{00000000-0005-0000-0000-000011140000}"/>
    <cellStyle name="Normal 29 2 4 2 2" xfId="4094" xr:uid="{00000000-0005-0000-0000-000012140000}"/>
    <cellStyle name="Normal 29 2 4 3" xfId="4095" xr:uid="{00000000-0005-0000-0000-000013140000}"/>
    <cellStyle name="Normal 29 2 5" xfId="4096" xr:uid="{00000000-0005-0000-0000-000014140000}"/>
    <cellStyle name="Normal 29 2 5 2" xfId="4097" xr:uid="{00000000-0005-0000-0000-000015140000}"/>
    <cellStyle name="Normal 29 2 6" xfId="4098" xr:uid="{00000000-0005-0000-0000-000016140000}"/>
    <cellStyle name="Normal 29 3" xfId="4099" xr:uid="{00000000-0005-0000-0000-000017140000}"/>
    <cellStyle name="Normal 29 3 2" xfId="4100" xr:uid="{00000000-0005-0000-0000-000018140000}"/>
    <cellStyle name="Normal 29 3 2 2" xfId="4101" xr:uid="{00000000-0005-0000-0000-000019140000}"/>
    <cellStyle name="Normal 29 3 2 2 2" xfId="4102" xr:uid="{00000000-0005-0000-0000-00001A140000}"/>
    <cellStyle name="Normal 29 3 2 2 2 2" xfId="4103" xr:uid="{00000000-0005-0000-0000-00001B140000}"/>
    <cellStyle name="Normal 29 3 2 2 3" xfId="4104" xr:uid="{00000000-0005-0000-0000-00001C140000}"/>
    <cellStyle name="Normal 29 3 2 3" xfId="4105" xr:uid="{00000000-0005-0000-0000-00001D140000}"/>
    <cellStyle name="Normal 29 3 2 3 2" xfId="4106" xr:uid="{00000000-0005-0000-0000-00001E140000}"/>
    <cellStyle name="Normal 29 3 2 4" xfId="4107" xr:uid="{00000000-0005-0000-0000-00001F140000}"/>
    <cellStyle name="Normal 29 3 3" xfId="4108" xr:uid="{00000000-0005-0000-0000-000020140000}"/>
    <cellStyle name="Normal 29 3 3 2" xfId="4109" xr:uid="{00000000-0005-0000-0000-000021140000}"/>
    <cellStyle name="Normal 29 3 3 2 2" xfId="4110" xr:uid="{00000000-0005-0000-0000-000022140000}"/>
    <cellStyle name="Normal 29 3 3 3" xfId="4111" xr:uid="{00000000-0005-0000-0000-000023140000}"/>
    <cellStyle name="Normal 29 3 4" xfId="4112" xr:uid="{00000000-0005-0000-0000-000024140000}"/>
    <cellStyle name="Normal 29 3 4 2" xfId="4113" xr:uid="{00000000-0005-0000-0000-000025140000}"/>
    <cellStyle name="Normal 29 3 4 2 2" xfId="4114" xr:uid="{00000000-0005-0000-0000-000026140000}"/>
    <cellStyle name="Normal 29 3 4 3" xfId="4115" xr:uid="{00000000-0005-0000-0000-000027140000}"/>
    <cellStyle name="Normal 29 3 5" xfId="4116" xr:uid="{00000000-0005-0000-0000-000028140000}"/>
    <cellStyle name="Normal 29 3 5 2" xfId="4117" xr:uid="{00000000-0005-0000-0000-000029140000}"/>
    <cellStyle name="Normal 29 3 6" xfId="4118" xr:uid="{00000000-0005-0000-0000-00002A140000}"/>
    <cellStyle name="Normal 29 4" xfId="4119" xr:uid="{00000000-0005-0000-0000-00002B140000}"/>
    <cellStyle name="Normal 29 4 2" xfId="4120" xr:uid="{00000000-0005-0000-0000-00002C140000}"/>
    <cellStyle name="Normal 29 4 2 2" xfId="4121" xr:uid="{00000000-0005-0000-0000-00002D140000}"/>
    <cellStyle name="Normal 29 4 2 2 2" xfId="4122" xr:uid="{00000000-0005-0000-0000-00002E140000}"/>
    <cellStyle name="Normal 29 4 2 2 2 2" xfId="4123" xr:uid="{00000000-0005-0000-0000-00002F140000}"/>
    <cellStyle name="Normal 29 4 2 2 3" xfId="4124" xr:uid="{00000000-0005-0000-0000-000030140000}"/>
    <cellStyle name="Normal 29 4 2 3" xfId="4125" xr:uid="{00000000-0005-0000-0000-000031140000}"/>
    <cellStyle name="Normal 29 4 2 3 2" xfId="4126" xr:uid="{00000000-0005-0000-0000-000032140000}"/>
    <cellStyle name="Normal 29 4 2 4" xfId="4127" xr:uid="{00000000-0005-0000-0000-000033140000}"/>
    <cellStyle name="Normal 29 4 3" xfId="4128" xr:uid="{00000000-0005-0000-0000-000034140000}"/>
    <cellStyle name="Normal 29 4 3 2" xfId="4129" xr:uid="{00000000-0005-0000-0000-000035140000}"/>
    <cellStyle name="Normal 29 4 3 2 2" xfId="4130" xr:uid="{00000000-0005-0000-0000-000036140000}"/>
    <cellStyle name="Normal 29 4 3 3" xfId="4131" xr:uid="{00000000-0005-0000-0000-000037140000}"/>
    <cellStyle name="Normal 29 4 4" xfId="4132" xr:uid="{00000000-0005-0000-0000-000038140000}"/>
    <cellStyle name="Normal 29 4 4 2" xfId="4133" xr:uid="{00000000-0005-0000-0000-000039140000}"/>
    <cellStyle name="Normal 29 4 4 2 2" xfId="4134" xr:uid="{00000000-0005-0000-0000-00003A140000}"/>
    <cellStyle name="Normal 29 4 4 3" xfId="4135" xr:uid="{00000000-0005-0000-0000-00003B140000}"/>
    <cellStyle name="Normal 29 4 5" xfId="4136" xr:uid="{00000000-0005-0000-0000-00003C140000}"/>
    <cellStyle name="Normal 29 4 5 2" xfId="4137" xr:uid="{00000000-0005-0000-0000-00003D140000}"/>
    <cellStyle name="Normal 29 4 6" xfId="4138" xr:uid="{00000000-0005-0000-0000-00003E140000}"/>
    <cellStyle name="Normal 29 5" xfId="4139" xr:uid="{00000000-0005-0000-0000-00003F140000}"/>
    <cellStyle name="Normal 29 5 2" xfId="4140" xr:uid="{00000000-0005-0000-0000-000040140000}"/>
    <cellStyle name="Normal 29 5 2 2" xfId="4141" xr:uid="{00000000-0005-0000-0000-000041140000}"/>
    <cellStyle name="Normal 29 5 2 2 2" xfId="4142" xr:uid="{00000000-0005-0000-0000-000042140000}"/>
    <cellStyle name="Normal 29 5 2 3" xfId="4143" xr:uid="{00000000-0005-0000-0000-000043140000}"/>
    <cellStyle name="Normal 29 5 3" xfId="4144" xr:uid="{00000000-0005-0000-0000-000044140000}"/>
    <cellStyle name="Normal 29 5 3 2" xfId="4145" xr:uid="{00000000-0005-0000-0000-000045140000}"/>
    <cellStyle name="Normal 29 5 4" xfId="4146" xr:uid="{00000000-0005-0000-0000-000046140000}"/>
    <cellStyle name="Normal 29 6" xfId="4147" xr:uid="{00000000-0005-0000-0000-000047140000}"/>
    <cellStyle name="Normal 29 6 2" xfId="4148" xr:uid="{00000000-0005-0000-0000-000048140000}"/>
    <cellStyle name="Normal 29 6 2 2" xfId="4149" xr:uid="{00000000-0005-0000-0000-000049140000}"/>
    <cellStyle name="Normal 29 6 3" xfId="4150" xr:uid="{00000000-0005-0000-0000-00004A140000}"/>
    <cellStyle name="Normal 29 7" xfId="4151" xr:uid="{00000000-0005-0000-0000-00004B140000}"/>
    <cellStyle name="Normal 29 7 2" xfId="4152" xr:uid="{00000000-0005-0000-0000-00004C140000}"/>
    <cellStyle name="Normal 29 7 2 2" xfId="4153" xr:uid="{00000000-0005-0000-0000-00004D140000}"/>
    <cellStyle name="Normal 29 7 3" xfId="4154" xr:uid="{00000000-0005-0000-0000-00004E140000}"/>
    <cellStyle name="Normal 29 8" xfId="4155" xr:uid="{00000000-0005-0000-0000-00004F140000}"/>
    <cellStyle name="Normal 29 8 2" xfId="4156" xr:uid="{00000000-0005-0000-0000-000050140000}"/>
    <cellStyle name="Normal 29 9" xfId="4157" xr:uid="{00000000-0005-0000-0000-000051140000}"/>
    <cellStyle name="Normal 3" xfId="8" xr:uid="{00000000-0005-0000-0000-000052140000}"/>
    <cellStyle name="Normal 3 2" xfId="4159" xr:uid="{00000000-0005-0000-0000-000053140000}"/>
    <cellStyle name="Normal 3 2 2" xfId="9756" xr:uid="{00000000-0005-0000-0000-000054140000}"/>
    <cellStyle name="Normal 3 3" xfId="4160" xr:uid="{00000000-0005-0000-0000-000055140000}"/>
    <cellStyle name="Normal 3 3 2" xfId="4161" xr:uid="{00000000-0005-0000-0000-000056140000}"/>
    <cellStyle name="Normal 3 3 2 2" xfId="4162" xr:uid="{00000000-0005-0000-0000-000057140000}"/>
    <cellStyle name="Normal 3 3 3" xfId="4163" xr:uid="{00000000-0005-0000-0000-000058140000}"/>
    <cellStyle name="Normal 3 4" xfId="4164" xr:uid="{00000000-0005-0000-0000-000059140000}"/>
    <cellStyle name="Normal 3 5" xfId="4165" xr:uid="{00000000-0005-0000-0000-00005A140000}"/>
    <cellStyle name="Normal 3 6" xfId="4166" xr:uid="{00000000-0005-0000-0000-00005B140000}"/>
    <cellStyle name="Normal 3 7" xfId="4158" xr:uid="{00000000-0005-0000-0000-00005C140000}"/>
    <cellStyle name="Normal 3_Activity Fcst Variance" xfId="4167" xr:uid="{00000000-0005-0000-0000-00005D140000}"/>
    <cellStyle name="Normal 30" xfId="4168" xr:uid="{00000000-0005-0000-0000-00005E140000}"/>
    <cellStyle name="Normal 30 10" xfId="4169" xr:uid="{00000000-0005-0000-0000-00005F140000}"/>
    <cellStyle name="Normal 30 2" xfId="4170" xr:uid="{00000000-0005-0000-0000-000060140000}"/>
    <cellStyle name="Normal 30 2 2" xfId="4171" xr:uid="{00000000-0005-0000-0000-000061140000}"/>
    <cellStyle name="Normal 30 2 2 2" xfId="4172" xr:uid="{00000000-0005-0000-0000-000062140000}"/>
    <cellStyle name="Normal 30 2 2 2 2" xfId="4173" xr:uid="{00000000-0005-0000-0000-000063140000}"/>
    <cellStyle name="Normal 30 2 2 2 2 2" xfId="4174" xr:uid="{00000000-0005-0000-0000-000064140000}"/>
    <cellStyle name="Normal 30 2 2 2 3" xfId="4175" xr:uid="{00000000-0005-0000-0000-000065140000}"/>
    <cellStyle name="Normal 30 2 2 3" xfId="4176" xr:uid="{00000000-0005-0000-0000-000066140000}"/>
    <cellStyle name="Normal 30 2 2 3 2" xfId="4177" xr:uid="{00000000-0005-0000-0000-000067140000}"/>
    <cellStyle name="Normal 30 2 2 4" xfId="4178" xr:uid="{00000000-0005-0000-0000-000068140000}"/>
    <cellStyle name="Normal 30 2 3" xfId="4179" xr:uid="{00000000-0005-0000-0000-000069140000}"/>
    <cellStyle name="Normal 30 2 3 2" xfId="4180" xr:uid="{00000000-0005-0000-0000-00006A140000}"/>
    <cellStyle name="Normal 30 2 3 2 2" xfId="4181" xr:uid="{00000000-0005-0000-0000-00006B140000}"/>
    <cellStyle name="Normal 30 2 3 3" xfId="4182" xr:uid="{00000000-0005-0000-0000-00006C140000}"/>
    <cellStyle name="Normal 30 2 4" xfId="4183" xr:uid="{00000000-0005-0000-0000-00006D140000}"/>
    <cellStyle name="Normal 30 2 4 2" xfId="4184" xr:uid="{00000000-0005-0000-0000-00006E140000}"/>
    <cellStyle name="Normal 30 2 4 2 2" xfId="4185" xr:uid="{00000000-0005-0000-0000-00006F140000}"/>
    <cellStyle name="Normal 30 2 4 3" xfId="4186" xr:uid="{00000000-0005-0000-0000-000070140000}"/>
    <cellStyle name="Normal 30 2 5" xfId="4187" xr:uid="{00000000-0005-0000-0000-000071140000}"/>
    <cellStyle name="Normal 30 2 5 2" xfId="4188" xr:uid="{00000000-0005-0000-0000-000072140000}"/>
    <cellStyle name="Normal 30 2 6" xfId="4189" xr:uid="{00000000-0005-0000-0000-000073140000}"/>
    <cellStyle name="Normal 30 3" xfId="4190" xr:uid="{00000000-0005-0000-0000-000074140000}"/>
    <cellStyle name="Normal 30 3 2" xfId="4191" xr:uid="{00000000-0005-0000-0000-000075140000}"/>
    <cellStyle name="Normal 30 3 2 2" xfId="4192" xr:uid="{00000000-0005-0000-0000-000076140000}"/>
    <cellStyle name="Normal 30 3 2 2 2" xfId="4193" xr:uid="{00000000-0005-0000-0000-000077140000}"/>
    <cellStyle name="Normal 30 3 2 2 2 2" xfId="4194" xr:uid="{00000000-0005-0000-0000-000078140000}"/>
    <cellStyle name="Normal 30 3 2 2 3" xfId="4195" xr:uid="{00000000-0005-0000-0000-000079140000}"/>
    <cellStyle name="Normal 30 3 2 3" xfId="4196" xr:uid="{00000000-0005-0000-0000-00007A140000}"/>
    <cellStyle name="Normal 30 3 2 3 2" xfId="4197" xr:uid="{00000000-0005-0000-0000-00007B140000}"/>
    <cellStyle name="Normal 30 3 2 4" xfId="4198" xr:uid="{00000000-0005-0000-0000-00007C140000}"/>
    <cellStyle name="Normal 30 3 3" xfId="4199" xr:uid="{00000000-0005-0000-0000-00007D140000}"/>
    <cellStyle name="Normal 30 3 3 2" xfId="4200" xr:uid="{00000000-0005-0000-0000-00007E140000}"/>
    <cellStyle name="Normal 30 3 3 2 2" xfId="4201" xr:uid="{00000000-0005-0000-0000-00007F140000}"/>
    <cellStyle name="Normal 30 3 3 3" xfId="4202" xr:uid="{00000000-0005-0000-0000-000080140000}"/>
    <cellStyle name="Normal 30 3 4" xfId="4203" xr:uid="{00000000-0005-0000-0000-000081140000}"/>
    <cellStyle name="Normal 30 3 4 2" xfId="4204" xr:uid="{00000000-0005-0000-0000-000082140000}"/>
    <cellStyle name="Normal 30 3 4 2 2" xfId="4205" xr:uid="{00000000-0005-0000-0000-000083140000}"/>
    <cellStyle name="Normal 30 3 4 3" xfId="4206" xr:uid="{00000000-0005-0000-0000-000084140000}"/>
    <cellStyle name="Normal 30 3 5" xfId="4207" xr:uid="{00000000-0005-0000-0000-000085140000}"/>
    <cellStyle name="Normal 30 3 5 2" xfId="4208" xr:uid="{00000000-0005-0000-0000-000086140000}"/>
    <cellStyle name="Normal 30 3 6" xfId="4209" xr:uid="{00000000-0005-0000-0000-000087140000}"/>
    <cellStyle name="Normal 30 4" xfId="4210" xr:uid="{00000000-0005-0000-0000-000088140000}"/>
    <cellStyle name="Normal 30 4 2" xfId="4211" xr:uid="{00000000-0005-0000-0000-000089140000}"/>
    <cellStyle name="Normal 30 4 2 2" xfId="4212" xr:uid="{00000000-0005-0000-0000-00008A140000}"/>
    <cellStyle name="Normal 30 4 2 2 2" xfId="4213" xr:uid="{00000000-0005-0000-0000-00008B140000}"/>
    <cellStyle name="Normal 30 4 2 2 2 2" xfId="4214" xr:uid="{00000000-0005-0000-0000-00008C140000}"/>
    <cellStyle name="Normal 30 4 2 2 3" xfId="4215" xr:uid="{00000000-0005-0000-0000-00008D140000}"/>
    <cellStyle name="Normal 30 4 2 3" xfId="4216" xr:uid="{00000000-0005-0000-0000-00008E140000}"/>
    <cellStyle name="Normal 30 4 2 3 2" xfId="4217" xr:uid="{00000000-0005-0000-0000-00008F140000}"/>
    <cellStyle name="Normal 30 4 2 4" xfId="4218" xr:uid="{00000000-0005-0000-0000-000090140000}"/>
    <cellStyle name="Normal 30 4 3" xfId="4219" xr:uid="{00000000-0005-0000-0000-000091140000}"/>
    <cellStyle name="Normal 30 4 3 2" xfId="4220" xr:uid="{00000000-0005-0000-0000-000092140000}"/>
    <cellStyle name="Normal 30 4 3 2 2" xfId="4221" xr:uid="{00000000-0005-0000-0000-000093140000}"/>
    <cellStyle name="Normal 30 4 3 3" xfId="4222" xr:uid="{00000000-0005-0000-0000-000094140000}"/>
    <cellStyle name="Normal 30 4 4" xfId="4223" xr:uid="{00000000-0005-0000-0000-000095140000}"/>
    <cellStyle name="Normal 30 4 4 2" xfId="4224" xr:uid="{00000000-0005-0000-0000-000096140000}"/>
    <cellStyle name="Normal 30 4 4 2 2" xfId="4225" xr:uid="{00000000-0005-0000-0000-000097140000}"/>
    <cellStyle name="Normal 30 4 4 3" xfId="4226" xr:uid="{00000000-0005-0000-0000-000098140000}"/>
    <cellStyle name="Normal 30 4 5" xfId="4227" xr:uid="{00000000-0005-0000-0000-000099140000}"/>
    <cellStyle name="Normal 30 4 5 2" xfId="4228" xr:uid="{00000000-0005-0000-0000-00009A140000}"/>
    <cellStyle name="Normal 30 4 6" xfId="4229" xr:uid="{00000000-0005-0000-0000-00009B140000}"/>
    <cellStyle name="Normal 30 5" xfId="4230" xr:uid="{00000000-0005-0000-0000-00009C140000}"/>
    <cellStyle name="Normal 30 5 2" xfId="4231" xr:uid="{00000000-0005-0000-0000-00009D140000}"/>
    <cellStyle name="Normal 30 5 2 2" xfId="4232" xr:uid="{00000000-0005-0000-0000-00009E140000}"/>
    <cellStyle name="Normal 30 5 2 2 2" xfId="4233" xr:uid="{00000000-0005-0000-0000-00009F140000}"/>
    <cellStyle name="Normal 30 5 2 3" xfId="4234" xr:uid="{00000000-0005-0000-0000-0000A0140000}"/>
    <cellStyle name="Normal 30 5 3" xfId="4235" xr:uid="{00000000-0005-0000-0000-0000A1140000}"/>
    <cellStyle name="Normal 30 5 3 2" xfId="4236" xr:uid="{00000000-0005-0000-0000-0000A2140000}"/>
    <cellStyle name="Normal 30 5 4" xfId="4237" xr:uid="{00000000-0005-0000-0000-0000A3140000}"/>
    <cellStyle name="Normal 30 6" xfId="4238" xr:uid="{00000000-0005-0000-0000-0000A4140000}"/>
    <cellStyle name="Normal 30 6 2" xfId="4239" xr:uid="{00000000-0005-0000-0000-0000A5140000}"/>
    <cellStyle name="Normal 30 6 2 2" xfId="4240" xr:uid="{00000000-0005-0000-0000-0000A6140000}"/>
    <cellStyle name="Normal 30 6 3" xfId="4241" xr:uid="{00000000-0005-0000-0000-0000A7140000}"/>
    <cellStyle name="Normal 30 7" xfId="4242" xr:uid="{00000000-0005-0000-0000-0000A8140000}"/>
    <cellStyle name="Normal 30 7 2" xfId="4243" xr:uid="{00000000-0005-0000-0000-0000A9140000}"/>
    <cellStyle name="Normal 30 7 2 2" xfId="4244" xr:uid="{00000000-0005-0000-0000-0000AA140000}"/>
    <cellStyle name="Normal 30 7 3" xfId="4245" xr:uid="{00000000-0005-0000-0000-0000AB140000}"/>
    <cellStyle name="Normal 30 8" xfId="4246" xr:uid="{00000000-0005-0000-0000-0000AC140000}"/>
    <cellStyle name="Normal 30 8 2" xfId="4247" xr:uid="{00000000-0005-0000-0000-0000AD140000}"/>
    <cellStyle name="Normal 30 9" xfId="4248" xr:uid="{00000000-0005-0000-0000-0000AE140000}"/>
    <cellStyle name="Normal 31" xfId="4249" xr:uid="{00000000-0005-0000-0000-0000AF140000}"/>
    <cellStyle name="Normal 31 10" xfId="4250" xr:uid="{00000000-0005-0000-0000-0000B0140000}"/>
    <cellStyle name="Normal 31 2" xfId="4251" xr:uid="{00000000-0005-0000-0000-0000B1140000}"/>
    <cellStyle name="Normal 31 2 2" xfId="4252" xr:uid="{00000000-0005-0000-0000-0000B2140000}"/>
    <cellStyle name="Normal 31 2 2 2" xfId="4253" xr:uid="{00000000-0005-0000-0000-0000B3140000}"/>
    <cellStyle name="Normal 31 2 2 2 2" xfId="4254" xr:uid="{00000000-0005-0000-0000-0000B4140000}"/>
    <cellStyle name="Normal 31 2 2 2 2 2" xfId="4255" xr:uid="{00000000-0005-0000-0000-0000B5140000}"/>
    <cellStyle name="Normal 31 2 2 2 3" xfId="4256" xr:uid="{00000000-0005-0000-0000-0000B6140000}"/>
    <cellStyle name="Normal 31 2 2 3" xfId="4257" xr:uid="{00000000-0005-0000-0000-0000B7140000}"/>
    <cellStyle name="Normal 31 2 2 3 2" xfId="4258" xr:uid="{00000000-0005-0000-0000-0000B8140000}"/>
    <cellStyle name="Normal 31 2 2 4" xfId="4259" xr:uid="{00000000-0005-0000-0000-0000B9140000}"/>
    <cellStyle name="Normal 31 2 3" xfId="4260" xr:uid="{00000000-0005-0000-0000-0000BA140000}"/>
    <cellStyle name="Normal 31 2 3 2" xfId="4261" xr:uid="{00000000-0005-0000-0000-0000BB140000}"/>
    <cellStyle name="Normal 31 2 3 2 2" xfId="4262" xr:uid="{00000000-0005-0000-0000-0000BC140000}"/>
    <cellStyle name="Normal 31 2 3 3" xfId="4263" xr:uid="{00000000-0005-0000-0000-0000BD140000}"/>
    <cellStyle name="Normal 31 2 4" xfId="4264" xr:uid="{00000000-0005-0000-0000-0000BE140000}"/>
    <cellStyle name="Normal 31 2 4 2" xfId="4265" xr:uid="{00000000-0005-0000-0000-0000BF140000}"/>
    <cellStyle name="Normal 31 2 4 2 2" xfId="4266" xr:uid="{00000000-0005-0000-0000-0000C0140000}"/>
    <cellStyle name="Normal 31 2 4 3" xfId="4267" xr:uid="{00000000-0005-0000-0000-0000C1140000}"/>
    <cellStyle name="Normal 31 2 5" xfId="4268" xr:uid="{00000000-0005-0000-0000-0000C2140000}"/>
    <cellStyle name="Normal 31 2 5 2" xfId="4269" xr:uid="{00000000-0005-0000-0000-0000C3140000}"/>
    <cellStyle name="Normal 31 2 6" xfId="4270" xr:uid="{00000000-0005-0000-0000-0000C4140000}"/>
    <cellStyle name="Normal 31 3" xfId="4271" xr:uid="{00000000-0005-0000-0000-0000C5140000}"/>
    <cellStyle name="Normal 31 3 2" xfId="4272" xr:uid="{00000000-0005-0000-0000-0000C6140000}"/>
    <cellStyle name="Normal 31 3 2 2" xfId="4273" xr:uid="{00000000-0005-0000-0000-0000C7140000}"/>
    <cellStyle name="Normal 31 3 2 2 2" xfId="4274" xr:uid="{00000000-0005-0000-0000-0000C8140000}"/>
    <cellStyle name="Normal 31 3 2 2 2 2" xfId="4275" xr:uid="{00000000-0005-0000-0000-0000C9140000}"/>
    <cellStyle name="Normal 31 3 2 2 3" xfId="4276" xr:uid="{00000000-0005-0000-0000-0000CA140000}"/>
    <cellStyle name="Normal 31 3 2 3" xfId="4277" xr:uid="{00000000-0005-0000-0000-0000CB140000}"/>
    <cellStyle name="Normal 31 3 2 3 2" xfId="4278" xr:uid="{00000000-0005-0000-0000-0000CC140000}"/>
    <cellStyle name="Normal 31 3 2 4" xfId="4279" xr:uid="{00000000-0005-0000-0000-0000CD140000}"/>
    <cellStyle name="Normal 31 3 3" xfId="4280" xr:uid="{00000000-0005-0000-0000-0000CE140000}"/>
    <cellStyle name="Normal 31 3 3 2" xfId="4281" xr:uid="{00000000-0005-0000-0000-0000CF140000}"/>
    <cellStyle name="Normal 31 3 3 2 2" xfId="4282" xr:uid="{00000000-0005-0000-0000-0000D0140000}"/>
    <cellStyle name="Normal 31 3 3 3" xfId="4283" xr:uid="{00000000-0005-0000-0000-0000D1140000}"/>
    <cellStyle name="Normal 31 3 4" xfId="4284" xr:uid="{00000000-0005-0000-0000-0000D2140000}"/>
    <cellStyle name="Normal 31 3 4 2" xfId="4285" xr:uid="{00000000-0005-0000-0000-0000D3140000}"/>
    <cellStyle name="Normal 31 3 4 2 2" xfId="4286" xr:uid="{00000000-0005-0000-0000-0000D4140000}"/>
    <cellStyle name="Normal 31 3 4 3" xfId="4287" xr:uid="{00000000-0005-0000-0000-0000D5140000}"/>
    <cellStyle name="Normal 31 3 5" xfId="4288" xr:uid="{00000000-0005-0000-0000-0000D6140000}"/>
    <cellStyle name="Normal 31 3 5 2" xfId="4289" xr:uid="{00000000-0005-0000-0000-0000D7140000}"/>
    <cellStyle name="Normal 31 3 6" xfId="4290" xr:uid="{00000000-0005-0000-0000-0000D8140000}"/>
    <cellStyle name="Normal 31 4" xfId="4291" xr:uid="{00000000-0005-0000-0000-0000D9140000}"/>
    <cellStyle name="Normal 31 4 2" xfId="4292" xr:uid="{00000000-0005-0000-0000-0000DA140000}"/>
    <cellStyle name="Normal 31 4 2 2" xfId="4293" xr:uid="{00000000-0005-0000-0000-0000DB140000}"/>
    <cellStyle name="Normal 31 4 2 2 2" xfId="4294" xr:uid="{00000000-0005-0000-0000-0000DC140000}"/>
    <cellStyle name="Normal 31 4 2 2 2 2" xfId="4295" xr:uid="{00000000-0005-0000-0000-0000DD140000}"/>
    <cellStyle name="Normal 31 4 2 2 3" xfId="4296" xr:uid="{00000000-0005-0000-0000-0000DE140000}"/>
    <cellStyle name="Normal 31 4 2 3" xfId="4297" xr:uid="{00000000-0005-0000-0000-0000DF140000}"/>
    <cellStyle name="Normal 31 4 2 3 2" xfId="4298" xr:uid="{00000000-0005-0000-0000-0000E0140000}"/>
    <cellStyle name="Normal 31 4 2 4" xfId="4299" xr:uid="{00000000-0005-0000-0000-0000E1140000}"/>
    <cellStyle name="Normal 31 4 3" xfId="4300" xr:uid="{00000000-0005-0000-0000-0000E2140000}"/>
    <cellStyle name="Normal 31 4 3 2" xfId="4301" xr:uid="{00000000-0005-0000-0000-0000E3140000}"/>
    <cellStyle name="Normal 31 4 3 2 2" xfId="4302" xr:uid="{00000000-0005-0000-0000-0000E4140000}"/>
    <cellStyle name="Normal 31 4 3 3" xfId="4303" xr:uid="{00000000-0005-0000-0000-0000E5140000}"/>
    <cellStyle name="Normal 31 4 4" xfId="4304" xr:uid="{00000000-0005-0000-0000-0000E6140000}"/>
    <cellStyle name="Normal 31 4 4 2" xfId="4305" xr:uid="{00000000-0005-0000-0000-0000E7140000}"/>
    <cellStyle name="Normal 31 4 4 2 2" xfId="4306" xr:uid="{00000000-0005-0000-0000-0000E8140000}"/>
    <cellStyle name="Normal 31 4 4 3" xfId="4307" xr:uid="{00000000-0005-0000-0000-0000E9140000}"/>
    <cellStyle name="Normal 31 4 5" xfId="4308" xr:uid="{00000000-0005-0000-0000-0000EA140000}"/>
    <cellStyle name="Normal 31 4 5 2" xfId="4309" xr:uid="{00000000-0005-0000-0000-0000EB140000}"/>
    <cellStyle name="Normal 31 4 6" xfId="4310" xr:uid="{00000000-0005-0000-0000-0000EC140000}"/>
    <cellStyle name="Normal 31 5" xfId="4311" xr:uid="{00000000-0005-0000-0000-0000ED140000}"/>
    <cellStyle name="Normal 31 5 2" xfId="4312" xr:uid="{00000000-0005-0000-0000-0000EE140000}"/>
    <cellStyle name="Normal 31 5 2 2" xfId="4313" xr:uid="{00000000-0005-0000-0000-0000EF140000}"/>
    <cellStyle name="Normal 31 5 2 2 2" xfId="4314" xr:uid="{00000000-0005-0000-0000-0000F0140000}"/>
    <cellStyle name="Normal 31 5 2 3" xfId="4315" xr:uid="{00000000-0005-0000-0000-0000F1140000}"/>
    <cellStyle name="Normal 31 5 3" xfId="4316" xr:uid="{00000000-0005-0000-0000-0000F2140000}"/>
    <cellStyle name="Normal 31 5 3 2" xfId="4317" xr:uid="{00000000-0005-0000-0000-0000F3140000}"/>
    <cellStyle name="Normal 31 5 4" xfId="4318" xr:uid="{00000000-0005-0000-0000-0000F4140000}"/>
    <cellStyle name="Normal 31 6" xfId="4319" xr:uid="{00000000-0005-0000-0000-0000F5140000}"/>
    <cellStyle name="Normal 31 6 2" xfId="4320" xr:uid="{00000000-0005-0000-0000-0000F6140000}"/>
    <cellStyle name="Normal 31 6 2 2" xfId="4321" xr:uid="{00000000-0005-0000-0000-0000F7140000}"/>
    <cellStyle name="Normal 31 6 3" xfId="4322" xr:uid="{00000000-0005-0000-0000-0000F8140000}"/>
    <cellStyle name="Normal 31 7" xfId="4323" xr:uid="{00000000-0005-0000-0000-0000F9140000}"/>
    <cellStyle name="Normal 31 7 2" xfId="4324" xr:uid="{00000000-0005-0000-0000-0000FA140000}"/>
    <cellStyle name="Normal 31 7 2 2" xfId="4325" xr:uid="{00000000-0005-0000-0000-0000FB140000}"/>
    <cellStyle name="Normal 31 7 3" xfId="4326" xr:uid="{00000000-0005-0000-0000-0000FC140000}"/>
    <cellStyle name="Normal 31 8" xfId="4327" xr:uid="{00000000-0005-0000-0000-0000FD140000}"/>
    <cellStyle name="Normal 31 8 2" xfId="4328" xr:uid="{00000000-0005-0000-0000-0000FE140000}"/>
    <cellStyle name="Normal 31 9" xfId="4329" xr:uid="{00000000-0005-0000-0000-0000FF140000}"/>
    <cellStyle name="Normal 32" xfId="4330" xr:uid="{00000000-0005-0000-0000-000000150000}"/>
    <cellStyle name="Normal 32 10" xfId="4331" xr:uid="{00000000-0005-0000-0000-000001150000}"/>
    <cellStyle name="Normal 32 2" xfId="4332" xr:uid="{00000000-0005-0000-0000-000002150000}"/>
    <cellStyle name="Normal 32 2 2" xfId="4333" xr:uid="{00000000-0005-0000-0000-000003150000}"/>
    <cellStyle name="Normal 32 2 2 2" xfId="4334" xr:uid="{00000000-0005-0000-0000-000004150000}"/>
    <cellStyle name="Normal 32 2 2 2 2" xfId="4335" xr:uid="{00000000-0005-0000-0000-000005150000}"/>
    <cellStyle name="Normal 32 2 2 2 2 2" xfId="4336" xr:uid="{00000000-0005-0000-0000-000006150000}"/>
    <cellStyle name="Normal 32 2 2 2 3" xfId="4337" xr:uid="{00000000-0005-0000-0000-000007150000}"/>
    <cellStyle name="Normal 32 2 2 3" xfId="4338" xr:uid="{00000000-0005-0000-0000-000008150000}"/>
    <cellStyle name="Normal 32 2 2 3 2" xfId="4339" xr:uid="{00000000-0005-0000-0000-000009150000}"/>
    <cellStyle name="Normal 32 2 2 4" xfId="4340" xr:uid="{00000000-0005-0000-0000-00000A150000}"/>
    <cellStyle name="Normal 32 2 3" xfId="4341" xr:uid="{00000000-0005-0000-0000-00000B150000}"/>
    <cellStyle name="Normal 32 2 3 2" xfId="4342" xr:uid="{00000000-0005-0000-0000-00000C150000}"/>
    <cellStyle name="Normal 32 2 3 2 2" xfId="10064" xr:uid="{00000000-0005-0000-0000-00000D150000}"/>
    <cellStyle name="Normal 32 2 3 3" xfId="4343" xr:uid="{00000000-0005-0000-0000-00000E150000}"/>
    <cellStyle name="Normal 32 2 3 3 2" xfId="4344" xr:uid="{00000000-0005-0000-0000-00000F150000}"/>
    <cellStyle name="Normal 32 2 3 4" xfId="4345" xr:uid="{00000000-0005-0000-0000-000010150000}"/>
    <cellStyle name="Normal 32 2 4" xfId="4346" xr:uid="{00000000-0005-0000-0000-000011150000}"/>
    <cellStyle name="Normal 32 2 4 2" xfId="4347" xr:uid="{00000000-0005-0000-0000-000012150000}"/>
    <cellStyle name="Normal 32 2 4 2 2" xfId="4348" xr:uid="{00000000-0005-0000-0000-000013150000}"/>
    <cellStyle name="Normal 32 2 4 3" xfId="4349" xr:uid="{00000000-0005-0000-0000-000014150000}"/>
    <cellStyle name="Normal 32 2 5" xfId="4350" xr:uid="{00000000-0005-0000-0000-000015150000}"/>
    <cellStyle name="Normal 32 2 5 2" xfId="4351" xr:uid="{00000000-0005-0000-0000-000016150000}"/>
    <cellStyle name="Normal 32 2 6" xfId="4352" xr:uid="{00000000-0005-0000-0000-000017150000}"/>
    <cellStyle name="Normal 32 3" xfId="4353" xr:uid="{00000000-0005-0000-0000-000018150000}"/>
    <cellStyle name="Normal 32 3 2" xfId="4354" xr:uid="{00000000-0005-0000-0000-000019150000}"/>
    <cellStyle name="Normal 32 3 2 2" xfId="4355" xr:uid="{00000000-0005-0000-0000-00001A150000}"/>
    <cellStyle name="Normal 32 3 2 2 2" xfId="4356" xr:uid="{00000000-0005-0000-0000-00001B150000}"/>
    <cellStyle name="Normal 32 3 2 2 2 2" xfId="4357" xr:uid="{00000000-0005-0000-0000-00001C150000}"/>
    <cellStyle name="Normal 32 3 2 2 3" xfId="4358" xr:uid="{00000000-0005-0000-0000-00001D150000}"/>
    <cellStyle name="Normal 32 3 2 3" xfId="4359" xr:uid="{00000000-0005-0000-0000-00001E150000}"/>
    <cellStyle name="Normal 32 3 2 3 2" xfId="4360" xr:uid="{00000000-0005-0000-0000-00001F150000}"/>
    <cellStyle name="Normal 32 3 2 4" xfId="4361" xr:uid="{00000000-0005-0000-0000-000020150000}"/>
    <cellStyle name="Normal 32 3 3" xfId="4362" xr:uid="{00000000-0005-0000-0000-000021150000}"/>
    <cellStyle name="Normal 32 3 3 2" xfId="4363" xr:uid="{00000000-0005-0000-0000-000022150000}"/>
    <cellStyle name="Normal 32 3 3 2 2" xfId="4364" xr:uid="{00000000-0005-0000-0000-000023150000}"/>
    <cellStyle name="Normal 32 3 3 3" xfId="4365" xr:uid="{00000000-0005-0000-0000-000024150000}"/>
    <cellStyle name="Normal 32 3 4" xfId="4366" xr:uid="{00000000-0005-0000-0000-000025150000}"/>
    <cellStyle name="Normal 32 3 4 2" xfId="4367" xr:uid="{00000000-0005-0000-0000-000026150000}"/>
    <cellStyle name="Normal 32 3 4 2 2" xfId="4368" xr:uid="{00000000-0005-0000-0000-000027150000}"/>
    <cellStyle name="Normal 32 3 4 3" xfId="4369" xr:uid="{00000000-0005-0000-0000-000028150000}"/>
    <cellStyle name="Normal 32 3 5" xfId="4370" xr:uid="{00000000-0005-0000-0000-000029150000}"/>
    <cellStyle name="Normal 32 3 5 2" xfId="4371" xr:uid="{00000000-0005-0000-0000-00002A150000}"/>
    <cellStyle name="Normal 32 3 6" xfId="4372" xr:uid="{00000000-0005-0000-0000-00002B150000}"/>
    <cellStyle name="Normal 32 4" xfId="4373" xr:uid="{00000000-0005-0000-0000-00002C150000}"/>
    <cellStyle name="Normal 32 4 2" xfId="4374" xr:uid="{00000000-0005-0000-0000-00002D150000}"/>
    <cellStyle name="Normal 32 4 2 2" xfId="4375" xr:uid="{00000000-0005-0000-0000-00002E150000}"/>
    <cellStyle name="Normal 32 4 2 2 2" xfId="4376" xr:uid="{00000000-0005-0000-0000-00002F150000}"/>
    <cellStyle name="Normal 32 4 2 2 2 2" xfId="4377" xr:uid="{00000000-0005-0000-0000-000030150000}"/>
    <cellStyle name="Normal 32 4 2 2 3" xfId="4378" xr:uid="{00000000-0005-0000-0000-000031150000}"/>
    <cellStyle name="Normal 32 4 2 3" xfId="4379" xr:uid="{00000000-0005-0000-0000-000032150000}"/>
    <cellStyle name="Normal 32 4 2 3 2" xfId="4380" xr:uid="{00000000-0005-0000-0000-000033150000}"/>
    <cellStyle name="Normal 32 4 2 4" xfId="4381" xr:uid="{00000000-0005-0000-0000-000034150000}"/>
    <cellStyle name="Normal 32 4 3" xfId="4382" xr:uid="{00000000-0005-0000-0000-000035150000}"/>
    <cellStyle name="Normal 32 4 3 2" xfId="4383" xr:uid="{00000000-0005-0000-0000-000036150000}"/>
    <cellStyle name="Normal 32 4 3 2 2" xfId="4384" xr:uid="{00000000-0005-0000-0000-000037150000}"/>
    <cellStyle name="Normal 32 4 3 3" xfId="4385" xr:uid="{00000000-0005-0000-0000-000038150000}"/>
    <cellStyle name="Normal 32 4 4" xfId="4386" xr:uid="{00000000-0005-0000-0000-000039150000}"/>
    <cellStyle name="Normal 32 4 4 2" xfId="4387" xr:uid="{00000000-0005-0000-0000-00003A150000}"/>
    <cellStyle name="Normal 32 4 4 2 2" xfId="4388" xr:uid="{00000000-0005-0000-0000-00003B150000}"/>
    <cellStyle name="Normal 32 4 4 3" xfId="4389" xr:uid="{00000000-0005-0000-0000-00003C150000}"/>
    <cellStyle name="Normal 32 4 5" xfId="4390" xr:uid="{00000000-0005-0000-0000-00003D150000}"/>
    <cellStyle name="Normal 32 4 5 2" xfId="4391" xr:uid="{00000000-0005-0000-0000-00003E150000}"/>
    <cellStyle name="Normal 32 4 6" xfId="4392" xr:uid="{00000000-0005-0000-0000-00003F150000}"/>
    <cellStyle name="Normal 32 5" xfId="4393" xr:uid="{00000000-0005-0000-0000-000040150000}"/>
    <cellStyle name="Normal 32 5 2" xfId="4394" xr:uid="{00000000-0005-0000-0000-000041150000}"/>
    <cellStyle name="Normal 32 5 2 2" xfId="4395" xr:uid="{00000000-0005-0000-0000-000042150000}"/>
    <cellStyle name="Normal 32 5 2 2 2" xfId="4396" xr:uid="{00000000-0005-0000-0000-000043150000}"/>
    <cellStyle name="Normal 32 5 2 3" xfId="4397" xr:uid="{00000000-0005-0000-0000-000044150000}"/>
    <cellStyle name="Normal 32 5 3" xfId="4398" xr:uid="{00000000-0005-0000-0000-000045150000}"/>
    <cellStyle name="Normal 32 5 3 2" xfId="4399" xr:uid="{00000000-0005-0000-0000-000046150000}"/>
    <cellStyle name="Normal 32 5 4" xfId="4400" xr:uid="{00000000-0005-0000-0000-000047150000}"/>
    <cellStyle name="Normal 32 6" xfId="4401" xr:uid="{00000000-0005-0000-0000-000048150000}"/>
    <cellStyle name="Normal 32 6 2" xfId="4402" xr:uid="{00000000-0005-0000-0000-000049150000}"/>
    <cellStyle name="Normal 32 6 2 2" xfId="10065" xr:uid="{00000000-0005-0000-0000-00004A150000}"/>
    <cellStyle name="Normal 32 6 3" xfId="4403" xr:uid="{00000000-0005-0000-0000-00004B150000}"/>
    <cellStyle name="Normal 32 6 3 2" xfId="4404" xr:uid="{00000000-0005-0000-0000-00004C150000}"/>
    <cellStyle name="Normal 32 6 4" xfId="4405" xr:uid="{00000000-0005-0000-0000-00004D150000}"/>
    <cellStyle name="Normal 32 7" xfId="4406" xr:uid="{00000000-0005-0000-0000-00004E150000}"/>
    <cellStyle name="Normal 32 7 2" xfId="4407" xr:uid="{00000000-0005-0000-0000-00004F150000}"/>
    <cellStyle name="Normal 32 7 2 2" xfId="4408" xr:uid="{00000000-0005-0000-0000-000050150000}"/>
    <cellStyle name="Normal 32 7 3" xfId="4409" xr:uid="{00000000-0005-0000-0000-000051150000}"/>
    <cellStyle name="Normal 32 8" xfId="4410" xr:uid="{00000000-0005-0000-0000-000052150000}"/>
    <cellStyle name="Normal 32 8 2" xfId="4411" xr:uid="{00000000-0005-0000-0000-000053150000}"/>
    <cellStyle name="Normal 32 9" xfId="4412" xr:uid="{00000000-0005-0000-0000-000054150000}"/>
    <cellStyle name="Normal 32_Activity Fcst Variance" xfId="4413" xr:uid="{00000000-0005-0000-0000-000055150000}"/>
    <cellStyle name="Normal 33" xfId="4414" xr:uid="{00000000-0005-0000-0000-000056150000}"/>
    <cellStyle name="Normal 33 10" xfId="4415" xr:uid="{00000000-0005-0000-0000-000057150000}"/>
    <cellStyle name="Normal 33 2" xfId="4416" xr:uid="{00000000-0005-0000-0000-000058150000}"/>
    <cellStyle name="Normal 33 2 2" xfId="4417" xr:uid="{00000000-0005-0000-0000-000059150000}"/>
    <cellStyle name="Normal 33 2 2 2" xfId="4418" xr:uid="{00000000-0005-0000-0000-00005A150000}"/>
    <cellStyle name="Normal 33 2 2 2 2" xfId="4419" xr:uid="{00000000-0005-0000-0000-00005B150000}"/>
    <cellStyle name="Normal 33 2 2 2 2 2" xfId="4420" xr:uid="{00000000-0005-0000-0000-00005C150000}"/>
    <cellStyle name="Normal 33 2 2 2 3" xfId="4421" xr:uid="{00000000-0005-0000-0000-00005D150000}"/>
    <cellStyle name="Normal 33 2 2 3" xfId="4422" xr:uid="{00000000-0005-0000-0000-00005E150000}"/>
    <cellStyle name="Normal 33 2 2 3 2" xfId="4423" xr:uid="{00000000-0005-0000-0000-00005F150000}"/>
    <cellStyle name="Normal 33 2 2 4" xfId="4424" xr:uid="{00000000-0005-0000-0000-000060150000}"/>
    <cellStyle name="Normal 33 2 3" xfId="4425" xr:uid="{00000000-0005-0000-0000-000061150000}"/>
    <cellStyle name="Normal 33 2 3 2" xfId="4426" xr:uid="{00000000-0005-0000-0000-000062150000}"/>
    <cellStyle name="Normal 33 2 3 2 2" xfId="10066" xr:uid="{00000000-0005-0000-0000-000063150000}"/>
    <cellStyle name="Normal 33 2 3 3" xfId="4427" xr:uid="{00000000-0005-0000-0000-000064150000}"/>
    <cellStyle name="Normal 33 2 3 3 2" xfId="4428" xr:uid="{00000000-0005-0000-0000-000065150000}"/>
    <cellStyle name="Normal 33 2 3 4" xfId="4429" xr:uid="{00000000-0005-0000-0000-000066150000}"/>
    <cellStyle name="Normal 33 2 4" xfId="4430" xr:uid="{00000000-0005-0000-0000-000067150000}"/>
    <cellStyle name="Normal 33 2 4 2" xfId="4431" xr:uid="{00000000-0005-0000-0000-000068150000}"/>
    <cellStyle name="Normal 33 2 4 2 2" xfId="4432" xr:uid="{00000000-0005-0000-0000-000069150000}"/>
    <cellStyle name="Normal 33 2 4 3" xfId="4433" xr:uid="{00000000-0005-0000-0000-00006A150000}"/>
    <cellStyle name="Normal 33 2 5" xfId="4434" xr:uid="{00000000-0005-0000-0000-00006B150000}"/>
    <cellStyle name="Normal 33 2 5 2" xfId="4435" xr:uid="{00000000-0005-0000-0000-00006C150000}"/>
    <cellStyle name="Normal 33 2 6" xfId="4436" xr:uid="{00000000-0005-0000-0000-00006D150000}"/>
    <cellStyle name="Normal 33 3" xfId="4437" xr:uid="{00000000-0005-0000-0000-00006E150000}"/>
    <cellStyle name="Normal 33 3 2" xfId="4438" xr:uid="{00000000-0005-0000-0000-00006F150000}"/>
    <cellStyle name="Normal 33 3 2 2" xfId="4439" xr:uid="{00000000-0005-0000-0000-000070150000}"/>
    <cellStyle name="Normal 33 3 2 2 2" xfId="4440" xr:uid="{00000000-0005-0000-0000-000071150000}"/>
    <cellStyle name="Normal 33 3 2 2 2 2" xfId="4441" xr:uid="{00000000-0005-0000-0000-000072150000}"/>
    <cellStyle name="Normal 33 3 2 2 3" xfId="4442" xr:uid="{00000000-0005-0000-0000-000073150000}"/>
    <cellStyle name="Normal 33 3 2 3" xfId="4443" xr:uid="{00000000-0005-0000-0000-000074150000}"/>
    <cellStyle name="Normal 33 3 2 3 2" xfId="4444" xr:uid="{00000000-0005-0000-0000-000075150000}"/>
    <cellStyle name="Normal 33 3 2 4" xfId="4445" xr:uid="{00000000-0005-0000-0000-000076150000}"/>
    <cellStyle name="Normal 33 3 3" xfId="4446" xr:uid="{00000000-0005-0000-0000-000077150000}"/>
    <cellStyle name="Normal 33 3 3 2" xfId="4447" xr:uid="{00000000-0005-0000-0000-000078150000}"/>
    <cellStyle name="Normal 33 3 3 2 2" xfId="4448" xr:uid="{00000000-0005-0000-0000-000079150000}"/>
    <cellStyle name="Normal 33 3 3 3" xfId="4449" xr:uid="{00000000-0005-0000-0000-00007A150000}"/>
    <cellStyle name="Normal 33 3 4" xfId="4450" xr:uid="{00000000-0005-0000-0000-00007B150000}"/>
    <cellStyle name="Normal 33 3 4 2" xfId="4451" xr:uid="{00000000-0005-0000-0000-00007C150000}"/>
    <cellStyle name="Normal 33 3 4 2 2" xfId="4452" xr:uid="{00000000-0005-0000-0000-00007D150000}"/>
    <cellStyle name="Normal 33 3 4 3" xfId="4453" xr:uid="{00000000-0005-0000-0000-00007E150000}"/>
    <cellStyle name="Normal 33 3 5" xfId="4454" xr:uid="{00000000-0005-0000-0000-00007F150000}"/>
    <cellStyle name="Normal 33 3 5 2" xfId="4455" xr:uid="{00000000-0005-0000-0000-000080150000}"/>
    <cellStyle name="Normal 33 3 6" xfId="4456" xr:uid="{00000000-0005-0000-0000-000081150000}"/>
    <cellStyle name="Normal 33 4" xfId="4457" xr:uid="{00000000-0005-0000-0000-000082150000}"/>
    <cellStyle name="Normal 33 4 2" xfId="4458" xr:uid="{00000000-0005-0000-0000-000083150000}"/>
    <cellStyle name="Normal 33 4 2 2" xfId="4459" xr:uid="{00000000-0005-0000-0000-000084150000}"/>
    <cellStyle name="Normal 33 4 2 2 2" xfId="4460" xr:uid="{00000000-0005-0000-0000-000085150000}"/>
    <cellStyle name="Normal 33 4 2 2 2 2" xfId="4461" xr:uid="{00000000-0005-0000-0000-000086150000}"/>
    <cellStyle name="Normal 33 4 2 2 3" xfId="4462" xr:uid="{00000000-0005-0000-0000-000087150000}"/>
    <cellStyle name="Normal 33 4 2 3" xfId="4463" xr:uid="{00000000-0005-0000-0000-000088150000}"/>
    <cellStyle name="Normal 33 4 2 3 2" xfId="4464" xr:uid="{00000000-0005-0000-0000-000089150000}"/>
    <cellStyle name="Normal 33 4 2 4" xfId="4465" xr:uid="{00000000-0005-0000-0000-00008A150000}"/>
    <cellStyle name="Normal 33 4 3" xfId="4466" xr:uid="{00000000-0005-0000-0000-00008B150000}"/>
    <cellStyle name="Normal 33 4 3 2" xfId="4467" xr:uid="{00000000-0005-0000-0000-00008C150000}"/>
    <cellStyle name="Normal 33 4 3 2 2" xfId="4468" xr:uid="{00000000-0005-0000-0000-00008D150000}"/>
    <cellStyle name="Normal 33 4 3 3" xfId="4469" xr:uid="{00000000-0005-0000-0000-00008E150000}"/>
    <cellStyle name="Normal 33 4 4" xfId="4470" xr:uid="{00000000-0005-0000-0000-00008F150000}"/>
    <cellStyle name="Normal 33 4 4 2" xfId="4471" xr:uid="{00000000-0005-0000-0000-000090150000}"/>
    <cellStyle name="Normal 33 4 4 2 2" xfId="4472" xr:uid="{00000000-0005-0000-0000-000091150000}"/>
    <cellStyle name="Normal 33 4 4 3" xfId="4473" xr:uid="{00000000-0005-0000-0000-000092150000}"/>
    <cellStyle name="Normal 33 4 5" xfId="4474" xr:uid="{00000000-0005-0000-0000-000093150000}"/>
    <cellStyle name="Normal 33 4 5 2" xfId="4475" xr:uid="{00000000-0005-0000-0000-000094150000}"/>
    <cellStyle name="Normal 33 4 6" xfId="4476" xr:uid="{00000000-0005-0000-0000-000095150000}"/>
    <cellStyle name="Normal 33 5" xfId="4477" xr:uid="{00000000-0005-0000-0000-000096150000}"/>
    <cellStyle name="Normal 33 5 2" xfId="4478" xr:uid="{00000000-0005-0000-0000-000097150000}"/>
    <cellStyle name="Normal 33 5 2 2" xfId="4479" xr:uid="{00000000-0005-0000-0000-000098150000}"/>
    <cellStyle name="Normal 33 5 2 2 2" xfId="4480" xr:uid="{00000000-0005-0000-0000-000099150000}"/>
    <cellStyle name="Normal 33 5 2 3" xfId="4481" xr:uid="{00000000-0005-0000-0000-00009A150000}"/>
    <cellStyle name="Normal 33 5 3" xfId="4482" xr:uid="{00000000-0005-0000-0000-00009B150000}"/>
    <cellStyle name="Normal 33 5 3 2" xfId="4483" xr:uid="{00000000-0005-0000-0000-00009C150000}"/>
    <cellStyle name="Normal 33 5 4" xfId="4484" xr:uid="{00000000-0005-0000-0000-00009D150000}"/>
    <cellStyle name="Normal 33 6" xfId="4485" xr:uid="{00000000-0005-0000-0000-00009E150000}"/>
    <cellStyle name="Normal 33 6 2" xfId="4486" xr:uid="{00000000-0005-0000-0000-00009F150000}"/>
    <cellStyle name="Normal 33 6 2 2" xfId="10067" xr:uid="{00000000-0005-0000-0000-0000A0150000}"/>
    <cellStyle name="Normal 33 6 3" xfId="4487" xr:uid="{00000000-0005-0000-0000-0000A1150000}"/>
    <cellStyle name="Normal 33 6 3 2" xfId="4488" xr:uid="{00000000-0005-0000-0000-0000A2150000}"/>
    <cellStyle name="Normal 33 6 4" xfId="4489" xr:uid="{00000000-0005-0000-0000-0000A3150000}"/>
    <cellStyle name="Normal 33 7" xfId="4490" xr:uid="{00000000-0005-0000-0000-0000A4150000}"/>
    <cellStyle name="Normal 33 7 2" xfId="4491" xr:uid="{00000000-0005-0000-0000-0000A5150000}"/>
    <cellStyle name="Normal 33 7 2 2" xfId="4492" xr:uid="{00000000-0005-0000-0000-0000A6150000}"/>
    <cellStyle name="Normal 33 7 3" xfId="4493" xr:uid="{00000000-0005-0000-0000-0000A7150000}"/>
    <cellStyle name="Normal 33 8" xfId="4494" xr:uid="{00000000-0005-0000-0000-0000A8150000}"/>
    <cellStyle name="Normal 33 8 2" xfId="4495" xr:uid="{00000000-0005-0000-0000-0000A9150000}"/>
    <cellStyle name="Normal 33 9" xfId="4496" xr:uid="{00000000-0005-0000-0000-0000AA150000}"/>
    <cellStyle name="Normal 33_Activity Fcst Variance" xfId="4497" xr:uid="{00000000-0005-0000-0000-0000AB150000}"/>
    <cellStyle name="Normal 34" xfId="4498" xr:uid="{00000000-0005-0000-0000-0000AC150000}"/>
    <cellStyle name="Normal 34 10" xfId="4499" xr:uid="{00000000-0005-0000-0000-0000AD150000}"/>
    <cellStyle name="Normal 34 2" xfId="4500" xr:uid="{00000000-0005-0000-0000-0000AE150000}"/>
    <cellStyle name="Normal 34 2 2" xfId="4501" xr:uid="{00000000-0005-0000-0000-0000AF150000}"/>
    <cellStyle name="Normal 34 2 2 2" xfId="4502" xr:uid="{00000000-0005-0000-0000-0000B0150000}"/>
    <cellStyle name="Normal 34 2 2 2 2" xfId="4503" xr:uid="{00000000-0005-0000-0000-0000B1150000}"/>
    <cellStyle name="Normal 34 2 2 2 2 2" xfId="4504" xr:uid="{00000000-0005-0000-0000-0000B2150000}"/>
    <cellStyle name="Normal 34 2 2 2 3" xfId="4505" xr:uid="{00000000-0005-0000-0000-0000B3150000}"/>
    <cellStyle name="Normal 34 2 2 3" xfId="4506" xr:uid="{00000000-0005-0000-0000-0000B4150000}"/>
    <cellStyle name="Normal 34 2 2 3 2" xfId="4507" xr:uid="{00000000-0005-0000-0000-0000B5150000}"/>
    <cellStyle name="Normal 34 2 2 4" xfId="4508" xr:uid="{00000000-0005-0000-0000-0000B6150000}"/>
    <cellStyle name="Normal 34 2 3" xfId="4509" xr:uid="{00000000-0005-0000-0000-0000B7150000}"/>
    <cellStyle name="Normal 34 2 3 2" xfId="4510" xr:uid="{00000000-0005-0000-0000-0000B8150000}"/>
    <cellStyle name="Normal 34 2 3 2 2" xfId="4511" xr:uid="{00000000-0005-0000-0000-0000B9150000}"/>
    <cellStyle name="Normal 34 2 3 3" xfId="4512" xr:uid="{00000000-0005-0000-0000-0000BA150000}"/>
    <cellStyle name="Normal 34 2 4" xfId="4513" xr:uid="{00000000-0005-0000-0000-0000BB150000}"/>
    <cellStyle name="Normal 34 2 4 2" xfId="4514" xr:uid="{00000000-0005-0000-0000-0000BC150000}"/>
    <cellStyle name="Normal 34 2 4 2 2" xfId="4515" xr:uid="{00000000-0005-0000-0000-0000BD150000}"/>
    <cellStyle name="Normal 34 2 4 3" xfId="4516" xr:uid="{00000000-0005-0000-0000-0000BE150000}"/>
    <cellStyle name="Normal 34 2 5" xfId="4517" xr:uid="{00000000-0005-0000-0000-0000BF150000}"/>
    <cellStyle name="Normal 34 2 5 2" xfId="4518" xr:uid="{00000000-0005-0000-0000-0000C0150000}"/>
    <cellStyle name="Normal 34 2 6" xfId="4519" xr:uid="{00000000-0005-0000-0000-0000C1150000}"/>
    <cellStyle name="Normal 34 3" xfId="4520" xr:uid="{00000000-0005-0000-0000-0000C2150000}"/>
    <cellStyle name="Normal 34 3 2" xfId="4521" xr:uid="{00000000-0005-0000-0000-0000C3150000}"/>
    <cellStyle name="Normal 34 3 2 2" xfId="4522" xr:uid="{00000000-0005-0000-0000-0000C4150000}"/>
    <cellStyle name="Normal 34 3 2 2 2" xfId="4523" xr:uid="{00000000-0005-0000-0000-0000C5150000}"/>
    <cellStyle name="Normal 34 3 2 2 2 2" xfId="4524" xr:uid="{00000000-0005-0000-0000-0000C6150000}"/>
    <cellStyle name="Normal 34 3 2 2 3" xfId="4525" xr:uid="{00000000-0005-0000-0000-0000C7150000}"/>
    <cellStyle name="Normal 34 3 2 3" xfId="4526" xr:uid="{00000000-0005-0000-0000-0000C8150000}"/>
    <cellStyle name="Normal 34 3 2 3 2" xfId="4527" xr:uid="{00000000-0005-0000-0000-0000C9150000}"/>
    <cellStyle name="Normal 34 3 2 4" xfId="4528" xr:uid="{00000000-0005-0000-0000-0000CA150000}"/>
    <cellStyle name="Normal 34 3 3" xfId="4529" xr:uid="{00000000-0005-0000-0000-0000CB150000}"/>
    <cellStyle name="Normal 34 3 3 2" xfId="4530" xr:uid="{00000000-0005-0000-0000-0000CC150000}"/>
    <cellStyle name="Normal 34 3 3 2 2" xfId="4531" xr:uid="{00000000-0005-0000-0000-0000CD150000}"/>
    <cellStyle name="Normal 34 3 3 3" xfId="4532" xr:uid="{00000000-0005-0000-0000-0000CE150000}"/>
    <cellStyle name="Normal 34 3 4" xfId="4533" xr:uid="{00000000-0005-0000-0000-0000CF150000}"/>
    <cellStyle name="Normal 34 3 4 2" xfId="4534" xr:uid="{00000000-0005-0000-0000-0000D0150000}"/>
    <cellStyle name="Normal 34 3 4 2 2" xfId="4535" xr:uid="{00000000-0005-0000-0000-0000D1150000}"/>
    <cellStyle name="Normal 34 3 4 3" xfId="4536" xr:uid="{00000000-0005-0000-0000-0000D2150000}"/>
    <cellStyle name="Normal 34 3 5" xfId="4537" xr:uid="{00000000-0005-0000-0000-0000D3150000}"/>
    <cellStyle name="Normal 34 3 5 2" xfId="4538" xr:uid="{00000000-0005-0000-0000-0000D4150000}"/>
    <cellStyle name="Normal 34 3 6" xfId="4539" xr:uid="{00000000-0005-0000-0000-0000D5150000}"/>
    <cellStyle name="Normal 34 4" xfId="4540" xr:uid="{00000000-0005-0000-0000-0000D6150000}"/>
    <cellStyle name="Normal 34 4 2" xfId="4541" xr:uid="{00000000-0005-0000-0000-0000D7150000}"/>
    <cellStyle name="Normal 34 4 2 2" xfId="4542" xr:uid="{00000000-0005-0000-0000-0000D8150000}"/>
    <cellStyle name="Normal 34 4 2 2 2" xfId="4543" xr:uid="{00000000-0005-0000-0000-0000D9150000}"/>
    <cellStyle name="Normal 34 4 2 2 2 2" xfId="4544" xr:uid="{00000000-0005-0000-0000-0000DA150000}"/>
    <cellStyle name="Normal 34 4 2 2 3" xfId="4545" xr:uid="{00000000-0005-0000-0000-0000DB150000}"/>
    <cellStyle name="Normal 34 4 2 3" xfId="4546" xr:uid="{00000000-0005-0000-0000-0000DC150000}"/>
    <cellStyle name="Normal 34 4 2 3 2" xfId="4547" xr:uid="{00000000-0005-0000-0000-0000DD150000}"/>
    <cellStyle name="Normal 34 4 2 4" xfId="4548" xr:uid="{00000000-0005-0000-0000-0000DE150000}"/>
    <cellStyle name="Normal 34 4 3" xfId="4549" xr:uid="{00000000-0005-0000-0000-0000DF150000}"/>
    <cellStyle name="Normal 34 4 3 2" xfId="4550" xr:uid="{00000000-0005-0000-0000-0000E0150000}"/>
    <cellStyle name="Normal 34 4 3 2 2" xfId="4551" xr:uid="{00000000-0005-0000-0000-0000E1150000}"/>
    <cellStyle name="Normal 34 4 3 3" xfId="4552" xr:uid="{00000000-0005-0000-0000-0000E2150000}"/>
    <cellStyle name="Normal 34 4 4" xfId="4553" xr:uid="{00000000-0005-0000-0000-0000E3150000}"/>
    <cellStyle name="Normal 34 4 4 2" xfId="4554" xr:uid="{00000000-0005-0000-0000-0000E4150000}"/>
    <cellStyle name="Normal 34 4 4 2 2" xfId="4555" xr:uid="{00000000-0005-0000-0000-0000E5150000}"/>
    <cellStyle name="Normal 34 4 4 3" xfId="4556" xr:uid="{00000000-0005-0000-0000-0000E6150000}"/>
    <cellStyle name="Normal 34 4 5" xfId="4557" xr:uid="{00000000-0005-0000-0000-0000E7150000}"/>
    <cellStyle name="Normal 34 4 5 2" xfId="4558" xr:uid="{00000000-0005-0000-0000-0000E8150000}"/>
    <cellStyle name="Normal 34 4 6" xfId="4559" xr:uid="{00000000-0005-0000-0000-0000E9150000}"/>
    <cellStyle name="Normal 34 5" xfId="4560" xr:uid="{00000000-0005-0000-0000-0000EA150000}"/>
    <cellStyle name="Normal 34 5 2" xfId="4561" xr:uid="{00000000-0005-0000-0000-0000EB150000}"/>
    <cellStyle name="Normal 34 5 2 2" xfId="4562" xr:uid="{00000000-0005-0000-0000-0000EC150000}"/>
    <cellStyle name="Normal 34 5 2 2 2" xfId="4563" xr:uid="{00000000-0005-0000-0000-0000ED150000}"/>
    <cellStyle name="Normal 34 5 2 3" xfId="4564" xr:uid="{00000000-0005-0000-0000-0000EE150000}"/>
    <cellStyle name="Normal 34 5 3" xfId="4565" xr:uid="{00000000-0005-0000-0000-0000EF150000}"/>
    <cellStyle name="Normal 34 5 3 2" xfId="4566" xr:uid="{00000000-0005-0000-0000-0000F0150000}"/>
    <cellStyle name="Normal 34 5 4" xfId="4567" xr:uid="{00000000-0005-0000-0000-0000F1150000}"/>
    <cellStyle name="Normal 34 6" xfId="4568" xr:uid="{00000000-0005-0000-0000-0000F2150000}"/>
    <cellStyle name="Normal 34 6 2" xfId="4569" xr:uid="{00000000-0005-0000-0000-0000F3150000}"/>
    <cellStyle name="Normal 34 6 3" xfId="4570" xr:uid="{00000000-0005-0000-0000-0000F4150000}"/>
    <cellStyle name="Normal 34 6 3 2" xfId="4571" xr:uid="{00000000-0005-0000-0000-0000F5150000}"/>
    <cellStyle name="Normal 34 6 4" xfId="4572" xr:uid="{00000000-0005-0000-0000-0000F6150000}"/>
    <cellStyle name="Normal 34 7" xfId="4573" xr:uid="{00000000-0005-0000-0000-0000F7150000}"/>
    <cellStyle name="Normal 34 7 2" xfId="4574" xr:uid="{00000000-0005-0000-0000-0000F8150000}"/>
    <cellStyle name="Normal 34 7 2 2" xfId="4575" xr:uid="{00000000-0005-0000-0000-0000F9150000}"/>
    <cellStyle name="Normal 34 7 3" xfId="4576" xr:uid="{00000000-0005-0000-0000-0000FA150000}"/>
    <cellStyle name="Normal 34 8" xfId="4577" xr:uid="{00000000-0005-0000-0000-0000FB150000}"/>
    <cellStyle name="Normal 34 8 2" xfId="4578" xr:uid="{00000000-0005-0000-0000-0000FC150000}"/>
    <cellStyle name="Normal 34 9" xfId="4579" xr:uid="{00000000-0005-0000-0000-0000FD150000}"/>
    <cellStyle name="Normal 35" xfId="4580" xr:uid="{00000000-0005-0000-0000-0000FE150000}"/>
    <cellStyle name="Normal 35 10" xfId="4581" xr:uid="{00000000-0005-0000-0000-0000FF150000}"/>
    <cellStyle name="Normal 35 2" xfId="4582" xr:uid="{00000000-0005-0000-0000-000000160000}"/>
    <cellStyle name="Normal 35 2 2" xfId="4583" xr:uid="{00000000-0005-0000-0000-000001160000}"/>
    <cellStyle name="Normal 35 2 2 2" xfId="4584" xr:uid="{00000000-0005-0000-0000-000002160000}"/>
    <cellStyle name="Normal 35 2 2 2 2" xfId="4585" xr:uid="{00000000-0005-0000-0000-000003160000}"/>
    <cellStyle name="Normal 35 2 2 2 2 2" xfId="4586" xr:uid="{00000000-0005-0000-0000-000004160000}"/>
    <cellStyle name="Normal 35 2 2 2 3" xfId="4587" xr:uid="{00000000-0005-0000-0000-000005160000}"/>
    <cellStyle name="Normal 35 2 2 3" xfId="4588" xr:uid="{00000000-0005-0000-0000-000006160000}"/>
    <cellStyle name="Normal 35 2 2 3 2" xfId="4589" xr:uid="{00000000-0005-0000-0000-000007160000}"/>
    <cellStyle name="Normal 35 2 2 4" xfId="4590" xr:uid="{00000000-0005-0000-0000-000008160000}"/>
    <cellStyle name="Normal 35 2 3" xfId="4591" xr:uid="{00000000-0005-0000-0000-000009160000}"/>
    <cellStyle name="Normal 35 2 3 2" xfId="4592" xr:uid="{00000000-0005-0000-0000-00000A160000}"/>
    <cellStyle name="Normal 35 2 3 2 2" xfId="4593" xr:uid="{00000000-0005-0000-0000-00000B160000}"/>
    <cellStyle name="Normal 35 2 3 3" xfId="4594" xr:uid="{00000000-0005-0000-0000-00000C160000}"/>
    <cellStyle name="Normal 35 2 4" xfId="4595" xr:uid="{00000000-0005-0000-0000-00000D160000}"/>
    <cellStyle name="Normal 35 2 4 2" xfId="4596" xr:uid="{00000000-0005-0000-0000-00000E160000}"/>
    <cellStyle name="Normal 35 2 4 2 2" xfId="4597" xr:uid="{00000000-0005-0000-0000-00000F160000}"/>
    <cellStyle name="Normal 35 2 4 3" xfId="4598" xr:uid="{00000000-0005-0000-0000-000010160000}"/>
    <cellStyle name="Normal 35 2 5" xfId="4599" xr:uid="{00000000-0005-0000-0000-000011160000}"/>
    <cellStyle name="Normal 35 2 5 2" xfId="4600" xr:uid="{00000000-0005-0000-0000-000012160000}"/>
    <cellStyle name="Normal 35 2 6" xfId="4601" xr:uid="{00000000-0005-0000-0000-000013160000}"/>
    <cellStyle name="Normal 35 3" xfId="4602" xr:uid="{00000000-0005-0000-0000-000014160000}"/>
    <cellStyle name="Normal 35 3 2" xfId="4603" xr:uid="{00000000-0005-0000-0000-000015160000}"/>
    <cellStyle name="Normal 35 3 2 2" xfId="4604" xr:uid="{00000000-0005-0000-0000-000016160000}"/>
    <cellStyle name="Normal 35 3 2 2 2" xfId="4605" xr:uid="{00000000-0005-0000-0000-000017160000}"/>
    <cellStyle name="Normal 35 3 2 2 2 2" xfId="4606" xr:uid="{00000000-0005-0000-0000-000018160000}"/>
    <cellStyle name="Normal 35 3 2 2 3" xfId="4607" xr:uid="{00000000-0005-0000-0000-000019160000}"/>
    <cellStyle name="Normal 35 3 2 3" xfId="4608" xr:uid="{00000000-0005-0000-0000-00001A160000}"/>
    <cellStyle name="Normal 35 3 2 3 2" xfId="4609" xr:uid="{00000000-0005-0000-0000-00001B160000}"/>
    <cellStyle name="Normal 35 3 2 4" xfId="4610" xr:uid="{00000000-0005-0000-0000-00001C160000}"/>
    <cellStyle name="Normal 35 3 3" xfId="4611" xr:uid="{00000000-0005-0000-0000-00001D160000}"/>
    <cellStyle name="Normal 35 3 3 2" xfId="4612" xr:uid="{00000000-0005-0000-0000-00001E160000}"/>
    <cellStyle name="Normal 35 3 3 2 2" xfId="4613" xr:uid="{00000000-0005-0000-0000-00001F160000}"/>
    <cellStyle name="Normal 35 3 3 3" xfId="4614" xr:uid="{00000000-0005-0000-0000-000020160000}"/>
    <cellStyle name="Normal 35 3 4" xfId="4615" xr:uid="{00000000-0005-0000-0000-000021160000}"/>
    <cellStyle name="Normal 35 3 4 2" xfId="4616" xr:uid="{00000000-0005-0000-0000-000022160000}"/>
    <cellStyle name="Normal 35 3 4 2 2" xfId="4617" xr:uid="{00000000-0005-0000-0000-000023160000}"/>
    <cellStyle name="Normal 35 3 4 3" xfId="4618" xr:uid="{00000000-0005-0000-0000-000024160000}"/>
    <cellStyle name="Normal 35 3 5" xfId="4619" xr:uid="{00000000-0005-0000-0000-000025160000}"/>
    <cellStyle name="Normal 35 3 5 2" xfId="4620" xr:uid="{00000000-0005-0000-0000-000026160000}"/>
    <cellStyle name="Normal 35 3 6" xfId="4621" xr:uid="{00000000-0005-0000-0000-000027160000}"/>
    <cellStyle name="Normal 35 4" xfId="4622" xr:uid="{00000000-0005-0000-0000-000028160000}"/>
    <cellStyle name="Normal 35 4 2" xfId="4623" xr:uid="{00000000-0005-0000-0000-000029160000}"/>
    <cellStyle name="Normal 35 4 2 2" xfId="4624" xr:uid="{00000000-0005-0000-0000-00002A160000}"/>
    <cellStyle name="Normal 35 4 2 2 2" xfId="4625" xr:uid="{00000000-0005-0000-0000-00002B160000}"/>
    <cellStyle name="Normal 35 4 2 2 2 2" xfId="4626" xr:uid="{00000000-0005-0000-0000-00002C160000}"/>
    <cellStyle name="Normal 35 4 2 2 3" xfId="4627" xr:uid="{00000000-0005-0000-0000-00002D160000}"/>
    <cellStyle name="Normal 35 4 2 3" xfId="4628" xr:uid="{00000000-0005-0000-0000-00002E160000}"/>
    <cellStyle name="Normal 35 4 2 3 2" xfId="4629" xr:uid="{00000000-0005-0000-0000-00002F160000}"/>
    <cellStyle name="Normal 35 4 2 4" xfId="4630" xr:uid="{00000000-0005-0000-0000-000030160000}"/>
    <cellStyle name="Normal 35 4 3" xfId="4631" xr:uid="{00000000-0005-0000-0000-000031160000}"/>
    <cellStyle name="Normal 35 4 3 2" xfId="4632" xr:uid="{00000000-0005-0000-0000-000032160000}"/>
    <cellStyle name="Normal 35 4 3 2 2" xfId="4633" xr:uid="{00000000-0005-0000-0000-000033160000}"/>
    <cellStyle name="Normal 35 4 3 3" xfId="4634" xr:uid="{00000000-0005-0000-0000-000034160000}"/>
    <cellStyle name="Normal 35 4 4" xfId="4635" xr:uid="{00000000-0005-0000-0000-000035160000}"/>
    <cellStyle name="Normal 35 4 4 2" xfId="4636" xr:uid="{00000000-0005-0000-0000-000036160000}"/>
    <cellStyle name="Normal 35 4 4 2 2" xfId="4637" xr:uid="{00000000-0005-0000-0000-000037160000}"/>
    <cellStyle name="Normal 35 4 4 3" xfId="4638" xr:uid="{00000000-0005-0000-0000-000038160000}"/>
    <cellStyle name="Normal 35 4 5" xfId="4639" xr:uid="{00000000-0005-0000-0000-000039160000}"/>
    <cellStyle name="Normal 35 4 5 2" xfId="4640" xr:uid="{00000000-0005-0000-0000-00003A160000}"/>
    <cellStyle name="Normal 35 4 6" xfId="4641" xr:uid="{00000000-0005-0000-0000-00003B160000}"/>
    <cellStyle name="Normal 35 5" xfId="4642" xr:uid="{00000000-0005-0000-0000-00003C160000}"/>
    <cellStyle name="Normal 35 5 2" xfId="4643" xr:uid="{00000000-0005-0000-0000-00003D160000}"/>
    <cellStyle name="Normal 35 5 2 2" xfId="4644" xr:uid="{00000000-0005-0000-0000-00003E160000}"/>
    <cellStyle name="Normal 35 5 2 2 2" xfId="4645" xr:uid="{00000000-0005-0000-0000-00003F160000}"/>
    <cellStyle name="Normal 35 5 2 3" xfId="4646" xr:uid="{00000000-0005-0000-0000-000040160000}"/>
    <cellStyle name="Normal 35 5 3" xfId="4647" xr:uid="{00000000-0005-0000-0000-000041160000}"/>
    <cellStyle name="Normal 35 5 3 2" xfId="4648" xr:uid="{00000000-0005-0000-0000-000042160000}"/>
    <cellStyle name="Normal 35 5 4" xfId="4649" xr:uid="{00000000-0005-0000-0000-000043160000}"/>
    <cellStyle name="Normal 35 6" xfId="4650" xr:uid="{00000000-0005-0000-0000-000044160000}"/>
    <cellStyle name="Normal 35 6 2" xfId="4651" xr:uid="{00000000-0005-0000-0000-000045160000}"/>
    <cellStyle name="Normal 35 6 2 2" xfId="10068" xr:uid="{00000000-0005-0000-0000-000046160000}"/>
    <cellStyle name="Normal 35 6 3" xfId="4652" xr:uid="{00000000-0005-0000-0000-000047160000}"/>
    <cellStyle name="Normal 35 6 3 2" xfId="4653" xr:uid="{00000000-0005-0000-0000-000048160000}"/>
    <cellStyle name="Normal 35 6 4" xfId="4654" xr:uid="{00000000-0005-0000-0000-000049160000}"/>
    <cellStyle name="Normal 35 7" xfId="4655" xr:uid="{00000000-0005-0000-0000-00004A160000}"/>
    <cellStyle name="Normal 35 7 2" xfId="4656" xr:uid="{00000000-0005-0000-0000-00004B160000}"/>
    <cellStyle name="Normal 35 7 2 2" xfId="4657" xr:uid="{00000000-0005-0000-0000-00004C160000}"/>
    <cellStyle name="Normal 35 7 3" xfId="4658" xr:uid="{00000000-0005-0000-0000-00004D160000}"/>
    <cellStyle name="Normal 35 8" xfId="4659" xr:uid="{00000000-0005-0000-0000-00004E160000}"/>
    <cellStyle name="Normal 35 8 2" xfId="4660" xr:uid="{00000000-0005-0000-0000-00004F160000}"/>
    <cellStyle name="Normal 35 9" xfId="4661" xr:uid="{00000000-0005-0000-0000-000050160000}"/>
    <cellStyle name="Normal 36" xfId="4662" xr:uid="{00000000-0005-0000-0000-000051160000}"/>
    <cellStyle name="Normal 36 10" xfId="4663" xr:uid="{00000000-0005-0000-0000-000052160000}"/>
    <cellStyle name="Normal 36 2" xfId="4664" xr:uid="{00000000-0005-0000-0000-000053160000}"/>
    <cellStyle name="Normal 36 2 2" xfId="4665" xr:uid="{00000000-0005-0000-0000-000054160000}"/>
    <cellStyle name="Normal 36 2 2 2" xfId="4666" xr:uid="{00000000-0005-0000-0000-000055160000}"/>
    <cellStyle name="Normal 36 2 2 2 2" xfId="4667" xr:uid="{00000000-0005-0000-0000-000056160000}"/>
    <cellStyle name="Normal 36 2 2 2 2 2" xfId="4668" xr:uid="{00000000-0005-0000-0000-000057160000}"/>
    <cellStyle name="Normal 36 2 2 2 3" xfId="4669" xr:uid="{00000000-0005-0000-0000-000058160000}"/>
    <cellStyle name="Normal 36 2 2 3" xfId="4670" xr:uid="{00000000-0005-0000-0000-000059160000}"/>
    <cellStyle name="Normal 36 2 2 3 2" xfId="4671" xr:uid="{00000000-0005-0000-0000-00005A160000}"/>
    <cellStyle name="Normal 36 2 2 4" xfId="4672" xr:uid="{00000000-0005-0000-0000-00005B160000}"/>
    <cellStyle name="Normal 36 2 3" xfId="4673" xr:uid="{00000000-0005-0000-0000-00005C160000}"/>
    <cellStyle name="Normal 36 2 3 2" xfId="4674" xr:uid="{00000000-0005-0000-0000-00005D160000}"/>
    <cellStyle name="Normal 36 2 3 2 2" xfId="4675" xr:uid="{00000000-0005-0000-0000-00005E160000}"/>
    <cellStyle name="Normal 36 2 3 3" xfId="4676" xr:uid="{00000000-0005-0000-0000-00005F160000}"/>
    <cellStyle name="Normal 36 2 4" xfId="4677" xr:uid="{00000000-0005-0000-0000-000060160000}"/>
    <cellStyle name="Normal 36 2 4 2" xfId="4678" xr:uid="{00000000-0005-0000-0000-000061160000}"/>
    <cellStyle name="Normal 36 2 4 2 2" xfId="4679" xr:uid="{00000000-0005-0000-0000-000062160000}"/>
    <cellStyle name="Normal 36 2 4 3" xfId="4680" xr:uid="{00000000-0005-0000-0000-000063160000}"/>
    <cellStyle name="Normal 36 2 5" xfId="4681" xr:uid="{00000000-0005-0000-0000-000064160000}"/>
    <cellStyle name="Normal 36 2 5 2" xfId="4682" xr:uid="{00000000-0005-0000-0000-000065160000}"/>
    <cellStyle name="Normal 36 2 6" xfId="4683" xr:uid="{00000000-0005-0000-0000-000066160000}"/>
    <cellStyle name="Normal 36 3" xfId="4684" xr:uid="{00000000-0005-0000-0000-000067160000}"/>
    <cellStyle name="Normal 36 3 2" xfId="4685" xr:uid="{00000000-0005-0000-0000-000068160000}"/>
    <cellStyle name="Normal 36 3 2 2" xfId="4686" xr:uid="{00000000-0005-0000-0000-000069160000}"/>
    <cellStyle name="Normal 36 3 2 2 2" xfId="4687" xr:uid="{00000000-0005-0000-0000-00006A160000}"/>
    <cellStyle name="Normal 36 3 2 2 2 2" xfId="4688" xr:uid="{00000000-0005-0000-0000-00006B160000}"/>
    <cellStyle name="Normal 36 3 2 2 3" xfId="4689" xr:uid="{00000000-0005-0000-0000-00006C160000}"/>
    <cellStyle name="Normal 36 3 2 3" xfId="4690" xr:uid="{00000000-0005-0000-0000-00006D160000}"/>
    <cellStyle name="Normal 36 3 2 3 2" xfId="4691" xr:uid="{00000000-0005-0000-0000-00006E160000}"/>
    <cellStyle name="Normal 36 3 2 4" xfId="4692" xr:uid="{00000000-0005-0000-0000-00006F160000}"/>
    <cellStyle name="Normal 36 3 3" xfId="4693" xr:uid="{00000000-0005-0000-0000-000070160000}"/>
    <cellStyle name="Normal 36 3 3 2" xfId="4694" xr:uid="{00000000-0005-0000-0000-000071160000}"/>
    <cellStyle name="Normal 36 3 3 2 2" xfId="4695" xr:uid="{00000000-0005-0000-0000-000072160000}"/>
    <cellStyle name="Normal 36 3 3 3" xfId="4696" xr:uid="{00000000-0005-0000-0000-000073160000}"/>
    <cellStyle name="Normal 36 3 4" xfId="4697" xr:uid="{00000000-0005-0000-0000-000074160000}"/>
    <cellStyle name="Normal 36 3 4 2" xfId="4698" xr:uid="{00000000-0005-0000-0000-000075160000}"/>
    <cellStyle name="Normal 36 3 4 2 2" xfId="4699" xr:uid="{00000000-0005-0000-0000-000076160000}"/>
    <cellStyle name="Normal 36 3 4 3" xfId="4700" xr:uid="{00000000-0005-0000-0000-000077160000}"/>
    <cellStyle name="Normal 36 3 5" xfId="4701" xr:uid="{00000000-0005-0000-0000-000078160000}"/>
    <cellStyle name="Normal 36 3 5 2" xfId="4702" xr:uid="{00000000-0005-0000-0000-000079160000}"/>
    <cellStyle name="Normal 36 3 6" xfId="4703" xr:uid="{00000000-0005-0000-0000-00007A160000}"/>
    <cellStyle name="Normal 36 4" xfId="4704" xr:uid="{00000000-0005-0000-0000-00007B160000}"/>
    <cellStyle name="Normal 36 4 2" xfId="4705" xr:uid="{00000000-0005-0000-0000-00007C160000}"/>
    <cellStyle name="Normal 36 4 2 2" xfId="4706" xr:uid="{00000000-0005-0000-0000-00007D160000}"/>
    <cellStyle name="Normal 36 4 2 2 2" xfId="4707" xr:uid="{00000000-0005-0000-0000-00007E160000}"/>
    <cellStyle name="Normal 36 4 2 2 2 2" xfId="4708" xr:uid="{00000000-0005-0000-0000-00007F160000}"/>
    <cellStyle name="Normal 36 4 2 2 3" xfId="4709" xr:uid="{00000000-0005-0000-0000-000080160000}"/>
    <cellStyle name="Normal 36 4 2 3" xfId="4710" xr:uid="{00000000-0005-0000-0000-000081160000}"/>
    <cellStyle name="Normal 36 4 2 3 2" xfId="4711" xr:uid="{00000000-0005-0000-0000-000082160000}"/>
    <cellStyle name="Normal 36 4 2 4" xfId="4712" xr:uid="{00000000-0005-0000-0000-000083160000}"/>
    <cellStyle name="Normal 36 4 3" xfId="4713" xr:uid="{00000000-0005-0000-0000-000084160000}"/>
    <cellStyle name="Normal 36 4 3 2" xfId="4714" xr:uid="{00000000-0005-0000-0000-000085160000}"/>
    <cellStyle name="Normal 36 4 3 2 2" xfId="4715" xr:uid="{00000000-0005-0000-0000-000086160000}"/>
    <cellStyle name="Normal 36 4 3 3" xfId="4716" xr:uid="{00000000-0005-0000-0000-000087160000}"/>
    <cellStyle name="Normal 36 4 4" xfId="4717" xr:uid="{00000000-0005-0000-0000-000088160000}"/>
    <cellStyle name="Normal 36 4 4 2" xfId="4718" xr:uid="{00000000-0005-0000-0000-000089160000}"/>
    <cellStyle name="Normal 36 4 4 2 2" xfId="4719" xr:uid="{00000000-0005-0000-0000-00008A160000}"/>
    <cellStyle name="Normal 36 4 4 3" xfId="4720" xr:uid="{00000000-0005-0000-0000-00008B160000}"/>
    <cellStyle name="Normal 36 4 5" xfId="4721" xr:uid="{00000000-0005-0000-0000-00008C160000}"/>
    <cellStyle name="Normal 36 4 5 2" xfId="4722" xr:uid="{00000000-0005-0000-0000-00008D160000}"/>
    <cellStyle name="Normal 36 4 6" xfId="4723" xr:uid="{00000000-0005-0000-0000-00008E160000}"/>
    <cellStyle name="Normal 36 5" xfId="4724" xr:uid="{00000000-0005-0000-0000-00008F160000}"/>
    <cellStyle name="Normal 36 5 2" xfId="4725" xr:uid="{00000000-0005-0000-0000-000090160000}"/>
    <cellStyle name="Normal 36 5 2 2" xfId="4726" xr:uid="{00000000-0005-0000-0000-000091160000}"/>
    <cellStyle name="Normal 36 5 2 2 2" xfId="4727" xr:uid="{00000000-0005-0000-0000-000092160000}"/>
    <cellStyle name="Normal 36 5 2 3" xfId="4728" xr:uid="{00000000-0005-0000-0000-000093160000}"/>
    <cellStyle name="Normal 36 5 3" xfId="4729" xr:uid="{00000000-0005-0000-0000-000094160000}"/>
    <cellStyle name="Normal 36 5 3 2" xfId="4730" xr:uid="{00000000-0005-0000-0000-000095160000}"/>
    <cellStyle name="Normal 36 5 4" xfId="4731" xr:uid="{00000000-0005-0000-0000-000096160000}"/>
    <cellStyle name="Normal 36 6" xfId="4732" xr:uid="{00000000-0005-0000-0000-000097160000}"/>
    <cellStyle name="Normal 36 6 2" xfId="4733" xr:uid="{00000000-0005-0000-0000-000098160000}"/>
    <cellStyle name="Normal 36 6 2 2" xfId="10069" xr:uid="{00000000-0005-0000-0000-000099160000}"/>
    <cellStyle name="Normal 36 6 3" xfId="4734" xr:uid="{00000000-0005-0000-0000-00009A160000}"/>
    <cellStyle name="Normal 36 6 3 2" xfId="4735" xr:uid="{00000000-0005-0000-0000-00009B160000}"/>
    <cellStyle name="Normal 36 6 4" xfId="4736" xr:uid="{00000000-0005-0000-0000-00009C160000}"/>
    <cellStyle name="Normal 36 7" xfId="4737" xr:uid="{00000000-0005-0000-0000-00009D160000}"/>
    <cellStyle name="Normal 36 7 2" xfId="4738" xr:uid="{00000000-0005-0000-0000-00009E160000}"/>
    <cellStyle name="Normal 36 7 2 2" xfId="4739" xr:uid="{00000000-0005-0000-0000-00009F160000}"/>
    <cellStyle name="Normal 36 7 3" xfId="4740" xr:uid="{00000000-0005-0000-0000-0000A0160000}"/>
    <cellStyle name="Normal 36 8" xfId="4741" xr:uid="{00000000-0005-0000-0000-0000A1160000}"/>
    <cellStyle name="Normal 36 8 2" xfId="4742" xr:uid="{00000000-0005-0000-0000-0000A2160000}"/>
    <cellStyle name="Normal 36 9" xfId="4743" xr:uid="{00000000-0005-0000-0000-0000A3160000}"/>
    <cellStyle name="Normal 37" xfId="4744" xr:uid="{00000000-0005-0000-0000-0000A4160000}"/>
    <cellStyle name="Normal 37 10" xfId="4745" xr:uid="{00000000-0005-0000-0000-0000A5160000}"/>
    <cellStyle name="Normal 37 2" xfId="4746" xr:uid="{00000000-0005-0000-0000-0000A6160000}"/>
    <cellStyle name="Normal 37 2 2" xfId="4747" xr:uid="{00000000-0005-0000-0000-0000A7160000}"/>
    <cellStyle name="Normal 37 2 2 2" xfId="4748" xr:uid="{00000000-0005-0000-0000-0000A8160000}"/>
    <cellStyle name="Normal 37 2 2 2 2" xfId="4749" xr:uid="{00000000-0005-0000-0000-0000A9160000}"/>
    <cellStyle name="Normal 37 2 2 2 2 2" xfId="4750" xr:uid="{00000000-0005-0000-0000-0000AA160000}"/>
    <cellStyle name="Normal 37 2 2 2 3" xfId="4751" xr:uid="{00000000-0005-0000-0000-0000AB160000}"/>
    <cellStyle name="Normal 37 2 2 3" xfId="4752" xr:uid="{00000000-0005-0000-0000-0000AC160000}"/>
    <cellStyle name="Normal 37 2 2 3 2" xfId="4753" xr:uid="{00000000-0005-0000-0000-0000AD160000}"/>
    <cellStyle name="Normal 37 2 2 4" xfId="4754" xr:uid="{00000000-0005-0000-0000-0000AE160000}"/>
    <cellStyle name="Normal 37 2 3" xfId="4755" xr:uid="{00000000-0005-0000-0000-0000AF160000}"/>
    <cellStyle name="Normal 37 2 3 2" xfId="4756" xr:uid="{00000000-0005-0000-0000-0000B0160000}"/>
    <cellStyle name="Normal 37 2 3 2 2" xfId="4757" xr:uid="{00000000-0005-0000-0000-0000B1160000}"/>
    <cellStyle name="Normal 37 2 3 3" xfId="4758" xr:uid="{00000000-0005-0000-0000-0000B2160000}"/>
    <cellStyle name="Normal 37 2 4" xfId="4759" xr:uid="{00000000-0005-0000-0000-0000B3160000}"/>
    <cellStyle name="Normal 37 2 4 2" xfId="4760" xr:uid="{00000000-0005-0000-0000-0000B4160000}"/>
    <cellStyle name="Normal 37 2 4 2 2" xfId="4761" xr:uid="{00000000-0005-0000-0000-0000B5160000}"/>
    <cellStyle name="Normal 37 2 4 3" xfId="4762" xr:uid="{00000000-0005-0000-0000-0000B6160000}"/>
    <cellStyle name="Normal 37 2 5" xfId="4763" xr:uid="{00000000-0005-0000-0000-0000B7160000}"/>
    <cellStyle name="Normal 37 2 5 2" xfId="4764" xr:uid="{00000000-0005-0000-0000-0000B8160000}"/>
    <cellStyle name="Normal 37 2 6" xfId="4765" xr:uid="{00000000-0005-0000-0000-0000B9160000}"/>
    <cellStyle name="Normal 37 3" xfId="4766" xr:uid="{00000000-0005-0000-0000-0000BA160000}"/>
    <cellStyle name="Normal 37 3 2" xfId="4767" xr:uid="{00000000-0005-0000-0000-0000BB160000}"/>
    <cellStyle name="Normal 37 3 2 2" xfId="4768" xr:uid="{00000000-0005-0000-0000-0000BC160000}"/>
    <cellStyle name="Normal 37 3 2 2 2" xfId="4769" xr:uid="{00000000-0005-0000-0000-0000BD160000}"/>
    <cellStyle name="Normal 37 3 2 2 2 2" xfId="4770" xr:uid="{00000000-0005-0000-0000-0000BE160000}"/>
    <cellStyle name="Normal 37 3 2 2 3" xfId="4771" xr:uid="{00000000-0005-0000-0000-0000BF160000}"/>
    <cellStyle name="Normal 37 3 2 3" xfId="4772" xr:uid="{00000000-0005-0000-0000-0000C0160000}"/>
    <cellStyle name="Normal 37 3 2 3 2" xfId="4773" xr:uid="{00000000-0005-0000-0000-0000C1160000}"/>
    <cellStyle name="Normal 37 3 2 4" xfId="4774" xr:uid="{00000000-0005-0000-0000-0000C2160000}"/>
    <cellStyle name="Normal 37 3 3" xfId="4775" xr:uid="{00000000-0005-0000-0000-0000C3160000}"/>
    <cellStyle name="Normal 37 3 3 2" xfId="4776" xr:uid="{00000000-0005-0000-0000-0000C4160000}"/>
    <cellStyle name="Normal 37 3 3 2 2" xfId="4777" xr:uid="{00000000-0005-0000-0000-0000C5160000}"/>
    <cellStyle name="Normal 37 3 3 3" xfId="4778" xr:uid="{00000000-0005-0000-0000-0000C6160000}"/>
    <cellStyle name="Normal 37 3 4" xfId="4779" xr:uid="{00000000-0005-0000-0000-0000C7160000}"/>
    <cellStyle name="Normal 37 3 4 2" xfId="4780" xr:uid="{00000000-0005-0000-0000-0000C8160000}"/>
    <cellStyle name="Normal 37 3 4 2 2" xfId="4781" xr:uid="{00000000-0005-0000-0000-0000C9160000}"/>
    <cellStyle name="Normal 37 3 4 3" xfId="4782" xr:uid="{00000000-0005-0000-0000-0000CA160000}"/>
    <cellStyle name="Normal 37 3 5" xfId="4783" xr:uid="{00000000-0005-0000-0000-0000CB160000}"/>
    <cellStyle name="Normal 37 3 5 2" xfId="4784" xr:uid="{00000000-0005-0000-0000-0000CC160000}"/>
    <cellStyle name="Normal 37 3 6" xfId="4785" xr:uid="{00000000-0005-0000-0000-0000CD160000}"/>
    <cellStyle name="Normal 37 4" xfId="4786" xr:uid="{00000000-0005-0000-0000-0000CE160000}"/>
    <cellStyle name="Normal 37 4 2" xfId="4787" xr:uid="{00000000-0005-0000-0000-0000CF160000}"/>
    <cellStyle name="Normal 37 4 2 2" xfId="4788" xr:uid="{00000000-0005-0000-0000-0000D0160000}"/>
    <cellStyle name="Normal 37 4 2 2 2" xfId="4789" xr:uid="{00000000-0005-0000-0000-0000D1160000}"/>
    <cellStyle name="Normal 37 4 2 2 2 2" xfId="4790" xr:uid="{00000000-0005-0000-0000-0000D2160000}"/>
    <cellStyle name="Normal 37 4 2 2 3" xfId="4791" xr:uid="{00000000-0005-0000-0000-0000D3160000}"/>
    <cellStyle name="Normal 37 4 2 3" xfId="4792" xr:uid="{00000000-0005-0000-0000-0000D4160000}"/>
    <cellStyle name="Normal 37 4 2 3 2" xfId="4793" xr:uid="{00000000-0005-0000-0000-0000D5160000}"/>
    <cellStyle name="Normal 37 4 2 4" xfId="4794" xr:uid="{00000000-0005-0000-0000-0000D6160000}"/>
    <cellStyle name="Normal 37 4 3" xfId="4795" xr:uid="{00000000-0005-0000-0000-0000D7160000}"/>
    <cellStyle name="Normal 37 4 3 2" xfId="4796" xr:uid="{00000000-0005-0000-0000-0000D8160000}"/>
    <cellStyle name="Normal 37 4 3 2 2" xfId="4797" xr:uid="{00000000-0005-0000-0000-0000D9160000}"/>
    <cellStyle name="Normal 37 4 3 3" xfId="4798" xr:uid="{00000000-0005-0000-0000-0000DA160000}"/>
    <cellStyle name="Normal 37 4 4" xfId="4799" xr:uid="{00000000-0005-0000-0000-0000DB160000}"/>
    <cellStyle name="Normal 37 4 4 2" xfId="4800" xr:uid="{00000000-0005-0000-0000-0000DC160000}"/>
    <cellStyle name="Normal 37 4 4 2 2" xfId="4801" xr:uid="{00000000-0005-0000-0000-0000DD160000}"/>
    <cellStyle name="Normal 37 4 4 3" xfId="4802" xr:uid="{00000000-0005-0000-0000-0000DE160000}"/>
    <cellStyle name="Normal 37 4 5" xfId="4803" xr:uid="{00000000-0005-0000-0000-0000DF160000}"/>
    <cellStyle name="Normal 37 4 5 2" xfId="4804" xr:uid="{00000000-0005-0000-0000-0000E0160000}"/>
    <cellStyle name="Normal 37 4 6" xfId="4805" xr:uid="{00000000-0005-0000-0000-0000E1160000}"/>
    <cellStyle name="Normal 37 5" xfId="4806" xr:uid="{00000000-0005-0000-0000-0000E2160000}"/>
    <cellStyle name="Normal 37 5 2" xfId="4807" xr:uid="{00000000-0005-0000-0000-0000E3160000}"/>
    <cellStyle name="Normal 37 5 2 2" xfId="4808" xr:uid="{00000000-0005-0000-0000-0000E4160000}"/>
    <cellStyle name="Normal 37 5 2 2 2" xfId="4809" xr:uid="{00000000-0005-0000-0000-0000E5160000}"/>
    <cellStyle name="Normal 37 5 2 3" xfId="4810" xr:uid="{00000000-0005-0000-0000-0000E6160000}"/>
    <cellStyle name="Normal 37 5 3" xfId="4811" xr:uid="{00000000-0005-0000-0000-0000E7160000}"/>
    <cellStyle name="Normal 37 5 3 2" xfId="4812" xr:uid="{00000000-0005-0000-0000-0000E8160000}"/>
    <cellStyle name="Normal 37 5 4" xfId="4813" xr:uid="{00000000-0005-0000-0000-0000E9160000}"/>
    <cellStyle name="Normal 37 6" xfId="4814" xr:uid="{00000000-0005-0000-0000-0000EA160000}"/>
    <cellStyle name="Normal 37 6 2" xfId="4815" xr:uid="{00000000-0005-0000-0000-0000EB160000}"/>
    <cellStyle name="Normal 37 6 3" xfId="4816" xr:uid="{00000000-0005-0000-0000-0000EC160000}"/>
    <cellStyle name="Normal 37 6 3 2" xfId="4817" xr:uid="{00000000-0005-0000-0000-0000ED160000}"/>
    <cellStyle name="Normal 37 6 4" xfId="4818" xr:uid="{00000000-0005-0000-0000-0000EE160000}"/>
    <cellStyle name="Normal 37 7" xfId="4819" xr:uid="{00000000-0005-0000-0000-0000EF160000}"/>
    <cellStyle name="Normal 37 7 2" xfId="4820" xr:uid="{00000000-0005-0000-0000-0000F0160000}"/>
    <cellStyle name="Normal 37 7 2 2" xfId="4821" xr:uid="{00000000-0005-0000-0000-0000F1160000}"/>
    <cellStyle name="Normal 37 7 3" xfId="4822" xr:uid="{00000000-0005-0000-0000-0000F2160000}"/>
    <cellStyle name="Normal 37 8" xfId="4823" xr:uid="{00000000-0005-0000-0000-0000F3160000}"/>
    <cellStyle name="Normal 37 8 2" xfId="4824" xr:uid="{00000000-0005-0000-0000-0000F4160000}"/>
    <cellStyle name="Normal 37 9" xfId="4825" xr:uid="{00000000-0005-0000-0000-0000F5160000}"/>
    <cellStyle name="Normal 38" xfId="4826" xr:uid="{00000000-0005-0000-0000-0000F6160000}"/>
    <cellStyle name="Normal 38 10" xfId="4827" xr:uid="{00000000-0005-0000-0000-0000F7160000}"/>
    <cellStyle name="Normal 38 2" xfId="4828" xr:uid="{00000000-0005-0000-0000-0000F8160000}"/>
    <cellStyle name="Normal 38 2 2" xfId="4829" xr:uid="{00000000-0005-0000-0000-0000F9160000}"/>
    <cellStyle name="Normal 38 2 2 2" xfId="4830" xr:uid="{00000000-0005-0000-0000-0000FA160000}"/>
    <cellStyle name="Normal 38 2 2 2 2" xfId="4831" xr:uid="{00000000-0005-0000-0000-0000FB160000}"/>
    <cellStyle name="Normal 38 2 2 2 2 2" xfId="4832" xr:uid="{00000000-0005-0000-0000-0000FC160000}"/>
    <cellStyle name="Normal 38 2 2 2 3" xfId="4833" xr:uid="{00000000-0005-0000-0000-0000FD160000}"/>
    <cellStyle name="Normal 38 2 2 3" xfId="4834" xr:uid="{00000000-0005-0000-0000-0000FE160000}"/>
    <cellStyle name="Normal 38 2 2 3 2" xfId="4835" xr:uid="{00000000-0005-0000-0000-0000FF160000}"/>
    <cellStyle name="Normal 38 2 2 4" xfId="4836" xr:uid="{00000000-0005-0000-0000-000000170000}"/>
    <cellStyle name="Normal 38 2 3" xfId="4837" xr:uid="{00000000-0005-0000-0000-000001170000}"/>
    <cellStyle name="Normal 38 2 3 2" xfId="4838" xr:uid="{00000000-0005-0000-0000-000002170000}"/>
    <cellStyle name="Normal 38 2 3 2 2" xfId="4839" xr:uid="{00000000-0005-0000-0000-000003170000}"/>
    <cellStyle name="Normal 38 2 3 3" xfId="4840" xr:uid="{00000000-0005-0000-0000-000004170000}"/>
    <cellStyle name="Normal 38 2 4" xfId="4841" xr:uid="{00000000-0005-0000-0000-000005170000}"/>
    <cellStyle name="Normal 38 2 4 2" xfId="4842" xr:uid="{00000000-0005-0000-0000-000006170000}"/>
    <cellStyle name="Normal 38 2 4 2 2" xfId="4843" xr:uid="{00000000-0005-0000-0000-000007170000}"/>
    <cellStyle name="Normal 38 2 4 3" xfId="4844" xr:uid="{00000000-0005-0000-0000-000008170000}"/>
    <cellStyle name="Normal 38 2 5" xfId="4845" xr:uid="{00000000-0005-0000-0000-000009170000}"/>
    <cellStyle name="Normal 38 2 5 2" xfId="4846" xr:uid="{00000000-0005-0000-0000-00000A170000}"/>
    <cellStyle name="Normal 38 2 6" xfId="4847" xr:uid="{00000000-0005-0000-0000-00000B170000}"/>
    <cellStyle name="Normal 38 3" xfId="4848" xr:uid="{00000000-0005-0000-0000-00000C170000}"/>
    <cellStyle name="Normal 38 3 2" xfId="4849" xr:uid="{00000000-0005-0000-0000-00000D170000}"/>
    <cellStyle name="Normal 38 3 2 2" xfId="4850" xr:uid="{00000000-0005-0000-0000-00000E170000}"/>
    <cellStyle name="Normal 38 3 2 2 2" xfId="4851" xr:uid="{00000000-0005-0000-0000-00000F170000}"/>
    <cellStyle name="Normal 38 3 2 2 2 2" xfId="4852" xr:uid="{00000000-0005-0000-0000-000010170000}"/>
    <cellStyle name="Normal 38 3 2 2 3" xfId="4853" xr:uid="{00000000-0005-0000-0000-000011170000}"/>
    <cellStyle name="Normal 38 3 2 3" xfId="4854" xr:uid="{00000000-0005-0000-0000-000012170000}"/>
    <cellStyle name="Normal 38 3 2 3 2" xfId="4855" xr:uid="{00000000-0005-0000-0000-000013170000}"/>
    <cellStyle name="Normal 38 3 2 4" xfId="4856" xr:uid="{00000000-0005-0000-0000-000014170000}"/>
    <cellStyle name="Normal 38 3 3" xfId="4857" xr:uid="{00000000-0005-0000-0000-000015170000}"/>
    <cellStyle name="Normal 38 3 3 2" xfId="4858" xr:uid="{00000000-0005-0000-0000-000016170000}"/>
    <cellStyle name="Normal 38 3 3 2 2" xfId="4859" xr:uid="{00000000-0005-0000-0000-000017170000}"/>
    <cellStyle name="Normal 38 3 3 3" xfId="4860" xr:uid="{00000000-0005-0000-0000-000018170000}"/>
    <cellStyle name="Normal 38 3 4" xfId="4861" xr:uid="{00000000-0005-0000-0000-000019170000}"/>
    <cellStyle name="Normal 38 3 4 2" xfId="4862" xr:uid="{00000000-0005-0000-0000-00001A170000}"/>
    <cellStyle name="Normal 38 3 4 2 2" xfId="4863" xr:uid="{00000000-0005-0000-0000-00001B170000}"/>
    <cellStyle name="Normal 38 3 4 3" xfId="4864" xr:uid="{00000000-0005-0000-0000-00001C170000}"/>
    <cellStyle name="Normal 38 3 5" xfId="4865" xr:uid="{00000000-0005-0000-0000-00001D170000}"/>
    <cellStyle name="Normal 38 3 5 2" xfId="4866" xr:uid="{00000000-0005-0000-0000-00001E170000}"/>
    <cellStyle name="Normal 38 3 6" xfId="4867" xr:uid="{00000000-0005-0000-0000-00001F170000}"/>
    <cellStyle name="Normal 38 4" xfId="4868" xr:uid="{00000000-0005-0000-0000-000020170000}"/>
    <cellStyle name="Normal 38 4 2" xfId="4869" xr:uid="{00000000-0005-0000-0000-000021170000}"/>
    <cellStyle name="Normal 38 4 2 2" xfId="4870" xr:uid="{00000000-0005-0000-0000-000022170000}"/>
    <cellStyle name="Normal 38 4 2 2 2" xfId="4871" xr:uid="{00000000-0005-0000-0000-000023170000}"/>
    <cellStyle name="Normal 38 4 2 2 2 2" xfId="4872" xr:uid="{00000000-0005-0000-0000-000024170000}"/>
    <cellStyle name="Normal 38 4 2 2 3" xfId="4873" xr:uid="{00000000-0005-0000-0000-000025170000}"/>
    <cellStyle name="Normal 38 4 2 3" xfId="4874" xr:uid="{00000000-0005-0000-0000-000026170000}"/>
    <cellStyle name="Normal 38 4 2 3 2" xfId="4875" xr:uid="{00000000-0005-0000-0000-000027170000}"/>
    <cellStyle name="Normal 38 4 2 4" xfId="4876" xr:uid="{00000000-0005-0000-0000-000028170000}"/>
    <cellStyle name="Normal 38 4 3" xfId="4877" xr:uid="{00000000-0005-0000-0000-000029170000}"/>
    <cellStyle name="Normal 38 4 3 2" xfId="4878" xr:uid="{00000000-0005-0000-0000-00002A170000}"/>
    <cellStyle name="Normal 38 4 3 2 2" xfId="4879" xr:uid="{00000000-0005-0000-0000-00002B170000}"/>
    <cellStyle name="Normal 38 4 3 3" xfId="4880" xr:uid="{00000000-0005-0000-0000-00002C170000}"/>
    <cellStyle name="Normal 38 4 4" xfId="4881" xr:uid="{00000000-0005-0000-0000-00002D170000}"/>
    <cellStyle name="Normal 38 4 4 2" xfId="4882" xr:uid="{00000000-0005-0000-0000-00002E170000}"/>
    <cellStyle name="Normal 38 4 4 2 2" xfId="4883" xr:uid="{00000000-0005-0000-0000-00002F170000}"/>
    <cellStyle name="Normal 38 4 4 3" xfId="4884" xr:uid="{00000000-0005-0000-0000-000030170000}"/>
    <cellStyle name="Normal 38 4 5" xfId="4885" xr:uid="{00000000-0005-0000-0000-000031170000}"/>
    <cellStyle name="Normal 38 4 5 2" xfId="4886" xr:uid="{00000000-0005-0000-0000-000032170000}"/>
    <cellStyle name="Normal 38 4 6" xfId="4887" xr:uid="{00000000-0005-0000-0000-000033170000}"/>
    <cellStyle name="Normal 38 5" xfId="4888" xr:uid="{00000000-0005-0000-0000-000034170000}"/>
    <cellStyle name="Normal 38 5 2" xfId="4889" xr:uid="{00000000-0005-0000-0000-000035170000}"/>
    <cellStyle name="Normal 38 5 2 2" xfId="4890" xr:uid="{00000000-0005-0000-0000-000036170000}"/>
    <cellStyle name="Normal 38 5 2 2 2" xfId="4891" xr:uid="{00000000-0005-0000-0000-000037170000}"/>
    <cellStyle name="Normal 38 5 2 3" xfId="4892" xr:uid="{00000000-0005-0000-0000-000038170000}"/>
    <cellStyle name="Normal 38 5 3" xfId="4893" xr:uid="{00000000-0005-0000-0000-000039170000}"/>
    <cellStyle name="Normal 38 5 3 2" xfId="4894" xr:uid="{00000000-0005-0000-0000-00003A170000}"/>
    <cellStyle name="Normal 38 5 4" xfId="4895" xr:uid="{00000000-0005-0000-0000-00003B170000}"/>
    <cellStyle name="Normal 38 6" xfId="4896" xr:uid="{00000000-0005-0000-0000-00003C170000}"/>
    <cellStyle name="Normal 38 6 2" xfId="4897" xr:uid="{00000000-0005-0000-0000-00003D170000}"/>
    <cellStyle name="Normal 38 6 2 2" xfId="4898" xr:uid="{00000000-0005-0000-0000-00003E170000}"/>
    <cellStyle name="Normal 38 6 3" xfId="4899" xr:uid="{00000000-0005-0000-0000-00003F170000}"/>
    <cellStyle name="Normal 38 7" xfId="4900" xr:uid="{00000000-0005-0000-0000-000040170000}"/>
    <cellStyle name="Normal 38 7 2" xfId="4901" xr:uid="{00000000-0005-0000-0000-000041170000}"/>
    <cellStyle name="Normal 38 7 2 2" xfId="4902" xr:uid="{00000000-0005-0000-0000-000042170000}"/>
    <cellStyle name="Normal 38 7 3" xfId="4903" xr:uid="{00000000-0005-0000-0000-000043170000}"/>
    <cellStyle name="Normal 38 8" xfId="4904" xr:uid="{00000000-0005-0000-0000-000044170000}"/>
    <cellStyle name="Normal 38 8 2" xfId="4905" xr:uid="{00000000-0005-0000-0000-000045170000}"/>
    <cellStyle name="Normal 38 9" xfId="4906" xr:uid="{00000000-0005-0000-0000-000046170000}"/>
    <cellStyle name="Normal 39" xfId="4907" xr:uid="{00000000-0005-0000-0000-000047170000}"/>
    <cellStyle name="Normal 39 10" xfId="4908" xr:uid="{00000000-0005-0000-0000-000048170000}"/>
    <cellStyle name="Normal 39 2" xfId="4909" xr:uid="{00000000-0005-0000-0000-000049170000}"/>
    <cellStyle name="Normal 39 2 2" xfId="4910" xr:uid="{00000000-0005-0000-0000-00004A170000}"/>
    <cellStyle name="Normal 39 2 2 2" xfId="4911" xr:uid="{00000000-0005-0000-0000-00004B170000}"/>
    <cellStyle name="Normal 39 2 2 2 2" xfId="4912" xr:uid="{00000000-0005-0000-0000-00004C170000}"/>
    <cellStyle name="Normal 39 2 2 2 2 2" xfId="4913" xr:uid="{00000000-0005-0000-0000-00004D170000}"/>
    <cellStyle name="Normal 39 2 2 2 3" xfId="4914" xr:uid="{00000000-0005-0000-0000-00004E170000}"/>
    <cellStyle name="Normal 39 2 2 3" xfId="4915" xr:uid="{00000000-0005-0000-0000-00004F170000}"/>
    <cellStyle name="Normal 39 2 2 3 2" xfId="4916" xr:uid="{00000000-0005-0000-0000-000050170000}"/>
    <cellStyle name="Normal 39 2 2 4" xfId="4917" xr:uid="{00000000-0005-0000-0000-000051170000}"/>
    <cellStyle name="Normal 39 2 3" xfId="4918" xr:uid="{00000000-0005-0000-0000-000052170000}"/>
    <cellStyle name="Normal 39 2 3 2" xfId="4919" xr:uid="{00000000-0005-0000-0000-000053170000}"/>
    <cellStyle name="Normal 39 2 3 2 2" xfId="4920" xr:uid="{00000000-0005-0000-0000-000054170000}"/>
    <cellStyle name="Normal 39 2 3 3" xfId="4921" xr:uid="{00000000-0005-0000-0000-000055170000}"/>
    <cellStyle name="Normal 39 2 4" xfId="4922" xr:uid="{00000000-0005-0000-0000-000056170000}"/>
    <cellStyle name="Normal 39 2 4 2" xfId="4923" xr:uid="{00000000-0005-0000-0000-000057170000}"/>
    <cellStyle name="Normal 39 2 4 2 2" xfId="4924" xr:uid="{00000000-0005-0000-0000-000058170000}"/>
    <cellStyle name="Normal 39 2 4 3" xfId="4925" xr:uid="{00000000-0005-0000-0000-000059170000}"/>
    <cellStyle name="Normal 39 2 5" xfId="4926" xr:uid="{00000000-0005-0000-0000-00005A170000}"/>
    <cellStyle name="Normal 39 2 5 2" xfId="4927" xr:uid="{00000000-0005-0000-0000-00005B170000}"/>
    <cellStyle name="Normal 39 2 6" xfId="4928" xr:uid="{00000000-0005-0000-0000-00005C170000}"/>
    <cellStyle name="Normal 39 3" xfId="4929" xr:uid="{00000000-0005-0000-0000-00005D170000}"/>
    <cellStyle name="Normal 39 3 2" xfId="4930" xr:uid="{00000000-0005-0000-0000-00005E170000}"/>
    <cellStyle name="Normal 39 3 2 2" xfId="4931" xr:uid="{00000000-0005-0000-0000-00005F170000}"/>
    <cellStyle name="Normal 39 3 2 2 2" xfId="4932" xr:uid="{00000000-0005-0000-0000-000060170000}"/>
    <cellStyle name="Normal 39 3 2 2 2 2" xfId="4933" xr:uid="{00000000-0005-0000-0000-000061170000}"/>
    <cellStyle name="Normal 39 3 2 2 3" xfId="4934" xr:uid="{00000000-0005-0000-0000-000062170000}"/>
    <cellStyle name="Normal 39 3 2 3" xfId="4935" xr:uid="{00000000-0005-0000-0000-000063170000}"/>
    <cellStyle name="Normal 39 3 2 3 2" xfId="4936" xr:uid="{00000000-0005-0000-0000-000064170000}"/>
    <cellStyle name="Normal 39 3 2 4" xfId="4937" xr:uid="{00000000-0005-0000-0000-000065170000}"/>
    <cellStyle name="Normal 39 3 3" xfId="4938" xr:uid="{00000000-0005-0000-0000-000066170000}"/>
    <cellStyle name="Normal 39 3 3 2" xfId="4939" xr:uid="{00000000-0005-0000-0000-000067170000}"/>
    <cellStyle name="Normal 39 3 3 2 2" xfId="4940" xr:uid="{00000000-0005-0000-0000-000068170000}"/>
    <cellStyle name="Normal 39 3 3 3" xfId="4941" xr:uid="{00000000-0005-0000-0000-000069170000}"/>
    <cellStyle name="Normal 39 3 4" xfId="4942" xr:uid="{00000000-0005-0000-0000-00006A170000}"/>
    <cellStyle name="Normal 39 3 4 2" xfId="4943" xr:uid="{00000000-0005-0000-0000-00006B170000}"/>
    <cellStyle name="Normal 39 3 4 2 2" xfId="4944" xr:uid="{00000000-0005-0000-0000-00006C170000}"/>
    <cellStyle name="Normal 39 3 4 3" xfId="4945" xr:uid="{00000000-0005-0000-0000-00006D170000}"/>
    <cellStyle name="Normal 39 3 5" xfId="4946" xr:uid="{00000000-0005-0000-0000-00006E170000}"/>
    <cellStyle name="Normal 39 3 5 2" xfId="4947" xr:uid="{00000000-0005-0000-0000-00006F170000}"/>
    <cellStyle name="Normal 39 3 6" xfId="4948" xr:uid="{00000000-0005-0000-0000-000070170000}"/>
    <cellStyle name="Normal 39 4" xfId="4949" xr:uid="{00000000-0005-0000-0000-000071170000}"/>
    <cellStyle name="Normal 39 4 2" xfId="4950" xr:uid="{00000000-0005-0000-0000-000072170000}"/>
    <cellStyle name="Normal 39 4 2 2" xfId="4951" xr:uid="{00000000-0005-0000-0000-000073170000}"/>
    <cellStyle name="Normal 39 4 2 2 2" xfId="4952" xr:uid="{00000000-0005-0000-0000-000074170000}"/>
    <cellStyle name="Normal 39 4 2 2 2 2" xfId="4953" xr:uid="{00000000-0005-0000-0000-000075170000}"/>
    <cellStyle name="Normal 39 4 2 2 3" xfId="4954" xr:uid="{00000000-0005-0000-0000-000076170000}"/>
    <cellStyle name="Normal 39 4 2 3" xfId="4955" xr:uid="{00000000-0005-0000-0000-000077170000}"/>
    <cellStyle name="Normal 39 4 2 3 2" xfId="4956" xr:uid="{00000000-0005-0000-0000-000078170000}"/>
    <cellStyle name="Normal 39 4 2 4" xfId="4957" xr:uid="{00000000-0005-0000-0000-000079170000}"/>
    <cellStyle name="Normal 39 4 3" xfId="4958" xr:uid="{00000000-0005-0000-0000-00007A170000}"/>
    <cellStyle name="Normal 39 4 3 2" xfId="4959" xr:uid="{00000000-0005-0000-0000-00007B170000}"/>
    <cellStyle name="Normal 39 4 3 2 2" xfId="4960" xr:uid="{00000000-0005-0000-0000-00007C170000}"/>
    <cellStyle name="Normal 39 4 3 3" xfId="4961" xr:uid="{00000000-0005-0000-0000-00007D170000}"/>
    <cellStyle name="Normal 39 4 4" xfId="4962" xr:uid="{00000000-0005-0000-0000-00007E170000}"/>
    <cellStyle name="Normal 39 4 4 2" xfId="4963" xr:uid="{00000000-0005-0000-0000-00007F170000}"/>
    <cellStyle name="Normal 39 4 4 2 2" xfId="4964" xr:uid="{00000000-0005-0000-0000-000080170000}"/>
    <cellStyle name="Normal 39 4 4 3" xfId="4965" xr:uid="{00000000-0005-0000-0000-000081170000}"/>
    <cellStyle name="Normal 39 4 5" xfId="4966" xr:uid="{00000000-0005-0000-0000-000082170000}"/>
    <cellStyle name="Normal 39 4 5 2" xfId="4967" xr:uid="{00000000-0005-0000-0000-000083170000}"/>
    <cellStyle name="Normal 39 4 6" xfId="4968" xr:uid="{00000000-0005-0000-0000-000084170000}"/>
    <cellStyle name="Normal 39 5" xfId="4969" xr:uid="{00000000-0005-0000-0000-000085170000}"/>
    <cellStyle name="Normal 39 5 2" xfId="4970" xr:uid="{00000000-0005-0000-0000-000086170000}"/>
    <cellStyle name="Normal 39 5 2 2" xfId="4971" xr:uid="{00000000-0005-0000-0000-000087170000}"/>
    <cellStyle name="Normal 39 5 2 2 2" xfId="4972" xr:uid="{00000000-0005-0000-0000-000088170000}"/>
    <cellStyle name="Normal 39 5 2 3" xfId="4973" xr:uid="{00000000-0005-0000-0000-000089170000}"/>
    <cellStyle name="Normal 39 5 3" xfId="4974" xr:uid="{00000000-0005-0000-0000-00008A170000}"/>
    <cellStyle name="Normal 39 5 3 2" xfId="4975" xr:uid="{00000000-0005-0000-0000-00008B170000}"/>
    <cellStyle name="Normal 39 5 4" xfId="4976" xr:uid="{00000000-0005-0000-0000-00008C170000}"/>
    <cellStyle name="Normal 39 6" xfId="4977" xr:uid="{00000000-0005-0000-0000-00008D170000}"/>
    <cellStyle name="Normal 39 6 2" xfId="4978" xr:uid="{00000000-0005-0000-0000-00008E170000}"/>
    <cellStyle name="Normal 39 6 2 2" xfId="4979" xr:uid="{00000000-0005-0000-0000-00008F170000}"/>
    <cellStyle name="Normal 39 6 3" xfId="4980" xr:uid="{00000000-0005-0000-0000-000090170000}"/>
    <cellStyle name="Normal 39 7" xfId="4981" xr:uid="{00000000-0005-0000-0000-000091170000}"/>
    <cellStyle name="Normal 39 7 2" xfId="4982" xr:uid="{00000000-0005-0000-0000-000092170000}"/>
    <cellStyle name="Normal 39 7 2 2" xfId="4983" xr:uid="{00000000-0005-0000-0000-000093170000}"/>
    <cellStyle name="Normal 39 7 3" xfId="4984" xr:uid="{00000000-0005-0000-0000-000094170000}"/>
    <cellStyle name="Normal 39 8" xfId="4985" xr:uid="{00000000-0005-0000-0000-000095170000}"/>
    <cellStyle name="Normal 39 8 2" xfId="4986" xr:uid="{00000000-0005-0000-0000-000096170000}"/>
    <cellStyle name="Normal 39 9" xfId="4987" xr:uid="{00000000-0005-0000-0000-000097170000}"/>
    <cellStyle name="Normal 4" xfId="3" xr:uid="{00000000-0005-0000-0000-000098170000}"/>
    <cellStyle name="Normal 4 2" xfId="4989" xr:uid="{00000000-0005-0000-0000-000099170000}"/>
    <cellStyle name="Normal 4 2 2" xfId="4990" xr:uid="{00000000-0005-0000-0000-00009A170000}"/>
    <cellStyle name="Normal 4 2 3" xfId="4991" xr:uid="{00000000-0005-0000-0000-00009B170000}"/>
    <cellStyle name="Normal 4 2 3 2" xfId="10071" xr:uid="{00000000-0005-0000-0000-00009C170000}"/>
    <cellStyle name="Normal 4 2 4" xfId="4992" xr:uid="{00000000-0005-0000-0000-00009D170000}"/>
    <cellStyle name="Normal 4 2 4 2" xfId="4993" xr:uid="{00000000-0005-0000-0000-00009E170000}"/>
    <cellStyle name="Normal 4 2 4 2 2" xfId="4994" xr:uid="{00000000-0005-0000-0000-00009F170000}"/>
    <cellStyle name="Normal 4 2 4 2 2 2" xfId="10074" xr:uid="{00000000-0005-0000-0000-0000A0170000}"/>
    <cellStyle name="Normal 4 2 4 2 3" xfId="10073" xr:uid="{00000000-0005-0000-0000-0000A1170000}"/>
    <cellStyle name="Normal 4 2 4 3" xfId="4995" xr:uid="{00000000-0005-0000-0000-0000A2170000}"/>
    <cellStyle name="Normal 4 2 4 3 2" xfId="10075" xr:uid="{00000000-0005-0000-0000-0000A3170000}"/>
    <cellStyle name="Normal 4 2 4 4" xfId="10072" xr:uid="{00000000-0005-0000-0000-0000A4170000}"/>
    <cellStyle name="Normal 4 2 5" xfId="10070" xr:uid="{00000000-0005-0000-0000-0000A5170000}"/>
    <cellStyle name="Normal 4 2_Activity Fcst Variance" xfId="4996" xr:uid="{00000000-0005-0000-0000-0000A6170000}"/>
    <cellStyle name="Normal 4 3" xfId="4997" xr:uid="{00000000-0005-0000-0000-0000A7170000}"/>
    <cellStyle name="Normal 4 3 2" xfId="4998" xr:uid="{00000000-0005-0000-0000-0000A8170000}"/>
    <cellStyle name="Normal 4 3 3" xfId="4999" xr:uid="{00000000-0005-0000-0000-0000A9170000}"/>
    <cellStyle name="Normal 4 3 3 2" xfId="10076" xr:uid="{00000000-0005-0000-0000-0000AA170000}"/>
    <cellStyle name="Normal 4 3_Cap Forecast" xfId="5000" xr:uid="{00000000-0005-0000-0000-0000AB170000}"/>
    <cellStyle name="Normal 4 4" xfId="5001" xr:uid="{00000000-0005-0000-0000-0000AC170000}"/>
    <cellStyle name="Normal 4 5" xfId="5002" xr:uid="{00000000-0005-0000-0000-0000AD170000}"/>
    <cellStyle name="Normal 4 5 2" xfId="5003" xr:uid="{00000000-0005-0000-0000-0000AE170000}"/>
    <cellStyle name="Normal 4 5 2 2" xfId="5004" xr:uid="{00000000-0005-0000-0000-0000AF170000}"/>
    <cellStyle name="Normal 4 5 2 2 2" xfId="10079" xr:uid="{00000000-0005-0000-0000-0000B0170000}"/>
    <cellStyle name="Normal 4 5 2 3" xfId="10078" xr:uid="{00000000-0005-0000-0000-0000B1170000}"/>
    <cellStyle name="Normal 4 5 3" xfId="5005" xr:uid="{00000000-0005-0000-0000-0000B2170000}"/>
    <cellStyle name="Normal 4 5 3 2" xfId="10080" xr:uid="{00000000-0005-0000-0000-0000B3170000}"/>
    <cellStyle name="Normal 4 5 4" xfId="10077" xr:uid="{00000000-0005-0000-0000-0000B4170000}"/>
    <cellStyle name="Normal 4 6" xfId="9752" xr:uid="{00000000-0005-0000-0000-0000B5170000}"/>
    <cellStyle name="Normal 4_Activity Fcst Variance" xfId="5006" xr:uid="{00000000-0005-0000-0000-0000B6170000}"/>
    <cellStyle name="Normal 40" xfId="5007" xr:uid="{00000000-0005-0000-0000-0000B7170000}"/>
    <cellStyle name="Normal 40 10" xfId="5008" xr:uid="{00000000-0005-0000-0000-0000B8170000}"/>
    <cellStyle name="Normal 40 2" xfId="5009" xr:uid="{00000000-0005-0000-0000-0000B9170000}"/>
    <cellStyle name="Normal 40 2 2" xfId="5010" xr:uid="{00000000-0005-0000-0000-0000BA170000}"/>
    <cellStyle name="Normal 40 2 2 2" xfId="5011" xr:uid="{00000000-0005-0000-0000-0000BB170000}"/>
    <cellStyle name="Normal 40 2 2 2 2" xfId="5012" xr:uid="{00000000-0005-0000-0000-0000BC170000}"/>
    <cellStyle name="Normal 40 2 2 2 2 2" xfId="5013" xr:uid="{00000000-0005-0000-0000-0000BD170000}"/>
    <cellStyle name="Normal 40 2 2 2 3" xfId="5014" xr:uid="{00000000-0005-0000-0000-0000BE170000}"/>
    <cellStyle name="Normal 40 2 2 3" xfId="5015" xr:uid="{00000000-0005-0000-0000-0000BF170000}"/>
    <cellStyle name="Normal 40 2 2 3 2" xfId="5016" xr:uid="{00000000-0005-0000-0000-0000C0170000}"/>
    <cellStyle name="Normal 40 2 2 4" xfId="5017" xr:uid="{00000000-0005-0000-0000-0000C1170000}"/>
    <cellStyle name="Normal 40 2 3" xfId="5018" xr:uid="{00000000-0005-0000-0000-0000C2170000}"/>
    <cellStyle name="Normal 40 2 3 2" xfId="5019" xr:uid="{00000000-0005-0000-0000-0000C3170000}"/>
    <cellStyle name="Normal 40 2 3 2 2" xfId="5020" xr:uid="{00000000-0005-0000-0000-0000C4170000}"/>
    <cellStyle name="Normal 40 2 3 3" xfId="5021" xr:uid="{00000000-0005-0000-0000-0000C5170000}"/>
    <cellStyle name="Normal 40 2 4" xfId="5022" xr:uid="{00000000-0005-0000-0000-0000C6170000}"/>
    <cellStyle name="Normal 40 2 4 2" xfId="5023" xr:uid="{00000000-0005-0000-0000-0000C7170000}"/>
    <cellStyle name="Normal 40 2 4 2 2" xfId="5024" xr:uid="{00000000-0005-0000-0000-0000C8170000}"/>
    <cellStyle name="Normal 40 2 4 3" xfId="5025" xr:uid="{00000000-0005-0000-0000-0000C9170000}"/>
    <cellStyle name="Normal 40 2 5" xfId="5026" xr:uid="{00000000-0005-0000-0000-0000CA170000}"/>
    <cellStyle name="Normal 40 2 5 2" xfId="5027" xr:uid="{00000000-0005-0000-0000-0000CB170000}"/>
    <cellStyle name="Normal 40 2 6" xfId="5028" xr:uid="{00000000-0005-0000-0000-0000CC170000}"/>
    <cellStyle name="Normal 40 3" xfId="5029" xr:uid="{00000000-0005-0000-0000-0000CD170000}"/>
    <cellStyle name="Normal 40 3 2" xfId="5030" xr:uid="{00000000-0005-0000-0000-0000CE170000}"/>
    <cellStyle name="Normal 40 3 2 2" xfId="5031" xr:uid="{00000000-0005-0000-0000-0000CF170000}"/>
    <cellStyle name="Normal 40 3 2 2 2" xfId="5032" xr:uid="{00000000-0005-0000-0000-0000D0170000}"/>
    <cellStyle name="Normal 40 3 2 2 2 2" xfId="5033" xr:uid="{00000000-0005-0000-0000-0000D1170000}"/>
    <cellStyle name="Normal 40 3 2 2 3" xfId="5034" xr:uid="{00000000-0005-0000-0000-0000D2170000}"/>
    <cellStyle name="Normal 40 3 2 3" xfId="5035" xr:uid="{00000000-0005-0000-0000-0000D3170000}"/>
    <cellStyle name="Normal 40 3 2 3 2" xfId="5036" xr:uid="{00000000-0005-0000-0000-0000D4170000}"/>
    <cellStyle name="Normal 40 3 2 4" xfId="5037" xr:uid="{00000000-0005-0000-0000-0000D5170000}"/>
    <cellStyle name="Normal 40 3 3" xfId="5038" xr:uid="{00000000-0005-0000-0000-0000D6170000}"/>
    <cellStyle name="Normal 40 3 3 2" xfId="5039" xr:uid="{00000000-0005-0000-0000-0000D7170000}"/>
    <cellStyle name="Normal 40 3 3 2 2" xfId="5040" xr:uid="{00000000-0005-0000-0000-0000D8170000}"/>
    <cellStyle name="Normal 40 3 3 3" xfId="5041" xr:uid="{00000000-0005-0000-0000-0000D9170000}"/>
    <cellStyle name="Normal 40 3 4" xfId="5042" xr:uid="{00000000-0005-0000-0000-0000DA170000}"/>
    <cellStyle name="Normal 40 3 4 2" xfId="5043" xr:uid="{00000000-0005-0000-0000-0000DB170000}"/>
    <cellStyle name="Normal 40 3 4 2 2" xfId="5044" xr:uid="{00000000-0005-0000-0000-0000DC170000}"/>
    <cellStyle name="Normal 40 3 4 3" xfId="5045" xr:uid="{00000000-0005-0000-0000-0000DD170000}"/>
    <cellStyle name="Normal 40 3 5" xfId="5046" xr:uid="{00000000-0005-0000-0000-0000DE170000}"/>
    <cellStyle name="Normal 40 3 5 2" xfId="5047" xr:uid="{00000000-0005-0000-0000-0000DF170000}"/>
    <cellStyle name="Normal 40 3 6" xfId="5048" xr:uid="{00000000-0005-0000-0000-0000E0170000}"/>
    <cellStyle name="Normal 40 4" xfId="5049" xr:uid="{00000000-0005-0000-0000-0000E1170000}"/>
    <cellStyle name="Normal 40 4 2" xfId="5050" xr:uid="{00000000-0005-0000-0000-0000E2170000}"/>
    <cellStyle name="Normal 40 4 2 2" xfId="5051" xr:uid="{00000000-0005-0000-0000-0000E3170000}"/>
    <cellStyle name="Normal 40 4 2 2 2" xfId="5052" xr:uid="{00000000-0005-0000-0000-0000E4170000}"/>
    <cellStyle name="Normal 40 4 2 2 2 2" xfId="5053" xr:uid="{00000000-0005-0000-0000-0000E5170000}"/>
    <cellStyle name="Normal 40 4 2 2 3" xfId="5054" xr:uid="{00000000-0005-0000-0000-0000E6170000}"/>
    <cellStyle name="Normal 40 4 2 3" xfId="5055" xr:uid="{00000000-0005-0000-0000-0000E7170000}"/>
    <cellStyle name="Normal 40 4 2 3 2" xfId="5056" xr:uid="{00000000-0005-0000-0000-0000E8170000}"/>
    <cellStyle name="Normal 40 4 2 4" xfId="5057" xr:uid="{00000000-0005-0000-0000-0000E9170000}"/>
    <cellStyle name="Normal 40 4 3" xfId="5058" xr:uid="{00000000-0005-0000-0000-0000EA170000}"/>
    <cellStyle name="Normal 40 4 3 2" xfId="5059" xr:uid="{00000000-0005-0000-0000-0000EB170000}"/>
    <cellStyle name="Normal 40 4 3 2 2" xfId="5060" xr:uid="{00000000-0005-0000-0000-0000EC170000}"/>
    <cellStyle name="Normal 40 4 3 3" xfId="5061" xr:uid="{00000000-0005-0000-0000-0000ED170000}"/>
    <cellStyle name="Normal 40 4 4" xfId="5062" xr:uid="{00000000-0005-0000-0000-0000EE170000}"/>
    <cellStyle name="Normal 40 4 4 2" xfId="5063" xr:uid="{00000000-0005-0000-0000-0000EF170000}"/>
    <cellStyle name="Normal 40 4 4 2 2" xfId="5064" xr:uid="{00000000-0005-0000-0000-0000F0170000}"/>
    <cellStyle name="Normal 40 4 4 3" xfId="5065" xr:uid="{00000000-0005-0000-0000-0000F1170000}"/>
    <cellStyle name="Normal 40 4 5" xfId="5066" xr:uid="{00000000-0005-0000-0000-0000F2170000}"/>
    <cellStyle name="Normal 40 4 5 2" xfId="5067" xr:uid="{00000000-0005-0000-0000-0000F3170000}"/>
    <cellStyle name="Normal 40 4 6" xfId="5068" xr:uid="{00000000-0005-0000-0000-0000F4170000}"/>
    <cellStyle name="Normal 40 5" xfId="5069" xr:uid="{00000000-0005-0000-0000-0000F5170000}"/>
    <cellStyle name="Normal 40 5 2" xfId="5070" xr:uid="{00000000-0005-0000-0000-0000F6170000}"/>
    <cellStyle name="Normal 40 5 2 2" xfId="5071" xr:uid="{00000000-0005-0000-0000-0000F7170000}"/>
    <cellStyle name="Normal 40 5 2 2 2" xfId="5072" xr:uid="{00000000-0005-0000-0000-0000F8170000}"/>
    <cellStyle name="Normal 40 5 2 3" xfId="5073" xr:uid="{00000000-0005-0000-0000-0000F9170000}"/>
    <cellStyle name="Normal 40 5 3" xfId="5074" xr:uid="{00000000-0005-0000-0000-0000FA170000}"/>
    <cellStyle name="Normal 40 5 3 2" xfId="5075" xr:uid="{00000000-0005-0000-0000-0000FB170000}"/>
    <cellStyle name="Normal 40 5 4" xfId="5076" xr:uid="{00000000-0005-0000-0000-0000FC170000}"/>
    <cellStyle name="Normal 40 6" xfId="5077" xr:uid="{00000000-0005-0000-0000-0000FD170000}"/>
    <cellStyle name="Normal 40 6 2" xfId="5078" xr:uid="{00000000-0005-0000-0000-0000FE170000}"/>
    <cellStyle name="Normal 40 6 2 2" xfId="5079" xr:uid="{00000000-0005-0000-0000-0000FF170000}"/>
    <cellStyle name="Normal 40 6 3" xfId="5080" xr:uid="{00000000-0005-0000-0000-000000180000}"/>
    <cellStyle name="Normal 40 7" xfId="5081" xr:uid="{00000000-0005-0000-0000-000001180000}"/>
    <cellStyle name="Normal 40 7 2" xfId="5082" xr:uid="{00000000-0005-0000-0000-000002180000}"/>
    <cellStyle name="Normal 40 7 2 2" xfId="5083" xr:uid="{00000000-0005-0000-0000-000003180000}"/>
    <cellStyle name="Normal 40 7 3" xfId="5084" xr:uid="{00000000-0005-0000-0000-000004180000}"/>
    <cellStyle name="Normal 40 8" xfId="5085" xr:uid="{00000000-0005-0000-0000-000005180000}"/>
    <cellStyle name="Normal 40 8 2" xfId="5086" xr:uid="{00000000-0005-0000-0000-000006180000}"/>
    <cellStyle name="Normal 40 9" xfId="5087" xr:uid="{00000000-0005-0000-0000-000007180000}"/>
    <cellStyle name="Normal 41" xfId="5088" xr:uid="{00000000-0005-0000-0000-000008180000}"/>
    <cellStyle name="Normal 41 10" xfId="5089" xr:uid="{00000000-0005-0000-0000-000009180000}"/>
    <cellStyle name="Normal 41 2" xfId="5090" xr:uid="{00000000-0005-0000-0000-00000A180000}"/>
    <cellStyle name="Normal 41 2 2" xfId="5091" xr:uid="{00000000-0005-0000-0000-00000B180000}"/>
    <cellStyle name="Normal 41 2 2 2" xfId="5092" xr:uid="{00000000-0005-0000-0000-00000C180000}"/>
    <cellStyle name="Normal 41 2 2 2 2" xfId="5093" xr:uid="{00000000-0005-0000-0000-00000D180000}"/>
    <cellStyle name="Normal 41 2 2 2 2 2" xfId="5094" xr:uid="{00000000-0005-0000-0000-00000E180000}"/>
    <cellStyle name="Normal 41 2 2 2 3" xfId="5095" xr:uid="{00000000-0005-0000-0000-00000F180000}"/>
    <cellStyle name="Normal 41 2 2 3" xfId="5096" xr:uid="{00000000-0005-0000-0000-000010180000}"/>
    <cellStyle name="Normal 41 2 2 3 2" xfId="5097" xr:uid="{00000000-0005-0000-0000-000011180000}"/>
    <cellStyle name="Normal 41 2 2 4" xfId="5098" xr:uid="{00000000-0005-0000-0000-000012180000}"/>
    <cellStyle name="Normal 41 2 3" xfId="5099" xr:uid="{00000000-0005-0000-0000-000013180000}"/>
    <cellStyle name="Normal 41 2 3 2" xfId="5100" xr:uid="{00000000-0005-0000-0000-000014180000}"/>
    <cellStyle name="Normal 41 2 3 2 2" xfId="5101" xr:uid="{00000000-0005-0000-0000-000015180000}"/>
    <cellStyle name="Normal 41 2 3 3" xfId="5102" xr:uid="{00000000-0005-0000-0000-000016180000}"/>
    <cellStyle name="Normal 41 2 4" xfId="5103" xr:uid="{00000000-0005-0000-0000-000017180000}"/>
    <cellStyle name="Normal 41 2 4 2" xfId="5104" xr:uid="{00000000-0005-0000-0000-000018180000}"/>
    <cellStyle name="Normal 41 2 4 2 2" xfId="5105" xr:uid="{00000000-0005-0000-0000-000019180000}"/>
    <cellStyle name="Normal 41 2 4 3" xfId="5106" xr:uid="{00000000-0005-0000-0000-00001A180000}"/>
    <cellStyle name="Normal 41 2 5" xfId="5107" xr:uid="{00000000-0005-0000-0000-00001B180000}"/>
    <cellStyle name="Normal 41 2 5 2" xfId="5108" xr:uid="{00000000-0005-0000-0000-00001C180000}"/>
    <cellStyle name="Normal 41 2 6" xfId="5109" xr:uid="{00000000-0005-0000-0000-00001D180000}"/>
    <cellStyle name="Normal 41 3" xfId="5110" xr:uid="{00000000-0005-0000-0000-00001E180000}"/>
    <cellStyle name="Normal 41 3 2" xfId="5111" xr:uid="{00000000-0005-0000-0000-00001F180000}"/>
    <cellStyle name="Normal 41 3 2 2" xfId="5112" xr:uid="{00000000-0005-0000-0000-000020180000}"/>
    <cellStyle name="Normal 41 3 2 2 2" xfId="5113" xr:uid="{00000000-0005-0000-0000-000021180000}"/>
    <cellStyle name="Normal 41 3 2 2 2 2" xfId="5114" xr:uid="{00000000-0005-0000-0000-000022180000}"/>
    <cellStyle name="Normal 41 3 2 2 3" xfId="5115" xr:uid="{00000000-0005-0000-0000-000023180000}"/>
    <cellStyle name="Normal 41 3 2 3" xfId="5116" xr:uid="{00000000-0005-0000-0000-000024180000}"/>
    <cellStyle name="Normal 41 3 2 3 2" xfId="5117" xr:uid="{00000000-0005-0000-0000-000025180000}"/>
    <cellStyle name="Normal 41 3 2 4" xfId="5118" xr:uid="{00000000-0005-0000-0000-000026180000}"/>
    <cellStyle name="Normal 41 3 3" xfId="5119" xr:uid="{00000000-0005-0000-0000-000027180000}"/>
    <cellStyle name="Normal 41 3 3 2" xfId="5120" xr:uid="{00000000-0005-0000-0000-000028180000}"/>
    <cellStyle name="Normal 41 3 3 2 2" xfId="5121" xr:uid="{00000000-0005-0000-0000-000029180000}"/>
    <cellStyle name="Normal 41 3 3 3" xfId="5122" xr:uid="{00000000-0005-0000-0000-00002A180000}"/>
    <cellStyle name="Normal 41 3 4" xfId="5123" xr:uid="{00000000-0005-0000-0000-00002B180000}"/>
    <cellStyle name="Normal 41 3 4 2" xfId="5124" xr:uid="{00000000-0005-0000-0000-00002C180000}"/>
    <cellStyle name="Normal 41 3 4 2 2" xfId="5125" xr:uid="{00000000-0005-0000-0000-00002D180000}"/>
    <cellStyle name="Normal 41 3 4 3" xfId="5126" xr:uid="{00000000-0005-0000-0000-00002E180000}"/>
    <cellStyle name="Normal 41 3 5" xfId="5127" xr:uid="{00000000-0005-0000-0000-00002F180000}"/>
    <cellStyle name="Normal 41 3 5 2" xfId="5128" xr:uid="{00000000-0005-0000-0000-000030180000}"/>
    <cellStyle name="Normal 41 3 6" xfId="5129" xr:uid="{00000000-0005-0000-0000-000031180000}"/>
    <cellStyle name="Normal 41 4" xfId="5130" xr:uid="{00000000-0005-0000-0000-000032180000}"/>
    <cellStyle name="Normal 41 4 2" xfId="5131" xr:uid="{00000000-0005-0000-0000-000033180000}"/>
    <cellStyle name="Normal 41 4 2 2" xfId="5132" xr:uid="{00000000-0005-0000-0000-000034180000}"/>
    <cellStyle name="Normal 41 4 2 2 2" xfId="5133" xr:uid="{00000000-0005-0000-0000-000035180000}"/>
    <cellStyle name="Normal 41 4 2 2 2 2" xfId="5134" xr:uid="{00000000-0005-0000-0000-000036180000}"/>
    <cellStyle name="Normal 41 4 2 2 3" xfId="5135" xr:uid="{00000000-0005-0000-0000-000037180000}"/>
    <cellStyle name="Normal 41 4 2 3" xfId="5136" xr:uid="{00000000-0005-0000-0000-000038180000}"/>
    <cellStyle name="Normal 41 4 2 3 2" xfId="5137" xr:uid="{00000000-0005-0000-0000-000039180000}"/>
    <cellStyle name="Normal 41 4 2 4" xfId="5138" xr:uid="{00000000-0005-0000-0000-00003A180000}"/>
    <cellStyle name="Normal 41 4 3" xfId="5139" xr:uid="{00000000-0005-0000-0000-00003B180000}"/>
    <cellStyle name="Normal 41 4 3 2" xfId="5140" xr:uid="{00000000-0005-0000-0000-00003C180000}"/>
    <cellStyle name="Normal 41 4 3 2 2" xfId="5141" xr:uid="{00000000-0005-0000-0000-00003D180000}"/>
    <cellStyle name="Normal 41 4 3 3" xfId="5142" xr:uid="{00000000-0005-0000-0000-00003E180000}"/>
    <cellStyle name="Normal 41 4 4" xfId="5143" xr:uid="{00000000-0005-0000-0000-00003F180000}"/>
    <cellStyle name="Normal 41 4 4 2" xfId="5144" xr:uid="{00000000-0005-0000-0000-000040180000}"/>
    <cellStyle name="Normal 41 4 4 2 2" xfId="5145" xr:uid="{00000000-0005-0000-0000-000041180000}"/>
    <cellStyle name="Normal 41 4 4 3" xfId="5146" xr:uid="{00000000-0005-0000-0000-000042180000}"/>
    <cellStyle name="Normal 41 4 5" xfId="5147" xr:uid="{00000000-0005-0000-0000-000043180000}"/>
    <cellStyle name="Normal 41 4 5 2" xfId="5148" xr:uid="{00000000-0005-0000-0000-000044180000}"/>
    <cellStyle name="Normal 41 4 6" xfId="5149" xr:uid="{00000000-0005-0000-0000-000045180000}"/>
    <cellStyle name="Normal 41 5" xfId="5150" xr:uid="{00000000-0005-0000-0000-000046180000}"/>
    <cellStyle name="Normal 41 5 2" xfId="5151" xr:uid="{00000000-0005-0000-0000-000047180000}"/>
    <cellStyle name="Normal 41 5 2 2" xfId="5152" xr:uid="{00000000-0005-0000-0000-000048180000}"/>
    <cellStyle name="Normal 41 5 2 2 2" xfId="5153" xr:uid="{00000000-0005-0000-0000-000049180000}"/>
    <cellStyle name="Normal 41 5 2 3" xfId="5154" xr:uid="{00000000-0005-0000-0000-00004A180000}"/>
    <cellStyle name="Normal 41 5 3" xfId="5155" xr:uid="{00000000-0005-0000-0000-00004B180000}"/>
    <cellStyle name="Normal 41 5 3 2" xfId="5156" xr:uid="{00000000-0005-0000-0000-00004C180000}"/>
    <cellStyle name="Normal 41 5 4" xfId="5157" xr:uid="{00000000-0005-0000-0000-00004D180000}"/>
    <cellStyle name="Normal 41 6" xfId="5158" xr:uid="{00000000-0005-0000-0000-00004E180000}"/>
    <cellStyle name="Normal 41 6 2" xfId="5159" xr:uid="{00000000-0005-0000-0000-00004F180000}"/>
    <cellStyle name="Normal 41 6 2 2" xfId="5160" xr:uid="{00000000-0005-0000-0000-000050180000}"/>
    <cellStyle name="Normal 41 6 3" xfId="5161" xr:uid="{00000000-0005-0000-0000-000051180000}"/>
    <cellStyle name="Normal 41 7" xfId="5162" xr:uid="{00000000-0005-0000-0000-000052180000}"/>
    <cellStyle name="Normal 41 7 2" xfId="5163" xr:uid="{00000000-0005-0000-0000-000053180000}"/>
    <cellStyle name="Normal 41 7 2 2" xfId="5164" xr:uid="{00000000-0005-0000-0000-000054180000}"/>
    <cellStyle name="Normal 41 7 3" xfId="5165" xr:uid="{00000000-0005-0000-0000-000055180000}"/>
    <cellStyle name="Normal 41 8" xfId="5166" xr:uid="{00000000-0005-0000-0000-000056180000}"/>
    <cellStyle name="Normal 41 8 2" xfId="5167" xr:uid="{00000000-0005-0000-0000-000057180000}"/>
    <cellStyle name="Normal 41 9" xfId="5168" xr:uid="{00000000-0005-0000-0000-000058180000}"/>
    <cellStyle name="Normal 42" xfId="5169" xr:uid="{00000000-0005-0000-0000-000059180000}"/>
    <cellStyle name="Normal 42 10" xfId="5170" xr:uid="{00000000-0005-0000-0000-00005A180000}"/>
    <cellStyle name="Normal 42 2" xfId="5171" xr:uid="{00000000-0005-0000-0000-00005B180000}"/>
    <cellStyle name="Normal 42 2 2" xfId="5172" xr:uid="{00000000-0005-0000-0000-00005C180000}"/>
    <cellStyle name="Normal 42 2 2 2" xfId="5173" xr:uid="{00000000-0005-0000-0000-00005D180000}"/>
    <cellStyle name="Normal 42 2 2 2 2" xfId="5174" xr:uid="{00000000-0005-0000-0000-00005E180000}"/>
    <cellStyle name="Normal 42 2 2 2 2 2" xfId="5175" xr:uid="{00000000-0005-0000-0000-00005F180000}"/>
    <cellStyle name="Normal 42 2 2 2 3" xfId="5176" xr:uid="{00000000-0005-0000-0000-000060180000}"/>
    <cellStyle name="Normal 42 2 2 3" xfId="5177" xr:uid="{00000000-0005-0000-0000-000061180000}"/>
    <cellStyle name="Normal 42 2 2 3 2" xfId="5178" xr:uid="{00000000-0005-0000-0000-000062180000}"/>
    <cellStyle name="Normal 42 2 2 4" xfId="5179" xr:uid="{00000000-0005-0000-0000-000063180000}"/>
    <cellStyle name="Normal 42 2 3" xfId="5180" xr:uid="{00000000-0005-0000-0000-000064180000}"/>
    <cellStyle name="Normal 42 2 3 2" xfId="5181" xr:uid="{00000000-0005-0000-0000-000065180000}"/>
    <cellStyle name="Normal 42 2 3 2 2" xfId="5182" xr:uid="{00000000-0005-0000-0000-000066180000}"/>
    <cellStyle name="Normal 42 2 3 3" xfId="5183" xr:uid="{00000000-0005-0000-0000-000067180000}"/>
    <cellStyle name="Normal 42 2 4" xfId="5184" xr:uid="{00000000-0005-0000-0000-000068180000}"/>
    <cellStyle name="Normal 42 2 4 2" xfId="5185" xr:uid="{00000000-0005-0000-0000-000069180000}"/>
    <cellStyle name="Normal 42 2 4 2 2" xfId="5186" xr:uid="{00000000-0005-0000-0000-00006A180000}"/>
    <cellStyle name="Normal 42 2 4 3" xfId="5187" xr:uid="{00000000-0005-0000-0000-00006B180000}"/>
    <cellStyle name="Normal 42 2 5" xfId="5188" xr:uid="{00000000-0005-0000-0000-00006C180000}"/>
    <cellStyle name="Normal 42 2 5 2" xfId="5189" xr:uid="{00000000-0005-0000-0000-00006D180000}"/>
    <cellStyle name="Normal 42 2 6" xfId="5190" xr:uid="{00000000-0005-0000-0000-00006E180000}"/>
    <cellStyle name="Normal 42 3" xfId="5191" xr:uid="{00000000-0005-0000-0000-00006F180000}"/>
    <cellStyle name="Normal 42 3 2" xfId="5192" xr:uid="{00000000-0005-0000-0000-000070180000}"/>
    <cellStyle name="Normal 42 3 2 2" xfId="5193" xr:uid="{00000000-0005-0000-0000-000071180000}"/>
    <cellStyle name="Normal 42 3 2 2 2" xfId="5194" xr:uid="{00000000-0005-0000-0000-000072180000}"/>
    <cellStyle name="Normal 42 3 2 2 2 2" xfId="5195" xr:uid="{00000000-0005-0000-0000-000073180000}"/>
    <cellStyle name="Normal 42 3 2 2 3" xfId="5196" xr:uid="{00000000-0005-0000-0000-000074180000}"/>
    <cellStyle name="Normal 42 3 2 3" xfId="5197" xr:uid="{00000000-0005-0000-0000-000075180000}"/>
    <cellStyle name="Normal 42 3 2 3 2" xfId="5198" xr:uid="{00000000-0005-0000-0000-000076180000}"/>
    <cellStyle name="Normal 42 3 2 4" xfId="5199" xr:uid="{00000000-0005-0000-0000-000077180000}"/>
    <cellStyle name="Normal 42 3 3" xfId="5200" xr:uid="{00000000-0005-0000-0000-000078180000}"/>
    <cellStyle name="Normal 42 3 3 2" xfId="5201" xr:uid="{00000000-0005-0000-0000-000079180000}"/>
    <cellStyle name="Normal 42 3 3 2 2" xfId="5202" xr:uid="{00000000-0005-0000-0000-00007A180000}"/>
    <cellStyle name="Normal 42 3 3 3" xfId="5203" xr:uid="{00000000-0005-0000-0000-00007B180000}"/>
    <cellStyle name="Normal 42 3 4" xfId="5204" xr:uid="{00000000-0005-0000-0000-00007C180000}"/>
    <cellStyle name="Normal 42 3 4 2" xfId="5205" xr:uid="{00000000-0005-0000-0000-00007D180000}"/>
    <cellStyle name="Normal 42 3 4 2 2" xfId="5206" xr:uid="{00000000-0005-0000-0000-00007E180000}"/>
    <cellStyle name="Normal 42 3 4 3" xfId="5207" xr:uid="{00000000-0005-0000-0000-00007F180000}"/>
    <cellStyle name="Normal 42 3 5" xfId="5208" xr:uid="{00000000-0005-0000-0000-000080180000}"/>
    <cellStyle name="Normal 42 3 5 2" xfId="5209" xr:uid="{00000000-0005-0000-0000-000081180000}"/>
    <cellStyle name="Normal 42 3 6" xfId="5210" xr:uid="{00000000-0005-0000-0000-000082180000}"/>
    <cellStyle name="Normal 42 4" xfId="5211" xr:uid="{00000000-0005-0000-0000-000083180000}"/>
    <cellStyle name="Normal 42 4 2" xfId="5212" xr:uid="{00000000-0005-0000-0000-000084180000}"/>
    <cellStyle name="Normal 42 4 2 2" xfId="5213" xr:uid="{00000000-0005-0000-0000-000085180000}"/>
    <cellStyle name="Normal 42 4 2 2 2" xfId="5214" xr:uid="{00000000-0005-0000-0000-000086180000}"/>
    <cellStyle name="Normal 42 4 2 2 2 2" xfId="5215" xr:uid="{00000000-0005-0000-0000-000087180000}"/>
    <cellStyle name="Normal 42 4 2 2 3" xfId="5216" xr:uid="{00000000-0005-0000-0000-000088180000}"/>
    <cellStyle name="Normal 42 4 2 3" xfId="5217" xr:uid="{00000000-0005-0000-0000-000089180000}"/>
    <cellStyle name="Normal 42 4 2 3 2" xfId="5218" xr:uid="{00000000-0005-0000-0000-00008A180000}"/>
    <cellStyle name="Normal 42 4 2 4" xfId="5219" xr:uid="{00000000-0005-0000-0000-00008B180000}"/>
    <cellStyle name="Normal 42 4 3" xfId="5220" xr:uid="{00000000-0005-0000-0000-00008C180000}"/>
    <cellStyle name="Normal 42 4 3 2" xfId="5221" xr:uid="{00000000-0005-0000-0000-00008D180000}"/>
    <cellStyle name="Normal 42 4 3 2 2" xfId="5222" xr:uid="{00000000-0005-0000-0000-00008E180000}"/>
    <cellStyle name="Normal 42 4 3 3" xfId="5223" xr:uid="{00000000-0005-0000-0000-00008F180000}"/>
    <cellStyle name="Normal 42 4 4" xfId="5224" xr:uid="{00000000-0005-0000-0000-000090180000}"/>
    <cellStyle name="Normal 42 4 4 2" xfId="5225" xr:uid="{00000000-0005-0000-0000-000091180000}"/>
    <cellStyle name="Normal 42 4 4 2 2" xfId="5226" xr:uid="{00000000-0005-0000-0000-000092180000}"/>
    <cellStyle name="Normal 42 4 4 3" xfId="5227" xr:uid="{00000000-0005-0000-0000-000093180000}"/>
    <cellStyle name="Normal 42 4 5" xfId="5228" xr:uid="{00000000-0005-0000-0000-000094180000}"/>
    <cellStyle name="Normal 42 4 5 2" xfId="5229" xr:uid="{00000000-0005-0000-0000-000095180000}"/>
    <cellStyle name="Normal 42 4 6" xfId="5230" xr:uid="{00000000-0005-0000-0000-000096180000}"/>
    <cellStyle name="Normal 42 5" xfId="5231" xr:uid="{00000000-0005-0000-0000-000097180000}"/>
    <cellStyle name="Normal 42 5 2" xfId="5232" xr:uid="{00000000-0005-0000-0000-000098180000}"/>
    <cellStyle name="Normal 42 5 2 2" xfId="5233" xr:uid="{00000000-0005-0000-0000-000099180000}"/>
    <cellStyle name="Normal 42 5 2 2 2" xfId="5234" xr:uid="{00000000-0005-0000-0000-00009A180000}"/>
    <cellStyle name="Normal 42 5 2 3" xfId="5235" xr:uid="{00000000-0005-0000-0000-00009B180000}"/>
    <cellStyle name="Normal 42 5 3" xfId="5236" xr:uid="{00000000-0005-0000-0000-00009C180000}"/>
    <cellStyle name="Normal 42 5 3 2" xfId="5237" xr:uid="{00000000-0005-0000-0000-00009D180000}"/>
    <cellStyle name="Normal 42 5 4" xfId="5238" xr:uid="{00000000-0005-0000-0000-00009E180000}"/>
    <cellStyle name="Normal 42 6" xfId="5239" xr:uid="{00000000-0005-0000-0000-00009F180000}"/>
    <cellStyle name="Normal 42 6 2" xfId="5240" xr:uid="{00000000-0005-0000-0000-0000A0180000}"/>
    <cellStyle name="Normal 42 6 2 2" xfId="5241" xr:uid="{00000000-0005-0000-0000-0000A1180000}"/>
    <cellStyle name="Normal 42 6 3" xfId="5242" xr:uid="{00000000-0005-0000-0000-0000A2180000}"/>
    <cellStyle name="Normal 42 7" xfId="5243" xr:uid="{00000000-0005-0000-0000-0000A3180000}"/>
    <cellStyle name="Normal 42 7 2" xfId="5244" xr:uid="{00000000-0005-0000-0000-0000A4180000}"/>
    <cellStyle name="Normal 42 7 2 2" xfId="5245" xr:uid="{00000000-0005-0000-0000-0000A5180000}"/>
    <cellStyle name="Normal 42 7 3" xfId="5246" xr:uid="{00000000-0005-0000-0000-0000A6180000}"/>
    <cellStyle name="Normal 42 8" xfId="5247" xr:uid="{00000000-0005-0000-0000-0000A7180000}"/>
    <cellStyle name="Normal 42 8 2" xfId="5248" xr:uid="{00000000-0005-0000-0000-0000A8180000}"/>
    <cellStyle name="Normal 42 9" xfId="5249" xr:uid="{00000000-0005-0000-0000-0000A9180000}"/>
    <cellStyle name="Normal 43" xfId="5250" xr:uid="{00000000-0005-0000-0000-0000AA180000}"/>
    <cellStyle name="Normal 43 10" xfId="5251" xr:uid="{00000000-0005-0000-0000-0000AB180000}"/>
    <cellStyle name="Normal 43 2" xfId="5252" xr:uid="{00000000-0005-0000-0000-0000AC180000}"/>
    <cellStyle name="Normal 43 2 2" xfId="5253" xr:uid="{00000000-0005-0000-0000-0000AD180000}"/>
    <cellStyle name="Normal 43 2 2 2" xfId="5254" xr:uid="{00000000-0005-0000-0000-0000AE180000}"/>
    <cellStyle name="Normal 43 2 2 2 2" xfId="5255" xr:uid="{00000000-0005-0000-0000-0000AF180000}"/>
    <cellStyle name="Normal 43 2 2 2 2 2" xfId="5256" xr:uid="{00000000-0005-0000-0000-0000B0180000}"/>
    <cellStyle name="Normal 43 2 2 2 3" xfId="5257" xr:uid="{00000000-0005-0000-0000-0000B1180000}"/>
    <cellStyle name="Normal 43 2 2 3" xfId="5258" xr:uid="{00000000-0005-0000-0000-0000B2180000}"/>
    <cellStyle name="Normal 43 2 2 3 2" xfId="5259" xr:uid="{00000000-0005-0000-0000-0000B3180000}"/>
    <cellStyle name="Normal 43 2 2 4" xfId="5260" xr:uid="{00000000-0005-0000-0000-0000B4180000}"/>
    <cellStyle name="Normal 43 2 3" xfId="5261" xr:uid="{00000000-0005-0000-0000-0000B5180000}"/>
    <cellStyle name="Normal 43 2 3 2" xfId="5262" xr:uid="{00000000-0005-0000-0000-0000B6180000}"/>
    <cellStyle name="Normal 43 2 3 2 2" xfId="5263" xr:uid="{00000000-0005-0000-0000-0000B7180000}"/>
    <cellStyle name="Normal 43 2 3 3" xfId="5264" xr:uid="{00000000-0005-0000-0000-0000B8180000}"/>
    <cellStyle name="Normal 43 2 4" xfId="5265" xr:uid="{00000000-0005-0000-0000-0000B9180000}"/>
    <cellStyle name="Normal 43 2 4 2" xfId="5266" xr:uid="{00000000-0005-0000-0000-0000BA180000}"/>
    <cellStyle name="Normal 43 2 4 2 2" xfId="5267" xr:uid="{00000000-0005-0000-0000-0000BB180000}"/>
    <cellStyle name="Normal 43 2 4 3" xfId="5268" xr:uid="{00000000-0005-0000-0000-0000BC180000}"/>
    <cellStyle name="Normal 43 2 5" xfId="5269" xr:uid="{00000000-0005-0000-0000-0000BD180000}"/>
    <cellStyle name="Normal 43 2 5 2" xfId="5270" xr:uid="{00000000-0005-0000-0000-0000BE180000}"/>
    <cellStyle name="Normal 43 2 6" xfId="5271" xr:uid="{00000000-0005-0000-0000-0000BF180000}"/>
    <cellStyle name="Normal 43 3" xfId="5272" xr:uid="{00000000-0005-0000-0000-0000C0180000}"/>
    <cellStyle name="Normal 43 3 2" xfId="5273" xr:uid="{00000000-0005-0000-0000-0000C1180000}"/>
    <cellStyle name="Normal 43 3 2 2" xfId="5274" xr:uid="{00000000-0005-0000-0000-0000C2180000}"/>
    <cellStyle name="Normal 43 3 2 2 2" xfId="5275" xr:uid="{00000000-0005-0000-0000-0000C3180000}"/>
    <cellStyle name="Normal 43 3 2 2 2 2" xfId="5276" xr:uid="{00000000-0005-0000-0000-0000C4180000}"/>
    <cellStyle name="Normal 43 3 2 2 3" xfId="5277" xr:uid="{00000000-0005-0000-0000-0000C5180000}"/>
    <cellStyle name="Normal 43 3 2 3" xfId="5278" xr:uid="{00000000-0005-0000-0000-0000C6180000}"/>
    <cellStyle name="Normal 43 3 2 3 2" xfId="5279" xr:uid="{00000000-0005-0000-0000-0000C7180000}"/>
    <cellStyle name="Normal 43 3 2 4" xfId="5280" xr:uid="{00000000-0005-0000-0000-0000C8180000}"/>
    <cellStyle name="Normal 43 3 3" xfId="5281" xr:uid="{00000000-0005-0000-0000-0000C9180000}"/>
    <cellStyle name="Normal 43 3 3 2" xfId="5282" xr:uid="{00000000-0005-0000-0000-0000CA180000}"/>
    <cellStyle name="Normal 43 3 3 2 2" xfId="5283" xr:uid="{00000000-0005-0000-0000-0000CB180000}"/>
    <cellStyle name="Normal 43 3 3 3" xfId="5284" xr:uid="{00000000-0005-0000-0000-0000CC180000}"/>
    <cellStyle name="Normal 43 3 4" xfId="5285" xr:uid="{00000000-0005-0000-0000-0000CD180000}"/>
    <cellStyle name="Normal 43 3 4 2" xfId="5286" xr:uid="{00000000-0005-0000-0000-0000CE180000}"/>
    <cellStyle name="Normal 43 3 4 2 2" xfId="5287" xr:uid="{00000000-0005-0000-0000-0000CF180000}"/>
    <cellStyle name="Normal 43 3 4 3" xfId="5288" xr:uid="{00000000-0005-0000-0000-0000D0180000}"/>
    <cellStyle name="Normal 43 3 5" xfId="5289" xr:uid="{00000000-0005-0000-0000-0000D1180000}"/>
    <cellStyle name="Normal 43 3 5 2" xfId="5290" xr:uid="{00000000-0005-0000-0000-0000D2180000}"/>
    <cellStyle name="Normal 43 3 6" xfId="5291" xr:uid="{00000000-0005-0000-0000-0000D3180000}"/>
    <cellStyle name="Normal 43 4" xfId="5292" xr:uid="{00000000-0005-0000-0000-0000D4180000}"/>
    <cellStyle name="Normal 43 4 2" xfId="5293" xr:uid="{00000000-0005-0000-0000-0000D5180000}"/>
    <cellStyle name="Normal 43 4 2 2" xfId="5294" xr:uid="{00000000-0005-0000-0000-0000D6180000}"/>
    <cellStyle name="Normal 43 4 2 2 2" xfId="5295" xr:uid="{00000000-0005-0000-0000-0000D7180000}"/>
    <cellStyle name="Normal 43 4 2 2 2 2" xfId="5296" xr:uid="{00000000-0005-0000-0000-0000D8180000}"/>
    <cellStyle name="Normal 43 4 2 2 3" xfId="5297" xr:uid="{00000000-0005-0000-0000-0000D9180000}"/>
    <cellStyle name="Normal 43 4 2 3" xfId="5298" xr:uid="{00000000-0005-0000-0000-0000DA180000}"/>
    <cellStyle name="Normal 43 4 2 3 2" xfId="5299" xr:uid="{00000000-0005-0000-0000-0000DB180000}"/>
    <cellStyle name="Normal 43 4 2 4" xfId="5300" xr:uid="{00000000-0005-0000-0000-0000DC180000}"/>
    <cellStyle name="Normal 43 4 3" xfId="5301" xr:uid="{00000000-0005-0000-0000-0000DD180000}"/>
    <cellStyle name="Normal 43 4 3 2" xfId="5302" xr:uid="{00000000-0005-0000-0000-0000DE180000}"/>
    <cellStyle name="Normal 43 4 3 2 2" xfId="5303" xr:uid="{00000000-0005-0000-0000-0000DF180000}"/>
    <cellStyle name="Normal 43 4 3 3" xfId="5304" xr:uid="{00000000-0005-0000-0000-0000E0180000}"/>
    <cellStyle name="Normal 43 4 4" xfId="5305" xr:uid="{00000000-0005-0000-0000-0000E1180000}"/>
    <cellStyle name="Normal 43 4 4 2" xfId="5306" xr:uid="{00000000-0005-0000-0000-0000E2180000}"/>
    <cellStyle name="Normal 43 4 4 2 2" xfId="5307" xr:uid="{00000000-0005-0000-0000-0000E3180000}"/>
    <cellStyle name="Normal 43 4 4 3" xfId="5308" xr:uid="{00000000-0005-0000-0000-0000E4180000}"/>
    <cellStyle name="Normal 43 4 5" xfId="5309" xr:uid="{00000000-0005-0000-0000-0000E5180000}"/>
    <cellStyle name="Normal 43 4 5 2" xfId="5310" xr:uid="{00000000-0005-0000-0000-0000E6180000}"/>
    <cellStyle name="Normal 43 4 6" xfId="5311" xr:uid="{00000000-0005-0000-0000-0000E7180000}"/>
    <cellStyle name="Normal 43 5" xfId="5312" xr:uid="{00000000-0005-0000-0000-0000E8180000}"/>
    <cellStyle name="Normal 43 5 2" xfId="5313" xr:uid="{00000000-0005-0000-0000-0000E9180000}"/>
    <cellStyle name="Normal 43 5 2 2" xfId="5314" xr:uid="{00000000-0005-0000-0000-0000EA180000}"/>
    <cellStyle name="Normal 43 5 2 2 2" xfId="5315" xr:uid="{00000000-0005-0000-0000-0000EB180000}"/>
    <cellStyle name="Normal 43 5 2 3" xfId="5316" xr:uid="{00000000-0005-0000-0000-0000EC180000}"/>
    <cellStyle name="Normal 43 5 3" xfId="5317" xr:uid="{00000000-0005-0000-0000-0000ED180000}"/>
    <cellStyle name="Normal 43 5 3 2" xfId="5318" xr:uid="{00000000-0005-0000-0000-0000EE180000}"/>
    <cellStyle name="Normal 43 5 4" xfId="5319" xr:uid="{00000000-0005-0000-0000-0000EF180000}"/>
    <cellStyle name="Normal 43 6" xfId="5320" xr:uid="{00000000-0005-0000-0000-0000F0180000}"/>
    <cellStyle name="Normal 43 6 2" xfId="5321" xr:uid="{00000000-0005-0000-0000-0000F1180000}"/>
    <cellStyle name="Normal 43 6 2 2" xfId="5322" xr:uid="{00000000-0005-0000-0000-0000F2180000}"/>
    <cellStyle name="Normal 43 6 3" xfId="5323" xr:uid="{00000000-0005-0000-0000-0000F3180000}"/>
    <cellStyle name="Normal 43 7" xfId="5324" xr:uid="{00000000-0005-0000-0000-0000F4180000}"/>
    <cellStyle name="Normal 43 7 2" xfId="5325" xr:uid="{00000000-0005-0000-0000-0000F5180000}"/>
    <cellStyle name="Normal 43 7 2 2" xfId="5326" xr:uid="{00000000-0005-0000-0000-0000F6180000}"/>
    <cellStyle name="Normal 43 7 3" xfId="5327" xr:uid="{00000000-0005-0000-0000-0000F7180000}"/>
    <cellStyle name="Normal 43 8" xfId="5328" xr:uid="{00000000-0005-0000-0000-0000F8180000}"/>
    <cellStyle name="Normal 43 8 2" xfId="5329" xr:uid="{00000000-0005-0000-0000-0000F9180000}"/>
    <cellStyle name="Normal 43 9" xfId="5330" xr:uid="{00000000-0005-0000-0000-0000FA180000}"/>
    <cellStyle name="Normal 44" xfId="5331" xr:uid="{00000000-0005-0000-0000-0000FB180000}"/>
    <cellStyle name="Normal 44 10" xfId="5332" xr:uid="{00000000-0005-0000-0000-0000FC180000}"/>
    <cellStyle name="Normal 44 2" xfId="5333" xr:uid="{00000000-0005-0000-0000-0000FD180000}"/>
    <cellStyle name="Normal 44 2 2" xfId="5334" xr:uid="{00000000-0005-0000-0000-0000FE180000}"/>
    <cellStyle name="Normal 44 2 2 2" xfId="5335" xr:uid="{00000000-0005-0000-0000-0000FF180000}"/>
    <cellStyle name="Normal 44 2 2 2 2" xfId="5336" xr:uid="{00000000-0005-0000-0000-000000190000}"/>
    <cellStyle name="Normal 44 2 2 2 2 2" xfId="5337" xr:uid="{00000000-0005-0000-0000-000001190000}"/>
    <cellStyle name="Normal 44 2 2 2 3" xfId="5338" xr:uid="{00000000-0005-0000-0000-000002190000}"/>
    <cellStyle name="Normal 44 2 2 3" xfId="5339" xr:uid="{00000000-0005-0000-0000-000003190000}"/>
    <cellStyle name="Normal 44 2 2 3 2" xfId="5340" xr:uid="{00000000-0005-0000-0000-000004190000}"/>
    <cellStyle name="Normal 44 2 2 4" xfId="5341" xr:uid="{00000000-0005-0000-0000-000005190000}"/>
    <cellStyle name="Normal 44 2 3" xfId="5342" xr:uid="{00000000-0005-0000-0000-000006190000}"/>
    <cellStyle name="Normal 44 2 3 2" xfId="5343" xr:uid="{00000000-0005-0000-0000-000007190000}"/>
    <cellStyle name="Normal 44 2 3 2 2" xfId="5344" xr:uid="{00000000-0005-0000-0000-000008190000}"/>
    <cellStyle name="Normal 44 2 3 3" xfId="5345" xr:uid="{00000000-0005-0000-0000-000009190000}"/>
    <cellStyle name="Normal 44 2 4" xfId="5346" xr:uid="{00000000-0005-0000-0000-00000A190000}"/>
    <cellStyle name="Normal 44 2 4 2" xfId="5347" xr:uid="{00000000-0005-0000-0000-00000B190000}"/>
    <cellStyle name="Normal 44 2 4 2 2" xfId="5348" xr:uid="{00000000-0005-0000-0000-00000C190000}"/>
    <cellStyle name="Normal 44 2 4 3" xfId="5349" xr:uid="{00000000-0005-0000-0000-00000D190000}"/>
    <cellStyle name="Normal 44 2 5" xfId="5350" xr:uid="{00000000-0005-0000-0000-00000E190000}"/>
    <cellStyle name="Normal 44 2 5 2" xfId="5351" xr:uid="{00000000-0005-0000-0000-00000F190000}"/>
    <cellStyle name="Normal 44 2 6" xfId="5352" xr:uid="{00000000-0005-0000-0000-000010190000}"/>
    <cellStyle name="Normal 44 3" xfId="5353" xr:uid="{00000000-0005-0000-0000-000011190000}"/>
    <cellStyle name="Normal 44 3 2" xfId="5354" xr:uid="{00000000-0005-0000-0000-000012190000}"/>
    <cellStyle name="Normal 44 3 2 2" xfId="5355" xr:uid="{00000000-0005-0000-0000-000013190000}"/>
    <cellStyle name="Normal 44 3 2 2 2" xfId="5356" xr:uid="{00000000-0005-0000-0000-000014190000}"/>
    <cellStyle name="Normal 44 3 2 2 2 2" xfId="5357" xr:uid="{00000000-0005-0000-0000-000015190000}"/>
    <cellStyle name="Normal 44 3 2 2 3" xfId="5358" xr:uid="{00000000-0005-0000-0000-000016190000}"/>
    <cellStyle name="Normal 44 3 2 3" xfId="5359" xr:uid="{00000000-0005-0000-0000-000017190000}"/>
    <cellStyle name="Normal 44 3 2 3 2" xfId="5360" xr:uid="{00000000-0005-0000-0000-000018190000}"/>
    <cellStyle name="Normal 44 3 2 4" xfId="5361" xr:uid="{00000000-0005-0000-0000-000019190000}"/>
    <cellStyle name="Normal 44 3 3" xfId="5362" xr:uid="{00000000-0005-0000-0000-00001A190000}"/>
    <cellStyle name="Normal 44 3 3 2" xfId="5363" xr:uid="{00000000-0005-0000-0000-00001B190000}"/>
    <cellStyle name="Normal 44 3 3 2 2" xfId="5364" xr:uid="{00000000-0005-0000-0000-00001C190000}"/>
    <cellStyle name="Normal 44 3 3 3" xfId="5365" xr:uid="{00000000-0005-0000-0000-00001D190000}"/>
    <cellStyle name="Normal 44 3 4" xfId="5366" xr:uid="{00000000-0005-0000-0000-00001E190000}"/>
    <cellStyle name="Normal 44 3 4 2" xfId="5367" xr:uid="{00000000-0005-0000-0000-00001F190000}"/>
    <cellStyle name="Normal 44 3 4 2 2" xfId="5368" xr:uid="{00000000-0005-0000-0000-000020190000}"/>
    <cellStyle name="Normal 44 3 4 3" xfId="5369" xr:uid="{00000000-0005-0000-0000-000021190000}"/>
    <cellStyle name="Normal 44 3 5" xfId="5370" xr:uid="{00000000-0005-0000-0000-000022190000}"/>
    <cellStyle name="Normal 44 3 5 2" xfId="5371" xr:uid="{00000000-0005-0000-0000-000023190000}"/>
    <cellStyle name="Normal 44 3 6" xfId="5372" xr:uid="{00000000-0005-0000-0000-000024190000}"/>
    <cellStyle name="Normal 44 4" xfId="5373" xr:uid="{00000000-0005-0000-0000-000025190000}"/>
    <cellStyle name="Normal 44 4 2" xfId="5374" xr:uid="{00000000-0005-0000-0000-000026190000}"/>
    <cellStyle name="Normal 44 4 2 2" xfId="5375" xr:uid="{00000000-0005-0000-0000-000027190000}"/>
    <cellStyle name="Normal 44 4 2 2 2" xfId="5376" xr:uid="{00000000-0005-0000-0000-000028190000}"/>
    <cellStyle name="Normal 44 4 2 2 2 2" xfId="5377" xr:uid="{00000000-0005-0000-0000-000029190000}"/>
    <cellStyle name="Normal 44 4 2 2 3" xfId="5378" xr:uid="{00000000-0005-0000-0000-00002A190000}"/>
    <cellStyle name="Normal 44 4 2 3" xfId="5379" xr:uid="{00000000-0005-0000-0000-00002B190000}"/>
    <cellStyle name="Normal 44 4 2 3 2" xfId="5380" xr:uid="{00000000-0005-0000-0000-00002C190000}"/>
    <cellStyle name="Normal 44 4 2 4" xfId="5381" xr:uid="{00000000-0005-0000-0000-00002D190000}"/>
    <cellStyle name="Normal 44 4 3" xfId="5382" xr:uid="{00000000-0005-0000-0000-00002E190000}"/>
    <cellStyle name="Normal 44 4 3 2" xfId="5383" xr:uid="{00000000-0005-0000-0000-00002F190000}"/>
    <cellStyle name="Normal 44 4 3 2 2" xfId="5384" xr:uid="{00000000-0005-0000-0000-000030190000}"/>
    <cellStyle name="Normal 44 4 3 3" xfId="5385" xr:uid="{00000000-0005-0000-0000-000031190000}"/>
    <cellStyle name="Normal 44 4 4" xfId="5386" xr:uid="{00000000-0005-0000-0000-000032190000}"/>
    <cellStyle name="Normal 44 4 4 2" xfId="5387" xr:uid="{00000000-0005-0000-0000-000033190000}"/>
    <cellStyle name="Normal 44 4 4 2 2" xfId="5388" xr:uid="{00000000-0005-0000-0000-000034190000}"/>
    <cellStyle name="Normal 44 4 4 3" xfId="5389" xr:uid="{00000000-0005-0000-0000-000035190000}"/>
    <cellStyle name="Normal 44 4 5" xfId="5390" xr:uid="{00000000-0005-0000-0000-000036190000}"/>
    <cellStyle name="Normal 44 4 5 2" xfId="5391" xr:uid="{00000000-0005-0000-0000-000037190000}"/>
    <cellStyle name="Normal 44 4 6" xfId="5392" xr:uid="{00000000-0005-0000-0000-000038190000}"/>
    <cellStyle name="Normal 44 5" xfId="5393" xr:uid="{00000000-0005-0000-0000-000039190000}"/>
    <cellStyle name="Normal 44 5 2" xfId="5394" xr:uid="{00000000-0005-0000-0000-00003A190000}"/>
    <cellStyle name="Normal 44 5 2 2" xfId="5395" xr:uid="{00000000-0005-0000-0000-00003B190000}"/>
    <cellStyle name="Normal 44 5 2 2 2" xfId="5396" xr:uid="{00000000-0005-0000-0000-00003C190000}"/>
    <cellStyle name="Normal 44 5 2 3" xfId="5397" xr:uid="{00000000-0005-0000-0000-00003D190000}"/>
    <cellStyle name="Normal 44 5 3" xfId="5398" xr:uid="{00000000-0005-0000-0000-00003E190000}"/>
    <cellStyle name="Normal 44 5 3 2" xfId="5399" xr:uid="{00000000-0005-0000-0000-00003F190000}"/>
    <cellStyle name="Normal 44 5 4" xfId="5400" xr:uid="{00000000-0005-0000-0000-000040190000}"/>
    <cellStyle name="Normal 44 6" xfId="5401" xr:uid="{00000000-0005-0000-0000-000041190000}"/>
    <cellStyle name="Normal 44 6 2" xfId="5402" xr:uid="{00000000-0005-0000-0000-000042190000}"/>
    <cellStyle name="Normal 44 6 2 2" xfId="5403" xr:uid="{00000000-0005-0000-0000-000043190000}"/>
    <cellStyle name="Normal 44 6 3" xfId="5404" xr:uid="{00000000-0005-0000-0000-000044190000}"/>
    <cellStyle name="Normal 44 7" xfId="5405" xr:uid="{00000000-0005-0000-0000-000045190000}"/>
    <cellStyle name="Normal 44 7 2" xfId="5406" xr:uid="{00000000-0005-0000-0000-000046190000}"/>
    <cellStyle name="Normal 44 7 2 2" xfId="5407" xr:uid="{00000000-0005-0000-0000-000047190000}"/>
    <cellStyle name="Normal 44 7 3" xfId="5408" xr:uid="{00000000-0005-0000-0000-000048190000}"/>
    <cellStyle name="Normal 44 8" xfId="5409" xr:uid="{00000000-0005-0000-0000-000049190000}"/>
    <cellStyle name="Normal 44 8 2" xfId="5410" xr:uid="{00000000-0005-0000-0000-00004A190000}"/>
    <cellStyle name="Normal 44 9" xfId="5411" xr:uid="{00000000-0005-0000-0000-00004B190000}"/>
    <cellStyle name="Normal 45" xfId="5412" xr:uid="{00000000-0005-0000-0000-00004C190000}"/>
    <cellStyle name="Normal 45 10" xfId="5413" xr:uid="{00000000-0005-0000-0000-00004D190000}"/>
    <cellStyle name="Normal 45 2" xfId="5414" xr:uid="{00000000-0005-0000-0000-00004E190000}"/>
    <cellStyle name="Normal 45 2 2" xfId="5415" xr:uid="{00000000-0005-0000-0000-00004F190000}"/>
    <cellStyle name="Normal 45 2 2 2" xfId="5416" xr:uid="{00000000-0005-0000-0000-000050190000}"/>
    <cellStyle name="Normal 45 2 2 2 2" xfId="5417" xr:uid="{00000000-0005-0000-0000-000051190000}"/>
    <cellStyle name="Normal 45 2 2 2 2 2" xfId="5418" xr:uid="{00000000-0005-0000-0000-000052190000}"/>
    <cellStyle name="Normal 45 2 2 2 3" xfId="5419" xr:uid="{00000000-0005-0000-0000-000053190000}"/>
    <cellStyle name="Normal 45 2 2 3" xfId="5420" xr:uid="{00000000-0005-0000-0000-000054190000}"/>
    <cellStyle name="Normal 45 2 2 3 2" xfId="5421" xr:uid="{00000000-0005-0000-0000-000055190000}"/>
    <cellStyle name="Normal 45 2 2 4" xfId="5422" xr:uid="{00000000-0005-0000-0000-000056190000}"/>
    <cellStyle name="Normal 45 2 3" xfId="5423" xr:uid="{00000000-0005-0000-0000-000057190000}"/>
    <cellStyle name="Normal 45 2 3 2" xfId="5424" xr:uid="{00000000-0005-0000-0000-000058190000}"/>
    <cellStyle name="Normal 45 2 3 2 2" xfId="5425" xr:uid="{00000000-0005-0000-0000-000059190000}"/>
    <cellStyle name="Normal 45 2 3 3" xfId="5426" xr:uid="{00000000-0005-0000-0000-00005A190000}"/>
    <cellStyle name="Normal 45 2 4" xfId="5427" xr:uid="{00000000-0005-0000-0000-00005B190000}"/>
    <cellStyle name="Normal 45 2 4 2" xfId="5428" xr:uid="{00000000-0005-0000-0000-00005C190000}"/>
    <cellStyle name="Normal 45 2 4 2 2" xfId="5429" xr:uid="{00000000-0005-0000-0000-00005D190000}"/>
    <cellStyle name="Normal 45 2 4 3" xfId="5430" xr:uid="{00000000-0005-0000-0000-00005E190000}"/>
    <cellStyle name="Normal 45 2 5" xfId="5431" xr:uid="{00000000-0005-0000-0000-00005F190000}"/>
    <cellStyle name="Normal 45 2 5 2" xfId="5432" xr:uid="{00000000-0005-0000-0000-000060190000}"/>
    <cellStyle name="Normal 45 2 6" xfId="5433" xr:uid="{00000000-0005-0000-0000-000061190000}"/>
    <cellStyle name="Normal 45 3" xfId="5434" xr:uid="{00000000-0005-0000-0000-000062190000}"/>
    <cellStyle name="Normal 45 3 2" xfId="5435" xr:uid="{00000000-0005-0000-0000-000063190000}"/>
    <cellStyle name="Normal 45 3 2 2" xfId="5436" xr:uid="{00000000-0005-0000-0000-000064190000}"/>
    <cellStyle name="Normal 45 3 2 2 2" xfId="5437" xr:uid="{00000000-0005-0000-0000-000065190000}"/>
    <cellStyle name="Normal 45 3 2 2 2 2" xfId="5438" xr:uid="{00000000-0005-0000-0000-000066190000}"/>
    <cellStyle name="Normal 45 3 2 2 3" xfId="5439" xr:uid="{00000000-0005-0000-0000-000067190000}"/>
    <cellStyle name="Normal 45 3 2 3" xfId="5440" xr:uid="{00000000-0005-0000-0000-000068190000}"/>
    <cellStyle name="Normal 45 3 2 3 2" xfId="5441" xr:uid="{00000000-0005-0000-0000-000069190000}"/>
    <cellStyle name="Normal 45 3 2 4" xfId="5442" xr:uid="{00000000-0005-0000-0000-00006A190000}"/>
    <cellStyle name="Normal 45 3 3" xfId="5443" xr:uid="{00000000-0005-0000-0000-00006B190000}"/>
    <cellStyle name="Normal 45 3 3 2" xfId="5444" xr:uid="{00000000-0005-0000-0000-00006C190000}"/>
    <cellStyle name="Normal 45 3 3 2 2" xfId="5445" xr:uid="{00000000-0005-0000-0000-00006D190000}"/>
    <cellStyle name="Normal 45 3 3 3" xfId="5446" xr:uid="{00000000-0005-0000-0000-00006E190000}"/>
    <cellStyle name="Normal 45 3 4" xfId="5447" xr:uid="{00000000-0005-0000-0000-00006F190000}"/>
    <cellStyle name="Normal 45 3 4 2" xfId="5448" xr:uid="{00000000-0005-0000-0000-000070190000}"/>
    <cellStyle name="Normal 45 3 4 2 2" xfId="5449" xr:uid="{00000000-0005-0000-0000-000071190000}"/>
    <cellStyle name="Normal 45 3 4 3" xfId="5450" xr:uid="{00000000-0005-0000-0000-000072190000}"/>
    <cellStyle name="Normal 45 3 5" xfId="5451" xr:uid="{00000000-0005-0000-0000-000073190000}"/>
    <cellStyle name="Normal 45 3 5 2" xfId="5452" xr:uid="{00000000-0005-0000-0000-000074190000}"/>
    <cellStyle name="Normal 45 3 6" xfId="5453" xr:uid="{00000000-0005-0000-0000-000075190000}"/>
    <cellStyle name="Normal 45 4" xfId="5454" xr:uid="{00000000-0005-0000-0000-000076190000}"/>
    <cellStyle name="Normal 45 4 2" xfId="5455" xr:uid="{00000000-0005-0000-0000-000077190000}"/>
    <cellStyle name="Normal 45 4 2 2" xfId="5456" xr:uid="{00000000-0005-0000-0000-000078190000}"/>
    <cellStyle name="Normal 45 4 2 2 2" xfId="5457" xr:uid="{00000000-0005-0000-0000-000079190000}"/>
    <cellStyle name="Normal 45 4 2 2 2 2" xfId="5458" xr:uid="{00000000-0005-0000-0000-00007A190000}"/>
    <cellStyle name="Normal 45 4 2 2 3" xfId="5459" xr:uid="{00000000-0005-0000-0000-00007B190000}"/>
    <cellStyle name="Normal 45 4 2 3" xfId="5460" xr:uid="{00000000-0005-0000-0000-00007C190000}"/>
    <cellStyle name="Normal 45 4 2 3 2" xfId="5461" xr:uid="{00000000-0005-0000-0000-00007D190000}"/>
    <cellStyle name="Normal 45 4 2 4" xfId="5462" xr:uid="{00000000-0005-0000-0000-00007E190000}"/>
    <cellStyle name="Normal 45 4 3" xfId="5463" xr:uid="{00000000-0005-0000-0000-00007F190000}"/>
    <cellStyle name="Normal 45 4 3 2" xfId="5464" xr:uid="{00000000-0005-0000-0000-000080190000}"/>
    <cellStyle name="Normal 45 4 3 2 2" xfId="5465" xr:uid="{00000000-0005-0000-0000-000081190000}"/>
    <cellStyle name="Normal 45 4 3 3" xfId="5466" xr:uid="{00000000-0005-0000-0000-000082190000}"/>
    <cellStyle name="Normal 45 4 4" xfId="5467" xr:uid="{00000000-0005-0000-0000-000083190000}"/>
    <cellStyle name="Normal 45 4 4 2" xfId="5468" xr:uid="{00000000-0005-0000-0000-000084190000}"/>
    <cellStyle name="Normal 45 4 4 2 2" xfId="5469" xr:uid="{00000000-0005-0000-0000-000085190000}"/>
    <cellStyle name="Normal 45 4 4 3" xfId="5470" xr:uid="{00000000-0005-0000-0000-000086190000}"/>
    <cellStyle name="Normal 45 4 5" xfId="5471" xr:uid="{00000000-0005-0000-0000-000087190000}"/>
    <cellStyle name="Normal 45 4 5 2" xfId="5472" xr:uid="{00000000-0005-0000-0000-000088190000}"/>
    <cellStyle name="Normal 45 4 6" xfId="5473" xr:uid="{00000000-0005-0000-0000-000089190000}"/>
    <cellStyle name="Normal 45 5" xfId="5474" xr:uid="{00000000-0005-0000-0000-00008A190000}"/>
    <cellStyle name="Normal 45 5 2" xfId="5475" xr:uid="{00000000-0005-0000-0000-00008B190000}"/>
    <cellStyle name="Normal 45 5 2 2" xfId="5476" xr:uid="{00000000-0005-0000-0000-00008C190000}"/>
    <cellStyle name="Normal 45 5 2 2 2" xfId="5477" xr:uid="{00000000-0005-0000-0000-00008D190000}"/>
    <cellStyle name="Normal 45 5 2 3" xfId="5478" xr:uid="{00000000-0005-0000-0000-00008E190000}"/>
    <cellStyle name="Normal 45 5 3" xfId="5479" xr:uid="{00000000-0005-0000-0000-00008F190000}"/>
    <cellStyle name="Normal 45 5 3 2" xfId="5480" xr:uid="{00000000-0005-0000-0000-000090190000}"/>
    <cellStyle name="Normal 45 5 4" xfId="5481" xr:uid="{00000000-0005-0000-0000-000091190000}"/>
    <cellStyle name="Normal 45 6" xfId="5482" xr:uid="{00000000-0005-0000-0000-000092190000}"/>
    <cellStyle name="Normal 45 6 2" xfId="5483" xr:uid="{00000000-0005-0000-0000-000093190000}"/>
    <cellStyle name="Normal 45 6 2 2" xfId="5484" xr:uid="{00000000-0005-0000-0000-000094190000}"/>
    <cellStyle name="Normal 45 6 3" xfId="5485" xr:uid="{00000000-0005-0000-0000-000095190000}"/>
    <cellStyle name="Normal 45 7" xfId="5486" xr:uid="{00000000-0005-0000-0000-000096190000}"/>
    <cellStyle name="Normal 45 7 2" xfId="5487" xr:uid="{00000000-0005-0000-0000-000097190000}"/>
    <cellStyle name="Normal 45 7 2 2" xfId="5488" xr:uid="{00000000-0005-0000-0000-000098190000}"/>
    <cellStyle name="Normal 45 7 3" xfId="5489" xr:uid="{00000000-0005-0000-0000-000099190000}"/>
    <cellStyle name="Normal 45 8" xfId="5490" xr:uid="{00000000-0005-0000-0000-00009A190000}"/>
    <cellStyle name="Normal 45 8 2" xfId="5491" xr:uid="{00000000-0005-0000-0000-00009B190000}"/>
    <cellStyle name="Normal 45 9" xfId="5492" xr:uid="{00000000-0005-0000-0000-00009C190000}"/>
    <cellStyle name="Normal 46" xfId="5493" xr:uid="{00000000-0005-0000-0000-00009D190000}"/>
    <cellStyle name="Normal 46 10" xfId="5494" xr:uid="{00000000-0005-0000-0000-00009E190000}"/>
    <cellStyle name="Normal 46 2" xfId="5495" xr:uid="{00000000-0005-0000-0000-00009F190000}"/>
    <cellStyle name="Normal 46 2 2" xfId="5496" xr:uid="{00000000-0005-0000-0000-0000A0190000}"/>
    <cellStyle name="Normal 46 2 2 2" xfId="5497" xr:uid="{00000000-0005-0000-0000-0000A1190000}"/>
    <cellStyle name="Normal 46 2 2 2 2" xfId="5498" xr:uid="{00000000-0005-0000-0000-0000A2190000}"/>
    <cellStyle name="Normal 46 2 2 2 2 2" xfId="5499" xr:uid="{00000000-0005-0000-0000-0000A3190000}"/>
    <cellStyle name="Normal 46 2 2 2 3" xfId="5500" xr:uid="{00000000-0005-0000-0000-0000A4190000}"/>
    <cellStyle name="Normal 46 2 2 3" xfId="5501" xr:uid="{00000000-0005-0000-0000-0000A5190000}"/>
    <cellStyle name="Normal 46 2 2 3 2" xfId="5502" xr:uid="{00000000-0005-0000-0000-0000A6190000}"/>
    <cellStyle name="Normal 46 2 2 4" xfId="5503" xr:uid="{00000000-0005-0000-0000-0000A7190000}"/>
    <cellStyle name="Normal 46 2 3" xfId="5504" xr:uid="{00000000-0005-0000-0000-0000A8190000}"/>
    <cellStyle name="Normal 46 2 3 2" xfId="5505" xr:uid="{00000000-0005-0000-0000-0000A9190000}"/>
    <cellStyle name="Normal 46 2 3 2 2" xfId="5506" xr:uid="{00000000-0005-0000-0000-0000AA190000}"/>
    <cellStyle name="Normal 46 2 3 3" xfId="5507" xr:uid="{00000000-0005-0000-0000-0000AB190000}"/>
    <cellStyle name="Normal 46 2 4" xfId="5508" xr:uid="{00000000-0005-0000-0000-0000AC190000}"/>
    <cellStyle name="Normal 46 2 4 2" xfId="5509" xr:uid="{00000000-0005-0000-0000-0000AD190000}"/>
    <cellStyle name="Normal 46 2 4 2 2" xfId="5510" xr:uid="{00000000-0005-0000-0000-0000AE190000}"/>
    <cellStyle name="Normal 46 2 4 3" xfId="5511" xr:uid="{00000000-0005-0000-0000-0000AF190000}"/>
    <cellStyle name="Normal 46 2 5" xfId="5512" xr:uid="{00000000-0005-0000-0000-0000B0190000}"/>
    <cellStyle name="Normal 46 2 5 2" xfId="5513" xr:uid="{00000000-0005-0000-0000-0000B1190000}"/>
    <cellStyle name="Normal 46 2 6" xfId="5514" xr:uid="{00000000-0005-0000-0000-0000B2190000}"/>
    <cellStyle name="Normal 46 3" xfId="5515" xr:uid="{00000000-0005-0000-0000-0000B3190000}"/>
    <cellStyle name="Normal 46 3 2" xfId="5516" xr:uid="{00000000-0005-0000-0000-0000B4190000}"/>
    <cellStyle name="Normal 46 3 2 2" xfId="5517" xr:uid="{00000000-0005-0000-0000-0000B5190000}"/>
    <cellStyle name="Normal 46 3 2 2 2" xfId="5518" xr:uid="{00000000-0005-0000-0000-0000B6190000}"/>
    <cellStyle name="Normal 46 3 2 2 2 2" xfId="5519" xr:uid="{00000000-0005-0000-0000-0000B7190000}"/>
    <cellStyle name="Normal 46 3 2 2 3" xfId="5520" xr:uid="{00000000-0005-0000-0000-0000B8190000}"/>
    <cellStyle name="Normal 46 3 2 3" xfId="5521" xr:uid="{00000000-0005-0000-0000-0000B9190000}"/>
    <cellStyle name="Normal 46 3 2 3 2" xfId="5522" xr:uid="{00000000-0005-0000-0000-0000BA190000}"/>
    <cellStyle name="Normal 46 3 2 4" xfId="5523" xr:uid="{00000000-0005-0000-0000-0000BB190000}"/>
    <cellStyle name="Normal 46 3 3" xfId="5524" xr:uid="{00000000-0005-0000-0000-0000BC190000}"/>
    <cellStyle name="Normal 46 3 3 2" xfId="5525" xr:uid="{00000000-0005-0000-0000-0000BD190000}"/>
    <cellStyle name="Normal 46 3 3 2 2" xfId="5526" xr:uid="{00000000-0005-0000-0000-0000BE190000}"/>
    <cellStyle name="Normal 46 3 3 3" xfId="5527" xr:uid="{00000000-0005-0000-0000-0000BF190000}"/>
    <cellStyle name="Normal 46 3 4" xfId="5528" xr:uid="{00000000-0005-0000-0000-0000C0190000}"/>
    <cellStyle name="Normal 46 3 4 2" xfId="5529" xr:uid="{00000000-0005-0000-0000-0000C1190000}"/>
    <cellStyle name="Normal 46 3 4 2 2" xfId="5530" xr:uid="{00000000-0005-0000-0000-0000C2190000}"/>
    <cellStyle name="Normal 46 3 4 3" xfId="5531" xr:uid="{00000000-0005-0000-0000-0000C3190000}"/>
    <cellStyle name="Normal 46 3 5" xfId="5532" xr:uid="{00000000-0005-0000-0000-0000C4190000}"/>
    <cellStyle name="Normal 46 3 5 2" xfId="5533" xr:uid="{00000000-0005-0000-0000-0000C5190000}"/>
    <cellStyle name="Normal 46 3 6" xfId="5534" xr:uid="{00000000-0005-0000-0000-0000C6190000}"/>
    <cellStyle name="Normal 46 4" xfId="5535" xr:uid="{00000000-0005-0000-0000-0000C7190000}"/>
    <cellStyle name="Normal 46 4 2" xfId="5536" xr:uid="{00000000-0005-0000-0000-0000C8190000}"/>
    <cellStyle name="Normal 46 4 2 2" xfId="5537" xr:uid="{00000000-0005-0000-0000-0000C9190000}"/>
    <cellStyle name="Normal 46 4 2 2 2" xfId="5538" xr:uid="{00000000-0005-0000-0000-0000CA190000}"/>
    <cellStyle name="Normal 46 4 2 2 2 2" xfId="5539" xr:uid="{00000000-0005-0000-0000-0000CB190000}"/>
    <cellStyle name="Normal 46 4 2 2 3" xfId="5540" xr:uid="{00000000-0005-0000-0000-0000CC190000}"/>
    <cellStyle name="Normal 46 4 2 3" xfId="5541" xr:uid="{00000000-0005-0000-0000-0000CD190000}"/>
    <cellStyle name="Normal 46 4 2 3 2" xfId="5542" xr:uid="{00000000-0005-0000-0000-0000CE190000}"/>
    <cellStyle name="Normal 46 4 2 4" xfId="5543" xr:uid="{00000000-0005-0000-0000-0000CF190000}"/>
    <cellStyle name="Normal 46 4 3" xfId="5544" xr:uid="{00000000-0005-0000-0000-0000D0190000}"/>
    <cellStyle name="Normal 46 4 3 2" xfId="5545" xr:uid="{00000000-0005-0000-0000-0000D1190000}"/>
    <cellStyle name="Normal 46 4 3 2 2" xfId="5546" xr:uid="{00000000-0005-0000-0000-0000D2190000}"/>
    <cellStyle name="Normal 46 4 3 3" xfId="5547" xr:uid="{00000000-0005-0000-0000-0000D3190000}"/>
    <cellStyle name="Normal 46 4 4" xfId="5548" xr:uid="{00000000-0005-0000-0000-0000D4190000}"/>
    <cellStyle name="Normal 46 4 4 2" xfId="5549" xr:uid="{00000000-0005-0000-0000-0000D5190000}"/>
    <cellStyle name="Normal 46 4 4 2 2" xfId="5550" xr:uid="{00000000-0005-0000-0000-0000D6190000}"/>
    <cellStyle name="Normal 46 4 4 3" xfId="5551" xr:uid="{00000000-0005-0000-0000-0000D7190000}"/>
    <cellStyle name="Normal 46 4 5" xfId="5552" xr:uid="{00000000-0005-0000-0000-0000D8190000}"/>
    <cellStyle name="Normal 46 4 5 2" xfId="5553" xr:uid="{00000000-0005-0000-0000-0000D9190000}"/>
    <cellStyle name="Normal 46 4 6" xfId="5554" xr:uid="{00000000-0005-0000-0000-0000DA190000}"/>
    <cellStyle name="Normal 46 5" xfId="5555" xr:uid="{00000000-0005-0000-0000-0000DB190000}"/>
    <cellStyle name="Normal 46 5 2" xfId="5556" xr:uid="{00000000-0005-0000-0000-0000DC190000}"/>
    <cellStyle name="Normal 46 5 2 2" xfId="5557" xr:uid="{00000000-0005-0000-0000-0000DD190000}"/>
    <cellStyle name="Normal 46 5 2 2 2" xfId="5558" xr:uid="{00000000-0005-0000-0000-0000DE190000}"/>
    <cellStyle name="Normal 46 5 2 3" xfId="5559" xr:uid="{00000000-0005-0000-0000-0000DF190000}"/>
    <cellStyle name="Normal 46 5 3" xfId="5560" xr:uid="{00000000-0005-0000-0000-0000E0190000}"/>
    <cellStyle name="Normal 46 5 3 2" xfId="5561" xr:uid="{00000000-0005-0000-0000-0000E1190000}"/>
    <cellStyle name="Normal 46 5 4" xfId="5562" xr:uid="{00000000-0005-0000-0000-0000E2190000}"/>
    <cellStyle name="Normal 46 6" xfId="5563" xr:uid="{00000000-0005-0000-0000-0000E3190000}"/>
    <cellStyle name="Normal 46 6 2" xfId="5564" xr:uid="{00000000-0005-0000-0000-0000E4190000}"/>
    <cellStyle name="Normal 46 6 2 2" xfId="5565" xr:uid="{00000000-0005-0000-0000-0000E5190000}"/>
    <cellStyle name="Normal 46 6 3" xfId="5566" xr:uid="{00000000-0005-0000-0000-0000E6190000}"/>
    <cellStyle name="Normal 46 7" xfId="5567" xr:uid="{00000000-0005-0000-0000-0000E7190000}"/>
    <cellStyle name="Normal 46 7 2" xfId="5568" xr:uid="{00000000-0005-0000-0000-0000E8190000}"/>
    <cellStyle name="Normal 46 7 2 2" xfId="5569" xr:uid="{00000000-0005-0000-0000-0000E9190000}"/>
    <cellStyle name="Normal 46 7 3" xfId="5570" xr:uid="{00000000-0005-0000-0000-0000EA190000}"/>
    <cellStyle name="Normal 46 8" xfId="5571" xr:uid="{00000000-0005-0000-0000-0000EB190000}"/>
    <cellStyle name="Normal 46 8 2" xfId="5572" xr:uid="{00000000-0005-0000-0000-0000EC190000}"/>
    <cellStyle name="Normal 46 9" xfId="5573" xr:uid="{00000000-0005-0000-0000-0000ED190000}"/>
    <cellStyle name="Normal 47" xfId="5574" xr:uid="{00000000-0005-0000-0000-0000EE190000}"/>
    <cellStyle name="Normal 47 10" xfId="5575" xr:uid="{00000000-0005-0000-0000-0000EF190000}"/>
    <cellStyle name="Normal 47 2" xfId="5576" xr:uid="{00000000-0005-0000-0000-0000F0190000}"/>
    <cellStyle name="Normal 47 2 2" xfId="5577" xr:uid="{00000000-0005-0000-0000-0000F1190000}"/>
    <cellStyle name="Normal 47 2 2 2" xfId="5578" xr:uid="{00000000-0005-0000-0000-0000F2190000}"/>
    <cellStyle name="Normal 47 2 2 2 2" xfId="5579" xr:uid="{00000000-0005-0000-0000-0000F3190000}"/>
    <cellStyle name="Normal 47 2 2 2 2 2" xfId="5580" xr:uid="{00000000-0005-0000-0000-0000F4190000}"/>
    <cellStyle name="Normal 47 2 2 2 3" xfId="5581" xr:uid="{00000000-0005-0000-0000-0000F5190000}"/>
    <cellStyle name="Normal 47 2 2 3" xfId="5582" xr:uid="{00000000-0005-0000-0000-0000F6190000}"/>
    <cellStyle name="Normal 47 2 2 3 2" xfId="5583" xr:uid="{00000000-0005-0000-0000-0000F7190000}"/>
    <cellStyle name="Normal 47 2 2 4" xfId="5584" xr:uid="{00000000-0005-0000-0000-0000F8190000}"/>
    <cellStyle name="Normal 47 2 3" xfId="5585" xr:uid="{00000000-0005-0000-0000-0000F9190000}"/>
    <cellStyle name="Normal 47 2 3 2" xfId="5586" xr:uid="{00000000-0005-0000-0000-0000FA190000}"/>
    <cellStyle name="Normal 47 2 3 2 2" xfId="5587" xr:uid="{00000000-0005-0000-0000-0000FB190000}"/>
    <cellStyle name="Normal 47 2 3 3" xfId="5588" xr:uid="{00000000-0005-0000-0000-0000FC190000}"/>
    <cellStyle name="Normal 47 2 4" xfId="5589" xr:uid="{00000000-0005-0000-0000-0000FD190000}"/>
    <cellStyle name="Normal 47 2 4 2" xfId="5590" xr:uid="{00000000-0005-0000-0000-0000FE190000}"/>
    <cellStyle name="Normal 47 2 4 2 2" xfId="5591" xr:uid="{00000000-0005-0000-0000-0000FF190000}"/>
    <cellStyle name="Normal 47 2 4 3" xfId="5592" xr:uid="{00000000-0005-0000-0000-0000001A0000}"/>
    <cellStyle name="Normal 47 2 5" xfId="5593" xr:uid="{00000000-0005-0000-0000-0000011A0000}"/>
    <cellStyle name="Normal 47 2 5 2" xfId="5594" xr:uid="{00000000-0005-0000-0000-0000021A0000}"/>
    <cellStyle name="Normal 47 2 6" xfId="5595" xr:uid="{00000000-0005-0000-0000-0000031A0000}"/>
    <cellStyle name="Normal 47 3" xfId="5596" xr:uid="{00000000-0005-0000-0000-0000041A0000}"/>
    <cellStyle name="Normal 47 3 2" xfId="5597" xr:uid="{00000000-0005-0000-0000-0000051A0000}"/>
    <cellStyle name="Normal 47 3 2 2" xfId="5598" xr:uid="{00000000-0005-0000-0000-0000061A0000}"/>
    <cellStyle name="Normal 47 3 2 2 2" xfId="5599" xr:uid="{00000000-0005-0000-0000-0000071A0000}"/>
    <cellStyle name="Normal 47 3 2 2 2 2" xfId="5600" xr:uid="{00000000-0005-0000-0000-0000081A0000}"/>
    <cellStyle name="Normal 47 3 2 2 3" xfId="5601" xr:uid="{00000000-0005-0000-0000-0000091A0000}"/>
    <cellStyle name="Normal 47 3 2 3" xfId="5602" xr:uid="{00000000-0005-0000-0000-00000A1A0000}"/>
    <cellStyle name="Normal 47 3 2 3 2" xfId="5603" xr:uid="{00000000-0005-0000-0000-00000B1A0000}"/>
    <cellStyle name="Normal 47 3 2 4" xfId="5604" xr:uid="{00000000-0005-0000-0000-00000C1A0000}"/>
    <cellStyle name="Normal 47 3 3" xfId="5605" xr:uid="{00000000-0005-0000-0000-00000D1A0000}"/>
    <cellStyle name="Normal 47 3 3 2" xfId="5606" xr:uid="{00000000-0005-0000-0000-00000E1A0000}"/>
    <cellStyle name="Normal 47 3 3 2 2" xfId="5607" xr:uid="{00000000-0005-0000-0000-00000F1A0000}"/>
    <cellStyle name="Normal 47 3 3 3" xfId="5608" xr:uid="{00000000-0005-0000-0000-0000101A0000}"/>
    <cellStyle name="Normal 47 3 4" xfId="5609" xr:uid="{00000000-0005-0000-0000-0000111A0000}"/>
    <cellStyle name="Normal 47 3 4 2" xfId="5610" xr:uid="{00000000-0005-0000-0000-0000121A0000}"/>
    <cellStyle name="Normal 47 3 4 2 2" xfId="5611" xr:uid="{00000000-0005-0000-0000-0000131A0000}"/>
    <cellStyle name="Normal 47 3 4 3" xfId="5612" xr:uid="{00000000-0005-0000-0000-0000141A0000}"/>
    <cellStyle name="Normal 47 3 5" xfId="5613" xr:uid="{00000000-0005-0000-0000-0000151A0000}"/>
    <cellStyle name="Normal 47 3 5 2" xfId="5614" xr:uid="{00000000-0005-0000-0000-0000161A0000}"/>
    <cellStyle name="Normal 47 3 6" xfId="5615" xr:uid="{00000000-0005-0000-0000-0000171A0000}"/>
    <cellStyle name="Normal 47 4" xfId="5616" xr:uid="{00000000-0005-0000-0000-0000181A0000}"/>
    <cellStyle name="Normal 47 4 2" xfId="5617" xr:uid="{00000000-0005-0000-0000-0000191A0000}"/>
    <cellStyle name="Normal 47 4 2 2" xfId="5618" xr:uid="{00000000-0005-0000-0000-00001A1A0000}"/>
    <cellStyle name="Normal 47 4 2 2 2" xfId="5619" xr:uid="{00000000-0005-0000-0000-00001B1A0000}"/>
    <cellStyle name="Normal 47 4 2 2 2 2" xfId="5620" xr:uid="{00000000-0005-0000-0000-00001C1A0000}"/>
    <cellStyle name="Normal 47 4 2 2 3" xfId="5621" xr:uid="{00000000-0005-0000-0000-00001D1A0000}"/>
    <cellStyle name="Normal 47 4 2 3" xfId="5622" xr:uid="{00000000-0005-0000-0000-00001E1A0000}"/>
    <cellStyle name="Normal 47 4 2 3 2" xfId="5623" xr:uid="{00000000-0005-0000-0000-00001F1A0000}"/>
    <cellStyle name="Normal 47 4 2 4" xfId="5624" xr:uid="{00000000-0005-0000-0000-0000201A0000}"/>
    <cellStyle name="Normal 47 4 3" xfId="5625" xr:uid="{00000000-0005-0000-0000-0000211A0000}"/>
    <cellStyle name="Normal 47 4 3 2" xfId="5626" xr:uid="{00000000-0005-0000-0000-0000221A0000}"/>
    <cellStyle name="Normal 47 4 3 2 2" xfId="5627" xr:uid="{00000000-0005-0000-0000-0000231A0000}"/>
    <cellStyle name="Normal 47 4 3 3" xfId="5628" xr:uid="{00000000-0005-0000-0000-0000241A0000}"/>
    <cellStyle name="Normal 47 4 4" xfId="5629" xr:uid="{00000000-0005-0000-0000-0000251A0000}"/>
    <cellStyle name="Normal 47 4 4 2" xfId="5630" xr:uid="{00000000-0005-0000-0000-0000261A0000}"/>
    <cellStyle name="Normal 47 4 4 2 2" xfId="5631" xr:uid="{00000000-0005-0000-0000-0000271A0000}"/>
    <cellStyle name="Normal 47 4 4 3" xfId="5632" xr:uid="{00000000-0005-0000-0000-0000281A0000}"/>
    <cellStyle name="Normal 47 4 5" xfId="5633" xr:uid="{00000000-0005-0000-0000-0000291A0000}"/>
    <cellStyle name="Normal 47 4 5 2" xfId="5634" xr:uid="{00000000-0005-0000-0000-00002A1A0000}"/>
    <cellStyle name="Normal 47 4 6" xfId="5635" xr:uid="{00000000-0005-0000-0000-00002B1A0000}"/>
    <cellStyle name="Normal 47 5" xfId="5636" xr:uid="{00000000-0005-0000-0000-00002C1A0000}"/>
    <cellStyle name="Normal 47 5 2" xfId="5637" xr:uid="{00000000-0005-0000-0000-00002D1A0000}"/>
    <cellStyle name="Normal 47 5 2 2" xfId="5638" xr:uid="{00000000-0005-0000-0000-00002E1A0000}"/>
    <cellStyle name="Normal 47 5 2 2 2" xfId="5639" xr:uid="{00000000-0005-0000-0000-00002F1A0000}"/>
    <cellStyle name="Normal 47 5 2 3" xfId="5640" xr:uid="{00000000-0005-0000-0000-0000301A0000}"/>
    <cellStyle name="Normal 47 5 3" xfId="5641" xr:uid="{00000000-0005-0000-0000-0000311A0000}"/>
    <cellStyle name="Normal 47 5 3 2" xfId="5642" xr:uid="{00000000-0005-0000-0000-0000321A0000}"/>
    <cellStyle name="Normal 47 5 4" xfId="5643" xr:uid="{00000000-0005-0000-0000-0000331A0000}"/>
    <cellStyle name="Normal 47 6" xfId="5644" xr:uid="{00000000-0005-0000-0000-0000341A0000}"/>
    <cellStyle name="Normal 47 6 2" xfId="5645" xr:uid="{00000000-0005-0000-0000-0000351A0000}"/>
    <cellStyle name="Normal 47 6 2 2" xfId="5646" xr:uid="{00000000-0005-0000-0000-0000361A0000}"/>
    <cellStyle name="Normal 47 6 3" xfId="5647" xr:uid="{00000000-0005-0000-0000-0000371A0000}"/>
    <cellStyle name="Normal 47 7" xfId="5648" xr:uid="{00000000-0005-0000-0000-0000381A0000}"/>
    <cellStyle name="Normal 47 7 2" xfId="5649" xr:uid="{00000000-0005-0000-0000-0000391A0000}"/>
    <cellStyle name="Normal 47 7 2 2" xfId="5650" xr:uid="{00000000-0005-0000-0000-00003A1A0000}"/>
    <cellStyle name="Normal 47 7 3" xfId="5651" xr:uid="{00000000-0005-0000-0000-00003B1A0000}"/>
    <cellStyle name="Normal 47 8" xfId="5652" xr:uid="{00000000-0005-0000-0000-00003C1A0000}"/>
    <cellStyle name="Normal 47 8 2" xfId="5653" xr:uid="{00000000-0005-0000-0000-00003D1A0000}"/>
    <cellStyle name="Normal 47 9" xfId="5654" xr:uid="{00000000-0005-0000-0000-00003E1A0000}"/>
    <cellStyle name="Normal 48" xfId="5655" xr:uid="{00000000-0005-0000-0000-00003F1A0000}"/>
    <cellStyle name="Normal 48 10" xfId="5656" xr:uid="{00000000-0005-0000-0000-0000401A0000}"/>
    <cellStyle name="Normal 48 2" xfId="5657" xr:uid="{00000000-0005-0000-0000-0000411A0000}"/>
    <cellStyle name="Normal 48 2 2" xfId="5658" xr:uid="{00000000-0005-0000-0000-0000421A0000}"/>
    <cellStyle name="Normal 48 2 2 2" xfId="5659" xr:uid="{00000000-0005-0000-0000-0000431A0000}"/>
    <cellStyle name="Normal 48 2 2 2 2" xfId="5660" xr:uid="{00000000-0005-0000-0000-0000441A0000}"/>
    <cellStyle name="Normal 48 2 2 2 2 2" xfId="5661" xr:uid="{00000000-0005-0000-0000-0000451A0000}"/>
    <cellStyle name="Normal 48 2 2 2 3" xfId="5662" xr:uid="{00000000-0005-0000-0000-0000461A0000}"/>
    <cellStyle name="Normal 48 2 2 3" xfId="5663" xr:uid="{00000000-0005-0000-0000-0000471A0000}"/>
    <cellStyle name="Normal 48 2 2 3 2" xfId="5664" xr:uid="{00000000-0005-0000-0000-0000481A0000}"/>
    <cellStyle name="Normal 48 2 2 4" xfId="5665" xr:uid="{00000000-0005-0000-0000-0000491A0000}"/>
    <cellStyle name="Normal 48 2 3" xfId="5666" xr:uid="{00000000-0005-0000-0000-00004A1A0000}"/>
    <cellStyle name="Normal 48 2 3 2" xfId="5667" xr:uid="{00000000-0005-0000-0000-00004B1A0000}"/>
    <cellStyle name="Normal 48 2 3 2 2" xfId="5668" xr:uid="{00000000-0005-0000-0000-00004C1A0000}"/>
    <cellStyle name="Normal 48 2 3 3" xfId="5669" xr:uid="{00000000-0005-0000-0000-00004D1A0000}"/>
    <cellStyle name="Normal 48 2 4" xfId="5670" xr:uid="{00000000-0005-0000-0000-00004E1A0000}"/>
    <cellStyle name="Normal 48 2 4 2" xfId="5671" xr:uid="{00000000-0005-0000-0000-00004F1A0000}"/>
    <cellStyle name="Normal 48 2 4 2 2" xfId="5672" xr:uid="{00000000-0005-0000-0000-0000501A0000}"/>
    <cellStyle name="Normal 48 2 4 3" xfId="5673" xr:uid="{00000000-0005-0000-0000-0000511A0000}"/>
    <cellStyle name="Normal 48 2 5" xfId="5674" xr:uid="{00000000-0005-0000-0000-0000521A0000}"/>
    <cellStyle name="Normal 48 2 5 2" xfId="5675" xr:uid="{00000000-0005-0000-0000-0000531A0000}"/>
    <cellStyle name="Normal 48 2 6" xfId="5676" xr:uid="{00000000-0005-0000-0000-0000541A0000}"/>
    <cellStyle name="Normal 48 3" xfId="5677" xr:uid="{00000000-0005-0000-0000-0000551A0000}"/>
    <cellStyle name="Normal 48 3 2" xfId="5678" xr:uid="{00000000-0005-0000-0000-0000561A0000}"/>
    <cellStyle name="Normal 48 3 2 2" xfId="5679" xr:uid="{00000000-0005-0000-0000-0000571A0000}"/>
    <cellStyle name="Normal 48 3 2 2 2" xfId="5680" xr:uid="{00000000-0005-0000-0000-0000581A0000}"/>
    <cellStyle name="Normal 48 3 2 2 2 2" xfId="5681" xr:uid="{00000000-0005-0000-0000-0000591A0000}"/>
    <cellStyle name="Normal 48 3 2 2 3" xfId="5682" xr:uid="{00000000-0005-0000-0000-00005A1A0000}"/>
    <cellStyle name="Normal 48 3 2 3" xfId="5683" xr:uid="{00000000-0005-0000-0000-00005B1A0000}"/>
    <cellStyle name="Normal 48 3 2 3 2" xfId="5684" xr:uid="{00000000-0005-0000-0000-00005C1A0000}"/>
    <cellStyle name="Normal 48 3 2 4" xfId="5685" xr:uid="{00000000-0005-0000-0000-00005D1A0000}"/>
    <cellStyle name="Normal 48 3 3" xfId="5686" xr:uid="{00000000-0005-0000-0000-00005E1A0000}"/>
    <cellStyle name="Normal 48 3 3 2" xfId="5687" xr:uid="{00000000-0005-0000-0000-00005F1A0000}"/>
    <cellStyle name="Normal 48 3 3 2 2" xfId="5688" xr:uid="{00000000-0005-0000-0000-0000601A0000}"/>
    <cellStyle name="Normal 48 3 3 3" xfId="5689" xr:uid="{00000000-0005-0000-0000-0000611A0000}"/>
    <cellStyle name="Normal 48 3 4" xfId="5690" xr:uid="{00000000-0005-0000-0000-0000621A0000}"/>
    <cellStyle name="Normal 48 3 4 2" xfId="5691" xr:uid="{00000000-0005-0000-0000-0000631A0000}"/>
    <cellStyle name="Normal 48 3 4 2 2" xfId="5692" xr:uid="{00000000-0005-0000-0000-0000641A0000}"/>
    <cellStyle name="Normal 48 3 4 3" xfId="5693" xr:uid="{00000000-0005-0000-0000-0000651A0000}"/>
    <cellStyle name="Normal 48 3 5" xfId="5694" xr:uid="{00000000-0005-0000-0000-0000661A0000}"/>
    <cellStyle name="Normal 48 3 5 2" xfId="5695" xr:uid="{00000000-0005-0000-0000-0000671A0000}"/>
    <cellStyle name="Normal 48 3 6" xfId="5696" xr:uid="{00000000-0005-0000-0000-0000681A0000}"/>
    <cellStyle name="Normal 48 4" xfId="5697" xr:uid="{00000000-0005-0000-0000-0000691A0000}"/>
    <cellStyle name="Normal 48 4 2" xfId="5698" xr:uid="{00000000-0005-0000-0000-00006A1A0000}"/>
    <cellStyle name="Normal 48 4 2 2" xfId="5699" xr:uid="{00000000-0005-0000-0000-00006B1A0000}"/>
    <cellStyle name="Normal 48 4 2 2 2" xfId="5700" xr:uid="{00000000-0005-0000-0000-00006C1A0000}"/>
    <cellStyle name="Normal 48 4 2 2 2 2" xfId="5701" xr:uid="{00000000-0005-0000-0000-00006D1A0000}"/>
    <cellStyle name="Normal 48 4 2 2 3" xfId="5702" xr:uid="{00000000-0005-0000-0000-00006E1A0000}"/>
    <cellStyle name="Normal 48 4 2 3" xfId="5703" xr:uid="{00000000-0005-0000-0000-00006F1A0000}"/>
    <cellStyle name="Normal 48 4 2 3 2" xfId="5704" xr:uid="{00000000-0005-0000-0000-0000701A0000}"/>
    <cellStyle name="Normal 48 4 2 4" xfId="5705" xr:uid="{00000000-0005-0000-0000-0000711A0000}"/>
    <cellStyle name="Normal 48 4 3" xfId="5706" xr:uid="{00000000-0005-0000-0000-0000721A0000}"/>
    <cellStyle name="Normal 48 4 3 2" xfId="5707" xr:uid="{00000000-0005-0000-0000-0000731A0000}"/>
    <cellStyle name="Normal 48 4 3 2 2" xfId="5708" xr:uid="{00000000-0005-0000-0000-0000741A0000}"/>
    <cellStyle name="Normal 48 4 3 3" xfId="5709" xr:uid="{00000000-0005-0000-0000-0000751A0000}"/>
    <cellStyle name="Normal 48 4 4" xfId="5710" xr:uid="{00000000-0005-0000-0000-0000761A0000}"/>
    <cellStyle name="Normal 48 4 4 2" xfId="5711" xr:uid="{00000000-0005-0000-0000-0000771A0000}"/>
    <cellStyle name="Normal 48 4 4 2 2" xfId="5712" xr:uid="{00000000-0005-0000-0000-0000781A0000}"/>
    <cellStyle name="Normal 48 4 4 3" xfId="5713" xr:uid="{00000000-0005-0000-0000-0000791A0000}"/>
    <cellStyle name="Normal 48 4 5" xfId="5714" xr:uid="{00000000-0005-0000-0000-00007A1A0000}"/>
    <cellStyle name="Normal 48 4 5 2" xfId="5715" xr:uid="{00000000-0005-0000-0000-00007B1A0000}"/>
    <cellStyle name="Normal 48 4 6" xfId="5716" xr:uid="{00000000-0005-0000-0000-00007C1A0000}"/>
    <cellStyle name="Normal 48 5" xfId="5717" xr:uid="{00000000-0005-0000-0000-00007D1A0000}"/>
    <cellStyle name="Normal 48 5 2" xfId="5718" xr:uid="{00000000-0005-0000-0000-00007E1A0000}"/>
    <cellStyle name="Normal 48 5 2 2" xfId="5719" xr:uid="{00000000-0005-0000-0000-00007F1A0000}"/>
    <cellStyle name="Normal 48 5 2 2 2" xfId="5720" xr:uid="{00000000-0005-0000-0000-0000801A0000}"/>
    <cellStyle name="Normal 48 5 2 3" xfId="5721" xr:uid="{00000000-0005-0000-0000-0000811A0000}"/>
    <cellStyle name="Normal 48 5 3" xfId="5722" xr:uid="{00000000-0005-0000-0000-0000821A0000}"/>
    <cellStyle name="Normal 48 5 3 2" xfId="5723" xr:uid="{00000000-0005-0000-0000-0000831A0000}"/>
    <cellStyle name="Normal 48 5 4" xfId="5724" xr:uid="{00000000-0005-0000-0000-0000841A0000}"/>
    <cellStyle name="Normal 48 6" xfId="5725" xr:uid="{00000000-0005-0000-0000-0000851A0000}"/>
    <cellStyle name="Normal 48 6 2" xfId="5726" xr:uid="{00000000-0005-0000-0000-0000861A0000}"/>
    <cellStyle name="Normal 48 6 2 2" xfId="5727" xr:uid="{00000000-0005-0000-0000-0000871A0000}"/>
    <cellStyle name="Normal 48 6 3" xfId="5728" xr:uid="{00000000-0005-0000-0000-0000881A0000}"/>
    <cellStyle name="Normal 48 7" xfId="5729" xr:uid="{00000000-0005-0000-0000-0000891A0000}"/>
    <cellStyle name="Normal 48 7 2" xfId="5730" xr:uid="{00000000-0005-0000-0000-00008A1A0000}"/>
    <cellStyle name="Normal 48 7 2 2" xfId="5731" xr:uid="{00000000-0005-0000-0000-00008B1A0000}"/>
    <cellStyle name="Normal 48 7 3" xfId="5732" xr:uid="{00000000-0005-0000-0000-00008C1A0000}"/>
    <cellStyle name="Normal 48 8" xfId="5733" xr:uid="{00000000-0005-0000-0000-00008D1A0000}"/>
    <cellStyle name="Normal 48 8 2" xfId="5734" xr:uid="{00000000-0005-0000-0000-00008E1A0000}"/>
    <cellStyle name="Normal 48 9" xfId="5735" xr:uid="{00000000-0005-0000-0000-00008F1A0000}"/>
    <cellStyle name="Normal 49" xfId="5736" xr:uid="{00000000-0005-0000-0000-0000901A0000}"/>
    <cellStyle name="Normal 49 10" xfId="5737" xr:uid="{00000000-0005-0000-0000-0000911A0000}"/>
    <cellStyle name="Normal 49 2" xfId="5738" xr:uid="{00000000-0005-0000-0000-0000921A0000}"/>
    <cellStyle name="Normal 49 2 2" xfId="5739" xr:uid="{00000000-0005-0000-0000-0000931A0000}"/>
    <cellStyle name="Normal 49 2 2 2" xfId="5740" xr:uid="{00000000-0005-0000-0000-0000941A0000}"/>
    <cellStyle name="Normal 49 2 2 2 2" xfId="5741" xr:uid="{00000000-0005-0000-0000-0000951A0000}"/>
    <cellStyle name="Normal 49 2 2 2 2 2" xfId="5742" xr:uid="{00000000-0005-0000-0000-0000961A0000}"/>
    <cellStyle name="Normal 49 2 2 2 3" xfId="5743" xr:uid="{00000000-0005-0000-0000-0000971A0000}"/>
    <cellStyle name="Normal 49 2 2 3" xfId="5744" xr:uid="{00000000-0005-0000-0000-0000981A0000}"/>
    <cellStyle name="Normal 49 2 2 3 2" xfId="5745" xr:uid="{00000000-0005-0000-0000-0000991A0000}"/>
    <cellStyle name="Normal 49 2 2 4" xfId="5746" xr:uid="{00000000-0005-0000-0000-00009A1A0000}"/>
    <cellStyle name="Normal 49 2 3" xfId="5747" xr:uid="{00000000-0005-0000-0000-00009B1A0000}"/>
    <cellStyle name="Normal 49 2 3 2" xfId="5748" xr:uid="{00000000-0005-0000-0000-00009C1A0000}"/>
    <cellStyle name="Normal 49 2 3 2 2" xfId="5749" xr:uid="{00000000-0005-0000-0000-00009D1A0000}"/>
    <cellStyle name="Normal 49 2 3 3" xfId="5750" xr:uid="{00000000-0005-0000-0000-00009E1A0000}"/>
    <cellStyle name="Normal 49 2 4" xfId="5751" xr:uid="{00000000-0005-0000-0000-00009F1A0000}"/>
    <cellStyle name="Normal 49 2 4 2" xfId="5752" xr:uid="{00000000-0005-0000-0000-0000A01A0000}"/>
    <cellStyle name="Normal 49 2 4 2 2" xfId="5753" xr:uid="{00000000-0005-0000-0000-0000A11A0000}"/>
    <cellStyle name="Normal 49 2 4 3" xfId="5754" xr:uid="{00000000-0005-0000-0000-0000A21A0000}"/>
    <cellStyle name="Normal 49 2 5" xfId="5755" xr:uid="{00000000-0005-0000-0000-0000A31A0000}"/>
    <cellStyle name="Normal 49 2 5 2" xfId="5756" xr:uid="{00000000-0005-0000-0000-0000A41A0000}"/>
    <cellStyle name="Normal 49 2 6" xfId="5757" xr:uid="{00000000-0005-0000-0000-0000A51A0000}"/>
    <cellStyle name="Normal 49 3" xfId="5758" xr:uid="{00000000-0005-0000-0000-0000A61A0000}"/>
    <cellStyle name="Normal 49 3 2" xfId="5759" xr:uid="{00000000-0005-0000-0000-0000A71A0000}"/>
    <cellStyle name="Normal 49 3 2 2" xfId="5760" xr:uid="{00000000-0005-0000-0000-0000A81A0000}"/>
    <cellStyle name="Normal 49 3 2 2 2" xfId="5761" xr:uid="{00000000-0005-0000-0000-0000A91A0000}"/>
    <cellStyle name="Normal 49 3 2 2 2 2" xfId="5762" xr:uid="{00000000-0005-0000-0000-0000AA1A0000}"/>
    <cellStyle name="Normal 49 3 2 2 3" xfId="5763" xr:uid="{00000000-0005-0000-0000-0000AB1A0000}"/>
    <cellStyle name="Normal 49 3 2 3" xfId="5764" xr:uid="{00000000-0005-0000-0000-0000AC1A0000}"/>
    <cellStyle name="Normal 49 3 2 3 2" xfId="5765" xr:uid="{00000000-0005-0000-0000-0000AD1A0000}"/>
    <cellStyle name="Normal 49 3 2 4" xfId="5766" xr:uid="{00000000-0005-0000-0000-0000AE1A0000}"/>
    <cellStyle name="Normal 49 3 3" xfId="5767" xr:uid="{00000000-0005-0000-0000-0000AF1A0000}"/>
    <cellStyle name="Normal 49 3 3 2" xfId="5768" xr:uid="{00000000-0005-0000-0000-0000B01A0000}"/>
    <cellStyle name="Normal 49 3 3 2 2" xfId="5769" xr:uid="{00000000-0005-0000-0000-0000B11A0000}"/>
    <cellStyle name="Normal 49 3 3 3" xfId="5770" xr:uid="{00000000-0005-0000-0000-0000B21A0000}"/>
    <cellStyle name="Normal 49 3 4" xfId="5771" xr:uid="{00000000-0005-0000-0000-0000B31A0000}"/>
    <cellStyle name="Normal 49 3 4 2" xfId="5772" xr:uid="{00000000-0005-0000-0000-0000B41A0000}"/>
    <cellStyle name="Normal 49 3 4 2 2" xfId="5773" xr:uid="{00000000-0005-0000-0000-0000B51A0000}"/>
    <cellStyle name="Normal 49 3 4 3" xfId="5774" xr:uid="{00000000-0005-0000-0000-0000B61A0000}"/>
    <cellStyle name="Normal 49 3 5" xfId="5775" xr:uid="{00000000-0005-0000-0000-0000B71A0000}"/>
    <cellStyle name="Normal 49 3 5 2" xfId="5776" xr:uid="{00000000-0005-0000-0000-0000B81A0000}"/>
    <cellStyle name="Normal 49 3 6" xfId="5777" xr:uid="{00000000-0005-0000-0000-0000B91A0000}"/>
    <cellStyle name="Normal 49 4" xfId="5778" xr:uid="{00000000-0005-0000-0000-0000BA1A0000}"/>
    <cellStyle name="Normal 49 4 2" xfId="5779" xr:uid="{00000000-0005-0000-0000-0000BB1A0000}"/>
    <cellStyle name="Normal 49 4 2 2" xfId="5780" xr:uid="{00000000-0005-0000-0000-0000BC1A0000}"/>
    <cellStyle name="Normal 49 4 2 2 2" xfId="5781" xr:uid="{00000000-0005-0000-0000-0000BD1A0000}"/>
    <cellStyle name="Normal 49 4 2 2 2 2" xfId="5782" xr:uid="{00000000-0005-0000-0000-0000BE1A0000}"/>
    <cellStyle name="Normal 49 4 2 2 3" xfId="5783" xr:uid="{00000000-0005-0000-0000-0000BF1A0000}"/>
    <cellStyle name="Normal 49 4 2 3" xfId="5784" xr:uid="{00000000-0005-0000-0000-0000C01A0000}"/>
    <cellStyle name="Normal 49 4 2 3 2" xfId="5785" xr:uid="{00000000-0005-0000-0000-0000C11A0000}"/>
    <cellStyle name="Normal 49 4 2 4" xfId="5786" xr:uid="{00000000-0005-0000-0000-0000C21A0000}"/>
    <cellStyle name="Normal 49 4 3" xfId="5787" xr:uid="{00000000-0005-0000-0000-0000C31A0000}"/>
    <cellStyle name="Normal 49 4 3 2" xfId="5788" xr:uid="{00000000-0005-0000-0000-0000C41A0000}"/>
    <cellStyle name="Normal 49 4 3 2 2" xfId="5789" xr:uid="{00000000-0005-0000-0000-0000C51A0000}"/>
    <cellStyle name="Normal 49 4 3 3" xfId="5790" xr:uid="{00000000-0005-0000-0000-0000C61A0000}"/>
    <cellStyle name="Normal 49 4 4" xfId="5791" xr:uid="{00000000-0005-0000-0000-0000C71A0000}"/>
    <cellStyle name="Normal 49 4 4 2" xfId="5792" xr:uid="{00000000-0005-0000-0000-0000C81A0000}"/>
    <cellStyle name="Normal 49 4 4 2 2" xfId="5793" xr:uid="{00000000-0005-0000-0000-0000C91A0000}"/>
    <cellStyle name="Normal 49 4 4 3" xfId="5794" xr:uid="{00000000-0005-0000-0000-0000CA1A0000}"/>
    <cellStyle name="Normal 49 4 5" xfId="5795" xr:uid="{00000000-0005-0000-0000-0000CB1A0000}"/>
    <cellStyle name="Normal 49 4 5 2" xfId="5796" xr:uid="{00000000-0005-0000-0000-0000CC1A0000}"/>
    <cellStyle name="Normal 49 4 6" xfId="5797" xr:uid="{00000000-0005-0000-0000-0000CD1A0000}"/>
    <cellStyle name="Normal 49 5" xfId="5798" xr:uid="{00000000-0005-0000-0000-0000CE1A0000}"/>
    <cellStyle name="Normal 49 5 2" xfId="5799" xr:uid="{00000000-0005-0000-0000-0000CF1A0000}"/>
    <cellStyle name="Normal 49 5 2 2" xfId="5800" xr:uid="{00000000-0005-0000-0000-0000D01A0000}"/>
    <cellStyle name="Normal 49 5 2 2 2" xfId="5801" xr:uid="{00000000-0005-0000-0000-0000D11A0000}"/>
    <cellStyle name="Normal 49 5 2 3" xfId="5802" xr:uid="{00000000-0005-0000-0000-0000D21A0000}"/>
    <cellStyle name="Normal 49 5 3" xfId="5803" xr:uid="{00000000-0005-0000-0000-0000D31A0000}"/>
    <cellStyle name="Normal 49 5 3 2" xfId="5804" xr:uid="{00000000-0005-0000-0000-0000D41A0000}"/>
    <cellStyle name="Normal 49 5 4" xfId="5805" xr:uid="{00000000-0005-0000-0000-0000D51A0000}"/>
    <cellStyle name="Normal 49 6" xfId="5806" xr:uid="{00000000-0005-0000-0000-0000D61A0000}"/>
    <cellStyle name="Normal 49 6 2" xfId="5807" xr:uid="{00000000-0005-0000-0000-0000D71A0000}"/>
    <cellStyle name="Normal 49 6 2 2" xfId="5808" xr:uid="{00000000-0005-0000-0000-0000D81A0000}"/>
    <cellStyle name="Normal 49 6 3" xfId="5809" xr:uid="{00000000-0005-0000-0000-0000D91A0000}"/>
    <cellStyle name="Normal 49 7" xfId="5810" xr:uid="{00000000-0005-0000-0000-0000DA1A0000}"/>
    <cellStyle name="Normal 49 7 2" xfId="5811" xr:uid="{00000000-0005-0000-0000-0000DB1A0000}"/>
    <cellStyle name="Normal 49 7 2 2" xfId="5812" xr:uid="{00000000-0005-0000-0000-0000DC1A0000}"/>
    <cellStyle name="Normal 49 7 3" xfId="5813" xr:uid="{00000000-0005-0000-0000-0000DD1A0000}"/>
    <cellStyle name="Normal 49 8" xfId="5814" xr:uid="{00000000-0005-0000-0000-0000DE1A0000}"/>
    <cellStyle name="Normal 49 8 2" xfId="5815" xr:uid="{00000000-0005-0000-0000-0000DF1A0000}"/>
    <cellStyle name="Normal 49 9" xfId="5816" xr:uid="{00000000-0005-0000-0000-0000E01A0000}"/>
    <cellStyle name="Normal 5" xfId="5" xr:uid="{00000000-0005-0000-0000-0000E11A0000}"/>
    <cellStyle name="Normal 5 10" xfId="5817" xr:uid="{00000000-0005-0000-0000-0000E21A0000}"/>
    <cellStyle name="Normal 5 2" xfId="5818" xr:uid="{00000000-0005-0000-0000-0000E31A0000}"/>
    <cellStyle name="Normal 5 2 2" xfId="5819" xr:uid="{00000000-0005-0000-0000-0000E41A0000}"/>
    <cellStyle name="Normal 5 2 2 2" xfId="5820" xr:uid="{00000000-0005-0000-0000-0000E51A0000}"/>
    <cellStyle name="Normal 5 2 2 2 2" xfId="5821" xr:uid="{00000000-0005-0000-0000-0000E61A0000}"/>
    <cellStyle name="Normal 5 2 2 2 2 2" xfId="5822" xr:uid="{00000000-0005-0000-0000-0000E71A0000}"/>
    <cellStyle name="Normal 5 2 2 2 2 2 2" xfId="5823" xr:uid="{00000000-0005-0000-0000-0000E81A0000}"/>
    <cellStyle name="Normal 5 2 2 2 2 2 2 2" xfId="10085" xr:uid="{00000000-0005-0000-0000-0000E91A0000}"/>
    <cellStyle name="Normal 5 2 2 2 2 2 3" xfId="10084" xr:uid="{00000000-0005-0000-0000-0000EA1A0000}"/>
    <cellStyle name="Normal 5 2 2 2 2 3" xfId="5824" xr:uid="{00000000-0005-0000-0000-0000EB1A0000}"/>
    <cellStyle name="Normal 5 2 2 2 2 3 2" xfId="10086" xr:uid="{00000000-0005-0000-0000-0000EC1A0000}"/>
    <cellStyle name="Normal 5 2 2 2 2 4" xfId="10083" xr:uid="{00000000-0005-0000-0000-0000ED1A0000}"/>
    <cellStyle name="Normal 5 2 2 2 3" xfId="5825" xr:uid="{00000000-0005-0000-0000-0000EE1A0000}"/>
    <cellStyle name="Normal 5 2 2 2 3 2" xfId="5826" xr:uid="{00000000-0005-0000-0000-0000EF1A0000}"/>
    <cellStyle name="Normal 5 2 2 2 3 2 2" xfId="5827" xr:uid="{00000000-0005-0000-0000-0000F01A0000}"/>
    <cellStyle name="Normal 5 2 2 2 3 2 2 2" xfId="10089" xr:uid="{00000000-0005-0000-0000-0000F11A0000}"/>
    <cellStyle name="Normal 5 2 2 2 3 2 3" xfId="10088" xr:uid="{00000000-0005-0000-0000-0000F21A0000}"/>
    <cellStyle name="Normal 5 2 2 2 3 3" xfId="5828" xr:uid="{00000000-0005-0000-0000-0000F31A0000}"/>
    <cellStyle name="Normal 5 2 2 2 3 3 2" xfId="10090" xr:uid="{00000000-0005-0000-0000-0000F41A0000}"/>
    <cellStyle name="Normal 5 2 2 2 3 4" xfId="10087" xr:uid="{00000000-0005-0000-0000-0000F51A0000}"/>
    <cellStyle name="Normal 5 2 2 2 4" xfId="5829" xr:uid="{00000000-0005-0000-0000-0000F61A0000}"/>
    <cellStyle name="Normal 5 2 2 2 4 2" xfId="5830" xr:uid="{00000000-0005-0000-0000-0000F71A0000}"/>
    <cellStyle name="Normal 5 2 2 2 4 2 2" xfId="10092" xr:uid="{00000000-0005-0000-0000-0000F81A0000}"/>
    <cellStyle name="Normal 5 2 2 2 4 3" xfId="10091" xr:uid="{00000000-0005-0000-0000-0000F91A0000}"/>
    <cellStyle name="Normal 5 2 2 2 5" xfId="5831" xr:uid="{00000000-0005-0000-0000-0000FA1A0000}"/>
    <cellStyle name="Normal 5 2 2 2 5 2" xfId="10093" xr:uid="{00000000-0005-0000-0000-0000FB1A0000}"/>
    <cellStyle name="Normal 5 2 2 2 6" xfId="10082" xr:uid="{00000000-0005-0000-0000-0000FC1A0000}"/>
    <cellStyle name="Normal 5 2 2 3" xfId="5832" xr:uid="{00000000-0005-0000-0000-0000FD1A0000}"/>
    <cellStyle name="Normal 5 2 2 3 2" xfId="5833" xr:uid="{00000000-0005-0000-0000-0000FE1A0000}"/>
    <cellStyle name="Normal 5 2 2 3 2 2" xfId="5834" xr:uid="{00000000-0005-0000-0000-0000FF1A0000}"/>
    <cellStyle name="Normal 5 2 2 3 2 2 2" xfId="5835" xr:uid="{00000000-0005-0000-0000-0000001B0000}"/>
    <cellStyle name="Normal 5 2 2 3 2 2 2 2" xfId="10097" xr:uid="{00000000-0005-0000-0000-0000011B0000}"/>
    <cellStyle name="Normal 5 2 2 3 2 2 3" xfId="10096" xr:uid="{00000000-0005-0000-0000-0000021B0000}"/>
    <cellStyle name="Normal 5 2 2 3 2 3" xfId="5836" xr:uid="{00000000-0005-0000-0000-0000031B0000}"/>
    <cellStyle name="Normal 5 2 2 3 2 3 2" xfId="10098" xr:uid="{00000000-0005-0000-0000-0000041B0000}"/>
    <cellStyle name="Normal 5 2 2 3 2 4" xfId="10095" xr:uid="{00000000-0005-0000-0000-0000051B0000}"/>
    <cellStyle name="Normal 5 2 2 3 3" xfId="5837" xr:uid="{00000000-0005-0000-0000-0000061B0000}"/>
    <cellStyle name="Normal 5 2 2 3 3 2" xfId="5838" xr:uid="{00000000-0005-0000-0000-0000071B0000}"/>
    <cellStyle name="Normal 5 2 2 3 3 2 2" xfId="5839" xr:uid="{00000000-0005-0000-0000-0000081B0000}"/>
    <cellStyle name="Normal 5 2 2 3 3 2 2 2" xfId="10101" xr:uid="{00000000-0005-0000-0000-0000091B0000}"/>
    <cellStyle name="Normal 5 2 2 3 3 2 3" xfId="10100" xr:uid="{00000000-0005-0000-0000-00000A1B0000}"/>
    <cellStyle name="Normal 5 2 2 3 3 3" xfId="5840" xr:uid="{00000000-0005-0000-0000-00000B1B0000}"/>
    <cellStyle name="Normal 5 2 2 3 3 3 2" xfId="10102" xr:uid="{00000000-0005-0000-0000-00000C1B0000}"/>
    <cellStyle name="Normal 5 2 2 3 3 4" xfId="10099" xr:uid="{00000000-0005-0000-0000-00000D1B0000}"/>
    <cellStyle name="Normal 5 2 2 3 4" xfId="5841" xr:uid="{00000000-0005-0000-0000-00000E1B0000}"/>
    <cellStyle name="Normal 5 2 2 3 4 2" xfId="5842" xr:uid="{00000000-0005-0000-0000-00000F1B0000}"/>
    <cellStyle name="Normal 5 2 2 3 4 2 2" xfId="10104" xr:uid="{00000000-0005-0000-0000-0000101B0000}"/>
    <cellStyle name="Normal 5 2 2 3 4 3" xfId="10103" xr:uid="{00000000-0005-0000-0000-0000111B0000}"/>
    <cellStyle name="Normal 5 2 2 3 5" xfId="5843" xr:uid="{00000000-0005-0000-0000-0000121B0000}"/>
    <cellStyle name="Normal 5 2 2 3 5 2" xfId="10105" xr:uid="{00000000-0005-0000-0000-0000131B0000}"/>
    <cellStyle name="Normal 5 2 2 3 6" xfId="10094" xr:uid="{00000000-0005-0000-0000-0000141B0000}"/>
    <cellStyle name="Normal 5 2 2 4" xfId="5844" xr:uid="{00000000-0005-0000-0000-0000151B0000}"/>
    <cellStyle name="Normal 5 2 2 4 2" xfId="5845" xr:uid="{00000000-0005-0000-0000-0000161B0000}"/>
    <cellStyle name="Normal 5 2 2 4 2 2" xfId="5846" xr:uid="{00000000-0005-0000-0000-0000171B0000}"/>
    <cellStyle name="Normal 5 2 2 4 2 2 2" xfId="10108" xr:uid="{00000000-0005-0000-0000-0000181B0000}"/>
    <cellStyle name="Normal 5 2 2 4 2 3" xfId="10107" xr:uid="{00000000-0005-0000-0000-0000191B0000}"/>
    <cellStyle name="Normal 5 2 2 4 3" xfId="5847" xr:uid="{00000000-0005-0000-0000-00001A1B0000}"/>
    <cellStyle name="Normal 5 2 2 4 3 2" xfId="10109" xr:uid="{00000000-0005-0000-0000-00001B1B0000}"/>
    <cellStyle name="Normal 5 2 2 4 4" xfId="10106" xr:uid="{00000000-0005-0000-0000-00001C1B0000}"/>
    <cellStyle name="Normal 5 2 2 5" xfId="5848" xr:uid="{00000000-0005-0000-0000-00001D1B0000}"/>
    <cellStyle name="Normal 5 2 2 5 2" xfId="5849" xr:uid="{00000000-0005-0000-0000-00001E1B0000}"/>
    <cellStyle name="Normal 5 2 2 5 2 2" xfId="5850" xr:uid="{00000000-0005-0000-0000-00001F1B0000}"/>
    <cellStyle name="Normal 5 2 2 5 2 2 2" xfId="10112" xr:uid="{00000000-0005-0000-0000-0000201B0000}"/>
    <cellStyle name="Normal 5 2 2 5 2 3" xfId="10111" xr:uid="{00000000-0005-0000-0000-0000211B0000}"/>
    <cellStyle name="Normal 5 2 2 5 3" xfId="5851" xr:uid="{00000000-0005-0000-0000-0000221B0000}"/>
    <cellStyle name="Normal 5 2 2 5 3 2" xfId="10113" xr:uid="{00000000-0005-0000-0000-0000231B0000}"/>
    <cellStyle name="Normal 5 2 2 5 4" xfId="10110" xr:uid="{00000000-0005-0000-0000-0000241B0000}"/>
    <cellStyle name="Normal 5 2 2 6" xfId="5852" xr:uid="{00000000-0005-0000-0000-0000251B0000}"/>
    <cellStyle name="Normal 5 2 2 6 2" xfId="5853" xr:uid="{00000000-0005-0000-0000-0000261B0000}"/>
    <cellStyle name="Normal 5 2 2 6 2 2" xfId="10115" xr:uid="{00000000-0005-0000-0000-0000271B0000}"/>
    <cellStyle name="Normal 5 2 2 6 3" xfId="10114" xr:uid="{00000000-0005-0000-0000-0000281B0000}"/>
    <cellStyle name="Normal 5 2 2 7" xfId="5854" xr:uid="{00000000-0005-0000-0000-0000291B0000}"/>
    <cellStyle name="Normal 5 2 2 7 2" xfId="10116" xr:uid="{00000000-0005-0000-0000-00002A1B0000}"/>
    <cellStyle name="Normal 5 2 2 8" xfId="10081" xr:uid="{00000000-0005-0000-0000-00002B1B0000}"/>
    <cellStyle name="Normal 5 2_Cap Forecast" xfId="5855" xr:uid="{00000000-0005-0000-0000-00002C1B0000}"/>
    <cellStyle name="Normal 5 3" xfId="5856" xr:uid="{00000000-0005-0000-0000-00002D1B0000}"/>
    <cellStyle name="Normal 5 3 2" xfId="5857" xr:uid="{00000000-0005-0000-0000-00002E1B0000}"/>
    <cellStyle name="Normal 5 3 2 2" xfId="5858" xr:uid="{00000000-0005-0000-0000-00002F1B0000}"/>
    <cellStyle name="Normal 5 3 2 2 2" xfId="5859" xr:uid="{00000000-0005-0000-0000-0000301B0000}"/>
    <cellStyle name="Normal 5 3 2 2 2 2" xfId="5860" xr:uid="{00000000-0005-0000-0000-0000311B0000}"/>
    <cellStyle name="Normal 5 3 2 2 2 2 2" xfId="5861" xr:uid="{00000000-0005-0000-0000-0000321B0000}"/>
    <cellStyle name="Normal 5 3 2 2 2 3" xfId="5862" xr:uid="{00000000-0005-0000-0000-0000331B0000}"/>
    <cellStyle name="Normal 5 3 2 2 3" xfId="5863" xr:uid="{00000000-0005-0000-0000-0000341B0000}"/>
    <cellStyle name="Normal 5 3 2 2 3 2" xfId="5864" xr:uid="{00000000-0005-0000-0000-0000351B0000}"/>
    <cellStyle name="Normal 5 3 2 2 4" xfId="5865" xr:uid="{00000000-0005-0000-0000-0000361B0000}"/>
    <cellStyle name="Normal 5 3 2 3" xfId="5866" xr:uid="{00000000-0005-0000-0000-0000371B0000}"/>
    <cellStyle name="Normal 5 3 2 3 2" xfId="5867" xr:uid="{00000000-0005-0000-0000-0000381B0000}"/>
    <cellStyle name="Normal 5 3 2 3 2 2" xfId="5868" xr:uid="{00000000-0005-0000-0000-0000391B0000}"/>
    <cellStyle name="Normal 5 3 2 3 3" xfId="5869" xr:uid="{00000000-0005-0000-0000-00003A1B0000}"/>
    <cellStyle name="Normal 5 3 2 4" xfId="5870" xr:uid="{00000000-0005-0000-0000-00003B1B0000}"/>
    <cellStyle name="Normal 5 3 2 4 2" xfId="5871" xr:uid="{00000000-0005-0000-0000-00003C1B0000}"/>
    <cellStyle name="Normal 5 3 2 4 2 2" xfId="5872" xr:uid="{00000000-0005-0000-0000-00003D1B0000}"/>
    <cellStyle name="Normal 5 3 2 4 3" xfId="5873" xr:uid="{00000000-0005-0000-0000-00003E1B0000}"/>
    <cellStyle name="Normal 5 3 2 5" xfId="5874" xr:uid="{00000000-0005-0000-0000-00003F1B0000}"/>
    <cellStyle name="Normal 5 3 2 5 2" xfId="5875" xr:uid="{00000000-0005-0000-0000-0000401B0000}"/>
    <cellStyle name="Normal 5 3 2 6" xfId="5876" xr:uid="{00000000-0005-0000-0000-0000411B0000}"/>
    <cellStyle name="Normal 5 3 3" xfId="5877" xr:uid="{00000000-0005-0000-0000-0000421B0000}"/>
    <cellStyle name="Normal 5 3 3 2" xfId="5878" xr:uid="{00000000-0005-0000-0000-0000431B0000}"/>
    <cellStyle name="Normal 5 3 3 2 2" xfId="5879" xr:uid="{00000000-0005-0000-0000-0000441B0000}"/>
    <cellStyle name="Normal 5 3 3 2 2 2" xfId="5880" xr:uid="{00000000-0005-0000-0000-0000451B0000}"/>
    <cellStyle name="Normal 5 3 3 2 2 2 2" xfId="5881" xr:uid="{00000000-0005-0000-0000-0000461B0000}"/>
    <cellStyle name="Normal 5 3 3 2 2 3" xfId="5882" xr:uid="{00000000-0005-0000-0000-0000471B0000}"/>
    <cellStyle name="Normal 5 3 3 2 3" xfId="5883" xr:uid="{00000000-0005-0000-0000-0000481B0000}"/>
    <cellStyle name="Normal 5 3 3 2 3 2" xfId="5884" xr:uid="{00000000-0005-0000-0000-0000491B0000}"/>
    <cellStyle name="Normal 5 3 3 2 4" xfId="5885" xr:uid="{00000000-0005-0000-0000-00004A1B0000}"/>
    <cellStyle name="Normal 5 3 3 3" xfId="5886" xr:uid="{00000000-0005-0000-0000-00004B1B0000}"/>
    <cellStyle name="Normal 5 3 3 3 2" xfId="5887" xr:uid="{00000000-0005-0000-0000-00004C1B0000}"/>
    <cellStyle name="Normal 5 3 3 3 2 2" xfId="5888" xr:uid="{00000000-0005-0000-0000-00004D1B0000}"/>
    <cellStyle name="Normal 5 3 3 3 3" xfId="5889" xr:uid="{00000000-0005-0000-0000-00004E1B0000}"/>
    <cellStyle name="Normal 5 3 3 4" xfId="5890" xr:uid="{00000000-0005-0000-0000-00004F1B0000}"/>
    <cellStyle name="Normal 5 3 3 4 2" xfId="5891" xr:uid="{00000000-0005-0000-0000-0000501B0000}"/>
    <cellStyle name="Normal 5 3 3 4 2 2" xfId="5892" xr:uid="{00000000-0005-0000-0000-0000511B0000}"/>
    <cellStyle name="Normal 5 3 3 4 3" xfId="5893" xr:uid="{00000000-0005-0000-0000-0000521B0000}"/>
    <cellStyle name="Normal 5 3 3 5" xfId="5894" xr:uid="{00000000-0005-0000-0000-0000531B0000}"/>
    <cellStyle name="Normal 5 3 3 5 2" xfId="5895" xr:uid="{00000000-0005-0000-0000-0000541B0000}"/>
    <cellStyle name="Normal 5 3 3 6" xfId="5896" xr:uid="{00000000-0005-0000-0000-0000551B0000}"/>
    <cellStyle name="Normal 5 3 4" xfId="5897" xr:uid="{00000000-0005-0000-0000-0000561B0000}"/>
    <cellStyle name="Normal 5 3 4 2" xfId="5898" xr:uid="{00000000-0005-0000-0000-0000571B0000}"/>
    <cellStyle name="Normal 5 3 4 2 2" xfId="5899" xr:uid="{00000000-0005-0000-0000-0000581B0000}"/>
    <cellStyle name="Normal 5 3 4 2 2 2" xfId="5900" xr:uid="{00000000-0005-0000-0000-0000591B0000}"/>
    <cellStyle name="Normal 5 3 4 2 3" xfId="5901" xr:uid="{00000000-0005-0000-0000-00005A1B0000}"/>
    <cellStyle name="Normal 5 3 4 3" xfId="5902" xr:uid="{00000000-0005-0000-0000-00005B1B0000}"/>
    <cellStyle name="Normal 5 3 4 3 2" xfId="5903" xr:uid="{00000000-0005-0000-0000-00005C1B0000}"/>
    <cellStyle name="Normal 5 3 4 4" xfId="5904" xr:uid="{00000000-0005-0000-0000-00005D1B0000}"/>
    <cellStyle name="Normal 5 3 5" xfId="5905" xr:uid="{00000000-0005-0000-0000-00005E1B0000}"/>
    <cellStyle name="Normal 5 3 5 2" xfId="5906" xr:uid="{00000000-0005-0000-0000-00005F1B0000}"/>
    <cellStyle name="Normal 5 3 5 2 2" xfId="5907" xr:uid="{00000000-0005-0000-0000-0000601B0000}"/>
    <cellStyle name="Normal 5 3 5 3" xfId="5908" xr:uid="{00000000-0005-0000-0000-0000611B0000}"/>
    <cellStyle name="Normal 5 3 6" xfId="5909" xr:uid="{00000000-0005-0000-0000-0000621B0000}"/>
    <cellStyle name="Normal 5 3 6 2" xfId="5910" xr:uid="{00000000-0005-0000-0000-0000631B0000}"/>
    <cellStyle name="Normal 5 3 6 2 2" xfId="5911" xr:uid="{00000000-0005-0000-0000-0000641B0000}"/>
    <cellStyle name="Normal 5 3 6 3" xfId="5912" xr:uid="{00000000-0005-0000-0000-0000651B0000}"/>
    <cellStyle name="Normal 5 3 7" xfId="5913" xr:uid="{00000000-0005-0000-0000-0000661B0000}"/>
    <cellStyle name="Normal 5 3 7 2" xfId="5914" xr:uid="{00000000-0005-0000-0000-0000671B0000}"/>
    <cellStyle name="Normal 5 3 8" xfId="5915" xr:uid="{00000000-0005-0000-0000-0000681B0000}"/>
    <cellStyle name="Normal 5 4" xfId="5916" xr:uid="{00000000-0005-0000-0000-0000691B0000}"/>
    <cellStyle name="Normal 5 5" xfId="9757" xr:uid="{00000000-0005-0000-0000-00006A1B0000}"/>
    <cellStyle name="Normal 5 6" xfId="10970" xr:uid="{00000000-0005-0000-0000-00006B1B0000}"/>
    <cellStyle name="Normal 5 7" xfId="10967" xr:uid="{00000000-0005-0000-0000-00006C1B0000}"/>
    <cellStyle name="Normal 5 8" xfId="10969" xr:uid="{00000000-0005-0000-0000-00006D1B0000}"/>
    <cellStyle name="Normal 5 9" xfId="10968" xr:uid="{00000000-0005-0000-0000-00006E1B0000}"/>
    <cellStyle name="Normal 50" xfId="5917" xr:uid="{00000000-0005-0000-0000-00006F1B0000}"/>
    <cellStyle name="Normal 50 10" xfId="5918" xr:uid="{00000000-0005-0000-0000-0000701B0000}"/>
    <cellStyle name="Normal 50 2" xfId="5919" xr:uid="{00000000-0005-0000-0000-0000711B0000}"/>
    <cellStyle name="Normal 50 2 2" xfId="5920" xr:uid="{00000000-0005-0000-0000-0000721B0000}"/>
    <cellStyle name="Normal 50 2 2 2" xfId="5921" xr:uid="{00000000-0005-0000-0000-0000731B0000}"/>
    <cellStyle name="Normal 50 2 2 2 2" xfId="5922" xr:uid="{00000000-0005-0000-0000-0000741B0000}"/>
    <cellStyle name="Normal 50 2 2 2 2 2" xfId="5923" xr:uid="{00000000-0005-0000-0000-0000751B0000}"/>
    <cellStyle name="Normal 50 2 2 2 3" xfId="5924" xr:uid="{00000000-0005-0000-0000-0000761B0000}"/>
    <cellStyle name="Normal 50 2 2 3" xfId="5925" xr:uid="{00000000-0005-0000-0000-0000771B0000}"/>
    <cellStyle name="Normal 50 2 2 3 2" xfId="5926" xr:uid="{00000000-0005-0000-0000-0000781B0000}"/>
    <cellStyle name="Normal 50 2 2 4" xfId="5927" xr:uid="{00000000-0005-0000-0000-0000791B0000}"/>
    <cellStyle name="Normal 50 2 3" xfId="5928" xr:uid="{00000000-0005-0000-0000-00007A1B0000}"/>
    <cellStyle name="Normal 50 2 3 2" xfId="5929" xr:uid="{00000000-0005-0000-0000-00007B1B0000}"/>
    <cellStyle name="Normal 50 2 3 2 2" xfId="5930" xr:uid="{00000000-0005-0000-0000-00007C1B0000}"/>
    <cellStyle name="Normal 50 2 3 3" xfId="5931" xr:uid="{00000000-0005-0000-0000-00007D1B0000}"/>
    <cellStyle name="Normal 50 2 4" xfId="5932" xr:uid="{00000000-0005-0000-0000-00007E1B0000}"/>
    <cellStyle name="Normal 50 2 4 2" xfId="5933" xr:uid="{00000000-0005-0000-0000-00007F1B0000}"/>
    <cellStyle name="Normal 50 2 4 2 2" xfId="5934" xr:uid="{00000000-0005-0000-0000-0000801B0000}"/>
    <cellStyle name="Normal 50 2 4 3" xfId="5935" xr:uid="{00000000-0005-0000-0000-0000811B0000}"/>
    <cellStyle name="Normal 50 2 5" xfId="5936" xr:uid="{00000000-0005-0000-0000-0000821B0000}"/>
    <cellStyle name="Normal 50 2 5 2" xfId="5937" xr:uid="{00000000-0005-0000-0000-0000831B0000}"/>
    <cellStyle name="Normal 50 2 6" xfId="5938" xr:uid="{00000000-0005-0000-0000-0000841B0000}"/>
    <cellStyle name="Normal 50 3" xfId="5939" xr:uid="{00000000-0005-0000-0000-0000851B0000}"/>
    <cellStyle name="Normal 50 3 2" xfId="5940" xr:uid="{00000000-0005-0000-0000-0000861B0000}"/>
    <cellStyle name="Normal 50 3 2 2" xfId="5941" xr:uid="{00000000-0005-0000-0000-0000871B0000}"/>
    <cellStyle name="Normal 50 3 2 2 2" xfId="5942" xr:uid="{00000000-0005-0000-0000-0000881B0000}"/>
    <cellStyle name="Normal 50 3 2 2 2 2" xfId="5943" xr:uid="{00000000-0005-0000-0000-0000891B0000}"/>
    <cellStyle name="Normal 50 3 2 2 3" xfId="5944" xr:uid="{00000000-0005-0000-0000-00008A1B0000}"/>
    <cellStyle name="Normal 50 3 2 3" xfId="5945" xr:uid="{00000000-0005-0000-0000-00008B1B0000}"/>
    <cellStyle name="Normal 50 3 2 3 2" xfId="5946" xr:uid="{00000000-0005-0000-0000-00008C1B0000}"/>
    <cellStyle name="Normal 50 3 2 4" xfId="5947" xr:uid="{00000000-0005-0000-0000-00008D1B0000}"/>
    <cellStyle name="Normal 50 3 3" xfId="5948" xr:uid="{00000000-0005-0000-0000-00008E1B0000}"/>
    <cellStyle name="Normal 50 3 3 2" xfId="5949" xr:uid="{00000000-0005-0000-0000-00008F1B0000}"/>
    <cellStyle name="Normal 50 3 3 2 2" xfId="5950" xr:uid="{00000000-0005-0000-0000-0000901B0000}"/>
    <cellStyle name="Normal 50 3 3 3" xfId="5951" xr:uid="{00000000-0005-0000-0000-0000911B0000}"/>
    <cellStyle name="Normal 50 3 4" xfId="5952" xr:uid="{00000000-0005-0000-0000-0000921B0000}"/>
    <cellStyle name="Normal 50 3 4 2" xfId="5953" xr:uid="{00000000-0005-0000-0000-0000931B0000}"/>
    <cellStyle name="Normal 50 3 4 2 2" xfId="5954" xr:uid="{00000000-0005-0000-0000-0000941B0000}"/>
    <cellStyle name="Normal 50 3 4 3" xfId="5955" xr:uid="{00000000-0005-0000-0000-0000951B0000}"/>
    <cellStyle name="Normal 50 3 5" xfId="5956" xr:uid="{00000000-0005-0000-0000-0000961B0000}"/>
    <cellStyle name="Normal 50 3 5 2" xfId="5957" xr:uid="{00000000-0005-0000-0000-0000971B0000}"/>
    <cellStyle name="Normal 50 3 6" xfId="5958" xr:uid="{00000000-0005-0000-0000-0000981B0000}"/>
    <cellStyle name="Normal 50 4" xfId="5959" xr:uid="{00000000-0005-0000-0000-0000991B0000}"/>
    <cellStyle name="Normal 50 4 2" xfId="5960" xr:uid="{00000000-0005-0000-0000-00009A1B0000}"/>
    <cellStyle name="Normal 50 4 2 2" xfId="5961" xr:uid="{00000000-0005-0000-0000-00009B1B0000}"/>
    <cellStyle name="Normal 50 4 2 2 2" xfId="5962" xr:uid="{00000000-0005-0000-0000-00009C1B0000}"/>
    <cellStyle name="Normal 50 4 2 2 2 2" xfId="5963" xr:uid="{00000000-0005-0000-0000-00009D1B0000}"/>
    <cellStyle name="Normal 50 4 2 2 3" xfId="5964" xr:uid="{00000000-0005-0000-0000-00009E1B0000}"/>
    <cellStyle name="Normal 50 4 2 3" xfId="5965" xr:uid="{00000000-0005-0000-0000-00009F1B0000}"/>
    <cellStyle name="Normal 50 4 2 3 2" xfId="5966" xr:uid="{00000000-0005-0000-0000-0000A01B0000}"/>
    <cellStyle name="Normal 50 4 2 4" xfId="5967" xr:uid="{00000000-0005-0000-0000-0000A11B0000}"/>
    <cellStyle name="Normal 50 4 3" xfId="5968" xr:uid="{00000000-0005-0000-0000-0000A21B0000}"/>
    <cellStyle name="Normal 50 4 3 2" xfId="5969" xr:uid="{00000000-0005-0000-0000-0000A31B0000}"/>
    <cellStyle name="Normal 50 4 3 2 2" xfId="5970" xr:uid="{00000000-0005-0000-0000-0000A41B0000}"/>
    <cellStyle name="Normal 50 4 3 3" xfId="5971" xr:uid="{00000000-0005-0000-0000-0000A51B0000}"/>
    <cellStyle name="Normal 50 4 4" xfId="5972" xr:uid="{00000000-0005-0000-0000-0000A61B0000}"/>
    <cellStyle name="Normal 50 4 4 2" xfId="5973" xr:uid="{00000000-0005-0000-0000-0000A71B0000}"/>
    <cellStyle name="Normal 50 4 4 2 2" xfId="5974" xr:uid="{00000000-0005-0000-0000-0000A81B0000}"/>
    <cellStyle name="Normal 50 4 4 3" xfId="5975" xr:uid="{00000000-0005-0000-0000-0000A91B0000}"/>
    <cellStyle name="Normal 50 4 5" xfId="5976" xr:uid="{00000000-0005-0000-0000-0000AA1B0000}"/>
    <cellStyle name="Normal 50 4 5 2" xfId="5977" xr:uid="{00000000-0005-0000-0000-0000AB1B0000}"/>
    <cellStyle name="Normal 50 4 6" xfId="5978" xr:uid="{00000000-0005-0000-0000-0000AC1B0000}"/>
    <cellStyle name="Normal 50 5" xfId="5979" xr:uid="{00000000-0005-0000-0000-0000AD1B0000}"/>
    <cellStyle name="Normal 50 5 2" xfId="5980" xr:uid="{00000000-0005-0000-0000-0000AE1B0000}"/>
    <cellStyle name="Normal 50 5 2 2" xfId="5981" xr:uid="{00000000-0005-0000-0000-0000AF1B0000}"/>
    <cellStyle name="Normal 50 5 2 2 2" xfId="5982" xr:uid="{00000000-0005-0000-0000-0000B01B0000}"/>
    <cellStyle name="Normal 50 5 2 3" xfId="5983" xr:uid="{00000000-0005-0000-0000-0000B11B0000}"/>
    <cellStyle name="Normal 50 5 3" xfId="5984" xr:uid="{00000000-0005-0000-0000-0000B21B0000}"/>
    <cellStyle name="Normal 50 5 3 2" xfId="5985" xr:uid="{00000000-0005-0000-0000-0000B31B0000}"/>
    <cellStyle name="Normal 50 5 4" xfId="5986" xr:uid="{00000000-0005-0000-0000-0000B41B0000}"/>
    <cellStyle name="Normal 50 6" xfId="5987" xr:uid="{00000000-0005-0000-0000-0000B51B0000}"/>
    <cellStyle name="Normal 50 6 2" xfId="5988" xr:uid="{00000000-0005-0000-0000-0000B61B0000}"/>
    <cellStyle name="Normal 50 6 2 2" xfId="5989" xr:uid="{00000000-0005-0000-0000-0000B71B0000}"/>
    <cellStyle name="Normal 50 6 3" xfId="5990" xr:uid="{00000000-0005-0000-0000-0000B81B0000}"/>
    <cellStyle name="Normal 50 7" xfId="5991" xr:uid="{00000000-0005-0000-0000-0000B91B0000}"/>
    <cellStyle name="Normal 50 7 2" xfId="5992" xr:uid="{00000000-0005-0000-0000-0000BA1B0000}"/>
    <cellStyle name="Normal 50 7 2 2" xfId="5993" xr:uid="{00000000-0005-0000-0000-0000BB1B0000}"/>
    <cellStyle name="Normal 50 7 3" xfId="5994" xr:uid="{00000000-0005-0000-0000-0000BC1B0000}"/>
    <cellStyle name="Normal 50 8" xfId="5995" xr:uid="{00000000-0005-0000-0000-0000BD1B0000}"/>
    <cellStyle name="Normal 50 8 2" xfId="5996" xr:uid="{00000000-0005-0000-0000-0000BE1B0000}"/>
    <cellStyle name="Normal 50 9" xfId="5997" xr:uid="{00000000-0005-0000-0000-0000BF1B0000}"/>
    <cellStyle name="Normal 51" xfId="5998" xr:uid="{00000000-0005-0000-0000-0000C01B0000}"/>
    <cellStyle name="Normal 51 2" xfId="5999" xr:uid="{00000000-0005-0000-0000-0000C11B0000}"/>
    <cellStyle name="Normal 51 2 2" xfId="6000" xr:uid="{00000000-0005-0000-0000-0000C21B0000}"/>
    <cellStyle name="Normal 51 2 2 2" xfId="6001" xr:uid="{00000000-0005-0000-0000-0000C31B0000}"/>
    <cellStyle name="Normal 51 2 2 2 2" xfId="6002" xr:uid="{00000000-0005-0000-0000-0000C41B0000}"/>
    <cellStyle name="Normal 51 2 2 3" xfId="6003" xr:uid="{00000000-0005-0000-0000-0000C51B0000}"/>
    <cellStyle name="Normal 51 2 3" xfId="6004" xr:uid="{00000000-0005-0000-0000-0000C61B0000}"/>
    <cellStyle name="Normal 51 2 3 2" xfId="6005" xr:uid="{00000000-0005-0000-0000-0000C71B0000}"/>
    <cellStyle name="Normal 51 2 4" xfId="6006" xr:uid="{00000000-0005-0000-0000-0000C81B0000}"/>
    <cellStyle name="Normal 51 3" xfId="6007" xr:uid="{00000000-0005-0000-0000-0000C91B0000}"/>
    <cellStyle name="Normal 51 3 2" xfId="6008" xr:uid="{00000000-0005-0000-0000-0000CA1B0000}"/>
    <cellStyle name="Normal 51 3 2 2" xfId="6009" xr:uid="{00000000-0005-0000-0000-0000CB1B0000}"/>
    <cellStyle name="Normal 51 3 3" xfId="6010" xr:uid="{00000000-0005-0000-0000-0000CC1B0000}"/>
    <cellStyle name="Normal 51 4" xfId="6011" xr:uid="{00000000-0005-0000-0000-0000CD1B0000}"/>
    <cellStyle name="Normal 51 4 2" xfId="6012" xr:uid="{00000000-0005-0000-0000-0000CE1B0000}"/>
    <cellStyle name="Normal 51 4 2 2" xfId="6013" xr:uid="{00000000-0005-0000-0000-0000CF1B0000}"/>
    <cellStyle name="Normal 51 4 3" xfId="6014" xr:uid="{00000000-0005-0000-0000-0000D01B0000}"/>
    <cellStyle name="Normal 51 5" xfId="6015" xr:uid="{00000000-0005-0000-0000-0000D11B0000}"/>
    <cellStyle name="Normal 51 5 2" xfId="6016" xr:uid="{00000000-0005-0000-0000-0000D21B0000}"/>
    <cellStyle name="Normal 51 6" xfId="6017" xr:uid="{00000000-0005-0000-0000-0000D31B0000}"/>
    <cellStyle name="Normal 52" xfId="6018" xr:uid="{00000000-0005-0000-0000-0000D41B0000}"/>
    <cellStyle name="Normal 52 2" xfId="6019" xr:uid="{00000000-0005-0000-0000-0000D51B0000}"/>
    <cellStyle name="Normal 52 2 2" xfId="6020" xr:uid="{00000000-0005-0000-0000-0000D61B0000}"/>
    <cellStyle name="Normal 52 2 2 2" xfId="6021" xr:uid="{00000000-0005-0000-0000-0000D71B0000}"/>
    <cellStyle name="Normal 52 2 2 2 2" xfId="6022" xr:uid="{00000000-0005-0000-0000-0000D81B0000}"/>
    <cellStyle name="Normal 52 2 2 3" xfId="6023" xr:uid="{00000000-0005-0000-0000-0000D91B0000}"/>
    <cellStyle name="Normal 52 2 3" xfId="6024" xr:uid="{00000000-0005-0000-0000-0000DA1B0000}"/>
    <cellStyle name="Normal 52 2 3 2" xfId="6025" xr:uid="{00000000-0005-0000-0000-0000DB1B0000}"/>
    <cellStyle name="Normal 52 2 4" xfId="6026" xr:uid="{00000000-0005-0000-0000-0000DC1B0000}"/>
    <cellStyle name="Normal 52 3" xfId="6027" xr:uid="{00000000-0005-0000-0000-0000DD1B0000}"/>
    <cellStyle name="Normal 52 3 2" xfId="6028" xr:uid="{00000000-0005-0000-0000-0000DE1B0000}"/>
    <cellStyle name="Normal 52 3 2 2" xfId="6029" xr:uid="{00000000-0005-0000-0000-0000DF1B0000}"/>
    <cellStyle name="Normal 52 3 3" xfId="6030" xr:uid="{00000000-0005-0000-0000-0000E01B0000}"/>
    <cellStyle name="Normal 52 4" xfId="6031" xr:uid="{00000000-0005-0000-0000-0000E11B0000}"/>
    <cellStyle name="Normal 52 4 2" xfId="6032" xr:uid="{00000000-0005-0000-0000-0000E21B0000}"/>
    <cellStyle name="Normal 52 4 2 2" xfId="6033" xr:uid="{00000000-0005-0000-0000-0000E31B0000}"/>
    <cellStyle name="Normal 52 4 3" xfId="6034" xr:uid="{00000000-0005-0000-0000-0000E41B0000}"/>
    <cellStyle name="Normal 52 5" xfId="6035" xr:uid="{00000000-0005-0000-0000-0000E51B0000}"/>
    <cellStyle name="Normal 52 5 2" xfId="6036" xr:uid="{00000000-0005-0000-0000-0000E61B0000}"/>
    <cellStyle name="Normal 52 6" xfId="6037" xr:uid="{00000000-0005-0000-0000-0000E71B0000}"/>
    <cellStyle name="Normal 53" xfId="6038" xr:uid="{00000000-0005-0000-0000-0000E81B0000}"/>
    <cellStyle name="Normal 53 2" xfId="6039" xr:uid="{00000000-0005-0000-0000-0000E91B0000}"/>
    <cellStyle name="Normal 53 2 2" xfId="6040" xr:uid="{00000000-0005-0000-0000-0000EA1B0000}"/>
    <cellStyle name="Normal 53 2 2 2" xfId="6041" xr:uid="{00000000-0005-0000-0000-0000EB1B0000}"/>
    <cellStyle name="Normal 53 2 2 2 2" xfId="6042" xr:uid="{00000000-0005-0000-0000-0000EC1B0000}"/>
    <cellStyle name="Normal 53 2 2 3" xfId="6043" xr:uid="{00000000-0005-0000-0000-0000ED1B0000}"/>
    <cellStyle name="Normal 53 2 3" xfId="6044" xr:uid="{00000000-0005-0000-0000-0000EE1B0000}"/>
    <cellStyle name="Normal 53 2 3 2" xfId="6045" xr:uid="{00000000-0005-0000-0000-0000EF1B0000}"/>
    <cellStyle name="Normal 53 2 4" xfId="6046" xr:uid="{00000000-0005-0000-0000-0000F01B0000}"/>
    <cellStyle name="Normal 53 3" xfId="6047" xr:uid="{00000000-0005-0000-0000-0000F11B0000}"/>
    <cellStyle name="Normal 53 3 2" xfId="6048" xr:uid="{00000000-0005-0000-0000-0000F21B0000}"/>
    <cellStyle name="Normal 53 3 2 2" xfId="6049" xr:uid="{00000000-0005-0000-0000-0000F31B0000}"/>
    <cellStyle name="Normal 53 3 3" xfId="6050" xr:uid="{00000000-0005-0000-0000-0000F41B0000}"/>
    <cellStyle name="Normal 53 4" xfId="6051" xr:uid="{00000000-0005-0000-0000-0000F51B0000}"/>
    <cellStyle name="Normal 53 4 2" xfId="6052" xr:uid="{00000000-0005-0000-0000-0000F61B0000}"/>
    <cellStyle name="Normal 53 4 2 2" xfId="6053" xr:uid="{00000000-0005-0000-0000-0000F71B0000}"/>
    <cellStyle name="Normal 53 4 3" xfId="6054" xr:uid="{00000000-0005-0000-0000-0000F81B0000}"/>
    <cellStyle name="Normal 53 5" xfId="6055" xr:uid="{00000000-0005-0000-0000-0000F91B0000}"/>
    <cellStyle name="Normal 53 5 2" xfId="6056" xr:uid="{00000000-0005-0000-0000-0000FA1B0000}"/>
    <cellStyle name="Normal 53 6" xfId="6057" xr:uid="{00000000-0005-0000-0000-0000FB1B0000}"/>
    <cellStyle name="Normal 54" xfId="6058" xr:uid="{00000000-0005-0000-0000-0000FC1B0000}"/>
    <cellStyle name="Normal 54 2" xfId="6059" xr:uid="{00000000-0005-0000-0000-0000FD1B0000}"/>
    <cellStyle name="Normal 54 2 2" xfId="6060" xr:uid="{00000000-0005-0000-0000-0000FE1B0000}"/>
    <cellStyle name="Normal 54 2 2 2" xfId="6061" xr:uid="{00000000-0005-0000-0000-0000FF1B0000}"/>
    <cellStyle name="Normal 54 2 2 2 2" xfId="6062" xr:uid="{00000000-0005-0000-0000-0000001C0000}"/>
    <cellStyle name="Normal 54 2 2 3" xfId="6063" xr:uid="{00000000-0005-0000-0000-0000011C0000}"/>
    <cellStyle name="Normal 54 2 3" xfId="6064" xr:uid="{00000000-0005-0000-0000-0000021C0000}"/>
    <cellStyle name="Normal 54 2 3 2" xfId="6065" xr:uid="{00000000-0005-0000-0000-0000031C0000}"/>
    <cellStyle name="Normal 54 2 4" xfId="6066" xr:uid="{00000000-0005-0000-0000-0000041C0000}"/>
    <cellStyle name="Normal 54 3" xfId="6067" xr:uid="{00000000-0005-0000-0000-0000051C0000}"/>
    <cellStyle name="Normal 54 3 2" xfId="6068" xr:uid="{00000000-0005-0000-0000-0000061C0000}"/>
    <cellStyle name="Normal 54 3 2 2" xfId="6069" xr:uid="{00000000-0005-0000-0000-0000071C0000}"/>
    <cellStyle name="Normal 54 3 3" xfId="6070" xr:uid="{00000000-0005-0000-0000-0000081C0000}"/>
    <cellStyle name="Normal 54 4" xfId="6071" xr:uid="{00000000-0005-0000-0000-0000091C0000}"/>
    <cellStyle name="Normal 54 4 2" xfId="6072" xr:uid="{00000000-0005-0000-0000-00000A1C0000}"/>
    <cellStyle name="Normal 54 4 2 2" xfId="6073" xr:uid="{00000000-0005-0000-0000-00000B1C0000}"/>
    <cellStyle name="Normal 54 4 3" xfId="6074" xr:uid="{00000000-0005-0000-0000-00000C1C0000}"/>
    <cellStyle name="Normal 54 5" xfId="6075" xr:uid="{00000000-0005-0000-0000-00000D1C0000}"/>
    <cellStyle name="Normal 54 5 2" xfId="6076" xr:uid="{00000000-0005-0000-0000-00000E1C0000}"/>
    <cellStyle name="Normal 54 6" xfId="6077" xr:uid="{00000000-0005-0000-0000-00000F1C0000}"/>
    <cellStyle name="Normal 55" xfId="6078" xr:uid="{00000000-0005-0000-0000-0000101C0000}"/>
    <cellStyle name="Normal 55 2" xfId="6079" xr:uid="{00000000-0005-0000-0000-0000111C0000}"/>
    <cellStyle name="Normal 55 2 2" xfId="6080" xr:uid="{00000000-0005-0000-0000-0000121C0000}"/>
    <cellStyle name="Normal 55 2 2 2" xfId="6081" xr:uid="{00000000-0005-0000-0000-0000131C0000}"/>
    <cellStyle name="Normal 55 2 2 2 2" xfId="6082" xr:uid="{00000000-0005-0000-0000-0000141C0000}"/>
    <cellStyle name="Normal 55 2 2 3" xfId="6083" xr:uid="{00000000-0005-0000-0000-0000151C0000}"/>
    <cellStyle name="Normal 55 2 3" xfId="6084" xr:uid="{00000000-0005-0000-0000-0000161C0000}"/>
    <cellStyle name="Normal 55 2 3 2" xfId="6085" xr:uid="{00000000-0005-0000-0000-0000171C0000}"/>
    <cellStyle name="Normal 55 2 4" xfId="6086" xr:uid="{00000000-0005-0000-0000-0000181C0000}"/>
    <cellStyle name="Normal 55 3" xfId="6087" xr:uid="{00000000-0005-0000-0000-0000191C0000}"/>
    <cellStyle name="Normal 55 3 2" xfId="6088" xr:uid="{00000000-0005-0000-0000-00001A1C0000}"/>
    <cellStyle name="Normal 55 3 2 2" xfId="6089" xr:uid="{00000000-0005-0000-0000-00001B1C0000}"/>
    <cellStyle name="Normal 55 3 3" xfId="6090" xr:uid="{00000000-0005-0000-0000-00001C1C0000}"/>
    <cellStyle name="Normal 55 4" xfId="6091" xr:uid="{00000000-0005-0000-0000-00001D1C0000}"/>
    <cellStyle name="Normal 55 4 2" xfId="6092" xr:uid="{00000000-0005-0000-0000-00001E1C0000}"/>
    <cellStyle name="Normal 55 4 2 2" xfId="6093" xr:uid="{00000000-0005-0000-0000-00001F1C0000}"/>
    <cellStyle name="Normal 55 4 3" xfId="6094" xr:uid="{00000000-0005-0000-0000-0000201C0000}"/>
    <cellStyle name="Normal 55 5" xfId="6095" xr:uid="{00000000-0005-0000-0000-0000211C0000}"/>
    <cellStyle name="Normal 55 5 2" xfId="6096" xr:uid="{00000000-0005-0000-0000-0000221C0000}"/>
    <cellStyle name="Normal 55 6" xfId="6097" xr:uid="{00000000-0005-0000-0000-0000231C0000}"/>
    <cellStyle name="Normal 56" xfId="6098" xr:uid="{00000000-0005-0000-0000-0000241C0000}"/>
    <cellStyle name="Normal 56 2" xfId="6099" xr:uid="{00000000-0005-0000-0000-0000251C0000}"/>
    <cellStyle name="Normal 56 2 2" xfId="6100" xr:uid="{00000000-0005-0000-0000-0000261C0000}"/>
    <cellStyle name="Normal 56 2 2 2" xfId="6101" xr:uid="{00000000-0005-0000-0000-0000271C0000}"/>
    <cellStyle name="Normal 56 2 2 2 2" xfId="6102" xr:uid="{00000000-0005-0000-0000-0000281C0000}"/>
    <cellStyle name="Normal 56 2 2 3" xfId="6103" xr:uid="{00000000-0005-0000-0000-0000291C0000}"/>
    <cellStyle name="Normal 56 2 3" xfId="6104" xr:uid="{00000000-0005-0000-0000-00002A1C0000}"/>
    <cellStyle name="Normal 56 2 3 2" xfId="6105" xr:uid="{00000000-0005-0000-0000-00002B1C0000}"/>
    <cellStyle name="Normal 56 2 4" xfId="6106" xr:uid="{00000000-0005-0000-0000-00002C1C0000}"/>
    <cellStyle name="Normal 56 3" xfId="6107" xr:uid="{00000000-0005-0000-0000-00002D1C0000}"/>
    <cellStyle name="Normal 56 3 2" xfId="6108" xr:uid="{00000000-0005-0000-0000-00002E1C0000}"/>
    <cellStyle name="Normal 56 3 2 2" xfId="6109" xr:uid="{00000000-0005-0000-0000-00002F1C0000}"/>
    <cellStyle name="Normal 56 3 3" xfId="6110" xr:uid="{00000000-0005-0000-0000-0000301C0000}"/>
    <cellStyle name="Normal 56 4" xfId="6111" xr:uid="{00000000-0005-0000-0000-0000311C0000}"/>
    <cellStyle name="Normal 56 4 2" xfId="6112" xr:uid="{00000000-0005-0000-0000-0000321C0000}"/>
    <cellStyle name="Normal 56 4 2 2" xfId="6113" xr:uid="{00000000-0005-0000-0000-0000331C0000}"/>
    <cellStyle name="Normal 56 4 3" xfId="6114" xr:uid="{00000000-0005-0000-0000-0000341C0000}"/>
    <cellStyle name="Normal 56 5" xfId="6115" xr:uid="{00000000-0005-0000-0000-0000351C0000}"/>
    <cellStyle name="Normal 56 5 2" xfId="6116" xr:uid="{00000000-0005-0000-0000-0000361C0000}"/>
    <cellStyle name="Normal 56 6" xfId="6117" xr:uid="{00000000-0005-0000-0000-0000371C0000}"/>
    <cellStyle name="Normal 57" xfId="6118" xr:uid="{00000000-0005-0000-0000-0000381C0000}"/>
    <cellStyle name="Normal 57 2" xfId="6119" xr:uid="{00000000-0005-0000-0000-0000391C0000}"/>
    <cellStyle name="Normal 57 2 2" xfId="6120" xr:uid="{00000000-0005-0000-0000-00003A1C0000}"/>
    <cellStyle name="Normal 57 2 2 2" xfId="6121" xr:uid="{00000000-0005-0000-0000-00003B1C0000}"/>
    <cellStyle name="Normal 57 2 2 2 2" xfId="6122" xr:uid="{00000000-0005-0000-0000-00003C1C0000}"/>
    <cellStyle name="Normal 57 2 2 3" xfId="6123" xr:uid="{00000000-0005-0000-0000-00003D1C0000}"/>
    <cellStyle name="Normal 57 2 3" xfId="6124" xr:uid="{00000000-0005-0000-0000-00003E1C0000}"/>
    <cellStyle name="Normal 57 2 3 2" xfId="6125" xr:uid="{00000000-0005-0000-0000-00003F1C0000}"/>
    <cellStyle name="Normal 57 2 4" xfId="6126" xr:uid="{00000000-0005-0000-0000-0000401C0000}"/>
    <cellStyle name="Normal 57 3" xfId="6127" xr:uid="{00000000-0005-0000-0000-0000411C0000}"/>
    <cellStyle name="Normal 57 3 2" xfId="6128" xr:uid="{00000000-0005-0000-0000-0000421C0000}"/>
    <cellStyle name="Normal 57 3 2 2" xfId="6129" xr:uid="{00000000-0005-0000-0000-0000431C0000}"/>
    <cellStyle name="Normal 57 3 3" xfId="6130" xr:uid="{00000000-0005-0000-0000-0000441C0000}"/>
    <cellStyle name="Normal 57 4" xfId="6131" xr:uid="{00000000-0005-0000-0000-0000451C0000}"/>
    <cellStyle name="Normal 57 4 2" xfId="6132" xr:uid="{00000000-0005-0000-0000-0000461C0000}"/>
    <cellStyle name="Normal 57 4 2 2" xfId="6133" xr:uid="{00000000-0005-0000-0000-0000471C0000}"/>
    <cellStyle name="Normal 57 4 3" xfId="6134" xr:uid="{00000000-0005-0000-0000-0000481C0000}"/>
    <cellStyle name="Normal 57 5" xfId="6135" xr:uid="{00000000-0005-0000-0000-0000491C0000}"/>
    <cellStyle name="Normal 57 5 2" xfId="6136" xr:uid="{00000000-0005-0000-0000-00004A1C0000}"/>
    <cellStyle name="Normal 57 6" xfId="6137" xr:uid="{00000000-0005-0000-0000-00004B1C0000}"/>
    <cellStyle name="Normal 58" xfId="6138" xr:uid="{00000000-0005-0000-0000-00004C1C0000}"/>
    <cellStyle name="Normal 58 2" xfId="6139" xr:uid="{00000000-0005-0000-0000-00004D1C0000}"/>
    <cellStyle name="Normal 58 2 2" xfId="6140" xr:uid="{00000000-0005-0000-0000-00004E1C0000}"/>
    <cellStyle name="Normal 58 2 2 2" xfId="6141" xr:uid="{00000000-0005-0000-0000-00004F1C0000}"/>
    <cellStyle name="Normal 58 2 2 2 2" xfId="6142" xr:uid="{00000000-0005-0000-0000-0000501C0000}"/>
    <cellStyle name="Normal 58 2 2 3" xfId="6143" xr:uid="{00000000-0005-0000-0000-0000511C0000}"/>
    <cellStyle name="Normal 58 2 3" xfId="6144" xr:uid="{00000000-0005-0000-0000-0000521C0000}"/>
    <cellStyle name="Normal 58 2 3 2" xfId="6145" xr:uid="{00000000-0005-0000-0000-0000531C0000}"/>
    <cellStyle name="Normal 58 2 4" xfId="6146" xr:uid="{00000000-0005-0000-0000-0000541C0000}"/>
    <cellStyle name="Normal 58 3" xfId="6147" xr:uid="{00000000-0005-0000-0000-0000551C0000}"/>
    <cellStyle name="Normal 58 3 2" xfId="6148" xr:uid="{00000000-0005-0000-0000-0000561C0000}"/>
    <cellStyle name="Normal 58 3 2 2" xfId="6149" xr:uid="{00000000-0005-0000-0000-0000571C0000}"/>
    <cellStyle name="Normal 58 3 3" xfId="6150" xr:uid="{00000000-0005-0000-0000-0000581C0000}"/>
    <cellStyle name="Normal 58 4" xfId="6151" xr:uid="{00000000-0005-0000-0000-0000591C0000}"/>
    <cellStyle name="Normal 58 4 2" xfId="6152" xr:uid="{00000000-0005-0000-0000-00005A1C0000}"/>
    <cellStyle name="Normal 58 4 2 2" xfId="6153" xr:uid="{00000000-0005-0000-0000-00005B1C0000}"/>
    <cellStyle name="Normal 58 4 3" xfId="6154" xr:uid="{00000000-0005-0000-0000-00005C1C0000}"/>
    <cellStyle name="Normal 58 5" xfId="6155" xr:uid="{00000000-0005-0000-0000-00005D1C0000}"/>
    <cellStyle name="Normal 58 5 2" xfId="6156" xr:uid="{00000000-0005-0000-0000-00005E1C0000}"/>
    <cellStyle name="Normal 58 6" xfId="6157" xr:uid="{00000000-0005-0000-0000-00005F1C0000}"/>
    <cellStyle name="Normal 59" xfId="6158" xr:uid="{00000000-0005-0000-0000-0000601C0000}"/>
    <cellStyle name="Normal 59 2" xfId="6159" xr:uid="{00000000-0005-0000-0000-0000611C0000}"/>
    <cellStyle name="Normal 59 2 2" xfId="6160" xr:uid="{00000000-0005-0000-0000-0000621C0000}"/>
    <cellStyle name="Normal 59 2 2 2" xfId="6161" xr:uid="{00000000-0005-0000-0000-0000631C0000}"/>
    <cellStyle name="Normal 59 2 2 2 2" xfId="6162" xr:uid="{00000000-0005-0000-0000-0000641C0000}"/>
    <cellStyle name="Normal 59 2 2 3" xfId="6163" xr:uid="{00000000-0005-0000-0000-0000651C0000}"/>
    <cellStyle name="Normal 59 2 3" xfId="6164" xr:uid="{00000000-0005-0000-0000-0000661C0000}"/>
    <cellStyle name="Normal 59 2 3 2" xfId="6165" xr:uid="{00000000-0005-0000-0000-0000671C0000}"/>
    <cellStyle name="Normal 59 2 4" xfId="6166" xr:uid="{00000000-0005-0000-0000-0000681C0000}"/>
    <cellStyle name="Normal 59 3" xfId="6167" xr:uid="{00000000-0005-0000-0000-0000691C0000}"/>
    <cellStyle name="Normal 59 3 2" xfId="6168" xr:uid="{00000000-0005-0000-0000-00006A1C0000}"/>
    <cellStyle name="Normal 59 3 2 2" xfId="6169" xr:uid="{00000000-0005-0000-0000-00006B1C0000}"/>
    <cellStyle name="Normal 59 3 3" xfId="6170" xr:uid="{00000000-0005-0000-0000-00006C1C0000}"/>
    <cellStyle name="Normal 59 4" xfId="6171" xr:uid="{00000000-0005-0000-0000-00006D1C0000}"/>
    <cellStyle name="Normal 59 4 2" xfId="6172" xr:uid="{00000000-0005-0000-0000-00006E1C0000}"/>
    <cellStyle name="Normal 59 4 2 2" xfId="6173" xr:uid="{00000000-0005-0000-0000-00006F1C0000}"/>
    <cellStyle name="Normal 59 4 3" xfId="6174" xr:uid="{00000000-0005-0000-0000-0000701C0000}"/>
    <cellStyle name="Normal 59 5" xfId="6175" xr:uid="{00000000-0005-0000-0000-0000711C0000}"/>
    <cellStyle name="Normal 59 5 2" xfId="6176" xr:uid="{00000000-0005-0000-0000-0000721C0000}"/>
    <cellStyle name="Normal 59 6" xfId="6177" xr:uid="{00000000-0005-0000-0000-0000731C0000}"/>
    <cellStyle name="Normal 6" xfId="12" xr:uid="{00000000-0005-0000-0000-0000741C0000}"/>
    <cellStyle name="Normal 6 10" xfId="6179" xr:uid="{00000000-0005-0000-0000-0000751C0000}"/>
    <cellStyle name="Normal 6 10 2" xfId="6180" xr:uid="{00000000-0005-0000-0000-0000761C0000}"/>
    <cellStyle name="Normal 6 10 2 2" xfId="6181" xr:uid="{00000000-0005-0000-0000-0000771C0000}"/>
    <cellStyle name="Normal 6 10 3" xfId="6182" xr:uid="{00000000-0005-0000-0000-0000781C0000}"/>
    <cellStyle name="Normal 6 11" xfId="6183" xr:uid="{00000000-0005-0000-0000-0000791C0000}"/>
    <cellStyle name="Normal 6 11 2" xfId="6184" xr:uid="{00000000-0005-0000-0000-00007A1C0000}"/>
    <cellStyle name="Normal 6 11 2 2" xfId="6185" xr:uid="{00000000-0005-0000-0000-00007B1C0000}"/>
    <cellStyle name="Normal 6 11 2 2 2" xfId="10119" xr:uid="{00000000-0005-0000-0000-00007C1C0000}"/>
    <cellStyle name="Normal 6 11 2 3" xfId="10118" xr:uid="{00000000-0005-0000-0000-00007D1C0000}"/>
    <cellStyle name="Normal 6 11 3" xfId="6186" xr:uid="{00000000-0005-0000-0000-00007E1C0000}"/>
    <cellStyle name="Normal 6 11 3 2" xfId="10120" xr:uid="{00000000-0005-0000-0000-00007F1C0000}"/>
    <cellStyle name="Normal 6 11 4" xfId="10117" xr:uid="{00000000-0005-0000-0000-0000801C0000}"/>
    <cellStyle name="Normal 6 12" xfId="6187" xr:uid="{00000000-0005-0000-0000-0000811C0000}"/>
    <cellStyle name="Normal 6 12 2" xfId="6188" xr:uid="{00000000-0005-0000-0000-0000821C0000}"/>
    <cellStyle name="Normal 6 12 2 2" xfId="6189" xr:uid="{00000000-0005-0000-0000-0000831C0000}"/>
    <cellStyle name="Normal 6 12 3" xfId="6190" xr:uid="{00000000-0005-0000-0000-0000841C0000}"/>
    <cellStyle name="Normal 6 13" xfId="6191" xr:uid="{00000000-0005-0000-0000-0000851C0000}"/>
    <cellStyle name="Normal 6 13 2" xfId="6192" xr:uid="{00000000-0005-0000-0000-0000861C0000}"/>
    <cellStyle name="Normal 6 14" xfId="6193" xr:uid="{00000000-0005-0000-0000-0000871C0000}"/>
    <cellStyle name="Normal 6 15" xfId="6194" xr:uid="{00000000-0005-0000-0000-0000881C0000}"/>
    <cellStyle name="Normal 6 16" xfId="9753" xr:uid="{00000000-0005-0000-0000-0000891C0000}"/>
    <cellStyle name="Normal 6 17" xfId="6178" xr:uid="{00000000-0005-0000-0000-00008A1C0000}"/>
    <cellStyle name="Normal 6 2" xfId="6195" xr:uid="{00000000-0005-0000-0000-00008B1C0000}"/>
    <cellStyle name="Normal 6 2 10" xfId="6196" xr:uid="{00000000-0005-0000-0000-00008C1C0000}"/>
    <cellStyle name="Normal 6 2 10 2" xfId="6197" xr:uid="{00000000-0005-0000-0000-00008D1C0000}"/>
    <cellStyle name="Normal 6 2 10 2 2" xfId="6198" xr:uid="{00000000-0005-0000-0000-00008E1C0000}"/>
    <cellStyle name="Normal 6 2 10 3" xfId="6199" xr:uid="{00000000-0005-0000-0000-00008F1C0000}"/>
    <cellStyle name="Normal 6 2 11" xfId="6200" xr:uid="{00000000-0005-0000-0000-0000901C0000}"/>
    <cellStyle name="Normal 6 2 11 2" xfId="6201" xr:uid="{00000000-0005-0000-0000-0000911C0000}"/>
    <cellStyle name="Normal 6 2 11 2 2" xfId="6202" xr:uid="{00000000-0005-0000-0000-0000921C0000}"/>
    <cellStyle name="Normal 6 2 11 2 2 2" xfId="10123" xr:uid="{00000000-0005-0000-0000-0000931C0000}"/>
    <cellStyle name="Normal 6 2 11 2 3" xfId="10122" xr:uid="{00000000-0005-0000-0000-0000941C0000}"/>
    <cellStyle name="Normal 6 2 11 3" xfId="6203" xr:uid="{00000000-0005-0000-0000-0000951C0000}"/>
    <cellStyle name="Normal 6 2 11 3 2" xfId="10124" xr:uid="{00000000-0005-0000-0000-0000961C0000}"/>
    <cellStyle name="Normal 6 2 11 4" xfId="10121" xr:uid="{00000000-0005-0000-0000-0000971C0000}"/>
    <cellStyle name="Normal 6 2 12" xfId="6204" xr:uid="{00000000-0005-0000-0000-0000981C0000}"/>
    <cellStyle name="Normal 6 2 12 2" xfId="6205" xr:uid="{00000000-0005-0000-0000-0000991C0000}"/>
    <cellStyle name="Normal 6 2 12 2 2" xfId="6206" xr:uid="{00000000-0005-0000-0000-00009A1C0000}"/>
    <cellStyle name="Normal 6 2 12 3" xfId="6207" xr:uid="{00000000-0005-0000-0000-00009B1C0000}"/>
    <cellStyle name="Normal 6 2 13" xfId="6208" xr:uid="{00000000-0005-0000-0000-00009C1C0000}"/>
    <cellStyle name="Normal 6 2 13 2" xfId="6209" xr:uid="{00000000-0005-0000-0000-00009D1C0000}"/>
    <cellStyle name="Normal 6 2 14" xfId="6210" xr:uid="{00000000-0005-0000-0000-00009E1C0000}"/>
    <cellStyle name="Normal 6 2 15" xfId="6211" xr:uid="{00000000-0005-0000-0000-00009F1C0000}"/>
    <cellStyle name="Normal 6 2 16" xfId="9838" xr:uid="{00000000-0005-0000-0000-0000A01C0000}"/>
    <cellStyle name="Normal 6 2 2" xfId="6212" xr:uid="{00000000-0005-0000-0000-0000A11C0000}"/>
    <cellStyle name="Normal 6 2 2 2" xfId="6213" xr:uid="{00000000-0005-0000-0000-0000A21C0000}"/>
    <cellStyle name="Normal 6 2 2 2 2" xfId="6214" xr:uid="{00000000-0005-0000-0000-0000A31C0000}"/>
    <cellStyle name="Normal 6 2 2 2 2 2" xfId="6215" xr:uid="{00000000-0005-0000-0000-0000A41C0000}"/>
    <cellStyle name="Normal 6 2 2 2 2 2 2" xfId="10128" xr:uid="{00000000-0005-0000-0000-0000A51C0000}"/>
    <cellStyle name="Normal 6 2 2 2 2 3" xfId="10127" xr:uid="{00000000-0005-0000-0000-0000A61C0000}"/>
    <cellStyle name="Normal 6 2 2 2 3" xfId="6216" xr:uid="{00000000-0005-0000-0000-0000A71C0000}"/>
    <cellStyle name="Normal 6 2 2 2 3 2" xfId="10129" xr:uid="{00000000-0005-0000-0000-0000A81C0000}"/>
    <cellStyle name="Normal 6 2 2 2 4" xfId="10126" xr:uid="{00000000-0005-0000-0000-0000A91C0000}"/>
    <cellStyle name="Normal 6 2 2 3" xfId="6217" xr:uid="{00000000-0005-0000-0000-0000AA1C0000}"/>
    <cellStyle name="Normal 6 2 2 3 2" xfId="10130" xr:uid="{00000000-0005-0000-0000-0000AB1C0000}"/>
    <cellStyle name="Normal 6 2 2 4" xfId="6218" xr:uid="{00000000-0005-0000-0000-0000AC1C0000}"/>
    <cellStyle name="Normal 6 2 2 4 2" xfId="6219" xr:uid="{00000000-0005-0000-0000-0000AD1C0000}"/>
    <cellStyle name="Normal 6 2 2 4 2 2" xfId="6220" xr:uid="{00000000-0005-0000-0000-0000AE1C0000}"/>
    <cellStyle name="Normal 6 2 2 4 2 2 2" xfId="10133" xr:uid="{00000000-0005-0000-0000-0000AF1C0000}"/>
    <cellStyle name="Normal 6 2 2 4 2 3" xfId="10132" xr:uid="{00000000-0005-0000-0000-0000B01C0000}"/>
    <cellStyle name="Normal 6 2 2 4 3" xfId="6221" xr:uid="{00000000-0005-0000-0000-0000B11C0000}"/>
    <cellStyle name="Normal 6 2 2 4 3 2" xfId="10134" xr:uid="{00000000-0005-0000-0000-0000B21C0000}"/>
    <cellStyle name="Normal 6 2 2 4 4" xfId="10131" xr:uid="{00000000-0005-0000-0000-0000B31C0000}"/>
    <cellStyle name="Normal 6 2 2 5" xfId="10125" xr:uid="{00000000-0005-0000-0000-0000B41C0000}"/>
    <cellStyle name="Normal 6 2 2_Activity Fcst Variance" xfId="6222" xr:uid="{00000000-0005-0000-0000-0000B51C0000}"/>
    <cellStyle name="Normal 6 2 3" xfId="6223" xr:uid="{00000000-0005-0000-0000-0000B61C0000}"/>
    <cellStyle name="Normal 6 2 3 2" xfId="6224" xr:uid="{00000000-0005-0000-0000-0000B71C0000}"/>
    <cellStyle name="Normal 6 2 3 2 2" xfId="6225" xr:uid="{00000000-0005-0000-0000-0000B81C0000}"/>
    <cellStyle name="Normal 6 2 3 2 2 2" xfId="6226" xr:uid="{00000000-0005-0000-0000-0000B91C0000}"/>
    <cellStyle name="Normal 6 2 3 2 2 2 2" xfId="6227" xr:uid="{00000000-0005-0000-0000-0000BA1C0000}"/>
    <cellStyle name="Normal 6 2 3 2 2 3" xfId="6228" xr:uid="{00000000-0005-0000-0000-0000BB1C0000}"/>
    <cellStyle name="Normal 6 2 3 2 3" xfId="6229" xr:uid="{00000000-0005-0000-0000-0000BC1C0000}"/>
    <cellStyle name="Normal 6 2 3 2 3 2" xfId="6230" xr:uid="{00000000-0005-0000-0000-0000BD1C0000}"/>
    <cellStyle name="Normal 6 2 3 2 4" xfId="6231" xr:uid="{00000000-0005-0000-0000-0000BE1C0000}"/>
    <cellStyle name="Normal 6 2 3 3" xfId="6232" xr:uid="{00000000-0005-0000-0000-0000BF1C0000}"/>
    <cellStyle name="Normal 6 2 3 3 2" xfId="6233" xr:uid="{00000000-0005-0000-0000-0000C01C0000}"/>
    <cellStyle name="Normal 6 2 3 3 3" xfId="6234" xr:uid="{00000000-0005-0000-0000-0000C11C0000}"/>
    <cellStyle name="Normal 6 2 3 3 3 2" xfId="6235" xr:uid="{00000000-0005-0000-0000-0000C21C0000}"/>
    <cellStyle name="Normal 6 2 3 3 4" xfId="6236" xr:uid="{00000000-0005-0000-0000-0000C31C0000}"/>
    <cellStyle name="Normal 6 2 3 4" xfId="6237" xr:uid="{00000000-0005-0000-0000-0000C41C0000}"/>
    <cellStyle name="Normal 6 2 3 4 2" xfId="6238" xr:uid="{00000000-0005-0000-0000-0000C51C0000}"/>
    <cellStyle name="Normal 6 2 3 4 2 2" xfId="6239" xr:uid="{00000000-0005-0000-0000-0000C61C0000}"/>
    <cellStyle name="Normal 6 2 3 4 3" xfId="6240" xr:uid="{00000000-0005-0000-0000-0000C71C0000}"/>
    <cellStyle name="Normal 6 2 3 5" xfId="6241" xr:uid="{00000000-0005-0000-0000-0000C81C0000}"/>
    <cellStyle name="Normal 6 2 3 5 2" xfId="6242" xr:uid="{00000000-0005-0000-0000-0000C91C0000}"/>
    <cellStyle name="Normal 6 2 3 6" xfId="6243" xr:uid="{00000000-0005-0000-0000-0000CA1C0000}"/>
    <cellStyle name="Normal 6 2 4" xfId="6244" xr:uid="{00000000-0005-0000-0000-0000CB1C0000}"/>
    <cellStyle name="Normal 6 2 4 2" xfId="6245" xr:uid="{00000000-0005-0000-0000-0000CC1C0000}"/>
    <cellStyle name="Normal 6 2 4 2 2" xfId="6246" xr:uid="{00000000-0005-0000-0000-0000CD1C0000}"/>
    <cellStyle name="Normal 6 2 4 2 2 2" xfId="6247" xr:uid="{00000000-0005-0000-0000-0000CE1C0000}"/>
    <cellStyle name="Normal 6 2 4 2 2 2 2" xfId="6248" xr:uid="{00000000-0005-0000-0000-0000CF1C0000}"/>
    <cellStyle name="Normal 6 2 4 2 2 3" xfId="6249" xr:uid="{00000000-0005-0000-0000-0000D01C0000}"/>
    <cellStyle name="Normal 6 2 4 2 3" xfId="6250" xr:uid="{00000000-0005-0000-0000-0000D11C0000}"/>
    <cellStyle name="Normal 6 2 4 2 3 2" xfId="6251" xr:uid="{00000000-0005-0000-0000-0000D21C0000}"/>
    <cellStyle name="Normal 6 2 4 2 4" xfId="6252" xr:uid="{00000000-0005-0000-0000-0000D31C0000}"/>
    <cellStyle name="Normal 6 2 4 3" xfId="6253" xr:uid="{00000000-0005-0000-0000-0000D41C0000}"/>
    <cellStyle name="Normal 6 2 4 3 2" xfId="6254" xr:uid="{00000000-0005-0000-0000-0000D51C0000}"/>
    <cellStyle name="Normal 6 2 4 3 2 2" xfId="10135" xr:uid="{00000000-0005-0000-0000-0000D61C0000}"/>
    <cellStyle name="Normal 6 2 4 3 3" xfId="6255" xr:uid="{00000000-0005-0000-0000-0000D71C0000}"/>
    <cellStyle name="Normal 6 2 4 3 3 2" xfId="6256" xr:uid="{00000000-0005-0000-0000-0000D81C0000}"/>
    <cellStyle name="Normal 6 2 4 3 4" xfId="6257" xr:uid="{00000000-0005-0000-0000-0000D91C0000}"/>
    <cellStyle name="Normal 6 2 4 4" xfId="6258" xr:uid="{00000000-0005-0000-0000-0000DA1C0000}"/>
    <cellStyle name="Normal 6 2 4 4 2" xfId="6259" xr:uid="{00000000-0005-0000-0000-0000DB1C0000}"/>
    <cellStyle name="Normal 6 2 4 4 2 2" xfId="6260" xr:uid="{00000000-0005-0000-0000-0000DC1C0000}"/>
    <cellStyle name="Normal 6 2 4 4 3" xfId="6261" xr:uid="{00000000-0005-0000-0000-0000DD1C0000}"/>
    <cellStyle name="Normal 6 2 4 5" xfId="6262" xr:uid="{00000000-0005-0000-0000-0000DE1C0000}"/>
    <cellStyle name="Normal 6 2 4 5 2" xfId="6263" xr:uid="{00000000-0005-0000-0000-0000DF1C0000}"/>
    <cellStyle name="Normal 6 2 4 6" xfId="6264" xr:uid="{00000000-0005-0000-0000-0000E01C0000}"/>
    <cellStyle name="Normal 6 2 5" xfId="6265" xr:uid="{00000000-0005-0000-0000-0000E11C0000}"/>
    <cellStyle name="Normal 6 2 5 2" xfId="6266" xr:uid="{00000000-0005-0000-0000-0000E21C0000}"/>
    <cellStyle name="Normal 6 2 5 2 2" xfId="6267" xr:uid="{00000000-0005-0000-0000-0000E31C0000}"/>
    <cellStyle name="Normal 6 2 5 2 2 2" xfId="6268" xr:uid="{00000000-0005-0000-0000-0000E41C0000}"/>
    <cellStyle name="Normal 6 2 5 2 2 2 2" xfId="6269" xr:uid="{00000000-0005-0000-0000-0000E51C0000}"/>
    <cellStyle name="Normal 6 2 5 2 2 3" xfId="6270" xr:uid="{00000000-0005-0000-0000-0000E61C0000}"/>
    <cellStyle name="Normal 6 2 5 2 3" xfId="6271" xr:uid="{00000000-0005-0000-0000-0000E71C0000}"/>
    <cellStyle name="Normal 6 2 5 2 3 2" xfId="6272" xr:uid="{00000000-0005-0000-0000-0000E81C0000}"/>
    <cellStyle name="Normal 6 2 5 2 4" xfId="6273" xr:uid="{00000000-0005-0000-0000-0000E91C0000}"/>
    <cellStyle name="Normal 6 2 5 3" xfId="6274" xr:uid="{00000000-0005-0000-0000-0000EA1C0000}"/>
    <cellStyle name="Normal 6 2 5 3 2" xfId="6275" xr:uid="{00000000-0005-0000-0000-0000EB1C0000}"/>
    <cellStyle name="Normal 6 2 5 3 3" xfId="6276" xr:uid="{00000000-0005-0000-0000-0000EC1C0000}"/>
    <cellStyle name="Normal 6 2 5 3 3 2" xfId="6277" xr:uid="{00000000-0005-0000-0000-0000ED1C0000}"/>
    <cellStyle name="Normal 6 2 5 3 4" xfId="6278" xr:uid="{00000000-0005-0000-0000-0000EE1C0000}"/>
    <cellStyle name="Normal 6 2 5 4" xfId="6279" xr:uid="{00000000-0005-0000-0000-0000EF1C0000}"/>
    <cellStyle name="Normal 6 2 5 4 2" xfId="6280" xr:uid="{00000000-0005-0000-0000-0000F01C0000}"/>
    <cellStyle name="Normal 6 2 5 4 2 2" xfId="6281" xr:uid="{00000000-0005-0000-0000-0000F11C0000}"/>
    <cellStyle name="Normal 6 2 5 4 3" xfId="6282" xr:uid="{00000000-0005-0000-0000-0000F21C0000}"/>
    <cellStyle name="Normal 6 2 5 5" xfId="6283" xr:uid="{00000000-0005-0000-0000-0000F31C0000}"/>
    <cellStyle name="Normal 6 2 5 5 2" xfId="6284" xr:uid="{00000000-0005-0000-0000-0000F41C0000}"/>
    <cellStyle name="Normal 6 2 5 6" xfId="6285" xr:uid="{00000000-0005-0000-0000-0000F51C0000}"/>
    <cellStyle name="Normal 6 2 6" xfId="6286" xr:uid="{00000000-0005-0000-0000-0000F61C0000}"/>
    <cellStyle name="Normal 6 2 6 2" xfId="6287" xr:uid="{00000000-0005-0000-0000-0000F71C0000}"/>
    <cellStyle name="Normal 6 2 6 3" xfId="6288" xr:uid="{00000000-0005-0000-0000-0000F81C0000}"/>
    <cellStyle name="Normal 6 2 6 3 2" xfId="6289" xr:uid="{00000000-0005-0000-0000-0000F91C0000}"/>
    <cellStyle name="Normal 6 2 6 4" xfId="6290" xr:uid="{00000000-0005-0000-0000-0000FA1C0000}"/>
    <cellStyle name="Normal 6 2 7" xfId="6291" xr:uid="{00000000-0005-0000-0000-0000FB1C0000}"/>
    <cellStyle name="Normal 6 2 7 2" xfId="6292" xr:uid="{00000000-0005-0000-0000-0000FC1C0000}"/>
    <cellStyle name="Normal 6 2 7 3" xfId="6293" xr:uid="{00000000-0005-0000-0000-0000FD1C0000}"/>
    <cellStyle name="Normal 6 2 7 3 2" xfId="6294" xr:uid="{00000000-0005-0000-0000-0000FE1C0000}"/>
    <cellStyle name="Normal 6 2 7 4" xfId="6295" xr:uid="{00000000-0005-0000-0000-0000FF1C0000}"/>
    <cellStyle name="Normal 6 2 8" xfId="6296" xr:uid="{00000000-0005-0000-0000-0000001D0000}"/>
    <cellStyle name="Normal 6 2 9" xfId="6297" xr:uid="{00000000-0005-0000-0000-0000011D0000}"/>
    <cellStyle name="Normal 6 2_Activity Fcst Variance" xfId="6298" xr:uid="{00000000-0005-0000-0000-0000021D0000}"/>
    <cellStyle name="Normal 6 3" xfId="6299" xr:uid="{00000000-0005-0000-0000-0000031D0000}"/>
    <cellStyle name="Normal 6 3 2" xfId="10136" xr:uid="{00000000-0005-0000-0000-0000041D0000}"/>
    <cellStyle name="Normal 6 4" xfId="6300" xr:uid="{00000000-0005-0000-0000-0000051D0000}"/>
    <cellStyle name="Normal 6 4 2" xfId="6301" xr:uid="{00000000-0005-0000-0000-0000061D0000}"/>
    <cellStyle name="Normal 6 4 2 2" xfId="6302" xr:uid="{00000000-0005-0000-0000-0000071D0000}"/>
    <cellStyle name="Normal 6 4 2 2 2" xfId="6303" xr:uid="{00000000-0005-0000-0000-0000081D0000}"/>
    <cellStyle name="Normal 6 4 2 2 2 2" xfId="6304" xr:uid="{00000000-0005-0000-0000-0000091D0000}"/>
    <cellStyle name="Normal 6 4 2 2 3" xfId="6305" xr:uid="{00000000-0005-0000-0000-00000A1D0000}"/>
    <cellStyle name="Normal 6 4 2 3" xfId="6306" xr:uid="{00000000-0005-0000-0000-00000B1D0000}"/>
    <cellStyle name="Normal 6 4 2 3 2" xfId="6307" xr:uid="{00000000-0005-0000-0000-00000C1D0000}"/>
    <cellStyle name="Normal 6 4 2 4" xfId="6308" xr:uid="{00000000-0005-0000-0000-00000D1D0000}"/>
    <cellStyle name="Normal 6 4 3" xfId="6309" xr:uid="{00000000-0005-0000-0000-00000E1D0000}"/>
    <cellStyle name="Normal 6 4 3 2" xfId="6310" xr:uid="{00000000-0005-0000-0000-00000F1D0000}"/>
    <cellStyle name="Normal 6 4 3 2 2" xfId="6311" xr:uid="{00000000-0005-0000-0000-0000101D0000}"/>
    <cellStyle name="Normal 6 4 3 3" xfId="6312" xr:uid="{00000000-0005-0000-0000-0000111D0000}"/>
    <cellStyle name="Normal 6 4 4" xfId="6313" xr:uid="{00000000-0005-0000-0000-0000121D0000}"/>
    <cellStyle name="Normal 6 4 4 2" xfId="6314" xr:uid="{00000000-0005-0000-0000-0000131D0000}"/>
    <cellStyle name="Normal 6 4 4 2 2" xfId="6315" xr:uid="{00000000-0005-0000-0000-0000141D0000}"/>
    <cellStyle name="Normal 6 4 4 3" xfId="6316" xr:uid="{00000000-0005-0000-0000-0000151D0000}"/>
    <cellStyle name="Normal 6 4 5" xfId="6317" xr:uid="{00000000-0005-0000-0000-0000161D0000}"/>
    <cellStyle name="Normal 6 4 5 2" xfId="6318" xr:uid="{00000000-0005-0000-0000-0000171D0000}"/>
    <cellStyle name="Normal 6 4 6" xfId="6319" xr:uid="{00000000-0005-0000-0000-0000181D0000}"/>
    <cellStyle name="Normal 6 5" xfId="6320" xr:uid="{00000000-0005-0000-0000-0000191D0000}"/>
    <cellStyle name="Normal 6 5 2" xfId="6321" xr:uid="{00000000-0005-0000-0000-00001A1D0000}"/>
    <cellStyle name="Normal 6 5 2 2" xfId="6322" xr:uid="{00000000-0005-0000-0000-00001B1D0000}"/>
    <cellStyle name="Normal 6 5 2 2 2" xfId="6323" xr:uid="{00000000-0005-0000-0000-00001C1D0000}"/>
    <cellStyle name="Normal 6 5 2 2 2 2" xfId="6324" xr:uid="{00000000-0005-0000-0000-00001D1D0000}"/>
    <cellStyle name="Normal 6 5 2 2 3" xfId="6325" xr:uid="{00000000-0005-0000-0000-00001E1D0000}"/>
    <cellStyle name="Normal 6 5 2 3" xfId="6326" xr:uid="{00000000-0005-0000-0000-00001F1D0000}"/>
    <cellStyle name="Normal 6 5 2 3 2" xfId="6327" xr:uid="{00000000-0005-0000-0000-0000201D0000}"/>
    <cellStyle name="Normal 6 5 2 4" xfId="6328" xr:uid="{00000000-0005-0000-0000-0000211D0000}"/>
    <cellStyle name="Normal 6 5 3" xfId="6329" xr:uid="{00000000-0005-0000-0000-0000221D0000}"/>
    <cellStyle name="Normal 6 5 3 2" xfId="6330" xr:uid="{00000000-0005-0000-0000-0000231D0000}"/>
    <cellStyle name="Normal 6 5 3 2 2" xfId="10137" xr:uid="{00000000-0005-0000-0000-0000241D0000}"/>
    <cellStyle name="Normal 6 5 3 3" xfId="6331" xr:uid="{00000000-0005-0000-0000-0000251D0000}"/>
    <cellStyle name="Normal 6 5 3 3 2" xfId="6332" xr:uid="{00000000-0005-0000-0000-0000261D0000}"/>
    <cellStyle name="Normal 6 5 3 4" xfId="6333" xr:uid="{00000000-0005-0000-0000-0000271D0000}"/>
    <cellStyle name="Normal 6 5 4" xfId="6334" xr:uid="{00000000-0005-0000-0000-0000281D0000}"/>
    <cellStyle name="Normal 6 5 4 2" xfId="6335" xr:uid="{00000000-0005-0000-0000-0000291D0000}"/>
    <cellStyle name="Normal 6 5 4 2 2" xfId="6336" xr:uid="{00000000-0005-0000-0000-00002A1D0000}"/>
    <cellStyle name="Normal 6 5 4 3" xfId="6337" xr:uid="{00000000-0005-0000-0000-00002B1D0000}"/>
    <cellStyle name="Normal 6 5 5" xfId="6338" xr:uid="{00000000-0005-0000-0000-00002C1D0000}"/>
    <cellStyle name="Normal 6 5 5 2" xfId="6339" xr:uid="{00000000-0005-0000-0000-00002D1D0000}"/>
    <cellStyle name="Normal 6 5 6" xfId="6340" xr:uid="{00000000-0005-0000-0000-00002E1D0000}"/>
    <cellStyle name="Normal 6 6" xfId="6341" xr:uid="{00000000-0005-0000-0000-00002F1D0000}"/>
    <cellStyle name="Normal 6 6 2" xfId="6342" xr:uid="{00000000-0005-0000-0000-0000301D0000}"/>
    <cellStyle name="Normal 6 6 2 2" xfId="6343" xr:uid="{00000000-0005-0000-0000-0000311D0000}"/>
    <cellStyle name="Normal 6 6 2 2 2" xfId="6344" xr:uid="{00000000-0005-0000-0000-0000321D0000}"/>
    <cellStyle name="Normal 6 6 2 2 2 2" xfId="6345" xr:uid="{00000000-0005-0000-0000-0000331D0000}"/>
    <cellStyle name="Normal 6 6 2 2 3" xfId="6346" xr:uid="{00000000-0005-0000-0000-0000341D0000}"/>
    <cellStyle name="Normal 6 6 2 3" xfId="6347" xr:uid="{00000000-0005-0000-0000-0000351D0000}"/>
    <cellStyle name="Normal 6 6 2 3 2" xfId="6348" xr:uid="{00000000-0005-0000-0000-0000361D0000}"/>
    <cellStyle name="Normal 6 6 2 4" xfId="6349" xr:uid="{00000000-0005-0000-0000-0000371D0000}"/>
    <cellStyle name="Normal 6 6 3" xfId="6350" xr:uid="{00000000-0005-0000-0000-0000381D0000}"/>
    <cellStyle name="Normal 6 6 3 2" xfId="6351" xr:uid="{00000000-0005-0000-0000-0000391D0000}"/>
    <cellStyle name="Normal 6 6 3 2 2" xfId="10138" xr:uid="{00000000-0005-0000-0000-00003A1D0000}"/>
    <cellStyle name="Normal 6 6 3 3" xfId="6352" xr:uid="{00000000-0005-0000-0000-00003B1D0000}"/>
    <cellStyle name="Normal 6 6 3 3 2" xfId="6353" xr:uid="{00000000-0005-0000-0000-00003C1D0000}"/>
    <cellStyle name="Normal 6 6 3 4" xfId="6354" xr:uid="{00000000-0005-0000-0000-00003D1D0000}"/>
    <cellStyle name="Normal 6 6 4" xfId="6355" xr:uid="{00000000-0005-0000-0000-00003E1D0000}"/>
    <cellStyle name="Normal 6 6 4 2" xfId="6356" xr:uid="{00000000-0005-0000-0000-00003F1D0000}"/>
    <cellStyle name="Normal 6 6 4 2 2" xfId="6357" xr:uid="{00000000-0005-0000-0000-0000401D0000}"/>
    <cellStyle name="Normal 6 6 4 3" xfId="6358" xr:uid="{00000000-0005-0000-0000-0000411D0000}"/>
    <cellStyle name="Normal 6 6 5" xfId="6359" xr:uid="{00000000-0005-0000-0000-0000421D0000}"/>
    <cellStyle name="Normal 6 6 5 2" xfId="6360" xr:uid="{00000000-0005-0000-0000-0000431D0000}"/>
    <cellStyle name="Normal 6 6 6" xfId="6361" xr:uid="{00000000-0005-0000-0000-0000441D0000}"/>
    <cellStyle name="Normal 6 7" xfId="6362" xr:uid="{00000000-0005-0000-0000-0000451D0000}"/>
    <cellStyle name="Normal 6 7 2" xfId="6363" xr:uid="{00000000-0005-0000-0000-0000461D0000}"/>
    <cellStyle name="Normal 6 7 2 2" xfId="10139" xr:uid="{00000000-0005-0000-0000-0000471D0000}"/>
    <cellStyle name="Normal 6 7 3" xfId="6364" xr:uid="{00000000-0005-0000-0000-0000481D0000}"/>
    <cellStyle name="Normal 6 7 3 2" xfId="6365" xr:uid="{00000000-0005-0000-0000-0000491D0000}"/>
    <cellStyle name="Normal 6 7 4" xfId="6366" xr:uid="{00000000-0005-0000-0000-00004A1D0000}"/>
    <cellStyle name="Normal 6 8" xfId="6367" xr:uid="{00000000-0005-0000-0000-00004B1D0000}"/>
    <cellStyle name="Normal 6 8 2" xfId="6368" xr:uid="{00000000-0005-0000-0000-00004C1D0000}"/>
    <cellStyle name="Normal 6 8 2 2" xfId="10140" xr:uid="{00000000-0005-0000-0000-00004D1D0000}"/>
    <cellStyle name="Normal 6 8 3" xfId="6369" xr:uid="{00000000-0005-0000-0000-00004E1D0000}"/>
    <cellStyle name="Normal 6 8 3 2" xfId="6370" xr:uid="{00000000-0005-0000-0000-00004F1D0000}"/>
    <cellStyle name="Normal 6 8 4" xfId="6371" xr:uid="{00000000-0005-0000-0000-0000501D0000}"/>
    <cellStyle name="Normal 6 9" xfId="6372" xr:uid="{00000000-0005-0000-0000-0000511D0000}"/>
    <cellStyle name="Normal 6_Activity Fcst Variance" xfId="6373" xr:uid="{00000000-0005-0000-0000-0000521D0000}"/>
    <cellStyle name="Normal 60" xfId="6374" xr:uid="{00000000-0005-0000-0000-0000531D0000}"/>
    <cellStyle name="Normal 60 2" xfId="6375" xr:uid="{00000000-0005-0000-0000-0000541D0000}"/>
    <cellStyle name="Normal 60 2 2" xfId="6376" xr:uid="{00000000-0005-0000-0000-0000551D0000}"/>
    <cellStyle name="Normal 60 2 2 2" xfId="6377" xr:uid="{00000000-0005-0000-0000-0000561D0000}"/>
    <cellStyle name="Normal 60 2 2 2 2" xfId="6378" xr:uid="{00000000-0005-0000-0000-0000571D0000}"/>
    <cellStyle name="Normal 60 2 2 3" xfId="6379" xr:uid="{00000000-0005-0000-0000-0000581D0000}"/>
    <cellStyle name="Normal 60 2 3" xfId="6380" xr:uid="{00000000-0005-0000-0000-0000591D0000}"/>
    <cellStyle name="Normal 60 2 3 2" xfId="6381" xr:uid="{00000000-0005-0000-0000-00005A1D0000}"/>
    <cellStyle name="Normal 60 2 4" xfId="6382" xr:uid="{00000000-0005-0000-0000-00005B1D0000}"/>
    <cellStyle name="Normal 60 3" xfId="6383" xr:uid="{00000000-0005-0000-0000-00005C1D0000}"/>
    <cellStyle name="Normal 60 3 2" xfId="6384" xr:uid="{00000000-0005-0000-0000-00005D1D0000}"/>
    <cellStyle name="Normal 60 3 2 2" xfId="6385" xr:uid="{00000000-0005-0000-0000-00005E1D0000}"/>
    <cellStyle name="Normal 60 3 3" xfId="6386" xr:uid="{00000000-0005-0000-0000-00005F1D0000}"/>
    <cellStyle name="Normal 60 4" xfId="6387" xr:uid="{00000000-0005-0000-0000-0000601D0000}"/>
    <cellStyle name="Normal 60 4 2" xfId="6388" xr:uid="{00000000-0005-0000-0000-0000611D0000}"/>
    <cellStyle name="Normal 60 4 2 2" xfId="6389" xr:uid="{00000000-0005-0000-0000-0000621D0000}"/>
    <cellStyle name="Normal 60 4 3" xfId="6390" xr:uid="{00000000-0005-0000-0000-0000631D0000}"/>
    <cellStyle name="Normal 60 5" xfId="6391" xr:uid="{00000000-0005-0000-0000-0000641D0000}"/>
    <cellStyle name="Normal 60 5 2" xfId="6392" xr:uid="{00000000-0005-0000-0000-0000651D0000}"/>
    <cellStyle name="Normal 60 6" xfId="6393" xr:uid="{00000000-0005-0000-0000-0000661D0000}"/>
    <cellStyle name="Normal 61" xfId="6394" xr:uid="{00000000-0005-0000-0000-0000671D0000}"/>
    <cellStyle name="Normal 61 2" xfId="6395" xr:uid="{00000000-0005-0000-0000-0000681D0000}"/>
    <cellStyle name="Normal 61 2 2" xfId="6396" xr:uid="{00000000-0005-0000-0000-0000691D0000}"/>
    <cellStyle name="Normal 61 2 2 2" xfId="6397" xr:uid="{00000000-0005-0000-0000-00006A1D0000}"/>
    <cellStyle name="Normal 61 2 2 2 2" xfId="6398" xr:uid="{00000000-0005-0000-0000-00006B1D0000}"/>
    <cellStyle name="Normal 61 2 2 3" xfId="6399" xr:uid="{00000000-0005-0000-0000-00006C1D0000}"/>
    <cellStyle name="Normal 61 2 3" xfId="6400" xr:uid="{00000000-0005-0000-0000-00006D1D0000}"/>
    <cellStyle name="Normal 61 2 3 2" xfId="6401" xr:uid="{00000000-0005-0000-0000-00006E1D0000}"/>
    <cellStyle name="Normal 61 2 4" xfId="6402" xr:uid="{00000000-0005-0000-0000-00006F1D0000}"/>
    <cellStyle name="Normal 61 3" xfId="6403" xr:uid="{00000000-0005-0000-0000-0000701D0000}"/>
    <cellStyle name="Normal 61 3 2" xfId="6404" xr:uid="{00000000-0005-0000-0000-0000711D0000}"/>
    <cellStyle name="Normal 61 3 2 2" xfId="6405" xr:uid="{00000000-0005-0000-0000-0000721D0000}"/>
    <cellStyle name="Normal 61 3 3" xfId="6406" xr:uid="{00000000-0005-0000-0000-0000731D0000}"/>
    <cellStyle name="Normal 61 4" xfId="6407" xr:uid="{00000000-0005-0000-0000-0000741D0000}"/>
    <cellStyle name="Normal 61 4 2" xfId="6408" xr:uid="{00000000-0005-0000-0000-0000751D0000}"/>
    <cellStyle name="Normal 61 4 2 2" xfId="6409" xr:uid="{00000000-0005-0000-0000-0000761D0000}"/>
    <cellStyle name="Normal 61 4 3" xfId="6410" xr:uid="{00000000-0005-0000-0000-0000771D0000}"/>
    <cellStyle name="Normal 61 5" xfId="6411" xr:uid="{00000000-0005-0000-0000-0000781D0000}"/>
    <cellStyle name="Normal 61 5 2" xfId="6412" xr:uid="{00000000-0005-0000-0000-0000791D0000}"/>
    <cellStyle name="Normal 61 6" xfId="6413" xr:uid="{00000000-0005-0000-0000-00007A1D0000}"/>
    <cellStyle name="Normal 62" xfId="6414" xr:uid="{00000000-0005-0000-0000-00007B1D0000}"/>
    <cellStyle name="Normal 62 2" xfId="6415" xr:uid="{00000000-0005-0000-0000-00007C1D0000}"/>
    <cellStyle name="Normal 62 2 2" xfId="6416" xr:uid="{00000000-0005-0000-0000-00007D1D0000}"/>
    <cellStyle name="Normal 62 2 2 2" xfId="6417" xr:uid="{00000000-0005-0000-0000-00007E1D0000}"/>
    <cellStyle name="Normal 62 2 2 2 2" xfId="6418" xr:uid="{00000000-0005-0000-0000-00007F1D0000}"/>
    <cellStyle name="Normal 62 2 2 3" xfId="6419" xr:uid="{00000000-0005-0000-0000-0000801D0000}"/>
    <cellStyle name="Normal 62 2 3" xfId="6420" xr:uid="{00000000-0005-0000-0000-0000811D0000}"/>
    <cellStyle name="Normal 62 2 3 2" xfId="6421" xr:uid="{00000000-0005-0000-0000-0000821D0000}"/>
    <cellStyle name="Normal 62 2 4" xfId="6422" xr:uid="{00000000-0005-0000-0000-0000831D0000}"/>
    <cellStyle name="Normal 62 3" xfId="6423" xr:uid="{00000000-0005-0000-0000-0000841D0000}"/>
    <cellStyle name="Normal 62 3 2" xfId="6424" xr:uid="{00000000-0005-0000-0000-0000851D0000}"/>
    <cellStyle name="Normal 62 3 2 2" xfId="6425" xr:uid="{00000000-0005-0000-0000-0000861D0000}"/>
    <cellStyle name="Normal 62 3 3" xfId="6426" xr:uid="{00000000-0005-0000-0000-0000871D0000}"/>
    <cellStyle name="Normal 62 4" xfId="6427" xr:uid="{00000000-0005-0000-0000-0000881D0000}"/>
    <cellStyle name="Normal 62 4 2" xfId="6428" xr:uid="{00000000-0005-0000-0000-0000891D0000}"/>
    <cellStyle name="Normal 62 4 2 2" xfId="6429" xr:uid="{00000000-0005-0000-0000-00008A1D0000}"/>
    <cellStyle name="Normal 62 4 3" xfId="6430" xr:uid="{00000000-0005-0000-0000-00008B1D0000}"/>
    <cellStyle name="Normal 62 5" xfId="6431" xr:uid="{00000000-0005-0000-0000-00008C1D0000}"/>
    <cellStyle name="Normal 62 5 2" xfId="6432" xr:uid="{00000000-0005-0000-0000-00008D1D0000}"/>
    <cellStyle name="Normal 62 6" xfId="6433" xr:uid="{00000000-0005-0000-0000-00008E1D0000}"/>
    <cellStyle name="Normal 63" xfId="6434" xr:uid="{00000000-0005-0000-0000-00008F1D0000}"/>
    <cellStyle name="Normal 63 2" xfId="6435" xr:uid="{00000000-0005-0000-0000-0000901D0000}"/>
    <cellStyle name="Normal 63 2 2" xfId="6436" xr:uid="{00000000-0005-0000-0000-0000911D0000}"/>
    <cellStyle name="Normal 63 2 2 2" xfId="6437" xr:uid="{00000000-0005-0000-0000-0000921D0000}"/>
    <cellStyle name="Normal 63 2 2 2 2" xfId="6438" xr:uid="{00000000-0005-0000-0000-0000931D0000}"/>
    <cellStyle name="Normal 63 2 2 3" xfId="6439" xr:uid="{00000000-0005-0000-0000-0000941D0000}"/>
    <cellStyle name="Normal 63 2 3" xfId="6440" xr:uid="{00000000-0005-0000-0000-0000951D0000}"/>
    <cellStyle name="Normal 63 2 3 2" xfId="6441" xr:uid="{00000000-0005-0000-0000-0000961D0000}"/>
    <cellStyle name="Normal 63 2 4" xfId="6442" xr:uid="{00000000-0005-0000-0000-0000971D0000}"/>
    <cellStyle name="Normal 63 3" xfId="6443" xr:uid="{00000000-0005-0000-0000-0000981D0000}"/>
    <cellStyle name="Normal 63 3 2" xfId="6444" xr:uid="{00000000-0005-0000-0000-0000991D0000}"/>
    <cellStyle name="Normal 63 3 2 2" xfId="6445" xr:uid="{00000000-0005-0000-0000-00009A1D0000}"/>
    <cellStyle name="Normal 63 3 3" xfId="6446" xr:uid="{00000000-0005-0000-0000-00009B1D0000}"/>
    <cellStyle name="Normal 63 4" xfId="6447" xr:uid="{00000000-0005-0000-0000-00009C1D0000}"/>
    <cellStyle name="Normal 63 4 2" xfId="6448" xr:uid="{00000000-0005-0000-0000-00009D1D0000}"/>
    <cellStyle name="Normal 63 4 2 2" xfId="6449" xr:uid="{00000000-0005-0000-0000-00009E1D0000}"/>
    <cellStyle name="Normal 63 4 3" xfId="6450" xr:uid="{00000000-0005-0000-0000-00009F1D0000}"/>
    <cellStyle name="Normal 63 5" xfId="6451" xr:uid="{00000000-0005-0000-0000-0000A01D0000}"/>
    <cellStyle name="Normal 63 5 2" xfId="6452" xr:uid="{00000000-0005-0000-0000-0000A11D0000}"/>
    <cellStyle name="Normal 63 6" xfId="6453" xr:uid="{00000000-0005-0000-0000-0000A21D0000}"/>
    <cellStyle name="Normal 64" xfId="6454" xr:uid="{00000000-0005-0000-0000-0000A31D0000}"/>
    <cellStyle name="Normal 64 2" xfId="6455" xr:uid="{00000000-0005-0000-0000-0000A41D0000}"/>
    <cellStyle name="Normal 64 2 2" xfId="6456" xr:uid="{00000000-0005-0000-0000-0000A51D0000}"/>
    <cellStyle name="Normal 64 2 2 2" xfId="6457" xr:uid="{00000000-0005-0000-0000-0000A61D0000}"/>
    <cellStyle name="Normal 64 2 2 2 2" xfId="6458" xr:uid="{00000000-0005-0000-0000-0000A71D0000}"/>
    <cellStyle name="Normal 64 2 2 3" xfId="6459" xr:uid="{00000000-0005-0000-0000-0000A81D0000}"/>
    <cellStyle name="Normal 64 2 3" xfId="6460" xr:uid="{00000000-0005-0000-0000-0000A91D0000}"/>
    <cellStyle name="Normal 64 2 3 2" xfId="6461" xr:uid="{00000000-0005-0000-0000-0000AA1D0000}"/>
    <cellStyle name="Normal 64 2 4" xfId="6462" xr:uid="{00000000-0005-0000-0000-0000AB1D0000}"/>
    <cellStyle name="Normal 64 3" xfId="6463" xr:uid="{00000000-0005-0000-0000-0000AC1D0000}"/>
    <cellStyle name="Normal 64 3 2" xfId="6464" xr:uid="{00000000-0005-0000-0000-0000AD1D0000}"/>
    <cellStyle name="Normal 64 3 2 2" xfId="6465" xr:uid="{00000000-0005-0000-0000-0000AE1D0000}"/>
    <cellStyle name="Normal 64 3 3" xfId="6466" xr:uid="{00000000-0005-0000-0000-0000AF1D0000}"/>
    <cellStyle name="Normal 64 4" xfId="6467" xr:uid="{00000000-0005-0000-0000-0000B01D0000}"/>
    <cellStyle name="Normal 64 4 2" xfId="6468" xr:uid="{00000000-0005-0000-0000-0000B11D0000}"/>
    <cellStyle name="Normal 64 4 2 2" xfId="6469" xr:uid="{00000000-0005-0000-0000-0000B21D0000}"/>
    <cellStyle name="Normal 64 4 3" xfId="6470" xr:uid="{00000000-0005-0000-0000-0000B31D0000}"/>
    <cellStyle name="Normal 64 5" xfId="6471" xr:uid="{00000000-0005-0000-0000-0000B41D0000}"/>
    <cellStyle name="Normal 64 5 2" xfId="6472" xr:uid="{00000000-0005-0000-0000-0000B51D0000}"/>
    <cellStyle name="Normal 64 6" xfId="6473" xr:uid="{00000000-0005-0000-0000-0000B61D0000}"/>
    <cellStyle name="Normal 65" xfId="6474" xr:uid="{00000000-0005-0000-0000-0000B71D0000}"/>
    <cellStyle name="Normal 65 2" xfId="6475" xr:uid="{00000000-0005-0000-0000-0000B81D0000}"/>
    <cellStyle name="Normal 65 2 2" xfId="6476" xr:uid="{00000000-0005-0000-0000-0000B91D0000}"/>
    <cellStyle name="Normal 65 2 2 2" xfId="6477" xr:uid="{00000000-0005-0000-0000-0000BA1D0000}"/>
    <cellStyle name="Normal 65 2 2 2 2" xfId="6478" xr:uid="{00000000-0005-0000-0000-0000BB1D0000}"/>
    <cellStyle name="Normal 65 2 2 3" xfId="6479" xr:uid="{00000000-0005-0000-0000-0000BC1D0000}"/>
    <cellStyle name="Normal 65 2 3" xfId="6480" xr:uid="{00000000-0005-0000-0000-0000BD1D0000}"/>
    <cellStyle name="Normal 65 2 3 2" xfId="6481" xr:uid="{00000000-0005-0000-0000-0000BE1D0000}"/>
    <cellStyle name="Normal 65 2 4" xfId="6482" xr:uid="{00000000-0005-0000-0000-0000BF1D0000}"/>
    <cellStyle name="Normal 65 3" xfId="6483" xr:uid="{00000000-0005-0000-0000-0000C01D0000}"/>
    <cellStyle name="Normal 65 3 2" xfId="6484" xr:uid="{00000000-0005-0000-0000-0000C11D0000}"/>
    <cellStyle name="Normal 65 3 2 2" xfId="6485" xr:uid="{00000000-0005-0000-0000-0000C21D0000}"/>
    <cellStyle name="Normal 65 3 3" xfId="6486" xr:uid="{00000000-0005-0000-0000-0000C31D0000}"/>
    <cellStyle name="Normal 65 4" xfId="6487" xr:uid="{00000000-0005-0000-0000-0000C41D0000}"/>
    <cellStyle name="Normal 65 4 2" xfId="6488" xr:uid="{00000000-0005-0000-0000-0000C51D0000}"/>
    <cellStyle name="Normal 65 4 2 2" xfId="6489" xr:uid="{00000000-0005-0000-0000-0000C61D0000}"/>
    <cellStyle name="Normal 65 4 3" xfId="6490" xr:uid="{00000000-0005-0000-0000-0000C71D0000}"/>
    <cellStyle name="Normal 65 5" xfId="6491" xr:uid="{00000000-0005-0000-0000-0000C81D0000}"/>
    <cellStyle name="Normal 65 5 2" xfId="6492" xr:uid="{00000000-0005-0000-0000-0000C91D0000}"/>
    <cellStyle name="Normal 65 6" xfId="6493" xr:uid="{00000000-0005-0000-0000-0000CA1D0000}"/>
    <cellStyle name="Normal 66" xfId="6494" xr:uid="{00000000-0005-0000-0000-0000CB1D0000}"/>
    <cellStyle name="Normal 66 2" xfId="6495" xr:uid="{00000000-0005-0000-0000-0000CC1D0000}"/>
    <cellStyle name="Normal 66 2 2" xfId="6496" xr:uid="{00000000-0005-0000-0000-0000CD1D0000}"/>
    <cellStyle name="Normal 66 2 2 2" xfId="6497" xr:uid="{00000000-0005-0000-0000-0000CE1D0000}"/>
    <cellStyle name="Normal 66 2 2 2 2" xfId="6498" xr:uid="{00000000-0005-0000-0000-0000CF1D0000}"/>
    <cellStyle name="Normal 66 2 2 3" xfId="6499" xr:uid="{00000000-0005-0000-0000-0000D01D0000}"/>
    <cellStyle name="Normal 66 2 3" xfId="6500" xr:uid="{00000000-0005-0000-0000-0000D11D0000}"/>
    <cellStyle name="Normal 66 2 3 2" xfId="6501" xr:uid="{00000000-0005-0000-0000-0000D21D0000}"/>
    <cellStyle name="Normal 66 2 4" xfId="6502" xr:uid="{00000000-0005-0000-0000-0000D31D0000}"/>
    <cellStyle name="Normal 66 3" xfId="6503" xr:uid="{00000000-0005-0000-0000-0000D41D0000}"/>
    <cellStyle name="Normal 66 3 2" xfId="6504" xr:uid="{00000000-0005-0000-0000-0000D51D0000}"/>
    <cellStyle name="Normal 66 3 2 2" xfId="6505" xr:uid="{00000000-0005-0000-0000-0000D61D0000}"/>
    <cellStyle name="Normal 66 3 3" xfId="6506" xr:uid="{00000000-0005-0000-0000-0000D71D0000}"/>
    <cellStyle name="Normal 66 4" xfId="6507" xr:uid="{00000000-0005-0000-0000-0000D81D0000}"/>
    <cellStyle name="Normal 66 4 2" xfId="6508" xr:uid="{00000000-0005-0000-0000-0000D91D0000}"/>
    <cellStyle name="Normal 66 4 2 2" xfId="6509" xr:uid="{00000000-0005-0000-0000-0000DA1D0000}"/>
    <cellStyle name="Normal 66 4 3" xfId="6510" xr:uid="{00000000-0005-0000-0000-0000DB1D0000}"/>
    <cellStyle name="Normal 66 5" xfId="6511" xr:uid="{00000000-0005-0000-0000-0000DC1D0000}"/>
    <cellStyle name="Normal 66 5 2" xfId="6512" xr:uid="{00000000-0005-0000-0000-0000DD1D0000}"/>
    <cellStyle name="Normal 66 6" xfId="6513" xr:uid="{00000000-0005-0000-0000-0000DE1D0000}"/>
    <cellStyle name="Normal 67" xfId="6514" xr:uid="{00000000-0005-0000-0000-0000DF1D0000}"/>
    <cellStyle name="Normal 67 2" xfId="6515" xr:uid="{00000000-0005-0000-0000-0000E01D0000}"/>
    <cellStyle name="Normal 67 2 2" xfId="6516" xr:uid="{00000000-0005-0000-0000-0000E11D0000}"/>
    <cellStyle name="Normal 67 2 2 2" xfId="6517" xr:uid="{00000000-0005-0000-0000-0000E21D0000}"/>
    <cellStyle name="Normal 67 2 2 2 2" xfId="6518" xr:uid="{00000000-0005-0000-0000-0000E31D0000}"/>
    <cellStyle name="Normal 67 2 2 3" xfId="6519" xr:uid="{00000000-0005-0000-0000-0000E41D0000}"/>
    <cellStyle name="Normal 67 2 3" xfId="6520" xr:uid="{00000000-0005-0000-0000-0000E51D0000}"/>
    <cellStyle name="Normal 67 2 3 2" xfId="6521" xr:uid="{00000000-0005-0000-0000-0000E61D0000}"/>
    <cellStyle name="Normal 67 2 4" xfId="6522" xr:uid="{00000000-0005-0000-0000-0000E71D0000}"/>
    <cellStyle name="Normal 67 3" xfId="6523" xr:uid="{00000000-0005-0000-0000-0000E81D0000}"/>
    <cellStyle name="Normal 67 3 2" xfId="6524" xr:uid="{00000000-0005-0000-0000-0000E91D0000}"/>
    <cellStyle name="Normal 67 3 2 2" xfId="6525" xr:uid="{00000000-0005-0000-0000-0000EA1D0000}"/>
    <cellStyle name="Normal 67 3 3" xfId="6526" xr:uid="{00000000-0005-0000-0000-0000EB1D0000}"/>
    <cellStyle name="Normal 67 4" xfId="6527" xr:uid="{00000000-0005-0000-0000-0000EC1D0000}"/>
    <cellStyle name="Normal 67 4 2" xfId="6528" xr:uid="{00000000-0005-0000-0000-0000ED1D0000}"/>
    <cellStyle name="Normal 67 4 2 2" xfId="6529" xr:uid="{00000000-0005-0000-0000-0000EE1D0000}"/>
    <cellStyle name="Normal 67 4 3" xfId="6530" xr:uid="{00000000-0005-0000-0000-0000EF1D0000}"/>
    <cellStyle name="Normal 67 5" xfId="6531" xr:uid="{00000000-0005-0000-0000-0000F01D0000}"/>
    <cellStyle name="Normal 67 5 2" xfId="6532" xr:uid="{00000000-0005-0000-0000-0000F11D0000}"/>
    <cellStyle name="Normal 67 6" xfId="6533" xr:uid="{00000000-0005-0000-0000-0000F21D0000}"/>
    <cellStyle name="Normal 68" xfId="6534" xr:uid="{00000000-0005-0000-0000-0000F31D0000}"/>
    <cellStyle name="Normal 68 2" xfId="6535" xr:uid="{00000000-0005-0000-0000-0000F41D0000}"/>
    <cellStyle name="Normal 68 2 2" xfId="6536" xr:uid="{00000000-0005-0000-0000-0000F51D0000}"/>
    <cellStyle name="Normal 68 2 2 2" xfId="6537" xr:uid="{00000000-0005-0000-0000-0000F61D0000}"/>
    <cellStyle name="Normal 68 2 2 2 2" xfId="6538" xr:uid="{00000000-0005-0000-0000-0000F71D0000}"/>
    <cellStyle name="Normal 68 2 2 3" xfId="6539" xr:uid="{00000000-0005-0000-0000-0000F81D0000}"/>
    <cellStyle name="Normal 68 2 3" xfId="6540" xr:uid="{00000000-0005-0000-0000-0000F91D0000}"/>
    <cellStyle name="Normal 68 2 3 2" xfId="6541" xr:uid="{00000000-0005-0000-0000-0000FA1D0000}"/>
    <cellStyle name="Normal 68 2 4" xfId="6542" xr:uid="{00000000-0005-0000-0000-0000FB1D0000}"/>
    <cellStyle name="Normal 68 3" xfId="6543" xr:uid="{00000000-0005-0000-0000-0000FC1D0000}"/>
    <cellStyle name="Normal 68 3 2" xfId="6544" xr:uid="{00000000-0005-0000-0000-0000FD1D0000}"/>
    <cellStyle name="Normal 68 3 2 2" xfId="6545" xr:uid="{00000000-0005-0000-0000-0000FE1D0000}"/>
    <cellStyle name="Normal 68 3 3" xfId="6546" xr:uid="{00000000-0005-0000-0000-0000FF1D0000}"/>
    <cellStyle name="Normal 68 4" xfId="6547" xr:uid="{00000000-0005-0000-0000-0000001E0000}"/>
    <cellStyle name="Normal 68 4 2" xfId="6548" xr:uid="{00000000-0005-0000-0000-0000011E0000}"/>
    <cellStyle name="Normal 68 4 2 2" xfId="6549" xr:uid="{00000000-0005-0000-0000-0000021E0000}"/>
    <cellStyle name="Normal 68 4 3" xfId="6550" xr:uid="{00000000-0005-0000-0000-0000031E0000}"/>
    <cellStyle name="Normal 68 5" xfId="6551" xr:uid="{00000000-0005-0000-0000-0000041E0000}"/>
    <cellStyle name="Normal 68 5 2" xfId="6552" xr:uid="{00000000-0005-0000-0000-0000051E0000}"/>
    <cellStyle name="Normal 68 6" xfId="6553" xr:uid="{00000000-0005-0000-0000-0000061E0000}"/>
    <cellStyle name="Normal 69" xfId="6554" xr:uid="{00000000-0005-0000-0000-0000071E0000}"/>
    <cellStyle name="Normal 69 2" xfId="6555" xr:uid="{00000000-0005-0000-0000-0000081E0000}"/>
    <cellStyle name="Normal 69 2 2" xfId="6556" xr:uid="{00000000-0005-0000-0000-0000091E0000}"/>
    <cellStyle name="Normal 69 2 2 2" xfId="6557" xr:uid="{00000000-0005-0000-0000-00000A1E0000}"/>
    <cellStyle name="Normal 69 2 2 2 2" xfId="6558" xr:uid="{00000000-0005-0000-0000-00000B1E0000}"/>
    <cellStyle name="Normal 69 2 2 3" xfId="6559" xr:uid="{00000000-0005-0000-0000-00000C1E0000}"/>
    <cellStyle name="Normal 69 2 3" xfId="6560" xr:uid="{00000000-0005-0000-0000-00000D1E0000}"/>
    <cellStyle name="Normal 69 2 3 2" xfId="6561" xr:uid="{00000000-0005-0000-0000-00000E1E0000}"/>
    <cellStyle name="Normal 69 2 4" xfId="6562" xr:uid="{00000000-0005-0000-0000-00000F1E0000}"/>
    <cellStyle name="Normal 69 3" xfId="6563" xr:uid="{00000000-0005-0000-0000-0000101E0000}"/>
    <cellStyle name="Normal 69 3 2" xfId="6564" xr:uid="{00000000-0005-0000-0000-0000111E0000}"/>
    <cellStyle name="Normal 69 3 2 2" xfId="6565" xr:uid="{00000000-0005-0000-0000-0000121E0000}"/>
    <cellStyle name="Normal 69 3 3" xfId="6566" xr:uid="{00000000-0005-0000-0000-0000131E0000}"/>
    <cellStyle name="Normal 69 4" xfId="6567" xr:uid="{00000000-0005-0000-0000-0000141E0000}"/>
    <cellStyle name="Normal 69 4 2" xfId="6568" xr:uid="{00000000-0005-0000-0000-0000151E0000}"/>
    <cellStyle name="Normal 69 4 2 2" xfId="6569" xr:uid="{00000000-0005-0000-0000-0000161E0000}"/>
    <cellStyle name="Normal 69 4 3" xfId="6570" xr:uid="{00000000-0005-0000-0000-0000171E0000}"/>
    <cellStyle name="Normal 69 5" xfId="6571" xr:uid="{00000000-0005-0000-0000-0000181E0000}"/>
    <cellStyle name="Normal 69 5 2" xfId="6572" xr:uid="{00000000-0005-0000-0000-0000191E0000}"/>
    <cellStyle name="Normal 69 6" xfId="6573" xr:uid="{00000000-0005-0000-0000-00001A1E0000}"/>
    <cellStyle name="Normal 7" xfId="6574" xr:uid="{00000000-0005-0000-0000-00001B1E0000}"/>
    <cellStyle name="Normal 7 10" xfId="6575" xr:uid="{00000000-0005-0000-0000-00001C1E0000}"/>
    <cellStyle name="Normal 7 10 2" xfId="6576" xr:uid="{00000000-0005-0000-0000-00001D1E0000}"/>
    <cellStyle name="Normal 7 10 2 2" xfId="6577" xr:uid="{00000000-0005-0000-0000-00001E1E0000}"/>
    <cellStyle name="Normal 7 10 2 2 2" xfId="10143" xr:uid="{00000000-0005-0000-0000-00001F1E0000}"/>
    <cellStyle name="Normal 7 10 2 3" xfId="10142" xr:uid="{00000000-0005-0000-0000-0000201E0000}"/>
    <cellStyle name="Normal 7 10 3" xfId="6578" xr:uid="{00000000-0005-0000-0000-0000211E0000}"/>
    <cellStyle name="Normal 7 10 3 2" xfId="10144" xr:uid="{00000000-0005-0000-0000-0000221E0000}"/>
    <cellStyle name="Normal 7 10 4" xfId="10141" xr:uid="{00000000-0005-0000-0000-0000231E0000}"/>
    <cellStyle name="Normal 7 11" xfId="6579" xr:uid="{00000000-0005-0000-0000-0000241E0000}"/>
    <cellStyle name="Normal 7 11 2" xfId="6580" xr:uid="{00000000-0005-0000-0000-0000251E0000}"/>
    <cellStyle name="Normal 7 11 2 2" xfId="6581" xr:uid="{00000000-0005-0000-0000-0000261E0000}"/>
    <cellStyle name="Normal 7 11 3" xfId="6582" xr:uid="{00000000-0005-0000-0000-0000271E0000}"/>
    <cellStyle name="Normal 7 12" xfId="6583" xr:uid="{00000000-0005-0000-0000-0000281E0000}"/>
    <cellStyle name="Normal 7 12 2" xfId="6584" xr:uid="{00000000-0005-0000-0000-0000291E0000}"/>
    <cellStyle name="Normal 7 13" xfId="6585" xr:uid="{00000000-0005-0000-0000-00002A1E0000}"/>
    <cellStyle name="Normal 7 13 2" xfId="6586" xr:uid="{00000000-0005-0000-0000-00002B1E0000}"/>
    <cellStyle name="Normal 7 14" xfId="6587" xr:uid="{00000000-0005-0000-0000-00002C1E0000}"/>
    <cellStyle name="Normal 7 2" xfId="6588" xr:uid="{00000000-0005-0000-0000-00002D1E0000}"/>
    <cellStyle name="Normal 7 2 10" xfId="6589" xr:uid="{00000000-0005-0000-0000-00002E1E0000}"/>
    <cellStyle name="Normal 7 2 11" xfId="6590" xr:uid="{00000000-0005-0000-0000-00002F1E0000}"/>
    <cellStyle name="Normal 7 2 12" xfId="9839" xr:uid="{00000000-0005-0000-0000-0000301E0000}"/>
    <cellStyle name="Normal 7 2 2" xfId="6591" xr:uid="{00000000-0005-0000-0000-0000311E0000}"/>
    <cellStyle name="Normal 7 2 2 10" xfId="6592" xr:uid="{00000000-0005-0000-0000-0000321E0000}"/>
    <cellStyle name="Normal 7 2 2 2" xfId="6593" xr:uid="{00000000-0005-0000-0000-0000331E0000}"/>
    <cellStyle name="Normal 7 2 2 2 2" xfId="6594" xr:uid="{00000000-0005-0000-0000-0000341E0000}"/>
    <cellStyle name="Normal 7 2 2 2 2 2" xfId="6595" xr:uid="{00000000-0005-0000-0000-0000351E0000}"/>
    <cellStyle name="Normal 7 2 2 2 2 2 2" xfId="6596" xr:uid="{00000000-0005-0000-0000-0000361E0000}"/>
    <cellStyle name="Normal 7 2 2 2 2 2 2 2" xfId="6597" xr:uid="{00000000-0005-0000-0000-0000371E0000}"/>
    <cellStyle name="Normal 7 2 2 2 2 2 3" xfId="6598" xr:uid="{00000000-0005-0000-0000-0000381E0000}"/>
    <cellStyle name="Normal 7 2 2 2 2 3" xfId="6599" xr:uid="{00000000-0005-0000-0000-0000391E0000}"/>
    <cellStyle name="Normal 7 2 2 2 2 3 2" xfId="6600" xr:uid="{00000000-0005-0000-0000-00003A1E0000}"/>
    <cellStyle name="Normal 7 2 2 2 2 4" xfId="6601" xr:uid="{00000000-0005-0000-0000-00003B1E0000}"/>
    <cellStyle name="Normal 7 2 2 2 3" xfId="6602" xr:uid="{00000000-0005-0000-0000-00003C1E0000}"/>
    <cellStyle name="Normal 7 2 2 2 3 2" xfId="6603" xr:uid="{00000000-0005-0000-0000-00003D1E0000}"/>
    <cellStyle name="Normal 7 2 2 2 3 3" xfId="6604" xr:uid="{00000000-0005-0000-0000-00003E1E0000}"/>
    <cellStyle name="Normal 7 2 2 2 3 3 2" xfId="6605" xr:uid="{00000000-0005-0000-0000-00003F1E0000}"/>
    <cellStyle name="Normal 7 2 2 2 3 4" xfId="6606" xr:uid="{00000000-0005-0000-0000-0000401E0000}"/>
    <cellStyle name="Normal 7 2 2 2 4" xfId="6607" xr:uid="{00000000-0005-0000-0000-0000411E0000}"/>
    <cellStyle name="Normal 7 2 2 2 4 2" xfId="6608" xr:uid="{00000000-0005-0000-0000-0000421E0000}"/>
    <cellStyle name="Normal 7 2 2 2 4 2 2" xfId="6609" xr:uid="{00000000-0005-0000-0000-0000431E0000}"/>
    <cellStyle name="Normal 7 2 2 2 4 3" xfId="6610" xr:uid="{00000000-0005-0000-0000-0000441E0000}"/>
    <cellStyle name="Normal 7 2 2 2 5" xfId="6611" xr:uid="{00000000-0005-0000-0000-0000451E0000}"/>
    <cellStyle name="Normal 7 2 2 2 5 2" xfId="6612" xr:uid="{00000000-0005-0000-0000-0000461E0000}"/>
    <cellStyle name="Normal 7 2 2 2 6" xfId="6613" xr:uid="{00000000-0005-0000-0000-0000471E0000}"/>
    <cellStyle name="Normal 7 2 2 3" xfId="6614" xr:uid="{00000000-0005-0000-0000-0000481E0000}"/>
    <cellStyle name="Normal 7 2 2 3 2" xfId="6615" xr:uid="{00000000-0005-0000-0000-0000491E0000}"/>
    <cellStyle name="Normal 7 2 2 3 2 2" xfId="6616" xr:uid="{00000000-0005-0000-0000-00004A1E0000}"/>
    <cellStyle name="Normal 7 2 2 3 2 2 2" xfId="6617" xr:uid="{00000000-0005-0000-0000-00004B1E0000}"/>
    <cellStyle name="Normal 7 2 2 3 2 2 2 2" xfId="6618" xr:uid="{00000000-0005-0000-0000-00004C1E0000}"/>
    <cellStyle name="Normal 7 2 2 3 2 2 3" xfId="6619" xr:uid="{00000000-0005-0000-0000-00004D1E0000}"/>
    <cellStyle name="Normal 7 2 2 3 2 3" xfId="6620" xr:uid="{00000000-0005-0000-0000-00004E1E0000}"/>
    <cellStyle name="Normal 7 2 2 3 2 3 2" xfId="6621" xr:uid="{00000000-0005-0000-0000-00004F1E0000}"/>
    <cellStyle name="Normal 7 2 2 3 2 4" xfId="6622" xr:uid="{00000000-0005-0000-0000-0000501E0000}"/>
    <cellStyle name="Normal 7 2 2 3 3" xfId="6623" xr:uid="{00000000-0005-0000-0000-0000511E0000}"/>
    <cellStyle name="Normal 7 2 2 3 3 2" xfId="6624" xr:uid="{00000000-0005-0000-0000-0000521E0000}"/>
    <cellStyle name="Normal 7 2 2 3 3 2 2" xfId="6625" xr:uid="{00000000-0005-0000-0000-0000531E0000}"/>
    <cellStyle name="Normal 7 2 2 3 3 3" xfId="6626" xr:uid="{00000000-0005-0000-0000-0000541E0000}"/>
    <cellStyle name="Normal 7 2 2 3 4" xfId="6627" xr:uid="{00000000-0005-0000-0000-0000551E0000}"/>
    <cellStyle name="Normal 7 2 2 3 4 2" xfId="6628" xr:uid="{00000000-0005-0000-0000-0000561E0000}"/>
    <cellStyle name="Normal 7 2 2 3 4 2 2" xfId="6629" xr:uid="{00000000-0005-0000-0000-0000571E0000}"/>
    <cellStyle name="Normal 7 2 2 3 4 3" xfId="6630" xr:uid="{00000000-0005-0000-0000-0000581E0000}"/>
    <cellStyle name="Normal 7 2 2 3 5" xfId="6631" xr:uid="{00000000-0005-0000-0000-0000591E0000}"/>
    <cellStyle name="Normal 7 2 2 3 5 2" xfId="6632" xr:uid="{00000000-0005-0000-0000-00005A1E0000}"/>
    <cellStyle name="Normal 7 2 2 3 6" xfId="6633" xr:uid="{00000000-0005-0000-0000-00005B1E0000}"/>
    <cellStyle name="Normal 7 2 2 4" xfId="6634" xr:uid="{00000000-0005-0000-0000-00005C1E0000}"/>
    <cellStyle name="Normal 7 2 2 4 2" xfId="6635" xr:uid="{00000000-0005-0000-0000-00005D1E0000}"/>
    <cellStyle name="Normal 7 2 2 4 2 2" xfId="6636" xr:uid="{00000000-0005-0000-0000-00005E1E0000}"/>
    <cellStyle name="Normal 7 2 2 4 2 2 2" xfId="6637" xr:uid="{00000000-0005-0000-0000-00005F1E0000}"/>
    <cellStyle name="Normal 7 2 2 4 2 2 2 2" xfId="6638" xr:uid="{00000000-0005-0000-0000-0000601E0000}"/>
    <cellStyle name="Normal 7 2 2 4 2 2 3" xfId="6639" xr:uid="{00000000-0005-0000-0000-0000611E0000}"/>
    <cellStyle name="Normal 7 2 2 4 2 3" xfId="6640" xr:uid="{00000000-0005-0000-0000-0000621E0000}"/>
    <cellStyle name="Normal 7 2 2 4 2 3 2" xfId="6641" xr:uid="{00000000-0005-0000-0000-0000631E0000}"/>
    <cellStyle name="Normal 7 2 2 4 2 4" xfId="6642" xr:uid="{00000000-0005-0000-0000-0000641E0000}"/>
    <cellStyle name="Normal 7 2 2 4 3" xfId="6643" xr:uid="{00000000-0005-0000-0000-0000651E0000}"/>
    <cellStyle name="Normal 7 2 2 4 3 2" xfId="6644" xr:uid="{00000000-0005-0000-0000-0000661E0000}"/>
    <cellStyle name="Normal 7 2 2 4 3 2 2" xfId="6645" xr:uid="{00000000-0005-0000-0000-0000671E0000}"/>
    <cellStyle name="Normal 7 2 2 4 3 3" xfId="6646" xr:uid="{00000000-0005-0000-0000-0000681E0000}"/>
    <cellStyle name="Normal 7 2 2 4 4" xfId="6647" xr:uid="{00000000-0005-0000-0000-0000691E0000}"/>
    <cellStyle name="Normal 7 2 2 4 4 2" xfId="6648" xr:uid="{00000000-0005-0000-0000-00006A1E0000}"/>
    <cellStyle name="Normal 7 2 2 4 4 2 2" xfId="6649" xr:uid="{00000000-0005-0000-0000-00006B1E0000}"/>
    <cellStyle name="Normal 7 2 2 4 4 3" xfId="6650" xr:uid="{00000000-0005-0000-0000-00006C1E0000}"/>
    <cellStyle name="Normal 7 2 2 4 5" xfId="6651" xr:uid="{00000000-0005-0000-0000-00006D1E0000}"/>
    <cellStyle name="Normal 7 2 2 4 5 2" xfId="6652" xr:uid="{00000000-0005-0000-0000-00006E1E0000}"/>
    <cellStyle name="Normal 7 2 2 4 6" xfId="6653" xr:uid="{00000000-0005-0000-0000-00006F1E0000}"/>
    <cellStyle name="Normal 7 2 2 5" xfId="6654" xr:uid="{00000000-0005-0000-0000-0000701E0000}"/>
    <cellStyle name="Normal 7 2 2 5 2" xfId="6655" xr:uid="{00000000-0005-0000-0000-0000711E0000}"/>
    <cellStyle name="Normal 7 2 2 5 2 2" xfId="6656" xr:uid="{00000000-0005-0000-0000-0000721E0000}"/>
    <cellStyle name="Normal 7 2 2 5 2 2 2" xfId="6657" xr:uid="{00000000-0005-0000-0000-0000731E0000}"/>
    <cellStyle name="Normal 7 2 2 5 2 3" xfId="6658" xr:uid="{00000000-0005-0000-0000-0000741E0000}"/>
    <cellStyle name="Normal 7 2 2 5 3" xfId="6659" xr:uid="{00000000-0005-0000-0000-0000751E0000}"/>
    <cellStyle name="Normal 7 2 2 5 3 2" xfId="6660" xr:uid="{00000000-0005-0000-0000-0000761E0000}"/>
    <cellStyle name="Normal 7 2 2 5 4" xfId="6661" xr:uid="{00000000-0005-0000-0000-0000771E0000}"/>
    <cellStyle name="Normal 7 2 2 6" xfId="6662" xr:uid="{00000000-0005-0000-0000-0000781E0000}"/>
    <cellStyle name="Normal 7 2 2 6 2" xfId="6663" xr:uid="{00000000-0005-0000-0000-0000791E0000}"/>
    <cellStyle name="Normal 7 2 2 6 2 2" xfId="6664" xr:uid="{00000000-0005-0000-0000-00007A1E0000}"/>
    <cellStyle name="Normal 7 2 2 6 3" xfId="6665" xr:uid="{00000000-0005-0000-0000-00007B1E0000}"/>
    <cellStyle name="Normal 7 2 2 7" xfId="6666" xr:uid="{00000000-0005-0000-0000-00007C1E0000}"/>
    <cellStyle name="Normal 7 2 2 7 2" xfId="6667" xr:uid="{00000000-0005-0000-0000-00007D1E0000}"/>
    <cellStyle name="Normal 7 2 2 7 2 2" xfId="6668" xr:uid="{00000000-0005-0000-0000-00007E1E0000}"/>
    <cellStyle name="Normal 7 2 2 7 3" xfId="6669" xr:uid="{00000000-0005-0000-0000-00007F1E0000}"/>
    <cellStyle name="Normal 7 2 2 8" xfId="6670" xr:uid="{00000000-0005-0000-0000-0000801E0000}"/>
    <cellStyle name="Normal 7 2 2 8 2" xfId="6671" xr:uid="{00000000-0005-0000-0000-0000811E0000}"/>
    <cellStyle name="Normal 7 2 2 9" xfId="6672" xr:uid="{00000000-0005-0000-0000-0000821E0000}"/>
    <cellStyle name="Normal 7 2 2_Activity Fcst Variance" xfId="6673" xr:uid="{00000000-0005-0000-0000-0000831E0000}"/>
    <cellStyle name="Normal 7 2 3" xfId="6674" xr:uid="{00000000-0005-0000-0000-0000841E0000}"/>
    <cellStyle name="Normal 7 2 3 2" xfId="6675" xr:uid="{00000000-0005-0000-0000-0000851E0000}"/>
    <cellStyle name="Normal 7 2 3 2 2" xfId="6676" xr:uid="{00000000-0005-0000-0000-0000861E0000}"/>
    <cellStyle name="Normal 7 2 3 2 2 2" xfId="6677" xr:uid="{00000000-0005-0000-0000-0000871E0000}"/>
    <cellStyle name="Normal 7 2 3 2 2 2 2" xfId="6678" xr:uid="{00000000-0005-0000-0000-0000881E0000}"/>
    <cellStyle name="Normal 7 2 3 2 2 3" xfId="6679" xr:uid="{00000000-0005-0000-0000-0000891E0000}"/>
    <cellStyle name="Normal 7 2 3 2 3" xfId="6680" xr:uid="{00000000-0005-0000-0000-00008A1E0000}"/>
    <cellStyle name="Normal 7 2 3 2 3 2" xfId="6681" xr:uid="{00000000-0005-0000-0000-00008B1E0000}"/>
    <cellStyle name="Normal 7 2 3 2 4" xfId="6682" xr:uid="{00000000-0005-0000-0000-00008C1E0000}"/>
    <cellStyle name="Normal 7 2 3 3" xfId="6683" xr:uid="{00000000-0005-0000-0000-00008D1E0000}"/>
    <cellStyle name="Normal 7 2 3 3 2" xfId="6684" xr:uid="{00000000-0005-0000-0000-00008E1E0000}"/>
    <cellStyle name="Normal 7 2 3 3 2 2" xfId="6685" xr:uid="{00000000-0005-0000-0000-00008F1E0000}"/>
    <cellStyle name="Normal 7 2 3 3 3" xfId="6686" xr:uid="{00000000-0005-0000-0000-0000901E0000}"/>
    <cellStyle name="Normal 7 2 3 4" xfId="6687" xr:uid="{00000000-0005-0000-0000-0000911E0000}"/>
    <cellStyle name="Normal 7 2 3 4 2" xfId="6688" xr:uid="{00000000-0005-0000-0000-0000921E0000}"/>
    <cellStyle name="Normal 7 2 3 4 2 2" xfId="6689" xr:uid="{00000000-0005-0000-0000-0000931E0000}"/>
    <cellStyle name="Normal 7 2 3 4 3" xfId="6690" xr:uid="{00000000-0005-0000-0000-0000941E0000}"/>
    <cellStyle name="Normal 7 2 3 5" xfId="6691" xr:uid="{00000000-0005-0000-0000-0000951E0000}"/>
    <cellStyle name="Normal 7 2 3 5 2" xfId="6692" xr:uid="{00000000-0005-0000-0000-0000961E0000}"/>
    <cellStyle name="Normal 7 2 3 6" xfId="6693" xr:uid="{00000000-0005-0000-0000-0000971E0000}"/>
    <cellStyle name="Normal 7 2 4" xfId="6694" xr:uid="{00000000-0005-0000-0000-0000981E0000}"/>
    <cellStyle name="Normal 7 2 4 2" xfId="6695" xr:uid="{00000000-0005-0000-0000-0000991E0000}"/>
    <cellStyle name="Normal 7 2 4 2 2" xfId="6696" xr:uid="{00000000-0005-0000-0000-00009A1E0000}"/>
    <cellStyle name="Normal 7 2 4 2 2 2" xfId="6697" xr:uid="{00000000-0005-0000-0000-00009B1E0000}"/>
    <cellStyle name="Normal 7 2 4 2 2 2 2" xfId="6698" xr:uid="{00000000-0005-0000-0000-00009C1E0000}"/>
    <cellStyle name="Normal 7 2 4 2 2 3" xfId="6699" xr:uid="{00000000-0005-0000-0000-00009D1E0000}"/>
    <cellStyle name="Normal 7 2 4 2 3" xfId="6700" xr:uid="{00000000-0005-0000-0000-00009E1E0000}"/>
    <cellStyle name="Normal 7 2 4 2 3 2" xfId="6701" xr:uid="{00000000-0005-0000-0000-00009F1E0000}"/>
    <cellStyle name="Normal 7 2 4 2 4" xfId="6702" xr:uid="{00000000-0005-0000-0000-0000A01E0000}"/>
    <cellStyle name="Normal 7 2 4 3" xfId="6703" xr:uid="{00000000-0005-0000-0000-0000A11E0000}"/>
    <cellStyle name="Normal 7 2 4 3 2" xfId="6704" xr:uid="{00000000-0005-0000-0000-0000A21E0000}"/>
    <cellStyle name="Normal 7 2 4 3 2 2" xfId="6705" xr:uid="{00000000-0005-0000-0000-0000A31E0000}"/>
    <cellStyle name="Normal 7 2 4 3 3" xfId="6706" xr:uid="{00000000-0005-0000-0000-0000A41E0000}"/>
    <cellStyle name="Normal 7 2 4 4" xfId="6707" xr:uid="{00000000-0005-0000-0000-0000A51E0000}"/>
    <cellStyle name="Normal 7 2 4 4 2" xfId="6708" xr:uid="{00000000-0005-0000-0000-0000A61E0000}"/>
    <cellStyle name="Normal 7 2 4 4 2 2" xfId="6709" xr:uid="{00000000-0005-0000-0000-0000A71E0000}"/>
    <cellStyle name="Normal 7 2 4 4 3" xfId="6710" xr:uid="{00000000-0005-0000-0000-0000A81E0000}"/>
    <cellStyle name="Normal 7 2 4 5" xfId="6711" xr:uid="{00000000-0005-0000-0000-0000A91E0000}"/>
    <cellStyle name="Normal 7 2 4 5 2" xfId="6712" xr:uid="{00000000-0005-0000-0000-0000AA1E0000}"/>
    <cellStyle name="Normal 7 2 4 6" xfId="6713" xr:uid="{00000000-0005-0000-0000-0000AB1E0000}"/>
    <cellStyle name="Normal 7 2 5" xfId="6714" xr:uid="{00000000-0005-0000-0000-0000AC1E0000}"/>
    <cellStyle name="Normal 7 2 5 2" xfId="6715" xr:uid="{00000000-0005-0000-0000-0000AD1E0000}"/>
    <cellStyle name="Normal 7 2 5 2 2" xfId="6716" xr:uid="{00000000-0005-0000-0000-0000AE1E0000}"/>
    <cellStyle name="Normal 7 2 5 2 2 2" xfId="6717" xr:uid="{00000000-0005-0000-0000-0000AF1E0000}"/>
    <cellStyle name="Normal 7 2 5 2 2 2 2" xfId="6718" xr:uid="{00000000-0005-0000-0000-0000B01E0000}"/>
    <cellStyle name="Normal 7 2 5 2 2 3" xfId="6719" xr:uid="{00000000-0005-0000-0000-0000B11E0000}"/>
    <cellStyle name="Normal 7 2 5 2 3" xfId="6720" xr:uid="{00000000-0005-0000-0000-0000B21E0000}"/>
    <cellStyle name="Normal 7 2 5 2 3 2" xfId="6721" xr:uid="{00000000-0005-0000-0000-0000B31E0000}"/>
    <cellStyle name="Normal 7 2 5 2 4" xfId="6722" xr:uid="{00000000-0005-0000-0000-0000B41E0000}"/>
    <cellStyle name="Normal 7 2 5 3" xfId="6723" xr:uid="{00000000-0005-0000-0000-0000B51E0000}"/>
    <cellStyle name="Normal 7 2 5 3 2" xfId="6724" xr:uid="{00000000-0005-0000-0000-0000B61E0000}"/>
    <cellStyle name="Normal 7 2 5 3 2 2" xfId="6725" xr:uid="{00000000-0005-0000-0000-0000B71E0000}"/>
    <cellStyle name="Normal 7 2 5 3 3" xfId="6726" xr:uid="{00000000-0005-0000-0000-0000B81E0000}"/>
    <cellStyle name="Normal 7 2 5 4" xfId="6727" xr:uid="{00000000-0005-0000-0000-0000B91E0000}"/>
    <cellStyle name="Normal 7 2 5 4 2" xfId="6728" xr:uid="{00000000-0005-0000-0000-0000BA1E0000}"/>
    <cellStyle name="Normal 7 2 5 4 2 2" xfId="6729" xr:uid="{00000000-0005-0000-0000-0000BB1E0000}"/>
    <cellStyle name="Normal 7 2 5 4 3" xfId="6730" xr:uid="{00000000-0005-0000-0000-0000BC1E0000}"/>
    <cellStyle name="Normal 7 2 5 5" xfId="6731" xr:uid="{00000000-0005-0000-0000-0000BD1E0000}"/>
    <cellStyle name="Normal 7 2 5 5 2" xfId="6732" xr:uid="{00000000-0005-0000-0000-0000BE1E0000}"/>
    <cellStyle name="Normal 7 2 5 6" xfId="6733" xr:uid="{00000000-0005-0000-0000-0000BF1E0000}"/>
    <cellStyle name="Normal 7 2 6" xfId="6734" xr:uid="{00000000-0005-0000-0000-0000C01E0000}"/>
    <cellStyle name="Normal 7 2 6 2" xfId="6735" xr:uid="{00000000-0005-0000-0000-0000C11E0000}"/>
    <cellStyle name="Normal 7 2 6 3" xfId="6736" xr:uid="{00000000-0005-0000-0000-0000C21E0000}"/>
    <cellStyle name="Normal 7 2 6 3 2" xfId="6737" xr:uid="{00000000-0005-0000-0000-0000C31E0000}"/>
    <cellStyle name="Normal 7 2 6 4" xfId="6738" xr:uid="{00000000-0005-0000-0000-0000C41E0000}"/>
    <cellStyle name="Normal 7 2 7" xfId="6739" xr:uid="{00000000-0005-0000-0000-0000C51E0000}"/>
    <cellStyle name="Normal 7 2 7 2" xfId="6740" xr:uid="{00000000-0005-0000-0000-0000C61E0000}"/>
    <cellStyle name="Normal 7 2 7 3" xfId="6741" xr:uid="{00000000-0005-0000-0000-0000C71E0000}"/>
    <cellStyle name="Normal 7 2 7 3 2" xfId="6742" xr:uid="{00000000-0005-0000-0000-0000C81E0000}"/>
    <cellStyle name="Normal 7 2 7 4" xfId="6743" xr:uid="{00000000-0005-0000-0000-0000C91E0000}"/>
    <cellStyle name="Normal 7 2 8" xfId="6744" xr:uid="{00000000-0005-0000-0000-0000CA1E0000}"/>
    <cellStyle name="Normal 7 2 8 2" xfId="6745" xr:uid="{00000000-0005-0000-0000-0000CB1E0000}"/>
    <cellStyle name="Normal 7 2 8 2 2" xfId="6746" xr:uid="{00000000-0005-0000-0000-0000CC1E0000}"/>
    <cellStyle name="Normal 7 2 8 3" xfId="6747" xr:uid="{00000000-0005-0000-0000-0000CD1E0000}"/>
    <cellStyle name="Normal 7 2 9" xfId="6748" xr:uid="{00000000-0005-0000-0000-0000CE1E0000}"/>
    <cellStyle name="Normal 7 2 9 2" xfId="6749" xr:uid="{00000000-0005-0000-0000-0000CF1E0000}"/>
    <cellStyle name="Normal 7 2_Cap Forecast" xfId="6750" xr:uid="{00000000-0005-0000-0000-0000D01E0000}"/>
    <cellStyle name="Normal 7 3" xfId="6751" xr:uid="{00000000-0005-0000-0000-0000D11E0000}"/>
    <cellStyle name="Normal 7 3 10" xfId="6752" xr:uid="{00000000-0005-0000-0000-0000D21E0000}"/>
    <cellStyle name="Normal 7 3 2" xfId="6753" xr:uid="{00000000-0005-0000-0000-0000D31E0000}"/>
    <cellStyle name="Normal 7 3 2 2" xfId="6754" xr:uid="{00000000-0005-0000-0000-0000D41E0000}"/>
    <cellStyle name="Normal 7 3 2 2 2" xfId="6755" xr:uid="{00000000-0005-0000-0000-0000D51E0000}"/>
    <cellStyle name="Normal 7 3 2 2 2 2" xfId="6756" xr:uid="{00000000-0005-0000-0000-0000D61E0000}"/>
    <cellStyle name="Normal 7 3 2 2 2 2 2" xfId="6757" xr:uid="{00000000-0005-0000-0000-0000D71E0000}"/>
    <cellStyle name="Normal 7 3 2 2 2 3" xfId="6758" xr:uid="{00000000-0005-0000-0000-0000D81E0000}"/>
    <cellStyle name="Normal 7 3 2 2 3" xfId="6759" xr:uid="{00000000-0005-0000-0000-0000D91E0000}"/>
    <cellStyle name="Normal 7 3 2 2 3 2" xfId="6760" xr:uid="{00000000-0005-0000-0000-0000DA1E0000}"/>
    <cellStyle name="Normal 7 3 2 2 4" xfId="6761" xr:uid="{00000000-0005-0000-0000-0000DB1E0000}"/>
    <cellStyle name="Normal 7 3 2 3" xfId="6762" xr:uid="{00000000-0005-0000-0000-0000DC1E0000}"/>
    <cellStyle name="Normal 7 3 2 3 2" xfId="6763" xr:uid="{00000000-0005-0000-0000-0000DD1E0000}"/>
    <cellStyle name="Normal 7 3 2 3 3" xfId="6764" xr:uid="{00000000-0005-0000-0000-0000DE1E0000}"/>
    <cellStyle name="Normal 7 3 2 3 3 2" xfId="6765" xr:uid="{00000000-0005-0000-0000-0000DF1E0000}"/>
    <cellStyle name="Normal 7 3 2 3 4" xfId="6766" xr:uid="{00000000-0005-0000-0000-0000E01E0000}"/>
    <cellStyle name="Normal 7 3 2 4" xfId="6767" xr:uid="{00000000-0005-0000-0000-0000E11E0000}"/>
    <cellStyle name="Normal 7 3 2 4 2" xfId="6768" xr:uid="{00000000-0005-0000-0000-0000E21E0000}"/>
    <cellStyle name="Normal 7 3 2 4 2 2" xfId="6769" xr:uid="{00000000-0005-0000-0000-0000E31E0000}"/>
    <cellStyle name="Normal 7 3 2 4 3" xfId="6770" xr:uid="{00000000-0005-0000-0000-0000E41E0000}"/>
    <cellStyle name="Normal 7 3 2 5" xfId="6771" xr:uid="{00000000-0005-0000-0000-0000E51E0000}"/>
    <cellStyle name="Normal 7 3 2 5 2" xfId="6772" xr:uid="{00000000-0005-0000-0000-0000E61E0000}"/>
    <cellStyle name="Normal 7 3 2 6" xfId="6773" xr:uid="{00000000-0005-0000-0000-0000E71E0000}"/>
    <cellStyle name="Normal 7 3 3" xfId="6774" xr:uid="{00000000-0005-0000-0000-0000E81E0000}"/>
    <cellStyle name="Normal 7 3 3 2" xfId="6775" xr:uid="{00000000-0005-0000-0000-0000E91E0000}"/>
    <cellStyle name="Normal 7 3 3 2 2" xfId="6776" xr:uid="{00000000-0005-0000-0000-0000EA1E0000}"/>
    <cellStyle name="Normal 7 3 3 2 2 2" xfId="6777" xr:uid="{00000000-0005-0000-0000-0000EB1E0000}"/>
    <cellStyle name="Normal 7 3 3 2 2 2 2" xfId="6778" xr:uid="{00000000-0005-0000-0000-0000EC1E0000}"/>
    <cellStyle name="Normal 7 3 3 2 2 3" xfId="6779" xr:uid="{00000000-0005-0000-0000-0000ED1E0000}"/>
    <cellStyle name="Normal 7 3 3 2 3" xfId="6780" xr:uid="{00000000-0005-0000-0000-0000EE1E0000}"/>
    <cellStyle name="Normal 7 3 3 2 3 2" xfId="6781" xr:uid="{00000000-0005-0000-0000-0000EF1E0000}"/>
    <cellStyle name="Normal 7 3 3 2 4" xfId="6782" xr:uid="{00000000-0005-0000-0000-0000F01E0000}"/>
    <cellStyle name="Normal 7 3 3 3" xfId="6783" xr:uid="{00000000-0005-0000-0000-0000F11E0000}"/>
    <cellStyle name="Normal 7 3 3 3 2" xfId="6784" xr:uid="{00000000-0005-0000-0000-0000F21E0000}"/>
    <cellStyle name="Normal 7 3 3 3 2 2" xfId="6785" xr:uid="{00000000-0005-0000-0000-0000F31E0000}"/>
    <cellStyle name="Normal 7 3 3 3 3" xfId="6786" xr:uid="{00000000-0005-0000-0000-0000F41E0000}"/>
    <cellStyle name="Normal 7 3 3 4" xfId="6787" xr:uid="{00000000-0005-0000-0000-0000F51E0000}"/>
    <cellStyle name="Normal 7 3 3 4 2" xfId="6788" xr:uid="{00000000-0005-0000-0000-0000F61E0000}"/>
    <cellStyle name="Normal 7 3 3 4 2 2" xfId="6789" xr:uid="{00000000-0005-0000-0000-0000F71E0000}"/>
    <cellStyle name="Normal 7 3 3 4 3" xfId="6790" xr:uid="{00000000-0005-0000-0000-0000F81E0000}"/>
    <cellStyle name="Normal 7 3 3 5" xfId="6791" xr:uid="{00000000-0005-0000-0000-0000F91E0000}"/>
    <cellStyle name="Normal 7 3 3 5 2" xfId="6792" xr:uid="{00000000-0005-0000-0000-0000FA1E0000}"/>
    <cellStyle name="Normal 7 3 3 6" xfId="6793" xr:uid="{00000000-0005-0000-0000-0000FB1E0000}"/>
    <cellStyle name="Normal 7 3 4" xfId="6794" xr:uid="{00000000-0005-0000-0000-0000FC1E0000}"/>
    <cellStyle name="Normal 7 3 4 2" xfId="6795" xr:uid="{00000000-0005-0000-0000-0000FD1E0000}"/>
    <cellStyle name="Normal 7 3 4 2 2" xfId="6796" xr:uid="{00000000-0005-0000-0000-0000FE1E0000}"/>
    <cellStyle name="Normal 7 3 4 2 2 2" xfId="6797" xr:uid="{00000000-0005-0000-0000-0000FF1E0000}"/>
    <cellStyle name="Normal 7 3 4 2 2 2 2" xfId="6798" xr:uid="{00000000-0005-0000-0000-0000001F0000}"/>
    <cellStyle name="Normal 7 3 4 2 2 3" xfId="6799" xr:uid="{00000000-0005-0000-0000-0000011F0000}"/>
    <cellStyle name="Normal 7 3 4 2 3" xfId="6800" xr:uid="{00000000-0005-0000-0000-0000021F0000}"/>
    <cellStyle name="Normal 7 3 4 2 3 2" xfId="6801" xr:uid="{00000000-0005-0000-0000-0000031F0000}"/>
    <cellStyle name="Normal 7 3 4 2 4" xfId="6802" xr:uid="{00000000-0005-0000-0000-0000041F0000}"/>
    <cellStyle name="Normal 7 3 4 3" xfId="6803" xr:uid="{00000000-0005-0000-0000-0000051F0000}"/>
    <cellStyle name="Normal 7 3 4 3 2" xfId="6804" xr:uid="{00000000-0005-0000-0000-0000061F0000}"/>
    <cellStyle name="Normal 7 3 4 3 2 2" xfId="6805" xr:uid="{00000000-0005-0000-0000-0000071F0000}"/>
    <cellStyle name="Normal 7 3 4 3 3" xfId="6806" xr:uid="{00000000-0005-0000-0000-0000081F0000}"/>
    <cellStyle name="Normal 7 3 4 4" xfId="6807" xr:uid="{00000000-0005-0000-0000-0000091F0000}"/>
    <cellStyle name="Normal 7 3 4 4 2" xfId="6808" xr:uid="{00000000-0005-0000-0000-00000A1F0000}"/>
    <cellStyle name="Normal 7 3 4 4 2 2" xfId="6809" xr:uid="{00000000-0005-0000-0000-00000B1F0000}"/>
    <cellStyle name="Normal 7 3 4 4 3" xfId="6810" xr:uid="{00000000-0005-0000-0000-00000C1F0000}"/>
    <cellStyle name="Normal 7 3 4 5" xfId="6811" xr:uid="{00000000-0005-0000-0000-00000D1F0000}"/>
    <cellStyle name="Normal 7 3 4 5 2" xfId="6812" xr:uid="{00000000-0005-0000-0000-00000E1F0000}"/>
    <cellStyle name="Normal 7 3 4 6" xfId="6813" xr:uid="{00000000-0005-0000-0000-00000F1F0000}"/>
    <cellStyle name="Normal 7 3 5" xfId="6814" xr:uid="{00000000-0005-0000-0000-0000101F0000}"/>
    <cellStyle name="Normal 7 3 5 2" xfId="6815" xr:uid="{00000000-0005-0000-0000-0000111F0000}"/>
    <cellStyle name="Normal 7 3 5 2 2" xfId="6816" xr:uid="{00000000-0005-0000-0000-0000121F0000}"/>
    <cellStyle name="Normal 7 3 5 2 2 2" xfId="6817" xr:uid="{00000000-0005-0000-0000-0000131F0000}"/>
    <cellStyle name="Normal 7 3 5 2 3" xfId="6818" xr:uid="{00000000-0005-0000-0000-0000141F0000}"/>
    <cellStyle name="Normal 7 3 5 3" xfId="6819" xr:uid="{00000000-0005-0000-0000-0000151F0000}"/>
    <cellStyle name="Normal 7 3 5 3 2" xfId="6820" xr:uid="{00000000-0005-0000-0000-0000161F0000}"/>
    <cellStyle name="Normal 7 3 5 4" xfId="6821" xr:uid="{00000000-0005-0000-0000-0000171F0000}"/>
    <cellStyle name="Normal 7 3 6" xfId="6822" xr:uid="{00000000-0005-0000-0000-0000181F0000}"/>
    <cellStyle name="Normal 7 3 6 2" xfId="6823" xr:uid="{00000000-0005-0000-0000-0000191F0000}"/>
    <cellStyle name="Normal 7 3 6 2 2" xfId="6824" xr:uid="{00000000-0005-0000-0000-00001A1F0000}"/>
    <cellStyle name="Normal 7 3 6 3" xfId="6825" xr:uid="{00000000-0005-0000-0000-00001B1F0000}"/>
    <cellStyle name="Normal 7 3 7" xfId="6826" xr:uid="{00000000-0005-0000-0000-00001C1F0000}"/>
    <cellStyle name="Normal 7 3 7 2" xfId="6827" xr:uid="{00000000-0005-0000-0000-00001D1F0000}"/>
    <cellStyle name="Normal 7 3 7 2 2" xfId="6828" xr:uid="{00000000-0005-0000-0000-00001E1F0000}"/>
    <cellStyle name="Normal 7 3 7 3" xfId="6829" xr:uid="{00000000-0005-0000-0000-00001F1F0000}"/>
    <cellStyle name="Normal 7 3 8" xfId="6830" xr:uid="{00000000-0005-0000-0000-0000201F0000}"/>
    <cellStyle name="Normal 7 3 8 2" xfId="6831" xr:uid="{00000000-0005-0000-0000-0000211F0000}"/>
    <cellStyle name="Normal 7 3 9" xfId="6832" xr:uid="{00000000-0005-0000-0000-0000221F0000}"/>
    <cellStyle name="Normal 7 3_Activity Fcst Variance" xfId="6833" xr:uid="{00000000-0005-0000-0000-0000231F0000}"/>
    <cellStyle name="Normal 7 4" xfId="6834" xr:uid="{00000000-0005-0000-0000-0000241F0000}"/>
    <cellStyle name="Normal 7 4 2" xfId="6835" xr:uid="{00000000-0005-0000-0000-0000251F0000}"/>
    <cellStyle name="Normal 7 4 2 2" xfId="6836" xr:uid="{00000000-0005-0000-0000-0000261F0000}"/>
    <cellStyle name="Normal 7 4 2 2 2" xfId="6837" xr:uid="{00000000-0005-0000-0000-0000271F0000}"/>
    <cellStyle name="Normal 7 4 2 2 2 2" xfId="6838" xr:uid="{00000000-0005-0000-0000-0000281F0000}"/>
    <cellStyle name="Normal 7 4 2 2 2 2 2" xfId="6839" xr:uid="{00000000-0005-0000-0000-0000291F0000}"/>
    <cellStyle name="Normal 7 4 2 2 2 3" xfId="6840" xr:uid="{00000000-0005-0000-0000-00002A1F0000}"/>
    <cellStyle name="Normal 7 4 2 2 3" xfId="6841" xr:uid="{00000000-0005-0000-0000-00002B1F0000}"/>
    <cellStyle name="Normal 7 4 2 2 3 2" xfId="6842" xr:uid="{00000000-0005-0000-0000-00002C1F0000}"/>
    <cellStyle name="Normal 7 4 2 2 4" xfId="6843" xr:uid="{00000000-0005-0000-0000-00002D1F0000}"/>
    <cellStyle name="Normal 7 4 2 3" xfId="6844" xr:uid="{00000000-0005-0000-0000-00002E1F0000}"/>
    <cellStyle name="Normal 7 4 2 3 2" xfId="6845" xr:uid="{00000000-0005-0000-0000-00002F1F0000}"/>
    <cellStyle name="Normal 7 4 2 3 2 2" xfId="6846" xr:uid="{00000000-0005-0000-0000-0000301F0000}"/>
    <cellStyle name="Normal 7 4 2 3 3" xfId="6847" xr:uid="{00000000-0005-0000-0000-0000311F0000}"/>
    <cellStyle name="Normal 7 4 2 4" xfId="6848" xr:uid="{00000000-0005-0000-0000-0000321F0000}"/>
    <cellStyle name="Normal 7 4 2 4 2" xfId="6849" xr:uid="{00000000-0005-0000-0000-0000331F0000}"/>
    <cellStyle name="Normal 7 4 2 4 2 2" xfId="6850" xr:uid="{00000000-0005-0000-0000-0000341F0000}"/>
    <cellStyle name="Normal 7 4 2 4 3" xfId="6851" xr:uid="{00000000-0005-0000-0000-0000351F0000}"/>
    <cellStyle name="Normal 7 4 2 5" xfId="6852" xr:uid="{00000000-0005-0000-0000-0000361F0000}"/>
    <cellStyle name="Normal 7 4 2 5 2" xfId="6853" xr:uid="{00000000-0005-0000-0000-0000371F0000}"/>
    <cellStyle name="Normal 7 4 2 6" xfId="6854" xr:uid="{00000000-0005-0000-0000-0000381F0000}"/>
    <cellStyle name="Normal 7 4 3" xfId="6855" xr:uid="{00000000-0005-0000-0000-0000391F0000}"/>
    <cellStyle name="Normal 7 4 3 2" xfId="6856" xr:uid="{00000000-0005-0000-0000-00003A1F0000}"/>
    <cellStyle name="Normal 7 4 3 2 2" xfId="6857" xr:uid="{00000000-0005-0000-0000-00003B1F0000}"/>
    <cellStyle name="Normal 7 4 3 2 2 2" xfId="6858" xr:uid="{00000000-0005-0000-0000-00003C1F0000}"/>
    <cellStyle name="Normal 7 4 3 2 2 2 2" xfId="6859" xr:uid="{00000000-0005-0000-0000-00003D1F0000}"/>
    <cellStyle name="Normal 7 4 3 2 2 3" xfId="6860" xr:uid="{00000000-0005-0000-0000-00003E1F0000}"/>
    <cellStyle name="Normal 7 4 3 2 3" xfId="6861" xr:uid="{00000000-0005-0000-0000-00003F1F0000}"/>
    <cellStyle name="Normal 7 4 3 2 3 2" xfId="6862" xr:uid="{00000000-0005-0000-0000-0000401F0000}"/>
    <cellStyle name="Normal 7 4 3 2 4" xfId="6863" xr:uid="{00000000-0005-0000-0000-0000411F0000}"/>
    <cellStyle name="Normal 7 4 3 3" xfId="6864" xr:uid="{00000000-0005-0000-0000-0000421F0000}"/>
    <cellStyle name="Normal 7 4 3 3 2" xfId="6865" xr:uid="{00000000-0005-0000-0000-0000431F0000}"/>
    <cellStyle name="Normal 7 4 3 3 2 2" xfId="6866" xr:uid="{00000000-0005-0000-0000-0000441F0000}"/>
    <cellStyle name="Normal 7 4 3 3 3" xfId="6867" xr:uid="{00000000-0005-0000-0000-0000451F0000}"/>
    <cellStyle name="Normal 7 4 3 4" xfId="6868" xr:uid="{00000000-0005-0000-0000-0000461F0000}"/>
    <cellStyle name="Normal 7 4 3 4 2" xfId="6869" xr:uid="{00000000-0005-0000-0000-0000471F0000}"/>
    <cellStyle name="Normal 7 4 3 4 2 2" xfId="6870" xr:uid="{00000000-0005-0000-0000-0000481F0000}"/>
    <cellStyle name="Normal 7 4 3 4 3" xfId="6871" xr:uid="{00000000-0005-0000-0000-0000491F0000}"/>
    <cellStyle name="Normal 7 4 3 5" xfId="6872" xr:uid="{00000000-0005-0000-0000-00004A1F0000}"/>
    <cellStyle name="Normal 7 4 3 5 2" xfId="6873" xr:uid="{00000000-0005-0000-0000-00004B1F0000}"/>
    <cellStyle name="Normal 7 4 3 6" xfId="6874" xr:uid="{00000000-0005-0000-0000-00004C1F0000}"/>
    <cellStyle name="Normal 7 4 4" xfId="6875" xr:uid="{00000000-0005-0000-0000-00004D1F0000}"/>
    <cellStyle name="Normal 7 4 4 2" xfId="6876" xr:uid="{00000000-0005-0000-0000-00004E1F0000}"/>
    <cellStyle name="Normal 7 4 4 2 2" xfId="6877" xr:uid="{00000000-0005-0000-0000-00004F1F0000}"/>
    <cellStyle name="Normal 7 4 4 2 2 2" xfId="6878" xr:uid="{00000000-0005-0000-0000-0000501F0000}"/>
    <cellStyle name="Normal 7 4 4 2 3" xfId="6879" xr:uid="{00000000-0005-0000-0000-0000511F0000}"/>
    <cellStyle name="Normal 7 4 4 3" xfId="6880" xr:uid="{00000000-0005-0000-0000-0000521F0000}"/>
    <cellStyle name="Normal 7 4 4 3 2" xfId="6881" xr:uid="{00000000-0005-0000-0000-0000531F0000}"/>
    <cellStyle name="Normal 7 4 4 4" xfId="6882" xr:uid="{00000000-0005-0000-0000-0000541F0000}"/>
    <cellStyle name="Normal 7 4 5" xfId="6883" xr:uid="{00000000-0005-0000-0000-0000551F0000}"/>
    <cellStyle name="Normal 7 4 5 2" xfId="6884" xr:uid="{00000000-0005-0000-0000-0000561F0000}"/>
    <cellStyle name="Normal 7 4 5 2 2" xfId="6885" xr:uid="{00000000-0005-0000-0000-0000571F0000}"/>
    <cellStyle name="Normal 7 4 5 2 2 2" xfId="6886" xr:uid="{00000000-0005-0000-0000-0000581F0000}"/>
    <cellStyle name="Normal 7 4 5 2 2 2 2" xfId="10147" xr:uid="{00000000-0005-0000-0000-0000591F0000}"/>
    <cellStyle name="Normal 7 4 5 2 2 3" xfId="10146" xr:uid="{00000000-0005-0000-0000-00005A1F0000}"/>
    <cellStyle name="Normal 7 4 5 2 3" xfId="6887" xr:uid="{00000000-0005-0000-0000-00005B1F0000}"/>
    <cellStyle name="Normal 7 4 5 2 3 2" xfId="10148" xr:uid="{00000000-0005-0000-0000-00005C1F0000}"/>
    <cellStyle name="Normal 7 4 5 2 4" xfId="10145" xr:uid="{00000000-0005-0000-0000-00005D1F0000}"/>
    <cellStyle name="Normal 7 4 5 3" xfId="6888" xr:uid="{00000000-0005-0000-0000-00005E1F0000}"/>
    <cellStyle name="Normal 7 4 5 3 2" xfId="6889" xr:uid="{00000000-0005-0000-0000-00005F1F0000}"/>
    <cellStyle name="Normal 7 4 5 4" xfId="6890" xr:uid="{00000000-0005-0000-0000-0000601F0000}"/>
    <cellStyle name="Normal 7 4 6" xfId="6891" xr:uid="{00000000-0005-0000-0000-0000611F0000}"/>
    <cellStyle name="Normal 7 4 6 2" xfId="6892" xr:uid="{00000000-0005-0000-0000-0000621F0000}"/>
    <cellStyle name="Normal 7 4 6 2 2" xfId="6893" xr:uid="{00000000-0005-0000-0000-0000631F0000}"/>
    <cellStyle name="Normal 7 4 6 3" xfId="6894" xr:uid="{00000000-0005-0000-0000-0000641F0000}"/>
    <cellStyle name="Normal 7 4 7" xfId="6895" xr:uid="{00000000-0005-0000-0000-0000651F0000}"/>
    <cellStyle name="Normal 7 4 7 2" xfId="6896" xr:uid="{00000000-0005-0000-0000-0000661F0000}"/>
    <cellStyle name="Normal 7 4 8" xfId="6897" xr:uid="{00000000-0005-0000-0000-0000671F0000}"/>
    <cellStyle name="Normal 7 5" xfId="6898" xr:uid="{00000000-0005-0000-0000-0000681F0000}"/>
    <cellStyle name="Normal 7 5 2" xfId="6899" xr:uid="{00000000-0005-0000-0000-0000691F0000}"/>
    <cellStyle name="Normal 7 5 2 2" xfId="6900" xr:uid="{00000000-0005-0000-0000-00006A1F0000}"/>
    <cellStyle name="Normal 7 5 2 2 2" xfId="6901" xr:uid="{00000000-0005-0000-0000-00006B1F0000}"/>
    <cellStyle name="Normal 7 5 2 2 2 2" xfId="6902" xr:uid="{00000000-0005-0000-0000-00006C1F0000}"/>
    <cellStyle name="Normal 7 5 2 2 3" xfId="6903" xr:uid="{00000000-0005-0000-0000-00006D1F0000}"/>
    <cellStyle name="Normal 7 5 2 3" xfId="6904" xr:uid="{00000000-0005-0000-0000-00006E1F0000}"/>
    <cellStyle name="Normal 7 5 2 3 2" xfId="6905" xr:uid="{00000000-0005-0000-0000-00006F1F0000}"/>
    <cellStyle name="Normal 7 5 2 4" xfId="6906" xr:uid="{00000000-0005-0000-0000-0000701F0000}"/>
    <cellStyle name="Normal 7 5 3" xfId="6907" xr:uid="{00000000-0005-0000-0000-0000711F0000}"/>
    <cellStyle name="Normal 7 5 3 2" xfId="6908" xr:uid="{00000000-0005-0000-0000-0000721F0000}"/>
    <cellStyle name="Normal 7 5 3 2 2" xfId="6909" xr:uid="{00000000-0005-0000-0000-0000731F0000}"/>
    <cellStyle name="Normal 7 5 3 2 2 2" xfId="6910" xr:uid="{00000000-0005-0000-0000-0000741F0000}"/>
    <cellStyle name="Normal 7 5 3 2 2 2 2" xfId="10151" xr:uid="{00000000-0005-0000-0000-0000751F0000}"/>
    <cellStyle name="Normal 7 5 3 2 2 3" xfId="10150" xr:uid="{00000000-0005-0000-0000-0000761F0000}"/>
    <cellStyle name="Normal 7 5 3 2 3" xfId="6911" xr:uid="{00000000-0005-0000-0000-0000771F0000}"/>
    <cellStyle name="Normal 7 5 3 2 3 2" xfId="10152" xr:uid="{00000000-0005-0000-0000-0000781F0000}"/>
    <cellStyle name="Normal 7 5 3 2 4" xfId="10149" xr:uid="{00000000-0005-0000-0000-0000791F0000}"/>
    <cellStyle name="Normal 7 5 3 3" xfId="6912" xr:uid="{00000000-0005-0000-0000-00007A1F0000}"/>
    <cellStyle name="Normal 7 5 3 3 2" xfId="6913" xr:uid="{00000000-0005-0000-0000-00007B1F0000}"/>
    <cellStyle name="Normal 7 5 3 4" xfId="6914" xr:uid="{00000000-0005-0000-0000-00007C1F0000}"/>
    <cellStyle name="Normal 7 5 4" xfId="6915" xr:uid="{00000000-0005-0000-0000-00007D1F0000}"/>
    <cellStyle name="Normal 7 5 4 2" xfId="6916" xr:uid="{00000000-0005-0000-0000-00007E1F0000}"/>
    <cellStyle name="Normal 7 5 4 2 2" xfId="6917" xr:uid="{00000000-0005-0000-0000-00007F1F0000}"/>
    <cellStyle name="Normal 7 5 4 3" xfId="6918" xr:uid="{00000000-0005-0000-0000-0000801F0000}"/>
    <cellStyle name="Normal 7 5 5" xfId="6919" xr:uid="{00000000-0005-0000-0000-0000811F0000}"/>
    <cellStyle name="Normal 7 5 5 2" xfId="6920" xr:uid="{00000000-0005-0000-0000-0000821F0000}"/>
    <cellStyle name="Normal 7 5 6" xfId="6921" xr:uid="{00000000-0005-0000-0000-0000831F0000}"/>
    <cellStyle name="Normal 7 6" xfId="6922" xr:uid="{00000000-0005-0000-0000-0000841F0000}"/>
    <cellStyle name="Normal 7 6 2" xfId="6923" xr:uid="{00000000-0005-0000-0000-0000851F0000}"/>
    <cellStyle name="Normal 7 6 2 2" xfId="6924" xr:uid="{00000000-0005-0000-0000-0000861F0000}"/>
    <cellStyle name="Normal 7 6 2 2 2" xfId="6925" xr:uid="{00000000-0005-0000-0000-0000871F0000}"/>
    <cellStyle name="Normal 7 6 2 2 2 2" xfId="6926" xr:uid="{00000000-0005-0000-0000-0000881F0000}"/>
    <cellStyle name="Normal 7 6 2 2 3" xfId="6927" xr:uid="{00000000-0005-0000-0000-0000891F0000}"/>
    <cellStyle name="Normal 7 6 2 3" xfId="6928" xr:uid="{00000000-0005-0000-0000-00008A1F0000}"/>
    <cellStyle name="Normal 7 6 2 3 2" xfId="6929" xr:uid="{00000000-0005-0000-0000-00008B1F0000}"/>
    <cellStyle name="Normal 7 6 2 4" xfId="6930" xr:uid="{00000000-0005-0000-0000-00008C1F0000}"/>
    <cellStyle name="Normal 7 6 3" xfId="6931" xr:uid="{00000000-0005-0000-0000-00008D1F0000}"/>
    <cellStyle name="Normal 7 6 3 2" xfId="6932" xr:uid="{00000000-0005-0000-0000-00008E1F0000}"/>
    <cellStyle name="Normal 7 6 3 2 2" xfId="6933" xr:uid="{00000000-0005-0000-0000-00008F1F0000}"/>
    <cellStyle name="Normal 7 6 3 2 2 2" xfId="6934" xr:uid="{00000000-0005-0000-0000-0000901F0000}"/>
    <cellStyle name="Normal 7 6 3 2 2 2 2" xfId="10155" xr:uid="{00000000-0005-0000-0000-0000911F0000}"/>
    <cellStyle name="Normal 7 6 3 2 2 3" xfId="10154" xr:uid="{00000000-0005-0000-0000-0000921F0000}"/>
    <cellStyle name="Normal 7 6 3 2 3" xfId="6935" xr:uid="{00000000-0005-0000-0000-0000931F0000}"/>
    <cellStyle name="Normal 7 6 3 2 3 2" xfId="10156" xr:uid="{00000000-0005-0000-0000-0000941F0000}"/>
    <cellStyle name="Normal 7 6 3 2 4" xfId="10153" xr:uid="{00000000-0005-0000-0000-0000951F0000}"/>
    <cellStyle name="Normal 7 6 3 3" xfId="6936" xr:uid="{00000000-0005-0000-0000-0000961F0000}"/>
    <cellStyle name="Normal 7 6 3 3 2" xfId="6937" xr:uid="{00000000-0005-0000-0000-0000971F0000}"/>
    <cellStyle name="Normal 7 6 3 4" xfId="6938" xr:uid="{00000000-0005-0000-0000-0000981F0000}"/>
    <cellStyle name="Normal 7 6 4" xfId="6939" xr:uid="{00000000-0005-0000-0000-0000991F0000}"/>
    <cellStyle name="Normal 7 6 4 2" xfId="6940" xr:uid="{00000000-0005-0000-0000-00009A1F0000}"/>
    <cellStyle name="Normal 7 6 4 2 2" xfId="6941" xr:uid="{00000000-0005-0000-0000-00009B1F0000}"/>
    <cellStyle name="Normal 7 6 4 3" xfId="6942" xr:uid="{00000000-0005-0000-0000-00009C1F0000}"/>
    <cellStyle name="Normal 7 6 5" xfId="6943" xr:uid="{00000000-0005-0000-0000-00009D1F0000}"/>
    <cellStyle name="Normal 7 6 5 2" xfId="6944" xr:uid="{00000000-0005-0000-0000-00009E1F0000}"/>
    <cellStyle name="Normal 7 6 6" xfId="6945" xr:uid="{00000000-0005-0000-0000-00009F1F0000}"/>
    <cellStyle name="Normal 7 7" xfId="6946" xr:uid="{00000000-0005-0000-0000-0000A01F0000}"/>
    <cellStyle name="Normal 7 7 2" xfId="6947" xr:uid="{00000000-0005-0000-0000-0000A11F0000}"/>
    <cellStyle name="Normal 7 7 2 2" xfId="6948" xr:uid="{00000000-0005-0000-0000-0000A21F0000}"/>
    <cellStyle name="Normal 7 7 2 2 2" xfId="6949" xr:uid="{00000000-0005-0000-0000-0000A31F0000}"/>
    <cellStyle name="Normal 7 7 2 2 2 2" xfId="6950" xr:uid="{00000000-0005-0000-0000-0000A41F0000}"/>
    <cellStyle name="Normal 7 7 2 2 3" xfId="6951" xr:uid="{00000000-0005-0000-0000-0000A51F0000}"/>
    <cellStyle name="Normal 7 7 2 3" xfId="6952" xr:uid="{00000000-0005-0000-0000-0000A61F0000}"/>
    <cellStyle name="Normal 7 7 2 3 2" xfId="6953" xr:uid="{00000000-0005-0000-0000-0000A71F0000}"/>
    <cellStyle name="Normal 7 7 2 4" xfId="6954" xr:uid="{00000000-0005-0000-0000-0000A81F0000}"/>
    <cellStyle name="Normal 7 7 3" xfId="6955" xr:uid="{00000000-0005-0000-0000-0000A91F0000}"/>
    <cellStyle name="Normal 7 7 3 2" xfId="6956" xr:uid="{00000000-0005-0000-0000-0000AA1F0000}"/>
    <cellStyle name="Normal 7 7 3 3" xfId="6957" xr:uid="{00000000-0005-0000-0000-0000AB1F0000}"/>
    <cellStyle name="Normal 7 7 3 3 2" xfId="6958" xr:uid="{00000000-0005-0000-0000-0000AC1F0000}"/>
    <cellStyle name="Normal 7 7 3 4" xfId="6959" xr:uid="{00000000-0005-0000-0000-0000AD1F0000}"/>
    <cellStyle name="Normal 7 7 4" xfId="6960" xr:uid="{00000000-0005-0000-0000-0000AE1F0000}"/>
    <cellStyle name="Normal 7 7 4 2" xfId="6961" xr:uid="{00000000-0005-0000-0000-0000AF1F0000}"/>
    <cellStyle name="Normal 7 7 4 2 2" xfId="6962" xr:uid="{00000000-0005-0000-0000-0000B01F0000}"/>
    <cellStyle name="Normal 7 7 4 3" xfId="6963" xr:uid="{00000000-0005-0000-0000-0000B11F0000}"/>
    <cellStyle name="Normal 7 7 5" xfId="6964" xr:uid="{00000000-0005-0000-0000-0000B21F0000}"/>
    <cellStyle name="Normal 7 7 5 2" xfId="6965" xr:uid="{00000000-0005-0000-0000-0000B31F0000}"/>
    <cellStyle name="Normal 7 7 6" xfId="6966" xr:uid="{00000000-0005-0000-0000-0000B41F0000}"/>
    <cellStyle name="Normal 7 8" xfId="6967" xr:uid="{00000000-0005-0000-0000-0000B51F0000}"/>
    <cellStyle name="Normal 7 8 2" xfId="6968" xr:uid="{00000000-0005-0000-0000-0000B61F0000}"/>
    <cellStyle name="Normal 7 8 3" xfId="6969" xr:uid="{00000000-0005-0000-0000-0000B71F0000}"/>
    <cellStyle name="Normal 7 8 3 2" xfId="6970" xr:uid="{00000000-0005-0000-0000-0000B81F0000}"/>
    <cellStyle name="Normal 7 8 4" xfId="6971" xr:uid="{00000000-0005-0000-0000-0000B91F0000}"/>
    <cellStyle name="Normal 7 9" xfId="6972" xr:uid="{00000000-0005-0000-0000-0000BA1F0000}"/>
    <cellStyle name="Normal 7 9 2" xfId="6973" xr:uid="{00000000-0005-0000-0000-0000BB1F0000}"/>
    <cellStyle name="Normal 7 9 2 2" xfId="6974" xr:uid="{00000000-0005-0000-0000-0000BC1F0000}"/>
    <cellStyle name="Normal 7 9 2 2 2" xfId="6975" xr:uid="{00000000-0005-0000-0000-0000BD1F0000}"/>
    <cellStyle name="Normal 7 9 2 2 2 2" xfId="10159" xr:uid="{00000000-0005-0000-0000-0000BE1F0000}"/>
    <cellStyle name="Normal 7 9 2 2 3" xfId="10158" xr:uid="{00000000-0005-0000-0000-0000BF1F0000}"/>
    <cellStyle name="Normal 7 9 2 3" xfId="6976" xr:uid="{00000000-0005-0000-0000-0000C01F0000}"/>
    <cellStyle name="Normal 7 9 2 3 2" xfId="10160" xr:uid="{00000000-0005-0000-0000-0000C11F0000}"/>
    <cellStyle name="Normal 7 9 2 4" xfId="10157" xr:uid="{00000000-0005-0000-0000-0000C21F0000}"/>
    <cellStyle name="Normal 7 9 3" xfId="6977" xr:uid="{00000000-0005-0000-0000-0000C31F0000}"/>
    <cellStyle name="Normal 7 9 3 2" xfId="6978" xr:uid="{00000000-0005-0000-0000-0000C41F0000}"/>
    <cellStyle name="Normal 7 9 4" xfId="6979" xr:uid="{00000000-0005-0000-0000-0000C51F0000}"/>
    <cellStyle name="Normal 7_Activity Fcst Variance" xfId="6980" xr:uid="{00000000-0005-0000-0000-0000C61F0000}"/>
    <cellStyle name="Normal 70" xfId="6981" xr:uid="{00000000-0005-0000-0000-0000C71F0000}"/>
    <cellStyle name="Normal 70 2" xfId="6982" xr:uid="{00000000-0005-0000-0000-0000C81F0000}"/>
    <cellStyle name="Normal 70 2 2" xfId="6983" xr:uid="{00000000-0005-0000-0000-0000C91F0000}"/>
    <cellStyle name="Normal 70 2 2 2" xfId="6984" xr:uid="{00000000-0005-0000-0000-0000CA1F0000}"/>
    <cellStyle name="Normal 70 2 2 2 2" xfId="6985" xr:uid="{00000000-0005-0000-0000-0000CB1F0000}"/>
    <cellStyle name="Normal 70 2 2 3" xfId="6986" xr:uid="{00000000-0005-0000-0000-0000CC1F0000}"/>
    <cellStyle name="Normal 70 2 3" xfId="6987" xr:uid="{00000000-0005-0000-0000-0000CD1F0000}"/>
    <cellStyle name="Normal 70 2 3 2" xfId="6988" xr:uid="{00000000-0005-0000-0000-0000CE1F0000}"/>
    <cellStyle name="Normal 70 2 4" xfId="6989" xr:uid="{00000000-0005-0000-0000-0000CF1F0000}"/>
    <cellStyle name="Normal 70 3" xfId="6990" xr:uid="{00000000-0005-0000-0000-0000D01F0000}"/>
    <cellStyle name="Normal 70 3 2" xfId="6991" xr:uid="{00000000-0005-0000-0000-0000D11F0000}"/>
    <cellStyle name="Normal 70 3 2 2" xfId="6992" xr:uid="{00000000-0005-0000-0000-0000D21F0000}"/>
    <cellStyle name="Normal 70 3 3" xfId="6993" xr:uid="{00000000-0005-0000-0000-0000D31F0000}"/>
    <cellStyle name="Normal 70 4" xfId="6994" xr:uid="{00000000-0005-0000-0000-0000D41F0000}"/>
    <cellStyle name="Normal 70 4 2" xfId="6995" xr:uid="{00000000-0005-0000-0000-0000D51F0000}"/>
    <cellStyle name="Normal 70 4 2 2" xfId="6996" xr:uid="{00000000-0005-0000-0000-0000D61F0000}"/>
    <cellStyle name="Normal 70 4 3" xfId="6997" xr:uid="{00000000-0005-0000-0000-0000D71F0000}"/>
    <cellStyle name="Normal 70 5" xfId="6998" xr:uid="{00000000-0005-0000-0000-0000D81F0000}"/>
    <cellStyle name="Normal 70 5 2" xfId="6999" xr:uid="{00000000-0005-0000-0000-0000D91F0000}"/>
    <cellStyle name="Normal 70 6" xfId="7000" xr:uid="{00000000-0005-0000-0000-0000DA1F0000}"/>
    <cellStyle name="Normal 71" xfId="7001" xr:uid="{00000000-0005-0000-0000-0000DB1F0000}"/>
    <cellStyle name="Normal 71 2" xfId="7002" xr:uid="{00000000-0005-0000-0000-0000DC1F0000}"/>
    <cellStyle name="Normal 71 2 2" xfId="7003" xr:uid="{00000000-0005-0000-0000-0000DD1F0000}"/>
    <cellStyle name="Normal 71 2 2 2" xfId="7004" xr:uid="{00000000-0005-0000-0000-0000DE1F0000}"/>
    <cellStyle name="Normal 71 2 2 2 2" xfId="7005" xr:uid="{00000000-0005-0000-0000-0000DF1F0000}"/>
    <cellStyle name="Normal 71 2 2 3" xfId="7006" xr:uid="{00000000-0005-0000-0000-0000E01F0000}"/>
    <cellStyle name="Normal 71 2 3" xfId="7007" xr:uid="{00000000-0005-0000-0000-0000E11F0000}"/>
    <cellStyle name="Normal 71 2 3 2" xfId="7008" xr:uid="{00000000-0005-0000-0000-0000E21F0000}"/>
    <cellStyle name="Normal 71 2 4" xfId="7009" xr:uid="{00000000-0005-0000-0000-0000E31F0000}"/>
    <cellStyle name="Normal 71 3" xfId="7010" xr:uid="{00000000-0005-0000-0000-0000E41F0000}"/>
    <cellStyle name="Normal 71 3 2" xfId="7011" xr:uid="{00000000-0005-0000-0000-0000E51F0000}"/>
    <cellStyle name="Normal 71 3 2 2" xfId="7012" xr:uid="{00000000-0005-0000-0000-0000E61F0000}"/>
    <cellStyle name="Normal 71 3 3" xfId="7013" xr:uid="{00000000-0005-0000-0000-0000E71F0000}"/>
    <cellStyle name="Normal 71 4" xfId="7014" xr:uid="{00000000-0005-0000-0000-0000E81F0000}"/>
    <cellStyle name="Normal 71 4 2" xfId="7015" xr:uid="{00000000-0005-0000-0000-0000E91F0000}"/>
    <cellStyle name="Normal 71 4 2 2" xfId="7016" xr:uid="{00000000-0005-0000-0000-0000EA1F0000}"/>
    <cellStyle name="Normal 71 4 3" xfId="7017" xr:uid="{00000000-0005-0000-0000-0000EB1F0000}"/>
    <cellStyle name="Normal 71 5" xfId="7018" xr:uid="{00000000-0005-0000-0000-0000EC1F0000}"/>
    <cellStyle name="Normal 71 5 2" xfId="7019" xr:uid="{00000000-0005-0000-0000-0000ED1F0000}"/>
    <cellStyle name="Normal 71 6" xfId="7020" xr:uid="{00000000-0005-0000-0000-0000EE1F0000}"/>
    <cellStyle name="Normal 72" xfId="7021" xr:uid="{00000000-0005-0000-0000-0000EF1F0000}"/>
    <cellStyle name="Normal 72 2" xfId="7022" xr:uid="{00000000-0005-0000-0000-0000F01F0000}"/>
    <cellStyle name="Normal 72 2 2" xfId="7023" xr:uid="{00000000-0005-0000-0000-0000F11F0000}"/>
    <cellStyle name="Normal 72 2 2 2" xfId="7024" xr:uid="{00000000-0005-0000-0000-0000F21F0000}"/>
    <cellStyle name="Normal 72 2 2 2 2" xfId="7025" xr:uid="{00000000-0005-0000-0000-0000F31F0000}"/>
    <cellStyle name="Normal 72 2 2 3" xfId="7026" xr:uid="{00000000-0005-0000-0000-0000F41F0000}"/>
    <cellStyle name="Normal 72 2 3" xfId="7027" xr:uid="{00000000-0005-0000-0000-0000F51F0000}"/>
    <cellStyle name="Normal 72 2 3 2" xfId="7028" xr:uid="{00000000-0005-0000-0000-0000F61F0000}"/>
    <cellStyle name="Normal 72 2 4" xfId="7029" xr:uid="{00000000-0005-0000-0000-0000F71F0000}"/>
    <cellStyle name="Normal 72 3" xfId="7030" xr:uid="{00000000-0005-0000-0000-0000F81F0000}"/>
    <cellStyle name="Normal 72 3 2" xfId="7031" xr:uid="{00000000-0005-0000-0000-0000F91F0000}"/>
    <cellStyle name="Normal 72 3 2 2" xfId="7032" xr:uid="{00000000-0005-0000-0000-0000FA1F0000}"/>
    <cellStyle name="Normal 72 3 3" xfId="7033" xr:uid="{00000000-0005-0000-0000-0000FB1F0000}"/>
    <cellStyle name="Normal 72 4" xfId="7034" xr:uid="{00000000-0005-0000-0000-0000FC1F0000}"/>
    <cellStyle name="Normal 72 4 2" xfId="7035" xr:uid="{00000000-0005-0000-0000-0000FD1F0000}"/>
    <cellStyle name="Normal 72 4 2 2" xfId="7036" xr:uid="{00000000-0005-0000-0000-0000FE1F0000}"/>
    <cellStyle name="Normal 72 4 3" xfId="7037" xr:uid="{00000000-0005-0000-0000-0000FF1F0000}"/>
    <cellStyle name="Normal 72 5" xfId="7038" xr:uid="{00000000-0005-0000-0000-000000200000}"/>
    <cellStyle name="Normal 72 5 2" xfId="7039" xr:uid="{00000000-0005-0000-0000-000001200000}"/>
    <cellStyle name="Normal 72 6" xfId="7040" xr:uid="{00000000-0005-0000-0000-000002200000}"/>
    <cellStyle name="Normal 73" xfId="7041" xr:uid="{00000000-0005-0000-0000-000003200000}"/>
    <cellStyle name="Normal 73 2" xfId="7042" xr:uid="{00000000-0005-0000-0000-000004200000}"/>
    <cellStyle name="Normal 73 2 2" xfId="7043" xr:uid="{00000000-0005-0000-0000-000005200000}"/>
    <cellStyle name="Normal 73 2 2 2" xfId="7044" xr:uid="{00000000-0005-0000-0000-000006200000}"/>
    <cellStyle name="Normal 73 2 2 2 2" xfId="7045" xr:uid="{00000000-0005-0000-0000-000007200000}"/>
    <cellStyle name="Normal 73 2 2 3" xfId="7046" xr:uid="{00000000-0005-0000-0000-000008200000}"/>
    <cellStyle name="Normal 73 2 3" xfId="7047" xr:uid="{00000000-0005-0000-0000-000009200000}"/>
    <cellStyle name="Normal 73 2 3 2" xfId="7048" xr:uid="{00000000-0005-0000-0000-00000A200000}"/>
    <cellStyle name="Normal 73 2 4" xfId="7049" xr:uid="{00000000-0005-0000-0000-00000B200000}"/>
    <cellStyle name="Normal 73 3" xfId="7050" xr:uid="{00000000-0005-0000-0000-00000C200000}"/>
    <cellStyle name="Normal 73 3 2" xfId="7051" xr:uid="{00000000-0005-0000-0000-00000D200000}"/>
    <cellStyle name="Normal 73 3 2 2" xfId="7052" xr:uid="{00000000-0005-0000-0000-00000E200000}"/>
    <cellStyle name="Normal 73 3 3" xfId="7053" xr:uid="{00000000-0005-0000-0000-00000F200000}"/>
    <cellStyle name="Normal 73 4" xfId="7054" xr:uid="{00000000-0005-0000-0000-000010200000}"/>
    <cellStyle name="Normal 73 4 2" xfId="7055" xr:uid="{00000000-0005-0000-0000-000011200000}"/>
    <cellStyle name="Normal 73 4 2 2" xfId="7056" xr:uid="{00000000-0005-0000-0000-000012200000}"/>
    <cellStyle name="Normal 73 4 3" xfId="7057" xr:uid="{00000000-0005-0000-0000-000013200000}"/>
    <cellStyle name="Normal 73 5" xfId="7058" xr:uid="{00000000-0005-0000-0000-000014200000}"/>
    <cellStyle name="Normal 73 5 2" xfId="7059" xr:uid="{00000000-0005-0000-0000-000015200000}"/>
    <cellStyle name="Normal 73 6" xfId="7060" xr:uid="{00000000-0005-0000-0000-000016200000}"/>
    <cellStyle name="Normal 74" xfId="7061" xr:uid="{00000000-0005-0000-0000-000017200000}"/>
    <cellStyle name="Normal 74 2" xfId="7062" xr:uid="{00000000-0005-0000-0000-000018200000}"/>
    <cellStyle name="Normal 74 2 2" xfId="7063" xr:uid="{00000000-0005-0000-0000-000019200000}"/>
    <cellStyle name="Normal 74 2 2 2" xfId="7064" xr:uid="{00000000-0005-0000-0000-00001A200000}"/>
    <cellStyle name="Normal 74 2 2 2 2" xfId="7065" xr:uid="{00000000-0005-0000-0000-00001B200000}"/>
    <cellStyle name="Normal 74 2 2 3" xfId="7066" xr:uid="{00000000-0005-0000-0000-00001C200000}"/>
    <cellStyle name="Normal 74 2 3" xfId="7067" xr:uid="{00000000-0005-0000-0000-00001D200000}"/>
    <cellStyle name="Normal 74 2 3 2" xfId="7068" xr:uid="{00000000-0005-0000-0000-00001E200000}"/>
    <cellStyle name="Normal 74 2 4" xfId="7069" xr:uid="{00000000-0005-0000-0000-00001F200000}"/>
    <cellStyle name="Normal 74 3" xfId="7070" xr:uid="{00000000-0005-0000-0000-000020200000}"/>
    <cellStyle name="Normal 74 3 2" xfId="7071" xr:uid="{00000000-0005-0000-0000-000021200000}"/>
    <cellStyle name="Normal 74 3 2 2" xfId="7072" xr:uid="{00000000-0005-0000-0000-000022200000}"/>
    <cellStyle name="Normal 74 3 3" xfId="7073" xr:uid="{00000000-0005-0000-0000-000023200000}"/>
    <cellStyle name="Normal 74 4" xfId="7074" xr:uid="{00000000-0005-0000-0000-000024200000}"/>
    <cellStyle name="Normal 74 4 2" xfId="7075" xr:uid="{00000000-0005-0000-0000-000025200000}"/>
    <cellStyle name="Normal 74 4 2 2" xfId="7076" xr:uid="{00000000-0005-0000-0000-000026200000}"/>
    <cellStyle name="Normal 74 4 3" xfId="7077" xr:uid="{00000000-0005-0000-0000-000027200000}"/>
    <cellStyle name="Normal 74 5" xfId="7078" xr:uid="{00000000-0005-0000-0000-000028200000}"/>
    <cellStyle name="Normal 74 5 2" xfId="7079" xr:uid="{00000000-0005-0000-0000-000029200000}"/>
    <cellStyle name="Normal 74 6" xfId="7080" xr:uid="{00000000-0005-0000-0000-00002A200000}"/>
    <cellStyle name="Normal 75" xfId="7081" xr:uid="{00000000-0005-0000-0000-00002B200000}"/>
    <cellStyle name="Normal 75 2" xfId="7082" xr:uid="{00000000-0005-0000-0000-00002C200000}"/>
    <cellStyle name="Normal 75 2 2" xfId="7083" xr:uid="{00000000-0005-0000-0000-00002D200000}"/>
    <cellStyle name="Normal 75 2 2 2" xfId="7084" xr:uid="{00000000-0005-0000-0000-00002E200000}"/>
    <cellStyle name="Normal 75 2 2 2 2" xfId="7085" xr:uid="{00000000-0005-0000-0000-00002F200000}"/>
    <cellStyle name="Normal 75 2 2 3" xfId="7086" xr:uid="{00000000-0005-0000-0000-000030200000}"/>
    <cellStyle name="Normal 75 2 3" xfId="7087" xr:uid="{00000000-0005-0000-0000-000031200000}"/>
    <cellStyle name="Normal 75 2 3 2" xfId="7088" xr:uid="{00000000-0005-0000-0000-000032200000}"/>
    <cellStyle name="Normal 75 2 4" xfId="7089" xr:uid="{00000000-0005-0000-0000-000033200000}"/>
    <cellStyle name="Normal 75 3" xfId="7090" xr:uid="{00000000-0005-0000-0000-000034200000}"/>
    <cellStyle name="Normal 75 3 2" xfId="7091" xr:uid="{00000000-0005-0000-0000-000035200000}"/>
    <cellStyle name="Normal 75 3 2 2" xfId="7092" xr:uid="{00000000-0005-0000-0000-000036200000}"/>
    <cellStyle name="Normal 75 3 3" xfId="7093" xr:uid="{00000000-0005-0000-0000-000037200000}"/>
    <cellStyle name="Normal 75 4" xfId="7094" xr:uid="{00000000-0005-0000-0000-000038200000}"/>
    <cellStyle name="Normal 75 4 2" xfId="7095" xr:uid="{00000000-0005-0000-0000-000039200000}"/>
    <cellStyle name="Normal 75 4 2 2" xfId="7096" xr:uid="{00000000-0005-0000-0000-00003A200000}"/>
    <cellStyle name="Normal 75 4 3" xfId="7097" xr:uid="{00000000-0005-0000-0000-00003B200000}"/>
    <cellStyle name="Normal 75 5" xfId="7098" xr:uid="{00000000-0005-0000-0000-00003C200000}"/>
    <cellStyle name="Normal 75 5 2" xfId="7099" xr:uid="{00000000-0005-0000-0000-00003D200000}"/>
    <cellStyle name="Normal 75 6" xfId="7100" xr:uid="{00000000-0005-0000-0000-00003E200000}"/>
    <cellStyle name="Normal 76" xfId="7101" xr:uid="{00000000-0005-0000-0000-00003F200000}"/>
    <cellStyle name="Normal 76 2" xfId="7102" xr:uid="{00000000-0005-0000-0000-000040200000}"/>
    <cellStyle name="Normal 76 2 2" xfId="7103" xr:uid="{00000000-0005-0000-0000-000041200000}"/>
    <cellStyle name="Normal 76 2 2 2" xfId="7104" xr:uid="{00000000-0005-0000-0000-000042200000}"/>
    <cellStyle name="Normal 76 2 2 2 2" xfId="7105" xr:uid="{00000000-0005-0000-0000-000043200000}"/>
    <cellStyle name="Normal 76 2 2 3" xfId="7106" xr:uid="{00000000-0005-0000-0000-000044200000}"/>
    <cellStyle name="Normal 76 2 3" xfId="7107" xr:uid="{00000000-0005-0000-0000-000045200000}"/>
    <cellStyle name="Normal 76 2 3 2" xfId="7108" xr:uid="{00000000-0005-0000-0000-000046200000}"/>
    <cellStyle name="Normal 76 2 4" xfId="7109" xr:uid="{00000000-0005-0000-0000-000047200000}"/>
    <cellStyle name="Normal 76 3" xfId="7110" xr:uid="{00000000-0005-0000-0000-000048200000}"/>
    <cellStyle name="Normal 76 3 2" xfId="7111" xr:uid="{00000000-0005-0000-0000-000049200000}"/>
    <cellStyle name="Normal 76 3 2 2" xfId="7112" xr:uid="{00000000-0005-0000-0000-00004A200000}"/>
    <cellStyle name="Normal 76 3 3" xfId="7113" xr:uid="{00000000-0005-0000-0000-00004B200000}"/>
    <cellStyle name="Normal 76 4" xfId="7114" xr:uid="{00000000-0005-0000-0000-00004C200000}"/>
    <cellStyle name="Normal 76 4 2" xfId="7115" xr:uid="{00000000-0005-0000-0000-00004D200000}"/>
    <cellStyle name="Normal 76 4 2 2" xfId="7116" xr:uid="{00000000-0005-0000-0000-00004E200000}"/>
    <cellStyle name="Normal 76 4 3" xfId="7117" xr:uid="{00000000-0005-0000-0000-00004F200000}"/>
    <cellStyle name="Normal 76 5" xfId="7118" xr:uid="{00000000-0005-0000-0000-000050200000}"/>
    <cellStyle name="Normal 76 5 2" xfId="7119" xr:uid="{00000000-0005-0000-0000-000051200000}"/>
    <cellStyle name="Normal 76 6" xfId="7120" xr:uid="{00000000-0005-0000-0000-000052200000}"/>
    <cellStyle name="Normal 77" xfId="7121" xr:uid="{00000000-0005-0000-0000-000053200000}"/>
    <cellStyle name="Normal 77 2" xfId="7122" xr:uid="{00000000-0005-0000-0000-000054200000}"/>
    <cellStyle name="Normal 77 2 2" xfId="7123" xr:uid="{00000000-0005-0000-0000-000055200000}"/>
    <cellStyle name="Normal 77 2 2 2" xfId="7124" xr:uid="{00000000-0005-0000-0000-000056200000}"/>
    <cellStyle name="Normal 77 2 2 2 2" xfId="7125" xr:uid="{00000000-0005-0000-0000-000057200000}"/>
    <cellStyle name="Normal 77 2 2 3" xfId="7126" xr:uid="{00000000-0005-0000-0000-000058200000}"/>
    <cellStyle name="Normal 77 2 3" xfId="7127" xr:uid="{00000000-0005-0000-0000-000059200000}"/>
    <cellStyle name="Normal 77 2 3 2" xfId="7128" xr:uid="{00000000-0005-0000-0000-00005A200000}"/>
    <cellStyle name="Normal 77 2 4" xfId="7129" xr:uid="{00000000-0005-0000-0000-00005B200000}"/>
    <cellStyle name="Normal 77 3" xfId="7130" xr:uid="{00000000-0005-0000-0000-00005C200000}"/>
    <cellStyle name="Normal 77 3 2" xfId="7131" xr:uid="{00000000-0005-0000-0000-00005D200000}"/>
    <cellStyle name="Normal 77 3 2 2" xfId="7132" xr:uid="{00000000-0005-0000-0000-00005E200000}"/>
    <cellStyle name="Normal 77 3 3" xfId="7133" xr:uid="{00000000-0005-0000-0000-00005F200000}"/>
    <cellStyle name="Normal 77 4" xfId="7134" xr:uid="{00000000-0005-0000-0000-000060200000}"/>
    <cellStyle name="Normal 77 4 2" xfId="7135" xr:uid="{00000000-0005-0000-0000-000061200000}"/>
    <cellStyle name="Normal 77 4 2 2" xfId="7136" xr:uid="{00000000-0005-0000-0000-000062200000}"/>
    <cellStyle name="Normal 77 4 3" xfId="7137" xr:uid="{00000000-0005-0000-0000-000063200000}"/>
    <cellStyle name="Normal 77 5" xfId="7138" xr:uid="{00000000-0005-0000-0000-000064200000}"/>
    <cellStyle name="Normal 77 5 2" xfId="7139" xr:uid="{00000000-0005-0000-0000-000065200000}"/>
    <cellStyle name="Normal 77 6" xfId="7140" xr:uid="{00000000-0005-0000-0000-000066200000}"/>
    <cellStyle name="Normal 78" xfId="7141" xr:uid="{00000000-0005-0000-0000-000067200000}"/>
    <cellStyle name="Normal 78 2" xfId="7142" xr:uid="{00000000-0005-0000-0000-000068200000}"/>
    <cellStyle name="Normal 78 2 2" xfId="7143" xr:uid="{00000000-0005-0000-0000-000069200000}"/>
    <cellStyle name="Normal 78 2 2 2" xfId="7144" xr:uid="{00000000-0005-0000-0000-00006A200000}"/>
    <cellStyle name="Normal 78 2 2 2 2" xfId="7145" xr:uid="{00000000-0005-0000-0000-00006B200000}"/>
    <cellStyle name="Normal 78 2 2 3" xfId="7146" xr:uid="{00000000-0005-0000-0000-00006C200000}"/>
    <cellStyle name="Normal 78 2 3" xfId="7147" xr:uid="{00000000-0005-0000-0000-00006D200000}"/>
    <cellStyle name="Normal 78 2 3 2" xfId="7148" xr:uid="{00000000-0005-0000-0000-00006E200000}"/>
    <cellStyle name="Normal 78 2 4" xfId="7149" xr:uid="{00000000-0005-0000-0000-00006F200000}"/>
    <cellStyle name="Normal 78 3" xfId="7150" xr:uid="{00000000-0005-0000-0000-000070200000}"/>
    <cellStyle name="Normal 78 3 2" xfId="7151" xr:uid="{00000000-0005-0000-0000-000071200000}"/>
    <cellStyle name="Normal 78 3 2 2" xfId="7152" xr:uid="{00000000-0005-0000-0000-000072200000}"/>
    <cellStyle name="Normal 78 3 3" xfId="7153" xr:uid="{00000000-0005-0000-0000-000073200000}"/>
    <cellStyle name="Normal 78 4" xfId="7154" xr:uid="{00000000-0005-0000-0000-000074200000}"/>
    <cellStyle name="Normal 78 4 2" xfId="7155" xr:uid="{00000000-0005-0000-0000-000075200000}"/>
    <cellStyle name="Normal 78 4 2 2" xfId="7156" xr:uid="{00000000-0005-0000-0000-000076200000}"/>
    <cellStyle name="Normal 78 4 3" xfId="7157" xr:uid="{00000000-0005-0000-0000-000077200000}"/>
    <cellStyle name="Normal 78 5" xfId="7158" xr:uid="{00000000-0005-0000-0000-000078200000}"/>
    <cellStyle name="Normal 78 5 2" xfId="7159" xr:uid="{00000000-0005-0000-0000-000079200000}"/>
    <cellStyle name="Normal 78 6" xfId="7160" xr:uid="{00000000-0005-0000-0000-00007A200000}"/>
    <cellStyle name="Normal 787" xfId="9681" xr:uid="{00000000-0005-0000-0000-00007B200000}"/>
    <cellStyle name="Normal 79" xfId="7161" xr:uid="{00000000-0005-0000-0000-00007C200000}"/>
    <cellStyle name="Normal 79 2" xfId="7162" xr:uid="{00000000-0005-0000-0000-00007D200000}"/>
    <cellStyle name="Normal 79 2 2" xfId="7163" xr:uid="{00000000-0005-0000-0000-00007E200000}"/>
    <cellStyle name="Normal 79 2 2 2" xfId="7164" xr:uid="{00000000-0005-0000-0000-00007F200000}"/>
    <cellStyle name="Normal 79 2 2 2 2" xfId="7165" xr:uid="{00000000-0005-0000-0000-000080200000}"/>
    <cellStyle name="Normal 79 2 2 3" xfId="7166" xr:uid="{00000000-0005-0000-0000-000081200000}"/>
    <cellStyle name="Normal 79 2 3" xfId="7167" xr:uid="{00000000-0005-0000-0000-000082200000}"/>
    <cellStyle name="Normal 79 2 3 2" xfId="7168" xr:uid="{00000000-0005-0000-0000-000083200000}"/>
    <cellStyle name="Normal 79 2 4" xfId="7169" xr:uid="{00000000-0005-0000-0000-000084200000}"/>
    <cellStyle name="Normal 79 3" xfId="7170" xr:uid="{00000000-0005-0000-0000-000085200000}"/>
    <cellStyle name="Normal 79 3 2" xfId="7171" xr:uid="{00000000-0005-0000-0000-000086200000}"/>
    <cellStyle name="Normal 79 3 2 2" xfId="7172" xr:uid="{00000000-0005-0000-0000-000087200000}"/>
    <cellStyle name="Normal 79 3 3" xfId="7173" xr:uid="{00000000-0005-0000-0000-000088200000}"/>
    <cellStyle name="Normal 79 4" xfId="7174" xr:uid="{00000000-0005-0000-0000-000089200000}"/>
    <cellStyle name="Normal 79 4 2" xfId="7175" xr:uid="{00000000-0005-0000-0000-00008A200000}"/>
    <cellStyle name="Normal 79 4 2 2" xfId="7176" xr:uid="{00000000-0005-0000-0000-00008B200000}"/>
    <cellStyle name="Normal 79 4 3" xfId="7177" xr:uid="{00000000-0005-0000-0000-00008C200000}"/>
    <cellStyle name="Normal 79 5" xfId="7178" xr:uid="{00000000-0005-0000-0000-00008D200000}"/>
    <cellStyle name="Normal 79 5 2" xfId="7179" xr:uid="{00000000-0005-0000-0000-00008E200000}"/>
    <cellStyle name="Normal 79 6" xfId="7180" xr:uid="{00000000-0005-0000-0000-00008F200000}"/>
    <cellStyle name="Normal 8" xfId="7181" xr:uid="{00000000-0005-0000-0000-000090200000}"/>
    <cellStyle name="Normal 8 10" xfId="7182" xr:uid="{00000000-0005-0000-0000-000091200000}"/>
    <cellStyle name="Normal 8 10 2" xfId="7183" xr:uid="{00000000-0005-0000-0000-000092200000}"/>
    <cellStyle name="Normal 8 10 2 2" xfId="7184" xr:uid="{00000000-0005-0000-0000-000093200000}"/>
    <cellStyle name="Normal 8 10 3" xfId="7185" xr:uid="{00000000-0005-0000-0000-000094200000}"/>
    <cellStyle name="Normal 8 11" xfId="7186" xr:uid="{00000000-0005-0000-0000-000095200000}"/>
    <cellStyle name="Normal 8 11 2" xfId="7187" xr:uid="{00000000-0005-0000-0000-000096200000}"/>
    <cellStyle name="Normal 8 11 2 2" xfId="7188" xr:uid="{00000000-0005-0000-0000-000097200000}"/>
    <cellStyle name="Normal 8 11 3" xfId="7189" xr:uid="{00000000-0005-0000-0000-000098200000}"/>
    <cellStyle name="Normal 8 12" xfId="7190" xr:uid="{00000000-0005-0000-0000-000099200000}"/>
    <cellStyle name="Normal 8 12 2" xfId="7191" xr:uid="{00000000-0005-0000-0000-00009A200000}"/>
    <cellStyle name="Normal 8 13" xfId="7192" xr:uid="{00000000-0005-0000-0000-00009B200000}"/>
    <cellStyle name="Normal 8 13 2" xfId="7193" xr:uid="{00000000-0005-0000-0000-00009C200000}"/>
    <cellStyle name="Normal 8 14" xfId="7194" xr:uid="{00000000-0005-0000-0000-00009D200000}"/>
    <cellStyle name="Normal 8 15" xfId="9829" xr:uid="{00000000-0005-0000-0000-00009E200000}"/>
    <cellStyle name="Normal 8 2" xfId="7195" xr:uid="{00000000-0005-0000-0000-00009F200000}"/>
    <cellStyle name="Normal 8 2 10" xfId="7196" xr:uid="{00000000-0005-0000-0000-0000A0200000}"/>
    <cellStyle name="Normal 8 2 11" xfId="7197" xr:uid="{00000000-0005-0000-0000-0000A1200000}"/>
    <cellStyle name="Normal 8 2 12" xfId="9840" xr:uid="{00000000-0005-0000-0000-0000A2200000}"/>
    <cellStyle name="Normal 8 2 2" xfId="7198" xr:uid="{00000000-0005-0000-0000-0000A3200000}"/>
    <cellStyle name="Normal 8 2 2 10" xfId="7199" xr:uid="{00000000-0005-0000-0000-0000A4200000}"/>
    <cellStyle name="Normal 8 2 2 2" xfId="7200" xr:uid="{00000000-0005-0000-0000-0000A5200000}"/>
    <cellStyle name="Normal 8 2 2 2 2" xfId="7201" xr:uid="{00000000-0005-0000-0000-0000A6200000}"/>
    <cellStyle name="Normal 8 2 2 2 2 2" xfId="7202" xr:uid="{00000000-0005-0000-0000-0000A7200000}"/>
    <cellStyle name="Normal 8 2 2 2 2 2 2" xfId="7203" xr:uid="{00000000-0005-0000-0000-0000A8200000}"/>
    <cellStyle name="Normal 8 2 2 2 2 2 2 2" xfId="7204" xr:uid="{00000000-0005-0000-0000-0000A9200000}"/>
    <cellStyle name="Normal 8 2 2 2 2 2 3" xfId="7205" xr:uid="{00000000-0005-0000-0000-0000AA200000}"/>
    <cellStyle name="Normal 8 2 2 2 2 3" xfId="7206" xr:uid="{00000000-0005-0000-0000-0000AB200000}"/>
    <cellStyle name="Normal 8 2 2 2 2 3 2" xfId="7207" xr:uid="{00000000-0005-0000-0000-0000AC200000}"/>
    <cellStyle name="Normal 8 2 2 2 2 4" xfId="7208" xr:uid="{00000000-0005-0000-0000-0000AD200000}"/>
    <cellStyle name="Normal 8 2 2 2 3" xfId="7209" xr:uid="{00000000-0005-0000-0000-0000AE200000}"/>
    <cellStyle name="Normal 8 2 2 2 3 2" xfId="7210" xr:uid="{00000000-0005-0000-0000-0000AF200000}"/>
    <cellStyle name="Normal 8 2 2 2 3 3" xfId="7211" xr:uid="{00000000-0005-0000-0000-0000B0200000}"/>
    <cellStyle name="Normal 8 2 2 2 3 3 2" xfId="7212" xr:uid="{00000000-0005-0000-0000-0000B1200000}"/>
    <cellStyle name="Normal 8 2 2 2 3 4" xfId="7213" xr:uid="{00000000-0005-0000-0000-0000B2200000}"/>
    <cellStyle name="Normal 8 2 2 2 4" xfId="7214" xr:uid="{00000000-0005-0000-0000-0000B3200000}"/>
    <cellStyle name="Normal 8 2 2 2 4 2" xfId="7215" xr:uid="{00000000-0005-0000-0000-0000B4200000}"/>
    <cellStyle name="Normal 8 2 2 2 4 2 2" xfId="7216" xr:uid="{00000000-0005-0000-0000-0000B5200000}"/>
    <cellStyle name="Normal 8 2 2 2 4 3" xfId="7217" xr:uid="{00000000-0005-0000-0000-0000B6200000}"/>
    <cellStyle name="Normal 8 2 2 2 5" xfId="7218" xr:uid="{00000000-0005-0000-0000-0000B7200000}"/>
    <cellStyle name="Normal 8 2 2 2 5 2" xfId="7219" xr:uid="{00000000-0005-0000-0000-0000B8200000}"/>
    <cellStyle name="Normal 8 2 2 2 6" xfId="7220" xr:uid="{00000000-0005-0000-0000-0000B9200000}"/>
    <cellStyle name="Normal 8 2 2 3" xfId="7221" xr:uid="{00000000-0005-0000-0000-0000BA200000}"/>
    <cellStyle name="Normal 8 2 2 3 2" xfId="7222" xr:uid="{00000000-0005-0000-0000-0000BB200000}"/>
    <cellStyle name="Normal 8 2 2 3 2 2" xfId="7223" xr:uid="{00000000-0005-0000-0000-0000BC200000}"/>
    <cellStyle name="Normal 8 2 2 3 2 2 2" xfId="7224" xr:uid="{00000000-0005-0000-0000-0000BD200000}"/>
    <cellStyle name="Normal 8 2 2 3 2 2 2 2" xfId="7225" xr:uid="{00000000-0005-0000-0000-0000BE200000}"/>
    <cellStyle name="Normal 8 2 2 3 2 2 3" xfId="7226" xr:uid="{00000000-0005-0000-0000-0000BF200000}"/>
    <cellStyle name="Normal 8 2 2 3 2 3" xfId="7227" xr:uid="{00000000-0005-0000-0000-0000C0200000}"/>
    <cellStyle name="Normal 8 2 2 3 2 3 2" xfId="7228" xr:uid="{00000000-0005-0000-0000-0000C1200000}"/>
    <cellStyle name="Normal 8 2 2 3 2 4" xfId="7229" xr:uid="{00000000-0005-0000-0000-0000C2200000}"/>
    <cellStyle name="Normal 8 2 2 3 3" xfId="7230" xr:uid="{00000000-0005-0000-0000-0000C3200000}"/>
    <cellStyle name="Normal 8 2 2 3 3 2" xfId="7231" xr:uid="{00000000-0005-0000-0000-0000C4200000}"/>
    <cellStyle name="Normal 8 2 2 3 3 2 2" xfId="7232" xr:uid="{00000000-0005-0000-0000-0000C5200000}"/>
    <cellStyle name="Normal 8 2 2 3 3 3" xfId="7233" xr:uid="{00000000-0005-0000-0000-0000C6200000}"/>
    <cellStyle name="Normal 8 2 2 3 4" xfId="7234" xr:uid="{00000000-0005-0000-0000-0000C7200000}"/>
    <cellStyle name="Normal 8 2 2 3 4 2" xfId="7235" xr:uid="{00000000-0005-0000-0000-0000C8200000}"/>
    <cellStyle name="Normal 8 2 2 3 4 2 2" xfId="7236" xr:uid="{00000000-0005-0000-0000-0000C9200000}"/>
    <cellStyle name="Normal 8 2 2 3 4 3" xfId="7237" xr:uid="{00000000-0005-0000-0000-0000CA200000}"/>
    <cellStyle name="Normal 8 2 2 3 5" xfId="7238" xr:uid="{00000000-0005-0000-0000-0000CB200000}"/>
    <cellStyle name="Normal 8 2 2 3 5 2" xfId="7239" xr:uid="{00000000-0005-0000-0000-0000CC200000}"/>
    <cellStyle name="Normal 8 2 2 3 6" xfId="7240" xr:uid="{00000000-0005-0000-0000-0000CD200000}"/>
    <cellStyle name="Normal 8 2 2 4" xfId="7241" xr:uid="{00000000-0005-0000-0000-0000CE200000}"/>
    <cellStyle name="Normal 8 2 2 4 2" xfId="7242" xr:uid="{00000000-0005-0000-0000-0000CF200000}"/>
    <cellStyle name="Normal 8 2 2 4 2 2" xfId="7243" xr:uid="{00000000-0005-0000-0000-0000D0200000}"/>
    <cellStyle name="Normal 8 2 2 4 2 2 2" xfId="7244" xr:uid="{00000000-0005-0000-0000-0000D1200000}"/>
    <cellStyle name="Normal 8 2 2 4 2 2 2 2" xfId="7245" xr:uid="{00000000-0005-0000-0000-0000D2200000}"/>
    <cellStyle name="Normal 8 2 2 4 2 2 3" xfId="7246" xr:uid="{00000000-0005-0000-0000-0000D3200000}"/>
    <cellStyle name="Normal 8 2 2 4 2 3" xfId="7247" xr:uid="{00000000-0005-0000-0000-0000D4200000}"/>
    <cellStyle name="Normal 8 2 2 4 2 3 2" xfId="7248" xr:uid="{00000000-0005-0000-0000-0000D5200000}"/>
    <cellStyle name="Normal 8 2 2 4 2 4" xfId="7249" xr:uid="{00000000-0005-0000-0000-0000D6200000}"/>
    <cellStyle name="Normal 8 2 2 4 3" xfId="7250" xr:uid="{00000000-0005-0000-0000-0000D7200000}"/>
    <cellStyle name="Normal 8 2 2 4 3 2" xfId="7251" xr:uid="{00000000-0005-0000-0000-0000D8200000}"/>
    <cellStyle name="Normal 8 2 2 4 3 2 2" xfId="7252" xr:uid="{00000000-0005-0000-0000-0000D9200000}"/>
    <cellStyle name="Normal 8 2 2 4 3 3" xfId="7253" xr:uid="{00000000-0005-0000-0000-0000DA200000}"/>
    <cellStyle name="Normal 8 2 2 4 4" xfId="7254" xr:uid="{00000000-0005-0000-0000-0000DB200000}"/>
    <cellStyle name="Normal 8 2 2 4 4 2" xfId="7255" xr:uid="{00000000-0005-0000-0000-0000DC200000}"/>
    <cellStyle name="Normal 8 2 2 4 4 2 2" xfId="7256" xr:uid="{00000000-0005-0000-0000-0000DD200000}"/>
    <cellStyle name="Normal 8 2 2 4 4 3" xfId="7257" xr:uid="{00000000-0005-0000-0000-0000DE200000}"/>
    <cellStyle name="Normal 8 2 2 4 5" xfId="7258" xr:uid="{00000000-0005-0000-0000-0000DF200000}"/>
    <cellStyle name="Normal 8 2 2 4 5 2" xfId="7259" xr:uid="{00000000-0005-0000-0000-0000E0200000}"/>
    <cellStyle name="Normal 8 2 2 4 6" xfId="7260" xr:uid="{00000000-0005-0000-0000-0000E1200000}"/>
    <cellStyle name="Normal 8 2 2 5" xfId="7261" xr:uid="{00000000-0005-0000-0000-0000E2200000}"/>
    <cellStyle name="Normal 8 2 2 5 2" xfId="7262" xr:uid="{00000000-0005-0000-0000-0000E3200000}"/>
    <cellStyle name="Normal 8 2 2 5 2 2" xfId="7263" xr:uid="{00000000-0005-0000-0000-0000E4200000}"/>
    <cellStyle name="Normal 8 2 2 5 2 2 2" xfId="7264" xr:uid="{00000000-0005-0000-0000-0000E5200000}"/>
    <cellStyle name="Normal 8 2 2 5 2 3" xfId="7265" xr:uid="{00000000-0005-0000-0000-0000E6200000}"/>
    <cellStyle name="Normal 8 2 2 5 3" xfId="7266" xr:uid="{00000000-0005-0000-0000-0000E7200000}"/>
    <cellStyle name="Normal 8 2 2 5 3 2" xfId="7267" xr:uid="{00000000-0005-0000-0000-0000E8200000}"/>
    <cellStyle name="Normal 8 2 2 5 4" xfId="7268" xr:uid="{00000000-0005-0000-0000-0000E9200000}"/>
    <cellStyle name="Normal 8 2 2 6" xfId="7269" xr:uid="{00000000-0005-0000-0000-0000EA200000}"/>
    <cellStyle name="Normal 8 2 2 6 2" xfId="7270" xr:uid="{00000000-0005-0000-0000-0000EB200000}"/>
    <cellStyle name="Normal 8 2 2 6 2 2" xfId="7271" xr:uid="{00000000-0005-0000-0000-0000EC200000}"/>
    <cellStyle name="Normal 8 2 2 6 3" xfId="7272" xr:uid="{00000000-0005-0000-0000-0000ED200000}"/>
    <cellStyle name="Normal 8 2 2 7" xfId="7273" xr:uid="{00000000-0005-0000-0000-0000EE200000}"/>
    <cellStyle name="Normal 8 2 2 7 2" xfId="7274" xr:uid="{00000000-0005-0000-0000-0000EF200000}"/>
    <cellStyle name="Normal 8 2 2 7 2 2" xfId="7275" xr:uid="{00000000-0005-0000-0000-0000F0200000}"/>
    <cellStyle name="Normal 8 2 2 7 3" xfId="7276" xr:uid="{00000000-0005-0000-0000-0000F1200000}"/>
    <cellStyle name="Normal 8 2 2 8" xfId="7277" xr:uid="{00000000-0005-0000-0000-0000F2200000}"/>
    <cellStyle name="Normal 8 2 2 8 2" xfId="7278" xr:uid="{00000000-0005-0000-0000-0000F3200000}"/>
    <cellStyle name="Normal 8 2 2 9" xfId="7279" xr:uid="{00000000-0005-0000-0000-0000F4200000}"/>
    <cellStyle name="Normal 8 2 2_Activity Fcst Variance" xfId="7280" xr:uid="{00000000-0005-0000-0000-0000F5200000}"/>
    <cellStyle name="Normal 8 2 3" xfId="7281" xr:uid="{00000000-0005-0000-0000-0000F6200000}"/>
    <cellStyle name="Normal 8 2 3 2" xfId="7282" xr:uid="{00000000-0005-0000-0000-0000F7200000}"/>
    <cellStyle name="Normal 8 2 3 2 2" xfId="7283" xr:uid="{00000000-0005-0000-0000-0000F8200000}"/>
    <cellStyle name="Normal 8 2 3 2 2 2" xfId="7284" xr:uid="{00000000-0005-0000-0000-0000F9200000}"/>
    <cellStyle name="Normal 8 2 3 2 2 2 2" xfId="7285" xr:uid="{00000000-0005-0000-0000-0000FA200000}"/>
    <cellStyle name="Normal 8 2 3 2 2 3" xfId="7286" xr:uid="{00000000-0005-0000-0000-0000FB200000}"/>
    <cellStyle name="Normal 8 2 3 2 3" xfId="7287" xr:uid="{00000000-0005-0000-0000-0000FC200000}"/>
    <cellStyle name="Normal 8 2 3 2 3 2" xfId="7288" xr:uid="{00000000-0005-0000-0000-0000FD200000}"/>
    <cellStyle name="Normal 8 2 3 2 4" xfId="7289" xr:uid="{00000000-0005-0000-0000-0000FE200000}"/>
    <cellStyle name="Normal 8 2 3 3" xfId="7290" xr:uid="{00000000-0005-0000-0000-0000FF200000}"/>
    <cellStyle name="Normal 8 2 3 3 2" xfId="7291" xr:uid="{00000000-0005-0000-0000-000000210000}"/>
    <cellStyle name="Normal 8 2 3 3 2 2" xfId="7292" xr:uid="{00000000-0005-0000-0000-000001210000}"/>
    <cellStyle name="Normal 8 2 3 3 3" xfId="7293" xr:uid="{00000000-0005-0000-0000-000002210000}"/>
    <cellStyle name="Normal 8 2 3 4" xfId="7294" xr:uid="{00000000-0005-0000-0000-000003210000}"/>
    <cellStyle name="Normal 8 2 3 4 2" xfId="7295" xr:uid="{00000000-0005-0000-0000-000004210000}"/>
    <cellStyle name="Normal 8 2 3 4 2 2" xfId="7296" xr:uid="{00000000-0005-0000-0000-000005210000}"/>
    <cellStyle name="Normal 8 2 3 4 3" xfId="7297" xr:uid="{00000000-0005-0000-0000-000006210000}"/>
    <cellStyle name="Normal 8 2 3 5" xfId="7298" xr:uid="{00000000-0005-0000-0000-000007210000}"/>
    <cellStyle name="Normal 8 2 3 5 2" xfId="7299" xr:uid="{00000000-0005-0000-0000-000008210000}"/>
    <cellStyle name="Normal 8 2 3 6" xfId="7300" xr:uid="{00000000-0005-0000-0000-000009210000}"/>
    <cellStyle name="Normal 8 2 4" xfId="7301" xr:uid="{00000000-0005-0000-0000-00000A210000}"/>
    <cellStyle name="Normal 8 2 4 2" xfId="7302" xr:uid="{00000000-0005-0000-0000-00000B210000}"/>
    <cellStyle name="Normal 8 2 4 2 2" xfId="7303" xr:uid="{00000000-0005-0000-0000-00000C210000}"/>
    <cellStyle name="Normal 8 2 4 2 2 2" xfId="7304" xr:uid="{00000000-0005-0000-0000-00000D210000}"/>
    <cellStyle name="Normal 8 2 4 2 2 2 2" xfId="7305" xr:uid="{00000000-0005-0000-0000-00000E210000}"/>
    <cellStyle name="Normal 8 2 4 2 2 3" xfId="7306" xr:uid="{00000000-0005-0000-0000-00000F210000}"/>
    <cellStyle name="Normal 8 2 4 2 3" xfId="7307" xr:uid="{00000000-0005-0000-0000-000010210000}"/>
    <cellStyle name="Normal 8 2 4 2 3 2" xfId="7308" xr:uid="{00000000-0005-0000-0000-000011210000}"/>
    <cellStyle name="Normal 8 2 4 2 4" xfId="7309" xr:uid="{00000000-0005-0000-0000-000012210000}"/>
    <cellStyle name="Normal 8 2 4 3" xfId="7310" xr:uid="{00000000-0005-0000-0000-000013210000}"/>
    <cellStyle name="Normal 8 2 4 3 2" xfId="7311" xr:uid="{00000000-0005-0000-0000-000014210000}"/>
    <cellStyle name="Normal 8 2 4 3 2 2" xfId="7312" xr:uid="{00000000-0005-0000-0000-000015210000}"/>
    <cellStyle name="Normal 8 2 4 3 3" xfId="7313" xr:uid="{00000000-0005-0000-0000-000016210000}"/>
    <cellStyle name="Normal 8 2 4 4" xfId="7314" xr:uid="{00000000-0005-0000-0000-000017210000}"/>
    <cellStyle name="Normal 8 2 4 4 2" xfId="7315" xr:uid="{00000000-0005-0000-0000-000018210000}"/>
    <cellStyle name="Normal 8 2 4 4 2 2" xfId="7316" xr:uid="{00000000-0005-0000-0000-000019210000}"/>
    <cellStyle name="Normal 8 2 4 4 3" xfId="7317" xr:uid="{00000000-0005-0000-0000-00001A210000}"/>
    <cellStyle name="Normal 8 2 4 5" xfId="7318" xr:uid="{00000000-0005-0000-0000-00001B210000}"/>
    <cellStyle name="Normal 8 2 4 5 2" xfId="7319" xr:uid="{00000000-0005-0000-0000-00001C210000}"/>
    <cellStyle name="Normal 8 2 4 6" xfId="7320" xr:uid="{00000000-0005-0000-0000-00001D210000}"/>
    <cellStyle name="Normal 8 2 5" xfId="7321" xr:uid="{00000000-0005-0000-0000-00001E210000}"/>
    <cellStyle name="Normal 8 2 5 2" xfId="7322" xr:uid="{00000000-0005-0000-0000-00001F210000}"/>
    <cellStyle name="Normal 8 2 5 2 2" xfId="7323" xr:uid="{00000000-0005-0000-0000-000020210000}"/>
    <cellStyle name="Normal 8 2 5 2 2 2" xfId="7324" xr:uid="{00000000-0005-0000-0000-000021210000}"/>
    <cellStyle name="Normal 8 2 5 2 2 2 2" xfId="7325" xr:uid="{00000000-0005-0000-0000-000022210000}"/>
    <cellStyle name="Normal 8 2 5 2 2 3" xfId="7326" xr:uid="{00000000-0005-0000-0000-000023210000}"/>
    <cellStyle name="Normal 8 2 5 2 3" xfId="7327" xr:uid="{00000000-0005-0000-0000-000024210000}"/>
    <cellStyle name="Normal 8 2 5 2 3 2" xfId="7328" xr:uid="{00000000-0005-0000-0000-000025210000}"/>
    <cellStyle name="Normal 8 2 5 2 4" xfId="7329" xr:uid="{00000000-0005-0000-0000-000026210000}"/>
    <cellStyle name="Normal 8 2 5 3" xfId="7330" xr:uid="{00000000-0005-0000-0000-000027210000}"/>
    <cellStyle name="Normal 8 2 5 3 2" xfId="7331" xr:uid="{00000000-0005-0000-0000-000028210000}"/>
    <cellStyle name="Normal 8 2 5 3 2 2" xfId="7332" xr:uid="{00000000-0005-0000-0000-000029210000}"/>
    <cellStyle name="Normal 8 2 5 3 3" xfId="7333" xr:uid="{00000000-0005-0000-0000-00002A210000}"/>
    <cellStyle name="Normal 8 2 5 4" xfId="7334" xr:uid="{00000000-0005-0000-0000-00002B210000}"/>
    <cellStyle name="Normal 8 2 5 4 2" xfId="7335" xr:uid="{00000000-0005-0000-0000-00002C210000}"/>
    <cellStyle name="Normal 8 2 5 4 2 2" xfId="7336" xr:uid="{00000000-0005-0000-0000-00002D210000}"/>
    <cellStyle name="Normal 8 2 5 4 3" xfId="7337" xr:uid="{00000000-0005-0000-0000-00002E210000}"/>
    <cellStyle name="Normal 8 2 5 5" xfId="7338" xr:uid="{00000000-0005-0000-0000-00002F210000}"/>
    <cellStyle name="Normal 8 2 5 5 2" xfId="7339" xr:uid="{00000000-0005-0000-0000-000030210000}"/>
    <cellStyle name="Normal 8 2 5 6" xfId="7340" xr:uid="{00000000-0005-0000-0000-000031210000}"/>
    <cellStyle name="Normal 8 2 6" xfId="7341" xr:uid="{00000000-0005-0000-0000-000032210000}"/>
    <cellStyle name="Normal 8 2 6 2" xfId="7342" xr:uid="{00000000-0005-0000-0000-000033210000}"/>
    <cellStyle name="Normal 8 2 6 3" xfId="7343" xr:uid="{00000000-0005-0000-0000-000034210000}"/>
    <cellStyle name="Normal 8 2 6 3 2" xfId="7344" xr:uid="{00000000-0005-0000-0000-000035210000}"/>
    <cellStyle name="Normal 8 2 6 4" xfId="7345" xr:uid="{00000000-0005-0000-0000-000036210000}"/>
    <cellStyle name="Normal 8 2 7" xfId="7346" xr:uid="{00000000-0005-0000-0000-000037210000}"/>
    <cellStyle name="Normal 8 2 7 2" xfId="7347" xr:uid="{00000000-0005-0000-0000-000038210000}"/>
    <cellStyle name="Normal 8 2 7 3" xfId="7348" xr:uid="{00000000-0005-0000-0000-000039210000}"/>
    <cellStyle name="Normal 8 2 7 3 2" xfId="7349" xr:uid="{00000000-0005-0000-0000-00003A210000}"/>
    <cellStyle name="Normal 8 2 7 4" xfId="7350" xr:uid="{00000000-0005-0000-0000-00003B210000}"/>
    <cellStyle name="Normal 8 2 8" xfId="7351" xr:uid="{00000000-0005-0000-0000-00003C210000}"/>
    <cellStyle name="Normal 8 2 8 2" xfId="7352" xr:uid="{00000000-0005-0000-0000-00003D210000}"/>
    <cellStyle name="Normal 8 2 8 2 2" xfId="7353" xr:uid="{00000000-0005-0000-0000-00003E210000}"/>
    <cellStyle name="Normal 8 2 8 3" xfId="7354" xr:uid="{00000000-0005-0000-0000-00003F210000}"/>
    <cellStyle name="Normal 8 2 9" xfId="7355" xr:uid="{00000000-0005-0000-0000-000040210000}"/>
    <cellStyle name="Normal 8 2 9 2" xfId="7356" xr:uid="{00000000-0005-0000-0000-000041210000}"/>
    <cellStyle name="Normal 8 2_Cap Forecast" xfId="7357" xr:uid="{00000000-0005-0000-0000-000042210000}"/>
    <cellStyle name="Normal 8 3" xfId="7358" xr:uid="{00000000-0005-0000-0000-000043210000}"/>
    <cellStyle name="Normal 8 3 10" xfId="7359" xr:uid="{00000000-0005-0000-0000-000044210000}"/>
    <cellStyle name="Normal 8 3 2" xfId="7360" xr:uid="{00000000-0005-0000-0000-000045210000}"/>
    <cellStyle name="Normal 8 3 2 2" xfId="7361" xr:uid="{00000000-0005-0000-0000-000046210000}"/>
    <cellStyle name="Normal 8 3 2 2 2" xfId="7362" xr:uid="{00000000-0005-0000-0000-000047210000}"/>
    <cellStyle name="Normal 8 3 2 2 2 2" xfId="7363" xr:uid="{00000000-0005-0000-0000-000048210000}"/>
    <cellStyle name="Normal 8 3 2 2 2 2 2" xfId="7364" xr:uid="{00000000-0005-0000-0000-000049210000}"/>
    <cellStyle name="Normal 8 3 2 2 2 3" xfId="7365" xr:uid="{00000000-0005-0000-0000-00004A210000}"/>
    <cellStyle name="Normal 8 3 2 2 3" xfId="7366" xr:uid="{00000000-0005-0000-0000-00004B210000}"/>
    <cellStyle name="Normal 8 3 2 2 3 2" xfId="7367" xr:uid="{00000000-0005-0000-0000-00004C210000}"/>
    <cellStyle name="Normal 8 3 2 2 4" xfId="7368" xr:uid="{00000000-0005-0000-0000-00004D210000}"/>
    <cellStyle name="Normal 8 3 2 3" xfId="7369" xr:uid="{00000000-0005-0000-0000-00004E210000}"/>
    <cellStyle name="Normal 8 3 2 3 2" xfId="7370" xr:uid="{00000000-0005-0000-0000-00004F210000}"/>
    <cellStyle name="Normal 8 3 2 3 2 2" xfId="7371" xr:uid="{00000000-0005-0000-0000-000050210000}"/>
    <cellStyle name="Normal 8 3 2 3 3" xfId="7372" xr:uid="{00000000-0005-0000-0000-000051210000}"/>
    <cellStyle name="Normal 8 3 2 4" xfId="7373" xr:uid="{00000000-0005-0000-0000-000052210000}"/>
    <cellStyle name="Normal 8 3 2 4 2" xfId="7374" xr:uid="{00000000-0005-0000-0000-000053210000}"/>
    <cellStyle name="Normal 8 3 2 4 2 2" xfId="7375" xr:uid="{00000000-0005-0000-0000-000054210000}"/>
    <cellStyle name="Normal 8 3 2 4 3" xfId="7376" xr:uid="{00000000-0005-0000-0000-000055210000}"/>
    <cellStyle name="Normal 8 3 2 5" xfId="7377" xr:uid="{00000000-0005-0000-0000-000056210000}"/>
    <cellStyle name="Normal 8 3 2 5 2" xfId="7378" xr:uid="{00000000-0005-0000-0000-000057210000}"/>
    <cellStyle name="Normal 8 3 2 6" xfId="7379" xr:uid="{00000000-0005-0000-0000-000058210000}"/>
    <cellStyle name="Normal 8 3 3" xfId="7380" xr:uid="{00000000-0005-0000-0000-000059210000}"/>
    <cellStyle name="Normal 8 3 3 2" xfId="7381" xr:uid="{00000000-0005-0000-0000-00005A210000}"/>
    <cellStyle name="Normal 8 3 3 2 2" xfId="7382" xr:uid="{00000000-0005-0000-0000-00005B210000}"/>
    <cellStyle name="Normal 8 3 3 2 2 2" xfId="7383" xr:uid="{00000000-0005-0000-0000-00005C210000}"/>
    <cellStyle name="Normal 8 3 3 2 2 2 2" xfId="7384" xr:uid="{00000000-0005-0000-0000-00005D210000}"/>
    <cellStyle name="Normal 8 3 3 2 2 3" xfId="7385" xr:uid="{00000000-0005-0000-0000-00005E210000}"/>
    <cellStyle name="Normal 8 3 3 2 3" xfId="7386" xr:uid="{00000000-0005-0000-0000-00005F210000}"/>
    <cellStyle name="Normal 8 3 3 2 3 2" xfId="7387" xr:uid="{00000000-0005-0000-0000-000060210000}"/>
    <cellStyle name="Normal 8 3 3 2 4" xfId="7388" xr:uid="{00000000-0005-0000-0000-000061210000}"/>
    <cellStyle name="Normal 8 3 3 3" xfId="7389" xr:uid="{00000000-0005-0000-0000-000062210000}"/>
    <cellStyle name="Normal 8 3 3 3 2" xfId="7390" xr:uid="{00000000-0005-0000-0000-000063210000}"/>
    <cellStyle name="Normal 8 3 3 3 2 2" xfId="10161" xr:uid="{00000000-0005-0000-0000-000064210000}"/>
    <cellStyle name="Normal 8 3 3 3 3" xfId="7391" xr:uid="{00000000-0005-0000-0000-000065210000}"/>
    <cellStyle name="Normal 8 3 3 3 3 2" xfId="7392" xr:uid="{00000000-0005-0000-0000-000066210000}"/>
    <cellStyle name="Normal 8 3 3 3 4" xfId="7393" xr:uid="{00000000-0005-0000-0000-000067210000}"/>
    <cellStyle name="Normal 8 3 3 4" xfId="7394" xr:uid="{00000000-0005-0000-0000-000068210000}"/>
    <cellStyle name="Normal 8 3 3 4 2" xfId="7395" xr:uid="{00000000-0005-0000-0000-000069210000}"/>
    <cellStyle name="Normal 8 3 3 4 2 2" xfId="7396" xr:uid="{00000000-0005-0000-0000-00006A210000}"/>
    <cellStyle name="Normal 8 3 3 4 3" xfId="7397" xr:uid="{00000000-0005-0000-0000-00006B210000}"/>
    <cellStyle name="Normal 8 3 3 5" xfId="7398" xr:uid="{00000000-0005-0000-0000-00006C210000}"/>
    <cellStyle name="Normal 8 3 3 5 2" xfId="7399" xr:uid="{00000000-0005-0000-0000-00006D210000}"/>
    <cellStyle name="Normal 8 3 3 6" xfId="7400" xr:uid="{00000000-0005-0000-0000-00006E210000}"/>
    <cellStyle name="Normal 8 3 4" xfId="7401" xr:uid="{00000000-0005-0000-0000-00006F210000}"/>
    <cellStyle name="Normal 8 3 4 2" xfId="7402" xr:uid="{00000000-0005-0000-0000-000070210000}"/>
    <cellStyle name="Normal 8 3 4 2 2" xfId="7403" xr:uid="{00000000-0005-0000-0000-000071210000}"/>
    <cellStyle name="Normal 8 3 4 2 2 2" xfId="7404" xr:uid="{00000000-0005-0000-0000-000072210000}"/>
    <cellStyle name="Normal 8 3 4 2 2 2 2" xfId="7405" xr:uid="{00000000-0005-0000-0000-000073210000}"/>
    <cellStyle name="Normal 8 3 4 2 2 3" xfId="7406" xr:uid="{00000000-0005-0000-0000-000074210000}"/>
    <cellStyle name="Normal 8 3 4 2 3" xfId="7407" xr:uid="{00000000-0005-0000-0000-000075210000}"/>
    <cellStyle name="Normal 8 3 4 2 3 2" xfId="7408" xr:uid="{00000000-0005-0000-0000-000076210000}"/>
    <cellStyle name="Normal 8 3 4 2 4" xfId="7409" xr:uid="{00000000-0005-0000-0000-000077210000}"/>
    <cellStyle name="Normal 8 3 4 3" xfId="7410" xr:uid="{00000000-0005-0000-0000-000078210000}"/>
    <cellStyle name="Normal 8 3 4 3 2" xfId="7411" xr:uid="{00000000-0005-0000-0000-000079210000}"/>
    <cellStyle name="Normal 8 3 4 3 2 2" xfId="7412" xr:uid="{00000000-0005-0000-0000-00007A210000}"/>
    <cellStyle name="Normal 8 3 4 3 3" xfId="7413" xr:uid="{00000000-0005-0000-0000-00007B210000}"/>
    <cellStyle name="Normal 8 3 4 4" xfId="7414" xr:uid="{00000000-0005-0000-0000-00007C210000}"/>
    <cellStyle name="Normal 8 3 4 4 2" xfId="7415" xr:uid="{00000000-0005-0000-0000-00007D210000}"/>
    <cellStyle name="Normal 8 3 4 4 2 2" xfId="7416" xr:uid="{00000000-0005-0000-0000-00007E210000}"/>
    <cellStyle name="Normal 8 3 4 4 3" xfId="7417" xr:uid="{00000000-0005-0000-0000-00007F210000}"/>
    <cellStyle name="Normal 8 3 4 5" xfId="7418" xr:uid="{00000000-0005-0000-0000-000080210000}"/>
    <cellStyle name="Normal 8 3 4 5 2" xfId="7419" xr:uid="{00000000-0005-0000-0000-000081210000}"/>
    <cellStyle name="Normal 8 3 4 6" xfId="7420" xr:uid="{00000000-0005-0000-0000-000082210000}"/>
    <cellStyle name="Normal 8 3 5" xfId="7421" xr:uid="{00000000-0005-0000-0000-000083210000}"/>
    <cellStyle name="Normal 8 3 5 2" xfId="7422" xr:uid="{00000000-0005-0000-0000-000084210000}"/>
    <cellStyle name="Normal 8 3 5 2 2" xfId="10162" xr:uid="{00000000-0005-0000-0000-000085210000}"/>
    <cellStyle name="Normal 8 3 5 3" xfId="7423" xr:uid="{00000000-0005-0000-0000-000086210000}"/>
    <cellStyle name="Normal 8 3 5 3 2" xfId="7424" xr:uid="{00000000-0005-0000-0000-000087210000}"/>
    <cellStyle name="Normal 8 3 5 4" xfId="7425" xr:uid="{00000000-0005-0000-0000-000088210000}"/>
    <cellStyle name="Normal 8 3 6" xfId="7426" xr:uid="{00000000-0005-0000-0000-000089210000}"/>
    <cellStyle name="Normal 8 3 6 2" xfId="7427" xr:uid="{00000000-0005-0000-0000-00008A210000}"/>
    <cellStyle name="Normal 8 3 6 2 2" xfId="7428" xr:uid="{00000000-0005-0000-0000-00008B210000}"/>
    <cellStyle name="Normal 8 3 6 3" xfId="7429" xr:uid="{00000000-0005-0000-0000-00008C210000}"/>
    <cellStyle name="Normal 8 3 7" xfId="7430" xr:uid="{00000000-0005-0000-0000-00008D210000}"/>
    <cellStyle name="Normal 8 3 7 2" xfId="7431" xr:uid="{00000000-0005-0000-0000-00008E210000}"/>
    <cellStyle name="Normal 8 3 7 2 2" xfId="7432" xr:uid="{00000000-0005-0000-0000-00008F210000}"/>
    <cellStyle name="Normal 8 3 7 3" xfId="7433" xr:uid="{00000000-0005-0000-0000-000090210000}"/>
    <cellStyle name="Normal 8 3 8" xfId="7434" xr:uid="{00000000-0005-0000-0000-000091210000}"/>
    <cellStyle name="Normal 8 3 8 2" xfId="7435" xr:uid="{00000000-0005-0000-0000-000092210000}"/>
    <cellStyle name="Normal 8 3 9" xfId="7436" xr:uid="{00000000-0005-0000-0000-000093210000}"/>
    <cellStyle name="Normal 8 3_Activity Fcst Variance" xfId="7437" xr:uid="{00000000-0005-0000-0000-000094210000}"/>
    <cellStyle name="Normal 8 4" xfId="7438" xr:uid="{00000000-0005-0000-0000-000095210000}"/>
    <cellStyle name="Normal 8 4 10" xfId="7439" xr:uid="{00000000-0005-0000-0000-000096210000}"/>
    <cellStyle name="Normal 8 4 2" xfId="7440" xr:uid="{00000000-0005-0000-0000-000097210000}"/>
    <cellStyle name="Normal 8 4 2 2" xfId="7441" xr:uid="{00000000-0005-0000-0000-000098210000}"/>
    <cellStyle name="Normal 8 4 2 2 2" xfId="7442" xr:uid="{00000000-0005-0000-0000-000099210000}"/>
    <cellStyle name="Normal 8 4 2 2 2 2" xfId="7443" xr:uid="{00000000-0005-0000-0000-00009A210000}"/>
    <cellStyle name="Normal 8 4 2 2 2 2 2" xfId="7444" xr:uid="{00000000-0005-0000-0000-00009B210000}"/>
    <cellStyle name="Normal 8 4 2 2 2 3" xfId="7445" xr:uid="{00000000-0005-0000-0000-00009C210000}"/>
    <cellStyle name="Normal 8 4 2 2 3" xfId="7446" xr:uid="{00000000-0005-0000-0000-00009D210000}"/>
    <cellStyle name="Normal 8 4 2 2 3 2" xfId="7447" xr:uid="{00000000-0005-0000-0000-00009E210000}"/>
    <cellStyle name="Normal 8 4 2 2 4" xfId="7448" xr:uid="{00000000-0005-0000-0000-00009F210000}"/>
    <cellStyle name="Normal 8 4 2 3" xfId="7449" xr:uid="{00000000-0005-0000-0000-0000A0210000}"/>
    <cellStyle name="Normal 8 4 2 3 2" xfId="7450" xr:uid="{00000000-0005-0000-0000-0000A1210000}"/>
    <cellStyle name="Normal 8 4 2 3 2 2" xfId="7451" xr:uid="{00000000-0005-0000-0000-0000A2210000}"/>
    <cellStyle name="Normal 8 4 2 3 3" xfId="7452" xr:uid="{00000000-0005-0000-0000-0000A3210000}"/>
    <cellStyle name="Normal 8 4 2 4" xfId="7453" xr:uid="{00000000-0005-0000-0000-0000A4210000}"/>
    <cellStyle name="Normal 8 4 2 4 2" xfId="7454" xr:uid="{00000000-0005-0000-0000-0000A5210000}"/>
    <cellStyle name="Normal 8 4 2 4 2 2" xfId="7455" xr:uid="{00000000-0005-0000-0000-0000A6210000}"/>
    <cellStyle name="Normal 8 4 2 4 3" xfId="7456" xr:uid="{00000000-0005-0000-0000-0000A7210000}"/>
    <cellStyle name="Normal 8 4 2 5" xfId="7457" xr:uid="{00000000-0005-0000-0000-0000A8210000}"/>
    <cellStyle name="Normal 8 4 2 5 2" xfId="7458" xr:uid="{00000000-0005-0000-0000-0000A9210000}"/>
    <cellStyle name="Normal 8 4 2 6" xfId="7459" xr:uid="{00000000-0005-0000-0000-0000AA210000}"/>
    <cellStyle name="Normal 8 4 3" xfId="7460" xr:uid="{00000000-0005-0000-0000-0000AB210000}"/>
    <cellStyle name="Normal 8 4 3 2" xfId="7461" xr:uid="{00000000-0005-0000-0000-0000AC210000}"/>
    <cellStyle name="Normal 8 4 3 2 2" xfId="7462" xr:uid="{00000000-0005-0000-0000-0000AD210000}"/>
    <cellStyle name="Normal 8 4 3 2 2 2" xfId="7463" xr:uid="{00000000-0005-0000-0000-0000AE210000}"/>
    <cellStyle name="Normal 8 4 3 2 2 2 2" xfId="7464" xr:uid="{00000000-0005-0000-0000-0000AF210000}"/>
    <cellStyle name="Normal 8 4 3 2 2 3" xfId="7465" xr:uid="{00000000-0005-0000-0000-0000B0210000}"/>
    <cellStyle name="Normal 8 4 3 2 3" xfId="7466" xr:uid="{00000000-0005-0000-0000-0000B1210000}"/>
    <cellStyle name="Normal 8 4 3 2 3 2" xfId="7467" xr:uid="{00000000-0005-0000-0000-0000B2210000}"/>
    <cellStyle name="Normal 8 4 3 2 4" xfId="7468" xr:uid="{00000000-0005-0000-0000-0000B3210000}"/>
    <cellStyle name="Normal 8 4 3 3" xfId="7469" xr:uid="{00000000-0005-0000-0000-0000B4210000}"/>
    <cellStyle name="Normal 8 4 3 3 2" xfId="7470" xr:uid="{00000000-0005-0000-0000-0000B5210000}"/>
    <cellStyle name="Normal 8 4 3 3 2 2" xfId="10163" xr:uid="{00000000-0005-0000-0000-0000B6210000}"/>
    <cellStyle name="Normal 8 4 3 3 3" xfId="7471" xr:uid="{00000000-0005-0000-0000-0000B7210000}"/>
    <cellStyle name="Normal 8 4 3 3 3 2" xfId="7472" xr:uid="{00000000-0005-0000-0000-0000B8210000}"/>
    <cellStyle name="Normal 8 4 3 3 4" xfId="7473" xr:uid="{00000000-0005-0000-0000-0000B9210000}"/>
    <cellStyle name="Normal 8 4 3 4" xfId="7474" xr:uid="{00000000-0005-0000-0000-0000BA210000}"/>
    <cellStyle name="Normal 8 4 3 4 2" xfId="7475" xr:uid="{00000000-0005-0000-0000-0000BB210000}"/>
    <cellStyle name="Normal 8 4 3 4 2 2" xfId="7476" xr:uid="{00000000-0005-0000-0000-0000BC210000}"/>
    <cellStyle name="Normal 8 4 3 4 3" xfId="7477" xr:uid="{00000000-0005-0000-0000-0000BD210000}"/>
    <cellStyle name="Normal 8 4 3 5" xfId="7478" xr:uid="{00000000-0005-0000-0000-0000BE210000}"/>
    <cellStyle name="Normal 8 4 3 5 2" xfId="7479" xr:uid="{00000000-0005-0000-0000-0000BF210000}"/>
    <cellStyle name="Normal 8 4 3 6" xfId="7480" xr:uid="{00000000-0005-0000-0000-0000C0210000}"/>
    <cellStyle name="Normal 8 4 4" xfId="7481" xr:uid="{00000000-0005-0000-0000-0000C1210000}"/>
    <cellStyle name="Normal 8 4 4 2" xfId="7482" xr:uid="{00000000-0005-0000-0000-0000C2210000}"/>
    <cellStyle name="Normal 8 4 4 2 2" xfId="7483" xr:uid="{00000000-0005-0000-0000-0000C3210000}"/>
    <cellStyle name="Normal 8 4 4 2 2 2" xfId="7484" xr:uid="{00000000-0005-0000-0000-0000C4210000}"/>
    <cellStyle name="Normal 8 4 4 2 2 2 2" xfId="7485" xr:uid="{00000000-0005-0000-0000-0000C5210000}"/>
    <cellStyle name="Normal 8 4 4 2 2 3" xfId="7486" xr:uid="{00000000-0005-0000-0000-0000C6210000}"/>
    <cellStyle name="Normal 8 4 4 2 3" xfId="7487" xr:uid="{00000000-0005-0000-0000-0000C7210000}"/>
    <cellStyle name="Normal 8 4 4 2 3 2" xfId="7488" xr:uid="{00000000-0005-0000-0000-0000C8210000}"/>
    <cellStyle name="Normal 8 4 4 2 4" xfId="7489" xr:uid="{00000000-0005-0000-0000-0000C9210000}"/>
    <cellStyle name="Normal 8 4 4 3" xfId="7490" xr:uid="{00000000-0005-0000-0000-0000CA210000}"/>
    <cellStyle name="Normal 8 4 4 3 2" xfId="7491" xr:uid="{00000000-0005-0000-0000-0000CB210000}"/>
    <cellStyle name="Normal 8 4 4 3 2 2" xfId="7492" xr:uid="{00000000-0005-0000-0000-0000CC210000}"/>
    <cellStyle name="Normal 8 4 4 3 3" xfId="7493" xr:uid="{00000000-0005-0000-0000-0000CD210000}"/>
    <cellStyle name="Normal 8 4 4 4" xfId="7494" xr:uid="{00000000-0005-0000-0000-0000CE210000}"/>
    <cellStyle name="Normal 8 4 4 4 2" xfId="7495" xr:uid="{00000000-0005-0000-0000-0000CF210000}"/>
    <cellStyle name="Normal 8 4 4 4 2 2" xfId="7496" xr:uid="{00000000-0005-0000-0000-0000D0210000}"/>
    <cellStyle name="Normal 8 4 4 4 3" xfId="7497" xr:uid="{00000000-0005-0000-0000-0000D1210000}"/>
    <cellStyle name="Normal 8 4 4 5" xfId="7498" xr:uid="{00000000-0005-0000-0000-0000D2210000}"/>
    <cellStyle name="Normal 8 4 4 5 2" xfId="7499" xr:uid="{00000000-0005-0000-0000-0000D3210000}"/>
    <cellStyle name="Normal 8 4 4 6" xfId="7500" xr:uid="{00000000-0005-0000-0000-0000D4210000}"/>
    <cellStyle name="Normal 8 4 5" xfId="7501" xr:uid="{00000000-0005-0000-0000-0000D5210000}"/>
    <cellStyle name="Normal 8 4 5 2" xfId="7502" xr:uid="{00000000-0005-0000-0000-0000D6210000}"/>
    <cellStyle name="Normal 8 4 5 2 2" xfId="10164" xr:uid="{00000000-0005-0000-0000-0000D7210000}"/>
    <cellStyle name="Normal 8 4 5 3" xfId="7503" xr:uid="{00000000-0005-0000-0000-0000D8210000}"/>
    <cellStyle name="Normal 8 4 5 3 2" xfId="7504" xr:uid="{00000000-0005-0000-0000-0000D9210000}"/>
    <cellStyle name="Normal 8 4 5 4" xfId="7505" xr:uid="{00000000-0005-0000-0000-0000DA210000}"/>
    <cellStyle name="Normal 8 4 6" xfId="7506" xr:uid="{00000000-0005-0000-0000-0000DB210000}"/>
    <cellStyle name="Normal 8 4 6 2" xfId="7507" xr:uid="{00000000-0005-0000-0000-0000DC210000}"/>
    <cellStyle name="Normal 8 4 6 2 2" xfId="7508" xr:uid="{00000000-0005-0000-0000-0000DD210000}"/>
    <cellStyle name="Normal 8 4 6 3" xfId="7509" xr:uid="{00000000-0005-0000-0000-0000DE210000}"/>
    <cellStyle name="Normal 8 4 7" xfId="7510" xr:uid="{00000000-0005-0000-0000-0000DF210000}"/>
    <cellStyle name="Normal 8 4 7 2" xfId="7511" xr:uid="{00000000-0005-0000-0000-0000E0210000}"/>
    <cellStyle name="Normal 8 4 7 2 2" xfId="7512" xr:uid="{00000000-0005-0000-0000-0000E1210000}"/>
    <cellStyle name="Normal 8 4 7 3" xfId="7513" xr:uid="{00000000-0005-0000-0000-0000E2210000}"/>
    <cellStyle name="Normal 8 4 8" xfId="7514" xr:uid="{00000000-0005-0000-0000-0000E3210000}"/>
    <cellStyle name="Normal 8 4 8 2" xfId="7515" xr:uid="{00000000-0005-0000-0000-0000E4210000}"/>
    <cellStyle name="Normal 8 4 9" xfId="7516" xr:uid="{00000000-0005-0000-0000-0000E5210000}"/>
    <cellStyle name="Normal 8 4_Activity Fcst Variance" xfId="7517" xr:uid="{00000000-0005-0000-0000-0000E6210000}"/>
    <cellStyle name="Normal 8 5" xfId="7518" xr:uid="{00000000-0005-0000-0000-0000E7210000}"/>
    <cellStyle name="Normal 8 5 2" xfId="7519" xr:uid="{00000000-0005-0000-0000-0000E8210000}"/>
    <cellStyle name="Normal 8 5 2 2" xfId="7520" xr:uid="{00000000-0005-0000-0000-0000E9210000}"/>
    <cellStyle name="Normal 8 5 2 2 2" xfId="7521" xr:uid="{00000000-0005-0000-0000-0000EA210000}"/>
    <cellStyle name="Normal 8 5 2 2 2 2" xfId="7522" xr:uid="{00000000-0005-0000-0000-0000EB210000}"/>
    <cellStyle name="Normal 8 5 2 2 2 2 2" xfId="7523" xr:uid="{00000000-0005-0000-0000-0000EC210000}"/>
    <cellStyle name="Normal 8 5 2 2 2 3" xfId="7524" xr:uid="{00000000-0005-0000-0000-0000ED210000}"/>
    <cellStyle name="Normal 8 5 2 2 3" xfId="7525" xr:uid="{00000000-0005-0000-0000-0000EE210000}"/>
    <cellStyle name="Normal 8 5 2 2 3 2" xfId="7526" xr:uid="{00000000-0005-0000-0000-0000EF210000}"/>
    <cellStyle name="Normal 8 5 2 2 4" xfId="7527" xr:uid="{00000000-0005-0000-0000-0000F0210000}"/>
    <cellStyle name="Normal 8 5 2 3" xfId="7528" xr:uid="{00000000-0005-0000-0000-0000F1210000}"/>
    <cellStyle name="Normal 8 5 2 3 2" xfId="7529" xr:uid="{00000000-0005-0000-0000-0000F2210000}"/>
    <cellStyle name="Normal 8 5 2 3 2 2" xfId="7530" xr:uid="{00000000-0005-0000-0000-0000F3210000}"/>
    <cellStyle name="Normal 8 5 2 3 3" xfId="7531" xr:uid="{00000000-0005-0000-0000-0000F4210000}"/>
    <cellStyle name="Normal 8 5 2 4" xfId="7532" xr:uid="{00000000-0005-0000-0000-0000F5210000}"/>
    <cellStyle name="Normal 8 5 2 4 2" xfId="7533" xr:uid="{00000000-0005-0000-0000-0000F6210000}"/>
    <cellStyle name="Normal 8 5 2 4 2 2" xfId="7534" xr:uid="{00000000-0005-0000-0000-0000F7210000}"/>
    <cellStyle name="Normal 8 5 2 4 3" xfId="7535" xr:uid="{00000000-0005-0000-0000-0000F8210000}"/>
    <cellStyle name="Normal 8 5 2 5" xfId="7536" xr:uid="{00000000-0005-0000-0000-0000F9210000}"/>
    <cellStyle name="Normal 8 5 2 5 2" xfId="7537" xr:uid="{00000000-0005-0000-0000-0000FA210000}"/>
    <cellStyle name="Normal 8 5 2 6" xfId="7538" xr:uid="{00000000-0005-0000-0000-0000FB210000}"/>
    <cellStyle name="Normal 8 5 3" xfId="7539" xr:uid="{00000000-0005-0000-0000-0000FC210000}"/>
    <cellStyle name="Normal 8 5 3 2" xfId="7540" xr:uid="{00000000-0005-0000-0000-0000FD210000}"/>
    <cellStyle name="Normal 8 5 3 2 2" xfId="7541" xr:uid="{00000000-0005-0000-0000-0000FE210000}"/>
    <cellStyle name="Normal 8 5 3 2 2 2" xfId="7542" xr:uid="{00000000-0005-0000-0000-0000FF210000}"/>
    <cellStyle name="Normal 8 5 3 2 2 2 2" xfId="7543" xr:uid="{00000000-0005-0000-0000-000000220000}"/>
    <cellStyle name="Normal 8 5 3 2 2 3" xfId="7544" xr:uid="{00000000-0005-0000-0000-000001220000}"/>
    <cellStyle name="Normal 8 5 3 2 3" xfId="7545" xr:uid="{00000000-0005-0000-0000-000002220000}"/>
    <cellStyle name="Normal 8 5 3 2 3 2" xfId="7546" xr:uid="{00000000-0005-0000-0000-000003220000}"/>
    <cellStyle name="Normal 8 5 3 2 4" xfId="7547" xr:uid="{00000000-0005-0000-0000-000004220000}"/>
    <cellStyle name="Normal 8 5 3 3" xfId="7548" xr:uid="{00000000-0005-0000-0000-000005220000}"/>
    <cellStyle name="Normal 8 5 3 3 2" xfId="7549" xr:uid="{00000000-0005-0000-0000-000006220000}"/>
    <cellStyle name="Normal 8 5 3 3 2 2" xfId="7550" xr:uid="{00000000-0005-0000-0000-000007220000}"/>
    <cellStyle name="Normal 8 5 3 3 3" xfId="7551" xr:uid="{00000000-0005-0000-0000-000008220000}"/>
    <cellStyle name="Normal 8 5 3 4" xfId="7552" xr:uid="{00000000-0005-0000-0000-000009220000}"/>
    <cellStyle name="Normal 8 5 3 4 2" xfId="7553" xr:uid="{00000000-0005-0000-0000-00000A220000}"/>
    <cellStyle name="Normal 8 5 3 4 2 2" xfId="7554" xr:uid="{00000000-0005-0000-0000-00000B220000}"/>
    <cellStyle name="Normal 8 5 3 4 3" xfId="7555" xr:uid="{00000000-0005-0000-0000-00000C220000}"/>
    <cellStyle name="Normal 8 5 3 5" xfId="7556" xr:uid="{00000000-0005-0000-0000-00000D220000}"/>
    <cellStyle name="Normal 8 5 3 5 2" xfId="7557" xr:uid="{00000000-0005-0000-0000-00000E220000}"/>
    <cellStyle name="Normal 8 5 3 6" xfId="7558" xr:uid="{00000000-0005-0000-0000-00000F220000}"/>
    <cellStyle name="Normal 8 5 4" xfId="7559" xr:uid="{00000000-0005-0000-0000-000010220000}"/>
    <cellStyle name="Normal 8 5 4 2" xfId="7560" xr:uid="{00000000-0005-0000-0000-000011220000}"/>
    <cellStyle name="Normal 8 5 4 2 2" xfId="7561" xr:uid="{00000000-0005-0000-0000-000012220000}"/>
    <cellStyle name="Normal 8 5 4 2 2 2" xfId="7562" xr:uid="{00000000-0005-0000-0000-000013220000}"/>
    <cellStyle name="Normal 8 5 4 2 3" xfId="7563" xr:uid="{00000000-0005-0000-0000-000014220000}"/>
    <cellStyle name="Normal 8 5 4 3" xfId="7564" xr:uid="{00000000-0005-0000-0000-000015220000}"/>
    <cellStyle name="Normal 8 5 4 3 2" xfId="7565" xr:uid="{00000000-0005-0000-0000-000016220000}"/>
    <cellStyle name="Normal 8 5 4 4" xfId="7566" xr:uid="{00000000-0005-0000-0000-000017220000}"/>
    <cellStyle name="Normal 8 5 5" xfId="7567" xr:uid="{00000000-0005-0000-0000-000018220000}"/>
    <cellStyle name="Normal 8 5 5 2" xfId="7568" xr:uid="{00000000-0005-0000-0000-000019220000}"/>
    <cellStyle name="Normal 8 5 5 2 2" xfId="10165" xr:uid="{00000000-0005-0000-0000-00001A220000}"/>
    <cellStyle name="Normal 8 5 5 3" xfId="7569" xr:uid="{00000000-0005-0000-0000-00001B220000}"/>
    <cellStyle name="Normal 8 5 5 3 2" xfId="7570" xr:uid="{00000000-0005-0000-0000-00001C220000}"/>
    <cellStyle name="Normal 8 5 5 4" xfId="7571" xr:uid="{00000000-0005-0000-0000-00001D220000}"/>
    <cellStyle name="Normal 8 5 6" xfId="7572" xr:uid="{00000000-0005-0000-0000-00001E220000}"/>
    <cellStyle name="Normal 8 5 6 2" xfId="7573" xr:uid="{00000000-0005-0000-0000-00001F220000}"/>
    <cellStyle name="Normal 8 5 6 2 2" xfId="7574" xr:uid="{00000000-0005-0000-0000-000020220000}"/>
    <cellStyle name="Normal 8 5 6 3" xfId="7575" xr:uid="{00000000-0005-0000-0000-000021220000}"/>
    <cellStyle name="Normal 8 5 7" xfId="7576" xr:uid="{00000000-0005-0000-0000-000022220000}"/>
    <cellStyle name="Normal 8 5 7 2" xfId="7577" xr:uid="{00000000-0005-0000-0000-000023220000}"/>
    <cellStyle name="Normal 8 5 8" xfId="7578" xr:uid="{00000000-0005-0000-0000-000024220000}"/>
    <cellStyle name="Normal 8 6" xfId="7579" xr:uid="{00000000-0005-0000-0000-000025220000}"/>
    <cellStyle name="Normal 8 6 2" xfId="7580" xr:uid="{00000000-0005-0000-0000-000026220000}"/>
    <cellStyle name="Normal 8 6 2 2" xfId="7581" xr:uid="{00000000-0005-0000-0000-000027220000}"/>
    <cellStyle name="Normal 8 6 2 2 2" xfId="7582" xr:uid="{00000000-0005-0000-0000-000028220000}"/>
    <cellStyle name="Normal 8 6 2 2 2 2" xfId="7583" xr:uid="{00000000-0005-0000-0000-000029220000}"/>
    <cellStyle name="Normal 8 6 2 2 3" xfId="7584" xr:uid="{00000000-0005-0000-0000-00002A220000}"/>
    <cellStyle name="Normal 8 6 2 3" xfId="7585" xr:uid="{00000000-0005-0000-0000-00002B220000}"/>
    <cellStyle name="Normal 8 6 2 3 2" xfId="7586" xr:uid="{00000000-0005-0000-0000-00002C220000}"/>
    <cellStyle name="Normal 8 6 2 4" xfId="7587" xr:uid="{00000000-0005-0000-0000-00002D220000}"/>
    <cellStyle name="Normal 8 6 3" xfId="7588" xr:uid="{00000000-0005-0000-0000-00002E220000}"/>
    <cellStyle name="Normal 8 6 3 2" xfId="7589" xr:uid="{00000000-0005-0000-0000-00002F220000}"/>
    <cellStyle name="Normal 8 6 3 2 2" xfId="10166" xr:uid="{00000000-0005-0000-0000-000030220000}"/>
    <cellStyle name="Normal 8 6 3 3" xfId="7590" xr:uid="{00000000-0005-0000-0000-000031220000}"/>
    <cellStyle name="Normal 8 6 3 3 2" xfId="7591" xr:uid="{00000000-0005-0000-0000-000032220000}"/>
    <cellStyle name="Normal 8 6 3 4" xfId="7592" xr:uid="{00000000-0005-0000-0000-000033220000}"/>
    <cellStyle name="Normal 8 6 4" xfId="7593" xr:uid="{00000000-0005-0000-0000-000034220000}"/>
    <cellStyle name="Normal 8 6 4 2" xfId="7594" xr:uid="{00000000-0005-0000-0000-000035220000}"/>
    <cellStyle name="Normal 8 6 4 2 2" xfId="7595" xr:uid="{00000000-0005-0000-0000-000036220000}"/>
    <cellStyle name="Normal 8 6 4 3" xfId="7596" xr:uid="{00000000-0005-0000-0000-000037220000}"/>
    <cellStyle name="Normal 8 6 5" xfId="7597" xr:uid="{00000000-0005-0000-0000-000038220000}"/>
    <cellStyle name="Normal 8 6 5 2" xfId="7598" xr:uid="{00000000-0005-0000-0000-000039220000}"/>
    <cellStyle name="Normal 8 6 6" xfId="7599" xr:uid="{00000000-0005-0000-0000-00003A220000}"/>
    <cellStyle name="Normal 8 7" xfId="7600" xr:uid="{00000000-0005-0000-0000-00003B220000}"/>
    <cellStyle name="Normal 8 7 2" xfId="7601" xr:uid="{00000000-0005-0000-0000-00003C220000}"/>
    <cellStyle name="Normal 8 7 2 2" xfId="7602" xr:uid="{00000000-0005-0000-0000-00003D220000}"/>
    <cellStyle name="Normal 8 7 2 2 2" xfId="7603" xr:uid="{00000000-0005-0000-0000-00003E220000}"/>
    <cellStyle name="Normal 8 7 2 2 2 2" xfId="7604" xr:uid="{00000000-0005-0000-0000-00003F220000}"/>
    <cellStyle name="Normal 8 7 2 2 3" xfId="7605" xr:uid="{00000000-0005-0000-0000-000040220000}"/>
    <cellStyle name="Normal 8 7 2 3" xfId="7606" xr:uid="{00000000-0005-0000-0000-000041220000}"/>
    <cellStyle name="Normal 8 7 2 3 2" xfId="7607" xr:uid="{00000000-0005-0000-0000-000042220000}"/>
    <cellStyle name="Normal 8 7 2 4" xfId="7608" xr:uid="{00000000-0005-0000-0000-000043220000}"/>
    <cellStyle name="Normal 8 7 3" xfId="7609" xr:uid="{00000000-0005-0000-0000-000044220000}"/>
    <cellStyle name="Normal 8 7 3 2" xfId="7610" xr:uid="{00000000-0005-0000-0000-000045220000}"/>
    <cellStyle name="Normal 8 7 3 2 2" xfId="10167" xr:uid="{00000000-0005-0000-0000-000046220000}"/>
    <cellStyle name="Normal 8 7 3 3" xfId="7611" xr:uid="{00000000-0005-0000-0000-000047220000}"/>
    <cellStyle name="Normal 8 7 3 3 2" xfId="7612" xr:uid="{00000000-0005-0000-0000-000048220000}"/>
    <cellStyle name="Normal 8 7 3 4" xfId="7613" xr:uid="{00000000-0005-0000-0000-000049220000}"/>
    <cellStyle name="Normal 8 7 4" xfId="7614" xr:uid="{00000000-0005-0000-0000-00004A220000}"/>
    <cellStyle name="Normal 8 7 4 2" xfId="7615" xr:uid="{00000000-0005-0000-0000-00004B220000}"/>
    <cellStyle name="Normal 8 7 4 2 2" xfId="7616" xr:uid="{00000000-0005-0000-0000-00004C220000}"/>
    <cellStyle name="Normal 8 7 4 3" xfId="7617" xr:uid="{00000000-0005-0000-0000-00004D220000}"/>
    <cellStyle name="Normal 8 7 5" xfId="7618" xr:uid="{00000000-0005-0000-0000-00004E220000}"/>
    <cellStyle name="Normal 8 7 5 2" xfId="7619" xr:uid="{00000000-0005-0000-0000-00004F220000}"/>
    <cellStyle name="Normal 8 7 6" xfId="7620" xr:uid="{00000000-0005-0000-0000-000050220000}"/>
    <cellStyle name="Normal 8 8" xfId="7621" xr:uid="{00000000-0005-0000-0000-000051220000}"/>
    <cellStyle name="Normal 8 8 2" xfId="7622" xr:uid="{00000000-0005-0000-0000-000052220000}"/>
    <cellStyle name="Normal 8 8 2 2" xfId="7623" xr:uid="{00000000-0005-0000-0000-000053220000}"/>
    <cellStyle name="Normal 8 8 2 2 2" xfId="7624" xr:uid="{00000000-0005-0000-0000-000054220000}"/>
    <cellStyle name="Normal 8 8 2 2 2 2" xfId="7625" xr:uid="{00000000-0005-0000-0000-000055220000}"/>
    <cellStyle name="Normal 8 8 2 2 3" xfId="7626" xr:uid="{00000000-0005-0000-0000-000056220000}"/>
    <cellStyle name="Normal 8 8 2 3" xfId="7627" xr:uid="{00000000-0005-0000-0000-000057220000}"/>
    <cellStyle name="Normal 8 8 2 3 2" xfId="7628" xr:uid="{00000000-0005-0000-0000-000058220000}"/>
    <cellStyle name="Normal 8 8 2 4" xfId="7629" xr:uid="{00000000-0005-0000-0000-000059220000}"/>
    <cellStyle name="Normal 8 8 3" xfId="7630" xr:uid="{00000000-0005-0000-0000-00005A220000}"/>
    <cellStyle name="Normal 8 8 3 2" xfId="7631" xr:uid="{00000000-0005-0000-0000-00005B220000}"/>
    <cellStyle name="Normal 8 8 3 3" xfId="7632" xr:uid="{00000000-0005-0000-0000-00005C220000}"/>
    <cellStyle name="Normal 8 8 3 3 2" xfId="7633" xr:uid="{00000000-0005-0000-0000-00005D220000}"/>
    <cellStyle name="Normal 8 8 3 4" xfId="7634" xr:uid="{00000000-0005-0000-0000-00005E220000}"/>
    <cellStyle name="Normal 8 8 4" xfId="7635" xr:uid="{00000000-0005-0000-0000-00005F220000}"/>
    <cellStyle name="Normal 8 8 4 2" xfId="7636" xr:uid="{00000000-0005-0000-0000-000060220000}"/>
    <cellStyle name="Normal 8 8 4 2 2" xfId="7637" xr:uid="{00000000-0005-0000-0000-000061220000}"/>
    <cellStyle name="Normal 8 8 4 3" xfId="7638" xr:uid="{00000000-0005-0000-0000-000062220000}"/>
    <cellStyle name="Normal 8 8 5" xfId="7639" xr:uid="{00000000-0005-0000-0000-000063220000}"/>
    <cellStyle name="Normal 8 8 5 2" xfId="7640" xr:uid="{00000000-0005-0000-0000-000064220000}"/>
    <cellStyle name="Normal 8 8 6" xfId="7641" xr:uid="{00000000-0005-0000-0000-000065220000}"/>
    <cellStyle name="Normal 8 9" xfId="7642" xr:uid="{00000000-0005-0000-0000-000066220000}"/>
    <cellStyle name="Normal 8 9 2" xfId="7643" xr:uid="{00000000-0005-0000-0000-000067220000}"/>
    <cellStyle name="Normal 8 9 2 2" xfId="7644" xr:uid="{00000000-0005-0000-0000-000068220000}"/>
    <cellStyle name="Normal 8 9 2 2 2" xfId="7645" xr:uid="{00000000-0005-0000-0000-000069220000}"/>
    <cellStyle name="Normal 8 9 2 3" xfId="7646" xr:uid="{00000000-0005-0000-0000-00006A220000}"/>
    <cellStyle name="Normal 8 9 3" xfId="7647" xr:uid="{00000000-0005-0000-0000-00006B220000}"/>
    <cellStyle name="Normal 8 9 3 2" xfId="7648" xr:uid="{00000000-0005-0000-0000-00006C220000}"/>
    <cellStyle name="Normal 8 9 4" xfId="7649" xr:uid="{00000000-0005-0000-0000-00006D220000}"/>
    <cellStyle name="Normal 8_Activity Fcst Variance" xfId="7650" xr:uid="{00000000-0005-0000-0000-00006E220000}"/>
    <cellStyle name="Normal 80" xfId="7651" xr:uid="{00000000-0005-0000-0000-00006F220000}"/>
    <cellStyle name="Normal 80 2" xfId="7652" xr:uid="{00000000-0005-0000-0000-000070220000}"/>
    <cellStyle name="Normal 80 2 2" xfId="7653" xr:uid="{00000000-0005-0000-0000-000071220000}"/>
    <cellStyle name="Normal 80 2 2 2" xfId="7654" xr:uid="{00000000-0005-0000-0000-000072220000}"/>
    <cellStyle name="Normal 80 2 2 2 2" xfId="7655" xr:uid="{00000000-0005-0000-0000-000073220000}"/>
    <cellStyle name="Normal 80 2 2 3" xfId="7656" xr:uid="{00000000-0005-0000-0000-000074220000}"/>
    <cellStyle name="Normal 80 2 3" xfId="7657" xr:uid="{00000000-0005-0000-0000-000075220000}"/>
    <cellStyle name="Normal 80 2 3 2" xfId="7658" xr:uid="{00000000-0005-0000-0000-000076220000}"/>
    <cellStyle name="Normal 80 2 4" xfId="7659" xr:uid="{00000000-0005-0000-0000-000077220000}"/>
    <cellStyle name="Normal 80 3" xfId="7660" xr:uid="{00000000-0005-0000-0000-000078220000}"/>
    <cellStyle name="Normal 80 3 2" xfId="7661" xr:uid="{00000000-0005-0000-0000-000079220000}"/>
    <cellStyle name="Normal 80 3 2 2" xfId="7662" xr:uid="{00000000-0005-0000-0000-00007A220000}"/>
    <cellStyle name="Normal 80 3 3" xfId="7663" xr:uid="{00000000-0005-0000-0000-00007B220000}"/>
    <cellStyle name="Normal 80 4" xfId="7664" xr:uid="{00000000-0005-0000-0000-00007C220000}"/>
    <cellStyle name="Normal 80 4 2" xfId="7665" xr:uid="{00000000-0005-0000-0000-00007D220000}"/>
    <cellStyle name="Normal 80 4 2 2" xfId="7666" xr:uid="{00000000-0005-0000-0000-00007E220000}"/>
    <cellStyle name="Normal 80 4 3" xfId="7667" xr:uid="{00000000-0005-0000-0000-00007F220000}"/>
    <cellStyle name="Normal 80 5" xfId="7668" xr:uid="{00000000-0005-0000-0000-000080220000}"/>
    <cellStyle name="Normal 80 5 2" xfId="7669" xr:uid="{00000000-0005-0000-0000-000081220000}"/>
    <cellStyle name="Normal 80 6" xfId="7670" xr:uid="{00000000-0005-0000-0000-000082220000}"/>
    <cellStyle name="Normal 81" xfId="7671" xr:uid="{00000000-0005-0000-0000-000083220000}"/>
    <cellStyle name="Normal 81 2" xfId="7672" xr:uid="{00000000-0005-0000-0000-000084220000}"/>
    <cellStyle name="Normal 81 2 2" xfId="7673" xr:uid="{00000000-0005-0000-0000-000085220000}"/>
    <cellStyle name="Normal 81 2 2 2" xfId="7674" xr:uid="{00000000-0005-0000-0000-000086220000}"/>
    <cellStyle name="Normal 81 2 2 2 2" xfId="7675" xr:uid="{00000000-0005-0000-0000-000087220000}"/>
    <cellStyle name="Normal 81 2 2 3" xfId="7676" xr:uid="{00000000-0005-0000-0000-000088220000}"/>
    <cellStyle name="Normal 81 2 3" xfId="7677" xr:uid="{00000000-0005-0000-0000-000089220000}"/>
    <cellStyle name="Normal 81 2 3 2" xfId="7678" xr:uid="{00000000-0005-0000-0000-00008A220000}"/>
    <cellStyle name="Normal 81 2 4" xfId="7679" xr:uid="{00000000-0005-0000-0000-00008B220000}"/>
    <cellStyle name="Normal 81 3" xfId="7680" xr:uid="{00000000-0005-0000-0000-00008C220000}"/>
    <cellStyle name="Normal 81 3 2" xfId="7681" xr:uid="{00000000-0005-0000-0000-00008D220000}"/>
    <cellStyle name="Normal 81 3 2 2" xfId="7682" xr:uid="{00000000-0005-0000-0000-00008E220000}"/>
    <cellStyle name="Normal 81 3 3" xfId="7683" xr:uid="{00000000-0005-0000-0000-00008F220000}"/>
    <cellStyle name="Normal 81 4" xfId="7684" xr:uid="{00000000-0005-0000-0000-000090220000}"/>
    <cellStyle name="Normal 81 4 2" xfId="7685" xr:uid="{00000000-0005-0000-0000-000091220000}"/>
    <cellStyle name="Normal 81 4 2 2" xfId="7686" xr:uid="{00000000-0005-0000-0000-000092220000}"/>
    <cellStyle name="Normal 81 4 3" xfId="7687" xr:uid="{00000000-0005-0000-0000-000093220000}"/>
    <cellStyle name="Normal 81 5" xfId="7688" xr:uid="{00000000-0005-0000-0000-000094220000}"/>
    <cellStyle name="Normal 81 5 2" xfId="7689" xr:uid="{00000000-0005-0000-0000-000095220000}"/>
    <cellStyle name="Normal 81 6" xfId="7690" xr:uid="{00000000-0005-0000-0000-000096220000}"/>
    <cellStyle name="Normal 82" xfId="7691" xr:uid="{00000000-0005-0000-0000-000097220000}"/>
    <cellStyle name="Normal 83" xfId="7692" xr:uid="{00000000-0005-0000-0000-000098220000}"/>
    <cellStyle name="Normal 84" xfId="7693" xr:uid="{00000000-0005-0000-0000-000099220000}"/>
    <cellStyle name="Normal 84 2" xfId="10168" xr:uid="{00000000-0005-0000-0000-00009A220000}"/>
    <cellStyle name="Normal 85" xfId="7694" xr:uid="{00000000-0005-0000-0000-00009B220000}"/>
    <cellStyle name="Normal 85 2" xfId="7695" xr:uid="{00000000-0005-0000-0000-00009C220000}"/>
    <cellStyle name="Normal 85 2 2" xfId="7696" xr:uid="{00000000-0005-0000-0000-00009D220000}"/>
    <cellStyle name="Normal 85 2 2 2" xfId="7697" xr:uid="{00000000-0005-0000-0000-00009E220000}"/>
    <cellStyle name="Normal 85 2 3" xfId="7698" xr:uid="{00000000-0005-0000-0000-00009F220000}"/>
    <cellStyle name="Normal 85 3" xfId="10169" xr:uid="{00000000-0005-0000-0000-0000A0220000}"/>
    <cellStyle name="Normal 86" xfId="7699" xr:uid="{00000000-0005-0000-0000-0000A1220000}"/>
    <cellStyle name="Normal 86 2" xfId="7700" xr:uid="{00000000-0005-0000-0000-0000A2220000}"/>
    <cellStyle name="Normal 86 2 2" xfId="7701" xr:uid="{00000000-0005-0000-0000-0000A3220000}"/>
    <cellStyle name="Normal 86 2 2 2" xfId="7702" xr:uid="{00000000-0005-0000-0000-0000A4220000}"/>
    <cellStyle name="Normal 86 2 3" xfId="7703" xr:uid="{00000000-0005-0000-0000-0000A5220000}"/>
    <cellStyle name="Normal 86 3" xfId="10170" xr:uid="{00000000-0005-0000-0000-0000A6220000}"/>
    <cellStyle name="Normal 87" xfId="7704" xr:uid="{00000000-0005-0000-0000-0000A7220000}"/>
    <cellStyle name="Normal 87 2" xfId="10171" xr:uid="{00000000-0005-0000-0000-0000A8220000}"/>
    <cellStyle name="Normal 88" xfId="7705" xr:uid="{00000000-0005-0000-0000-0000A9220000}"/>
    <cellStyle name="Normal 88 2" xfId="10172" xr:uid="{00000000-0005-0000-0000-0000AA220000}"/>
    <cellStyle name="Normal 89" xfId="7706" xr:uid="{00000000-0005-0000-0000-0000AB220000}"/>
    <cellStyle name="Normal 89 2" xfId="10173" xr:uid="{00000000-0005-0000-0000-0000AC220000}"/>
    <cellStyle name="Normal 9" xfId="7707" xr:uid="{00000000-0005-0000-0000-0000AD220000}"/>
    <cellStyle name="Normal 9 10" xfId="7708" xr:uid="{00000000-0005-0000-0000-0000AE220000}"/>
    <cellStyle name="Normal 9 10 2" xfId="10174" xr:uid="{00000000-0005-0000-0000-0000AF220000}"/>
    <cellStyle name="Normal 9 11" xfId="7709" xr:uid="{00000000-0005-0000-0000-0000B0220000}"/>
    <cellStyle name="Normal 9 11 2" xfId="10175" xr:uid="{00000000-0005-0000-0000-0000B1220000}"/>
    <cellStyle name="Normal 9 12" xfId="7710" xr:uid="{00000000-0005-0000-0000-0000B2220000}"/>
    <cellStyle name="Normal 9 13" xfId="9841" xr:uid="{00000000-0005-0000-0000-0000B3220000}"/>
    <cellStyle name="Normal 9 2" xfId="7711" xr:uid="{00000000-0005-0000-0000-0000B4220000}"/>
    <cellStyle name="Normal 9 2 10" xfId="7712" xr:uid="{00000000-0005-0000-0000-0000B5220000}"/>
    <cellStyle name="Normal 9 2 11" xfId="7713" xr:uid="{00000000-0005-0000-0000-0000B6220000}"/>
    <cellStyle name="Normal 9 2 12" xfId="9842" xr:uid="{00000000-0005-0000-0000-0000B7220000}"/>
    <cellStyle name="Normal 9 2 2" xfId="7714" xr:uid="{00000000-0005-0000-0000-0000B8220000}"/>
    <cellStyle name="Normal 9 2 2 10" xfId="7715" xr:uid="{00000000-0005-0000-0000-0000B9220000}"/>
    <cellStyle name="Normal 9 2 2 2" xfId="7716" xr:uid="{00000000-0005-0000-0000-0000BA220000}"/>
    <cellStyle name="Normal 9 2 2 2 2" xfId="7717" xr:uid="{00000000-0005-0000-0000-0000BB220000}"/>
    <cellStyle name="Normal 9 2 2 2 2 2" xfId="7718" xr:uid="{00000000-0005-0000-0000-0000BC220000}"/>
    <cellStyle name="Normal 9 2 2 2 2 2 2" xfId="7719" xr:uid="{00000000-0005-0000-0000-0000BD220000}"/>
    <cellStyle name="Normal 9 2 2 2 2 2 2 2" xfId="7720" xr:uid="{00000000-0005-0000-0000-0000BE220000}"/>
    <cellStyle name="Normal 9 2 2 2 2 2 3" xfId="7721" xr:uid="{00000000-0005-0000-0000-0000BF220000}"/>
    <cellStyle name="Normal 9 2 2 2 2 3" xfId="7722" xr:uid="{00000000-0005-0000-0000-0000C0220000}"/>
    <cellStyle name="Normal 9 2 2 2 2 3 2" xfId="7723" xr:uid="{00000000-0005-0000-0000-0000C1220000}"/>
    <cellStyle name="Normal 9 2 2 2 2 4" xfId="7724" xr:uid="{00000000-0005-0000-0000-0000C2220000}"/>
    <cellStyle name="Normal 9 2 2 2 3" xfId="7725" xr:uid="{00000000-0005-0000-0000-0000C3220000}"/>
    <cellStyle name="Normal 9 2 2 2 3 2" xfId="7726" xr:uid="{00000000-0005-0000-0000-0000C4220000}"/>
    <cellStyle name="Normal 9 2 2 2 3 3" xfId="7727" xr:uid="{00000000-0005-0000-0000-0000C5220000}"/>
    <cellStyle name="Normal 9 2 2 2 3 3 2" xfId="7728" xr:uid="{00000000-0005-0000-0000-0000C6220000}"/>
    <cellStyle name="Normal 9 2 2 2 3 4" xfId="7729" xr:uid="{00000000-0005-0000-0000-0000C7220000}"/>
    <cellStyle name="Normal 9 2 2 2 4" xfId="7730" xr:uid="{00000000-0005-0000-0000-0000C8220000}"/>
    <cellStyle name="Normal 9 2 2 2 4 2" xfId="7731" xr:uid="{00000000-0005-0000-0000-0000C9220000}"/>
    <cellStyle name="Normal 9 2 2 2 4 2 2" xfId="7732" xr:uid="{00000000-0005-0000-0000-0000CA220000}"/>
    <cellStyle name="Normal 9 2 2 2 4 3" xfId="7733" xr:uid="{00000000-0005-0000-0000-0000CB220000}"/>
    <cellStyle name="Normal 9 2 2 2 5" xfId="7734" xr:uid="{00000000-0005-0000-0000-0000CC220000}"/>
    <cellStyle name="Normal 9 2 2 2 5 2" xfId="7735" xr:uid="{00000000-0005-0000-0000-0000CD220000}"/>
    <cellStyle name="Normal 9 2 2 2 6" xfId="7736" xr:uid="{00000000-0005-0000-0000-0000CE220000}"/>
    <cellStyle name="Normal 9 2 2 3" xfId="7737" xr:uid="{00000000-0005-0000-0000-0000CF220000}"/>
    <cellStyle name="Normal 9 2 2 3 2" xfId="7738" xr:uid="{00000000-0005-0000-0000-0000D0220000}"/>
    <cellStyle name="Normal 9 2 2 3 2 2" xfId="7739" xr:uid="{00000000-0005-0000-0000-0000D1220000}"/>
    <cellStyle name="Normal 9 2 2 3 2 2 2" xfId="7740" xr:uid="{00000000-0005-0000-0000-0000D2220000}"/>
    <cellStyle name="Normal 9 2 2 3 2 2 2 2" xfId="7741" xr:uid="{00000000-0005-0000-0000-0000D3220000}"/>
    <cellStyle name="Normal 9 2 2 3 2 2 3" xfId="7742" xr:uid="{00000000-0005-0000-0000-0000D4220000}"/>
    <cellStyle name="Normal 9 2 2 3 2 3" xfId="7743" xr:uid="{00000000-0005-0000-0000-0000D5220000}"/>
    <cellStyle name="Normal 9 2 2 3 2 3 2" xfId="7744" xr:uid="{00000000-0005-0000-0000-0000D6220000}"/>
    <cellStyle name="Normal 9 2 2 3 2 4" xfId="7745" xr:uid="{00000000-0005-0000-0000-0000D7220000}"/>
    <cellStyle name="Normal 9 2 2 3 3" xfId="7746" xr:uid="{00000000-0005-0000-0000-0000D8220000}"/>
    <cellStyle name="Normal 9 2 2 3 3 2" xfId="7747" xr:uid="{00000000-0005-0000-0000-0000D9220000}"/>
    <cellStyle name="Normal 9 2 2 3 3 2 2" xfId="7748" xr:uid="{00000000-0005-0000-0000-0000DA220000}"/>
    <cellStyle name="Normal 9 2 2 3 3 3" xfId="7749" xr:uid="{00000000-0005-0000-0000-0000DB220000}"/>
    <cellStyle name="Normal 9 2 2 3 4" xfId="7750" xr:uid="{00000000-0005-0000-0000-0000DC220000}"/>
    <cellStyle name="Normal 9 2 2 3 4 2" xfId="7751" xr:uid="{00000000-0005-0000-0000-0000DD220000}"/>
    <cellStyle name="Normal 9 2 2 3 4 2 2" xfId="7752" xr:uid="{00000000-0005-0000-0000-0000DE220000}"/>
    <cellStyle name="Normal 9 2 2 3 4 3" xfId="7753" xr:uid="{00000000-0005-0000-0000-0000DF220000}"/>
    <cellStyle name="Normal 9 2 2 3 5" xfId="7754" xr:uid="{00000000-0005-0000-0000-0000E0220000}"/>
    <cellStyle name="Normal 9 2 2 3 5 2" xfId="7755" xr:uid="{00000000-0005-0000-0000-0000E1220000}"/>
    <cellStyle name="Normal 9 2 2 3 6" xfId="7756" xr:uid="{00000000-0005-0000-0000-0000E2220000}"/>
    <cellStyle name="Normal 9 2 2 4" xfId="7757" xr:uid="{00000000-0005-0000-0000-0000E3220000}"/>
    <cellStyle name="Normal 9 2 2 4 2" xfId="7758" xr:uid="{00000000-0005-0000-0000-0000E4220000}"/>
    <cellStyle name="Normal 9 2 2 4 2 2" xfId="7759" xr:uid="{00000000-0005-0000-0000-0000E5220000}"/>
    <cellStyle name="Normal 9 2 2 4 2 2 2" xfId="7760" xr:uid="{00000000-0005-0000-0000-0000E6220000}"/>
    <cellStyle name="Normal 9 2 2 4 2 2 2 2" xfId="7761" xr:uid="{00000000-0005-0000-0000-0000E7220000}"/>
    <cellStyle name="Normal 9 2 2 4 2 2 3" xfId="7762" xr:uid="{00000000-0005-0000-0000-0000E8220000}"/>
    <cellStyle name="Normal 9 2 2 4 2 3" xfId="7763" xr:uid="{00000000-0005-0000-0000-0000E9220000}"/>
    <cellStyle name="Normal 9 2 2 4 2 3 2" xfId="7764" xr:uid="{00000000-0005-0000-0000-0000EA220000}"/>
    <cellStyle name="Normal 9 2 2 4 2 4" xfId="7765" xr:uid="{00000000-0005-0000-0000-0000EB220000}"/>
    <cellStyle name="Normal 9 2 2 4 3" xfId="7766" xr:uid="{00000000-0005-0000-0000-0000EC220000}"/>
    <cellStyle name="Normal 9 2 2 4 3 2" xfId="7767" xr:uid="{00000000-0005-0000-0000-0000ED220000}"/>
    <cellStyle name="Normal 9 2 2 4 3 2 2" xfId="7768" xr:uid="{00000000-0005-0000-0000-0000EE220000}"/>
    <cellStyle name="Normal 9 2 2 4 3 3" xfId="7769" xr:uid="{00000000-0005-0000-0000-0000EF220000}"/>
    <cellStyle name="Normal 9 2 2 4 4" xfId="7770" xr:uid="{00000000-0005-0000-0000-0000F0220000}"/>
    <cellStyle name="Normal 9 2 2 4 4 2" xfId="7771" xr:uid="{00000000-0005-0000-0000-0000F1220000}"/>
    <cellStyle name="Normal 9 2 2 4 4 2 2" xfId="7772" xr:uid="{00000000-0005-0000-0000-0000F2220000}"/>
    <cellStyle name="Normal 9 2 2 4 4 3" xfId="7773" xr:uid="{00000000-0005-0000-0000-0000F3220000}"/>
    <cellStyle name="Normal 9 2 2 4 5" xfId="7774" xr:uid="{00000000-0005-0000-0000-0000F4220000}"/>
    <cellStyle name="Normal 9 2 2 4 5 2" xfId="7775" xr:uid="{00000000-0005-0000-0000-0000F5220000}"/>
    <cellStyle name="Normal 9 2 2 4 6" xfId="7776" xr:uid="{00000000-0005-0000-0000-0000F6220000}"/>
    <cellStyle name="Normal 9 2 2 5" xfId="7777" xr:uid="{00000000-0005-0000-0000-0000F7220000}"/>
    <cellStyle name="Normal 9 2 2 5 2" xfId="7778" xr:uid="{00000000-0005-0000-0000-0000F8220000}"/>
    <cellStyle name="Normal 9 2 2 5 2 2" xfId="7779" xr:uid="{00000000-0005-0000-0000-0000F9220000}"/>
    <cellStyle name="Normal 9 2 2 5 2 2 2" xfId="7780" xr:uid="{00000000-0005-0000-0000-0000FA220000}"/>
    <cellStyle name="Normal 9 2 2 5 2 3" xfId="7781" xr:uid="{00000000-0005-0000-0000-0000FB220000}"/>
    <cellStyle name="Normal 9 2 2 5 3" xfId="7782" xr:uid="{00000000-0005-0000-0000-0000FC220000}"/>
    <cellStyle name="Normal 9 2 2 5 3 2" xfId="7783" xr:uid="{00000000-0005-0000-0000-0000FD220000}"/>
    <cellStyle name="Normal 9 2 2 5 4" xfId="7784" xr:uid="{00000000-0005-0000-0000-0000FE220000}"/>
    <cellStyle name="Normal 9 2 2 6" xfId="7785" xr:uid="{00000000-0005-0000-0000-0000FF220000}"/>
    <cellStyle name="Normal 9 2 2 6 2" xfId="7786" xr:uid="{00000000-0005-0000-0000-000000230000}"/>
    <cellStyle name="Normal 9 2 2 6 2 2" xfId="7787" xr:uid="{00000000-0005-0000-0000-000001230000}"/>
    <cellStyle name="Normal 9 2 2 6 3" xfId="7788" xr:uid="{00000000-0005-0000-0000-000002230000}"/>
    <cellStyle name="Normal 9 2 2 7" xfId="7789" xr:uid="{00000000-0005-0000-0000-000003230000}"/>
    <cellStyle name="Normal 9 2 2 7 2" xfId="7790" xr:uid="{00000000-0005-0000-0000-000004230000}"/>
    <cellStyle name="Normal 9 2 2 7 2 2" xfId="7791" xr:uid="{00000000-0005-0000-0000-000005230000}"/>
    <cellStyle name="Normal 9 2 2 7 3" xfId="7792" xr:uid="{00000000-0005-0000-0000-000006230000}"/>
    <cellStyle name="Normal 9 2 2 8" xfId="7793" xr:uid="{00000000-0005-0000-0000-000007230000}"/>
    <cellStyle name="Normal 9 2 2 8 2" xfId="7794" xr:uid="{00000000-0005-0000-0000-000008230000}"/>
    <cellStyle name="Normal 9 2 2 9" xfId="7795" xr:uid="{00000000-0005-0000-0000-000009230000}"/>
    <cellStyle name="Normal 9 2 2_Activity Fcst Variance" xfId="7796" xr:uid="{00000000-0005-0000-0000-00000A230000}"/>
    <cellStyle name="Normal 9 2 3" xfId="7797" xr:uid="{00000000-0005-0000-0000-00000B230000}"/>
    <cellStyle name="Normal 9 2 3 2" xfId="7798" xr:uid="{00000000-0005-0000-0000-00000C230000}"/>
    <cellStyle name="Normal 9 2 3 2 2" xfId="7799" xr:uid="{00000000-0005-0000-0000-00000D230000}"/>
    <cellStyle name="Normal 9 2 3 2 2 2" xfId="7800" xr:uid="{00000000-0005-0000-0000-00000E230000}"/>
    <cellStyle name="Normal 9 2 3 2 2 2 2" xfId="7801" xr:uid="{00000000-0005-0000-0000-00000F230000}"/>
    <cellStyle name="Normal 9 2 3 2 2 3" xfId="7802" xr:uid="{00000000-0005-0000-0000-000010230000}"/>
    <cellStyle name="Normal 9 2 3 2 3" xfId="7803" xr:uid="{00000000-0005-0000-0000-000011230000}"/>
    <cellStyle name="Normal 9 2 3 2 3 2" xfId="7804" xr:uid="{00000000-0005-0000-0000-000012230000}"/>
    <cellStyle name="Normal 9 2 3 2 4" xfId="7805" xr:uid="{00000000-0005-0000-0000-000013230000}"/>
    <cellStyle name="Normal 9 2 3 3" xfId="7806" xr:uid="{00000000-0005-0000-0000-000014230000}"/>
    <cellStyle name="Normal 9 2 3 3 2" xfId="7807" xr:uid="{00000000-0005-0000-0000-000015230000}"/>
    <cellStyle name="Normal 9 2 3 3 2 2" xfId="7808" xr:uid="{00000000-0005-0000-0000-000016230000}"/>
    <cellStyle name="Normal 9 2 3 3 3" xfId="7809" xr:uid="{00000000-0005-0000-0000-000017230000}"/>
    <cellStyle name="Normal 9 2 3 4" xfId="7810" xr:uid="{00000000-0005-0000-0000-000018230000}"/>
    <cellStyle name="Normal 9 2 3 4 2" xfId="7811" xr:uid="{00000000-0005-0000-0000-000019230000}"/>
    <cellStyle name="Normal 9 2 3 4 2 2" xfId="7812" xr:uid="{00000000-0005-0000-0000-00001A230000}"/>
    <cellStyle name="Normal 9 2 3 4 3" xfId="7813" xr:uid="{00000000-0005-0000-0000-00001B230000}"/>
    <cellStyle name="Normal 9 2 3 5" xfId="7814" xr:uid="{00000000-0005-0000-0000-00001C230000}"/>
    <cellStyle name="Normal 9 2 3 5 2" xfId="7815" xr:uid="{00000000-0005-0000-0000-00001D230000}"/>
    <cellStyle name="Normal 9 2 3 6" xfId="7816" xr:uid="{00000000-0005-0000-0000-00001E230000}"/>
    <cellStyle name="Normal 9 2 4" xfId="7817" xr:uid="{00000000-0005-0000-0000-00001F230000}"/>
    <cellStyle name="Normal 9 2 4 2" xfId="7818" xr:uid="{00000000-0005-0000-0000-000020230000}"/>
    <cellStyle name="Normal 9 2 4 2 2" xfId="7819" xr:uid="{00000000-0005-0000-0000-000021230000}"/>
    <cellStyle name="Normal 9 2 4 2 2 2" xfId="7820" xr:uid="{00000000-0005-0000-0000-000022230000}"/>
    <cellStyle name="Normal 9 2 4 2 2 2 2" xfId="7821" xr:uid="{00000000-0005-0000-0000-000023230000}"/>
    <cellStyle name="Normal 9 2 4 2 2 3" xfId="7822" xr:uid="{00000000-0005-0000-0000-000024230000}"/>
    <cellStyle name="Normal 9 2 4 2 3" xfId="7823" xr:uid="{00000000-0005-0000-0000-000025230000}"/>
    <cellStyle name="Normal 9 2 4 2 3 2" xfId="7824" xr:uid="{00000000-0005-0000-0000-000026230000}"/>
    <cellStyle name="Normal 9 2 4 2 4" xfId="7825" xr:uid="{00000000-0005-0000-0000-000027230000}"/>
    <cellStyle name="Normal 9 2 4 3" xfId="7826" xr:uid="{00000000-0005-0000-0000-000028230000}"/>
    <cellStyle name="Normal 9 2 4 3 2" xfId="7827" xr:uid="{00000000-0005-0000-0000-000029230000}"/>
    <cellStyle name="Normal 9 2 4 3 2 2" xfId="7828" xr:uid="{00000000-0005-0000-0000-00002A230000}"/>
    <cellStyle name="Normal 9 2 4 3 3" xfId="7829" xr:uid="{00000000-0005-0000-0000-00002B230000}"/>
    <cellStyle name="Normal 9 2 4 4" xfId="7830" xr:uid="{00000000-0005-0000-0000-00002C230000}"/>
    <cellStyle name="Normal 9 2 4 4 2" xfId="7831" xr:uid="{00000000-0005-0000-0000-00002D230000}"/>
    <cellStyle name="Normal 9 2 4 4 2 2" xfId="7832" xr:uid="{00000000-0005-0000-0000-00002E230000}"/>
    <cellStyle name="Normal 9 2 4 4 3" xfId="7833" xr:uid="{00000000-0005-0000-0000-00002F230000}"/>
    <cellStyle name="Normal 9 2 4 5" xfId="7834" xr:uid="{00000000-0005-0000-0000-000030230000}"/>
    <cellStyle name="Normal 9 2 4 5 2" xfId="7835" xr:uid="{00000000-0005-0000-0000-000031230000}"/>
    <cellStyle name="Normal 9 2 4 6" xfId="7836" xr:uid="{00000000-0005-0000-0000-000032230000}"/>
    <cellStyle name="Normal 9 2 5" xfId="7837" xr:uid="{00000000-0005-0000-0000-000033230000}"/>
    <cellStyle name="Normal 9 2 5 2" xfId="7838" xr:uid="{00000000-0005-0000-0000-000034230000}"/>
    <cellStyle name="Normal 9 2 5 2 2" xfId="7839" xr:uid="{00000000-0005-0000-0000-000035230000}"/>
    <cellStyle name="Normal 9 2 5 2 2 2" xfId="7840" xr:uid="{00000000-0005-0000-0000-000036230000}"/>
    <cellStyle name="Normal 9 2 5 2 2 2 2" xfId="7841" xr:uid="{00000000-0005-0000-0000-000037230000}"/>
    <cellStyle name="Normal 9 2 5 2 2 3" xfId="7842" xr:uid="{00000000-0005-0000-0000-000038230000}"/>
    <cellStyle name="Normal 9 2 5 2 3" xfId="7843" xr:uid="{00000000-0005-0000-0000-000039230000}"/>
    <cellStyle name="Normal 9 2 5 2 3 2" xfId="7844" xr:uid="{00000000-0005-0000-0000-00003A230000}"/>
    <cellStyle name="Normal 9 2 5 2 4" xfId="7845" xr:uid="{00000000-0005-0000-0000-00003B230000}"/>
    <cellStyle name="Normal 9 2 5 3" xfId="7846" xr:uid="{00000000-0005-0000-0000-00003C230000}"/>
    <cellStyle name="Normal 9 2 5 3 2" xfId="7847" xr:uid="{00000000-0005-0000-0000-00003D230000}"/>
    <cellStyle name="Normal 9 2 5 3 2 2" xfId="7848" xr:uid="{00000000-0005-0000-0000-00003E230000}"/>
    <cellStyle name="Normal 9 2 5 3 3" xfId="7849" xr:uid="{00000000-0005-0000-0000-00003F230000}"/>
    <cellStyle name="Normal 9 2 5 4" xfId="7850" xr:uid="{00000000-0005-0000-0000-000040230000}"/>
    <cellStyle name="Normal 9 2 5 4 2" xfId="7851" xr:uid="{00000000-0005-0000-0000-000041230000}"/>
    <cellStyle name="Normal 9 2 5 4 2 2" xfId="7852" xr:uid="{00000000-0005-0000-0000-000042230000}"/>
    <cellStyle name="Normal 9 2 5 4 3" xfId="7853" xr:uid="{00000000-0005-0000-0000-000043230000}"/>
    <cellStyle name="Normal 9 2 5 5" xfId="7854" xr:uid="{00000000-0005-0000-0000-000044230000}"/>
    <cellStyle name="Normal 9 2 5 5 2" xfId="7855" xr:uid="{00000000-0005-0000-0000-000045230000}"/>
    <cellStyle name="Normal 9 2 5 6" xfId="7856" xr:uid="{00000000-0005-0000-0000-000046230000}"/>
    <cellStyle name="Normal 9 2 6" xfId="7857" xr:uid="{00000000-0005-0000-0000-000047230000}"/>
    <cellStyle name="Normal 9 2 6 2" xfId="7858" xr:uid="{00000000-0005-0000-0000-000048230000}"/>
    <cellStyle name="Normal 9 2 6 3" xfId="7859" xr:uid="{00000000-0005-0000-0000-000049230000}"/>
    <cellStyle name="Normal 9 2 6 3 2" xfId="7860" xr:uid="{00000000-0005-0000-0000-00004A230000}"/>
    <cellStyle name="Normal 9 2 6 4" xfId="7861" xr:uid="{00000000-0005-0000-0000-00004B230000}"/>
    <cellStyle name="Normal 9 2 7" xfId="7862" xr:uid="{00000000-0005-0000-0000-00004C230000}"/>
    <cellStyle name="Normal 9 2 7 2" xfId="7863" xr:uid="{00000000-0005-0000-0000-00004D230000}"/>
    <cellStyle name="Normal 9 2 7 3" xfId="7864" xr:uid="{00000000-0005-0000-0000-00004E230000}"/>
    <cellStyle name="Normal 9 2 7 3 2" xfId="7865" xr:uid="{00000000-0005-0000-0000-00004F230000}"/>
    <cellStyle name="Normal 9 2 7 4" xfId="7866" xr:uid="{00000000-0005-0000-0000-000050230000}"/>
    <cellStyle name="Normal 9 2 8" xfId="7867" xr:uid="{00000000-0005-0000-0000-000051230000}"/>
    <cellStyle name="Normal 9 2 8 2" xfId="7868" xr:uid="{00000000-0005-0000-0000-000052230000}"/>
    <cellStyle name="Normal 9 2 8 2 2" xfId="7869" xr:uid="{00000000-0005-0000-0000-000053230000}"/>
    <cellStyle name="Normal 9 2 8 3" xfId="7870" xr:uid="{00000000-0005-0000-0000-000054230000}"/>
    <cellStyle name="Normal 9 2 9" xfId="7871" xr:uid="{00000000-0005-0000-0000-000055230000}"/>
    <cellStyle name="Normal 9 2 9 2" xfId="7872" xr:uid="{00000000-0005-0000-0000-000056230000}"/>
    <cellStyle name="Normal 9 2_Cap Forecast" xfId="7873" xr:uid="{00000000-0005-0000-0000-000057230000}"/>
    <cellStyle name="Normal 9 3" xfId="7874" xr:uid="{00000000-0005-0000-0000-000058230000}"/>
    <cellStyle name="Normal 9 3 10" xfId="7875" xr:uid="{00000000-0005-0000-0000-000059230000}"/>
    <cellStyle name="Normal 9 3 2" xfId="7876" xr:uid="{00000000-0005-0000-0000-00005A230000}"/>
    <cellStyle name="Normal 9 3 2 2" xfId="7877" xr:uid="{00000000-0005-0000-0000-00005B230000}"/>
    <cellStyle name="Normal 9 3 2 2 2" xfId="7878" xr:uid="{00000000-0005-0000-0000-00005C230000}"/>
    <cellStyle name="Normal 9 3 2 2 2 2" xfId="7879" xr:uid="{00000000-0005-0000-0000-00005D230000}"/>
    <cellStyle name="Normal 9 3 2 2 2 2 2" xfId="7880" xr:uid="{00000000-0005-0000-0000-00005E230000}"/>
    <cellStyle name="Normal 9 3 2 2 2 3" xfId="7881" xr:uid="{00000000-0005-0000-0000-00005F230000}"/>
    <cellStyle name="Normal 9 3 2 2 3" xfId="7882" xr:uid="{00000000-0005-0000-0000-000060230000}"/>
    <cellStyle name="Normal 9 3 2 2 3 2" xfId="7883" xr:uid="{00000000-0005-0000-0000-000061230000}"/>
    <cellStyle name="Normal 9 3 2 2 4" xfId="7884" xr:uid="{00000000-0005-0000-0000-000062230000}"/>
    <cellStyle name="Normal 9 3 2 3" xfId="7885" xr:uid="{00000000-0005-0000-0000-000063230000}"/>
    <cellStyle name="Normal 9 3 2 3 2" xfId="7886" xr:uid="{00000000-0005-0000-0000-000064230000}"/>
    <cellStyle name="Normal 9 3 2 3 2 2" xfId="7887" xr:uid="{00000000-0005-0000-0000-000065230000}"/>
    <cellStyle name="Normal 9 3 2 3 3" xfId="7888" xr:uid="{00000000-0005-0000-0000-000066230000}"/>
    <cellStyle name="Normal 9 3 2 4" xfId="7889" xr:uid="{00000000-0005-0000-0000-000067230000}"/>
    <cellStyle name="Normal 9 3 2 4 2" xfId="7890" xr:uid="{00000000-0005-0000-0000-000068230000}"/>
    <cellStyle name="Normal 9 3 2 4 2 2" xfId="7891" xr:uid="{00000000-0005-0000-0000-000069230000}"/>
    <cellStyle name="Normal 9 3 2 4 3" xfId="7892" xr:uid="{00000000-0005-0000-0000-00006A230000}"/>
    <cellStyle name="Normal 9 3 2 5" xfId="7893" xr:uid="{00000000-0005-0000-0000-00006B230000}"/>
    <cellStyle name="Normal 9 3 2 5 2" xfId="7894" xr:uid="{00000000-0005-0000-0000-00006C230000}"/>
    <cellStyle name="Normal 9 3 2 6" xfId="7895" xr:uid="{00000000-0005-0000-0000-00006D230000}"/>
    <cellStyle name="Normal 9 3 3" xfId="7896" xr:uid="{00000000-0005-0000-0000-00006E230000}"/>
    <cellStyle name="Normal 9 3 3 2" xfId="7897" xr:uid="{00000000-0005-0000-0000-00006F230000}"/>
    <cellStyle name="Normal 9 3 3 2 2" xfId="7898" xr:uid="{00000000-0005-0000-0000-000070230000}"/>
    <cellStyle name="Normal 9 3 3 2 2 2" xfId="7899" xr:uid="{00000000-0005-0000-0000-000071230000}"/>
    <cellStyle name="Normal 9 3 3 2 2 2 2" xfId="7900" xr:uid="{00000000-0005-0000-0000-000072230000}"/>
    <cellStyle name="Normal 9 3 3 2 2 3" xfId="7901" xr:uid="{00000000-0005-0000-0000-000073230000}"/>
    <cellStyle name="Normal 9 3 3 2 3" xfId="7902" xr:uid="{00000000-0005-0000-0000-000074230000}"/>
    <cellStyle name="Normal 9 3 3 2 3 2" xfId="7903" xr:uid="{00000000-0005-0000-0000-000075230000}"/>
    <cellStyle name="Normal 9 3 3 2 4" xfId="7904" xr:uid="{00000000-0005-0000-0000-000076230000}"/>
    <cellStyle name="Normal 9 3 3 3" xfId="7905" xr:uid="{00000000-0005-0000-0000-000077230000}"/>
    <cellStyle name="Normal 9 3 3 3 2" xfId="7906" xr:uid="{00000000-0005-0000-0000-000078230000}"/>
    <cellStyle name="Normal 9 3 3 3 3" xfId="7907" xr:uid="{00000000-0005-0000-0000-000079230000}"/>
    <cellStyle name="Normal 9 3 3 3 3 2" xfId="7908" xr:uid="{00000000-0005-0000-0000-00007A230000}"/>
    <cellStyle name="Normal 9 3 3 3 4" xfId="7909" xr:uid="{00000000-0005-0000-0000-00007B230000}"/>
    <cellStyle name="Normal 9 3 3 4" xfId="7910" xr:uid="{00000000-0005-0000-0000-00007C230000}"/>
    <cellStyle name="Normal 9 3 3 4 2" xfId="7911" xr:uid="{00000000-0005-0000-0000-00007D230000}"/>
    <cellStyle name="Normal 9 3 3 4 2 2" xfId="7912" xr:uid="{00000000-0005-0000-0000-00007E230000}"/>
    <cellStyle name="Normal 9 3 3 4 3" xfId="7913" xr:uid="{00000000-0005-0000-0000-00007F230000}"/>
    <cellStyle name="Normal 9 3 3 5" xfId="7914" xr:uid="{00000000-0005-0000-0000-000080230000}"/>
    <cellStyle name="Normal 9 3 3 5 2" xfId="7915" xr:uid="{00000000-0005-0000-0000-000081230000}"/>
    <cellStyle name="Normal 9 3 3 6" xfId="7916" xr:uid="{00000000-0005-0000-0000-000082230000}"/>
    <cellStyle name="Normal 9 3 4" xfId="7917" xr:uid="{00000000-0005-0000-0000-000083230000}"/>
    <cellStyle name="Normal 9 3 4 2" xfId="7918" xr:uid="{00000000-0005-0000-0000-000084230000}"/>
    <cellStyle name="Normal 9 3 4 2 2" xfId="7919" xr:uid="{00000000-0005-0000-0000-000085230000}"/>
    <cellStyle name="Normal 9 3 4 2 2 2" xfId="7920" xr:uid="{00000000-0005-0000-0000-000086230000}"/>
    <cellStyle name="Normal 9 3 4 2 2 2 2" xfId="7921" xr:uid="{00000000-0005-0000-0000-000087230000}"/>
    <cellStyle name="Normal 9 3 4 2 2 3" xfId="7922" xr:uid="{00000000-0005-0000-0000-000088230000}"/>
    <cellStyle name="Normal 9 3 4 2 3" xfId="7923" xr:uid="{00000000-0005-0000-0000-000089230000}"/>
    <cellStyle name="Normal 9 3 4 2 3 2" xfId="7924" xr:uid="{00000000-0005-0000-0000-00008A230000}"/>
    <cellStyle name="Normal 9 3 4 2 4" xfId="7925" xr:uid="{00000000-0005-0000-0000-00008B230000}"/>
    <cellStyle name="Normal 9 3 4 3" xfId="7926" xr:uid="{00000000-0005-0000-0000-00008C230000}"/>
    <cellStyle name="Normal 9 3 4 3 2" xfId="7927" xr:uid="{00000000-0005-0000-0000-00008D230000}"/>
    <cellStyle name="Normal 9 3 4 3 2 2" xfId="7928" xr:uid="{00000000-0005-0000-0000-00008E230000}"/>
    <cellStyle name="Normal 9 3 4 3 3" xfId="7929" xr:uid="{00000000-0005-0000-0000-00008F230000}"/>
    <cellStyle name="Normal 9 3 4 4" xfId="7930" xr:uid="{00000000-0005-0000-0000-000090230000}"/>
    <cellStyle name="Normal 9 3 4 4 2" xfId="7931" xr:uid="{00000000-0005-0000-0000-000091230000}"/>
    <cellStyle name="Normal 9 3 4 4 2 2" xfId="7932" xr:uid="{00000000-0005-0000-0000-000092230000}"/>
    <cellStyle name="Normal 9 3 4 4 3" xfId="7933" xr:uid="{00000000-0005-0000-0000-000093230000}"/>
    <cellStyle name="Normal 9 3 4 5" xfId="7934" xr:uid="{00000000-0005-0000-0000-000094230000}"/>
    <cellStyle name="Normal 9 3 4 5 2" xfId="7935" xr:uid="{00000000-0005-0000-0000-000095230000}"/>
    <cellStyle name="Normal 9 3 4 6" xfId="7936" xr:uid="{00000000-0005-0000-0000-000096230000}"/>
    <cellStyle name="Normal 9 3 5" xfId="7937" xr:uid="{00000000-0005-0000-0000-000097230000}"/>
    <cellStyle name="Normal 9 3 5 2" xfId="7938" xr:uid="{00000000-0005-0000-0000-000098230000}"/>
    <cellStyle name="Normal 9 3 5 3" xfId="7939" xr:uid="{00000000-0005-0000-0000-000099230000}"/>
    <cellStyle name="Normal 9 3 5 3 2" xfId="7940" xr:uid="{00000000-0005-0000-0000-00009A230000}"/>
    <cellStyle name="Normal 9 3 5 4" xfId="7941" xr:uid="{00000000-0005-0000-0000-00009B230000}"/>
    <cellStyle name="Normal 9 3 6" xfId="7942" xr:uid="{00000000-0005-0000-0000-00009C230000}"/>
    <cellStyle name="Normal 9 3 6 2" xfId="7943" xr:uid="{00000000-0005-0000-0000-00009D230000}"/>
    <cellStyle name="Normal 9 3 6 2 2" xfId="7944" xr:uid="{00000000-0005-0000-0000-00009E230000}"/>
    <cellStyle name="Normal 9 3 6 3" xfId="7945" xr:uid="{00000000-0005-0000-0000-00009F230000}"/>
    <cellStyle name="Normal 9 3 7" xfId="7946" xr:uid="{00000000-0005-0000-0000-0000A0230000}"/>
    <cellStyle name="Normal 9 3 7 2" xfId="7947" xr:uid="{00000000-0005-0000-0000-0000A1230000}"/>
    <cellStyle name="Normal 9 3 7 2 2" xfId="7948" xr:uid="{00000000-0005-0000-0000-0000A2230000}"/>
    <cellStyle name="Normal 9 3 7 3" xfId="7949" xr:uid="{00000000-0005-0000-0000-0000A3230000}"/>
    <cellStyle name="Normal 9 3 8" xfId="7950" xr:uid="{00000000-0005-0000-0000-0000A4230000}"/>
    <cellStyle name="Normal 9 3 8 2" xfId="7951" xr:uid="{00000000-0005-0000-0000-0000A5230000}"/>
    <cellStyle name="Normal 9 3 9" xfId="7952" xr:uid="{00000000-0005-0000-0000-0000A6230000}"/>
    <cellStyle name="Normal 9 3_Activity Fcst Variance" xfId="7953" xr:uid="{00000000-0005-0000-0000-0000A7230000}"/>
    <cellStyle name="Normal 9 4" xfId="7954" xr:uid="{00000000-0005-0000-0000-0000A8230000}"/>
    <cellStyle name="Normal 9 4 2" xfId="7955" xr:uid="{00000000-0005-0000-0000-0000A9230000}"/>
    <cellStyle name="Normal 9 4 2 2" xfId="7956" xr:uid="{00000000-0005-0000-0000-0000AA230000}"/>
    <cellStyle name="Normal 9 4 2 2 2" xfId="7957" xr:uid="{00000000-0005-0000-0000-0000AB230000}"/>
    <cellStyle name="Normal 9 4 2 2 2 2" xfId="7958" xr:uid="{00000000-0005-0000-0000-0000AC230000}"/>
    <cellStyle name="Normal 9 4 2 2 2 2 2" xfId="7959" xr:uid="{00000000-0005-0000-0000-0000AD230000}"/>
    <cellStyle name="Normal 9 4 2 2 2 3" xfId="7960" xr:uid="{00000000-0005-0000-0000-0000AE230000}"/>
    <cellStyle name="Normal 9 4 2 2 3" xfId="7961" xr:uid="{00000000-0005-0000-0000-0000AF230000}"/>
    <cellStyle name="Normal 9 4 2 2 3 2" xfId="7962" xr:uid="{00000000-0005-0000-0000-0000B0230000}"/>
    <cellStyle name="Normal 9 4 2 2 4" xfId="7963" xr:uid="{00000000-0005-0000-0000-0000B1230000}"/>
    <cellStyle name="Normal 9 4 2 3" xfId="7964" xr:uid="{00000000-0005-0000-0000-0000B2230000}"/>
    <cellStyle name="Normal 9 4 2 3 2" xfId="7965" xr:uid="{00000000-0005-0000-0000-0000B3230000}"/>
    <cellStyle name="Normal 9 4 2 3 2 2" xfId="7966" xr:uid="{00000000-0005-0000-0000-0000B4230000}"/>
    <cellStyle name="Normal 9 4 2 3 3" xfId="7967" xr:uid="{00000000-0005-0000-0000-0000B5230000}"/>
    <cellStyle name="Normal 9 4 2 4" xfId="7968" xr:uid="{00000000-0005-0000-0000-0000B6230000}"/>
    <cellStyle name="Normal 9 4 2 4 2" xfId="7969" xr:uid="{00000000-0005-0000-0000-0000B7230000}"/>
    <cellStyle name="Normal 9 4 2 4 2 2" xfId="7970" xr:uid="{00000000-0005-0000-0000-0000B8230000}"/>
    <cellStyle name="Normal 9 4 2 4 3" xfId="7971" xr:uid="{00000000-0005-0000-0000-0000B9230000}"/>
    <cellStyle name="Normal 9 4 2 5" xfId="7972" xr:uid="{00000000-0005-0000-0000-0000BA230000}"/>
    <cellStyle name="Normal 9 4 2 5 2" xfId="7973" xr:uid="{00000000-0005-0000-0000-0000BB230000}"/>
    <cellStyle name="Normal 9 4 2 6" xfId="7974" xr:uid="{00000000-0005-0000-0000-0000BC230000}"/>
    <cellStyle name="Normal 9 4 3" xfId="7975" xr:uid="{00000000-0005-0000-0000-0000BD230000}"/>
    <cellStyle name="Normal 9 4 3 2" xfId="7976" xr:uid="{00000000-0005-0000-0000-0000BE230000}"/>
    <cellStyle name="Normal 9 4 3 2 2" xfId="7977" xr:uid="{00000000-0005-0000-0000-0000BF230000}"/>
    <cellStyle name="Normal 9 4 3 2 2 2" xfId="7978" xr:uid="{00000000-0005-0000-0000-0000C0230000}"/>
    <cellStyle name="Normal 9 4 3 2 2 2 2" xfId="7979" xr:uid="{00000000-0005-0000-0000-0000C1230000}"/>
    <cellStyle name="Normal 9 4 3 2 2 3" xfId="7980" xr:uid="{00000000-0005-0000-0000-0000C2230000}"/>
    <cellStyle name="Normal 9 4 3 2 3" xfId="7981" xr:uid="{00000000-0005-0000-0000-0000C3230000}"/>
    <cellStyle name="Normal 9 4 3 2 3 2" xfId="7982" xr:uid="{00000000-0005-0000-0000-0000C4230000}"/>
    <cellStyle name="Normal 9 4 3 2 4" xfId="7983" xr:uid="{00000000-0005-0000-0000-0000C5230000}"/>
    <cellStyle name="Normal 9 4 3 3" xfId="7984" xr:uid="{00000000-0005-0000-0000-0000C6230000}"/>
    <cellStyle name="Normal 9 4 3 3 2" xfId="7985" xr:uid="{00000000-0005-0000-0000-0000C7230000}"/>
    <cellStyle name="Normal 9 4 3 3 2 2" xfId="7986" xr:uid="{00000000-0005-0000-0000-0000C8230000}"/>
    <cellStyle name="Normal 9 4 3 3 3" xfId="7987" xr:uid="{00000000-0005-0000-0000-0000C9230000}"/>
    <cellStyle name="Normal 9 4 3 4" xfId="7988" xr:uid="{00000000-0005-0000-0000-0000CA230000}"/>
    <cellStyle name="Normal 9 4 3 4 2" xfId="7989" xr:uid="{00000000-0005-0000-0000-0000CB230000}"/>
    <cellStyle name="Normal 9 4 3 4 2 2" xfId="7990" xr:uid="{00000000-0005-0000-0000-0000CC230000}"/>
    <cellStyle name="Normal 9 4 3 4 3" xfId="7991" xr:uid="{00000000-0005-0000-0000-0000CD230000}"/>
    <cellStyle name="Normal 9 4 3 5" xfId="7992" xr:uid="{00000000-0005-0000-0000-0000CE230000}"/>
    <cellStyle name="Normal 9 4 3 5 2" xfId="7993" xr:uid="{00000000-0005-0000-0000-0000CF230000}"/>
    <cellStyle name="Normal 9 4 3 6" xfId="7994" xr:uid="{00000000-0005-0000-0000-0000D0230000}"/>
    <cellStyle name="Normal 9 4 4" xfId="7995" xr:uid="{00000000-0005-0000-0000-0000D1230000}"/>
    <cellStyle name="Normal 9 4 4 2" xfId="7996" xr:uid="{00000000-0005-0000-0000-0000D2230000}"/>
    <cellStyle name="Normal 9 4 4 2 2" xfId="7997" xr:uid="{00000000-0005-0000-0000-0000D3230000}"/>
    <cellStyle name="Normal 9 4 4 2 2 2" xfId="7998" xr:uid="{00000000-0005-0000-0000-0000D4230000}"/>
    <cellStyle name="Normal 9 4 4 2 3" xfId="7999" xr:uid="{00000000-0005-0000-0000-0000D5230000}"/>
    <cellStyle name="Normal 9 4 4 3" xfId="8000" xr:uid="{00000000-0005-0000-0000-0000D6230000}"/>
    <cellStyle name="Normal 9 4 4 3 2" xfId="8001" xr:uid="{00000000-0005-0000-0000-0000D7230000}"/>
    <cellStyle name="Normal 9 4 4 4" xfId="8002" xr:uid="{00000000-0005-0000-0000-0000D8230000}"/>
    <cellStyle name="Normal 9 4 5" xfId="8003" xr:uid="{00000000-0005-0000-0000-0000D9230000}"/>
    <cellStyle name="Normal 9 4 5 2" xfId="8004" xr:uid="{00000000-0005-0000-0000-0000DA230000}"/>
    <cellStyle name="Normal 9 4 5 2 2" xfId="10176" xr:uid="{00000000-0005-0000-0000-0000DB230000}"/>
    <cellStyle name="Normal 9 4 5 3" xfId="8005" xr:uid="{00000000-0005-0000-0000-0000DC230000}"/>
    <cellStyle name="Normal 9 4 5 3 2" xfId="8006" xr:uid="{00000000-0005-0000-0000-0000DD230000}"/>
    <cellStyle name="Normal 9 4 5 4" xfId="8007" xr:uid="{00000000-0005-0000-0000-0000DE230000}"/>
    <cellStyle name="Normal 9 4 6" xfId="8008" xr:uid="{00000000-0005-0000-0000-0000DF230000}"/>
    <cellStyle name="Normal 9 4 6 2" xfId="8009" xr:uid="{00000000-0005-0000-0000-0000E0230000}"/>
    <cellStyle name="Normal 9 4 6 2 2" xfId="8010" xr:uid="{00000000-0005-0000-0000-0000E1230000}"/>
    <cellStyle name="Normal 9 4 6 3" xfId="8011" xr:uid="{00000000-0005-0000-0000-0000E2230000}"/>
    <cellStyle name="Normal 9 4 7" xfId="8012" xr:uid="{00000000-0005-0000-0000-0000E3230000}"/>
    <cellStyle name="Normal 9 4 7 2" xfId="8013" xr:uid="{00000000-0005-0000-0000-0000E4230000}"/>
    <cellStyle name="Normal 9 4 8" xfId="8014" xr:uid="{00000000-0005-0000-0000-0000E5230000}"/>
    <cellStyle name="Normal 9 5" xfId="8015" xr:uid="{00000000-0005-0000-0000-0000E6230000}"/>
    <cellStyle name="Normal 9 5 2" xfId="10177" xr:uid="{00000000-0005-0000-0000-0000E7230000}"/>
    <cellStyle name="Normal 9 6" xfId="8016" xr:uid="{00000000-0005-0000-0000-0000E8230000}"/>
    <cellStyle name="Normal 9 6 2" xfId="10178" xr:uid="{00000000-0005-0000-0000-0000E9230000}"/>
    <cellStyle name="Normal 9 7" xfId="8017" xr:uid="{00000000-0005-0000-0000-0000EA230000}"/>
    <cellStyle name="Normal 9 7 2" xfId="10179" xr:uid="{00000000-0005-0000-0000-0000EB230000}"/>
    <cellStyle name="Normal 9 8" xfId="8018" xr:uid="{00000000-0005-0000-0000-0000EC230000}"/>
    <cellStyle name="Normal 9 8 2" xfId="10180" xr:uid="{00000000-0005-0000-0000-0000ED230000}"/>
    <cellStyle name="Normal 9 9" xfId="8019" xr:uid="{00000000-0005-0000-0000-0000EE230000}"/>
    <cellStyle name="Normal 9 9 2" xfId="10181" xr:uid="{00000000-0005-0000-0000-0000EF230000}"/>
    <cellStyle name="Normal 9_Activity Fcst Variance" xfId="8020" xr:uid="{00000000-0005-0000-0000-0000F0230000}"/>
    <cellStyle name="Normal 90" xfId="8021" xr:uid="{00000000-0005-0000-0000-0000F1230000}"/>
    <cellStyle name="Normal 90 2" xfId="10182" xr:uid="{00000000-0005-0000-0000-0000F2230000}"/>
    <cellStyle name="Normal 91" xfId="8022" xr:uid="{00000000-0005-0000-0000-0000F3230000}"/>
    <cellStyle name="Normal 91 2" xfId="10183" xr:uid="{00000000-0005-0000-0000-0000F4230000}"/>
    <cellStyle name="Normal 92" xfId="8023" xr:uid="{00000000-0005-0000-0000-0000F5230000}"/>
    <cellStyle name="Normal 92 2" xfId="10184" xr:uid="{00000000-0005-0000-0000-0000F6230000}"/>
    <cellStyle name="Normal 93" xfId="8024" xr:uid="{00000000-0005-0000-0000-0000F7230000}"/>
    <cellStyle name="Normal 93 2" xfId="10185" xr:uid="{00000000-0005-0000-0000-0000F8230000}"/>
    <cellStyle name="Normal 94" xfId="8025" xr:uid="{00000000-0005-0000-0000-0000F9230000}"/>
    <cellStyle name="Normal 94 2" xfId="10186" xr:uid="{00000000-0005-0000-0000-0000FA230000}"/>
    <cellStyle name="Normal 95" xfId="8026" xr:uid="{00000000-0005-0000-0000-0000FB230000}"/>
    <cellStyle name="Normal 95 2" xfId="10187" xr:uid="{00000000-0005-0000-0000-0000FC230000}"/>
    <cellStyle name="Normal 96" xfId="8027" xr:uid="{00000000-0005-0000-0000-0000FD230000}"/>
    <cellStyle name="Normal 96 2" xfId="10188" xr:uid="{00000000-0005-0000-0000-0000FE230000}"/>
    <cellStyle name="Normal 97" xfId="8028" xr:uid="{00000000-0005-0000-0000-0000FF230000}"/>
    <cellStyle name="Normal 97 2" xfId="10189" xr:uid="{00000000-0005-0000-0000-000000240000}"/>
    <cellStyle name="Normal 98" xfId="8029" xr:uid="{00000000-0005-0000-0000-000001240000}"/>
    <cellStyle name="Normal 98 2" xfId="10190" xr:uid="{00000000-0005-0000-0000-000002240000}"/>
    <cellStyle name="Normal 99" xfId="8030" xr:uid="{00000000-0005-0000-0000-000003240000}"/>
    <cellStyle name="Normal 99 2" xfId="10191" xr:uid="{00000000-0005-0000-0000-000004240000}"/>
    <cellStyle name="Normal_Tracking Dump" xfId="13" xr:uid="{00000000-0005-0000-0000-000005240000}"/>
    <cellStyle name="Note 10" xfId="8031" xr:uid="{00000000-0005-0000-0000-000006240000}"/>
    <cellStyle name="Note 10 2" xfId="10192" xr:uid="{00000000-0005-0000-0000-000007240000}"/>
    <cellStyle name="Note 11" xfId="8032" xr:uid="{00000000-0005-0000-0000-000008240000}"/>
    <cellStyle name="Note 11 2" xfId="10193" xr:uid="{00000000-0005-0000-0000-000009240000}"/>
    <cellStyle name="Note 12" xfId="8033" xr:uid="{00000000-0005-0000-0000-00000A240000}"/>
    <cellStyle name="Note 12 2" xfId="10194" xr:uid="{00000000-0005-0000-0000-00000B240000}"/>
    <cellStyle name="Note 13" xfId="8034" xr:uid="{00000000-0005-0000-0000-00000C240000}"/>
    <cellStyle name="Note 13 2" xfId="10195" xr:uid="{00000000-0005-0000-0000-00000D240000}"/>
    <cellStyle name="Note 14" xfId="9733" xr:uid="{00000000-0005-0000-0000-00000E240000}"/>
    <cellStyle name="Note 15" xfId="10600" xr:uid="{00000000-0005-0000-0000-00000F240000}"/>
    <cellStyle name="Note 15 2" xfId="11031" xr:uid="{00000000-0005-0000-0000-000010240000}"/>
    <cellStyle name="Note 16" xfId="10618" xr:uid="{00000000-0005-0000-0000-000011240000}"/>
    <cellStyle name="Note 16 2" xfId="11042" xr:uid="{00000000-0005-0000-0000-000012240000}"/>
    <cellStyle name="Note 17" xfId="10682" xr:uid="{00000000-0005-0000-0000-000013240000}"/>
    <cellStyle name="Note 17 2" xfId="11054" xr:uid="{00000000-0005-0000-0000-000014240000}"/>
    <cellStyle name="Note 18" xfId="10723" xr:uid="{00000000-0005-0000-0000-000015240000}"/>
    <cellStyle name="Note 18 2" xfId="11073" xr:uid="{00000000-0005-0000-0000-000016240000}"/>
    <cellStyle name="Note 19" xfId="10817" xr:uid="{00000000-0005-0000-0000-000017240000}"/>
    <cellStyle name="Note 19 2" xfId="11103" xr:uid="{00000000-0005-0000-0000-000018240000}"/>
    <cellStyle name="Note 2" xfId="8035" xr:uid="{00000000-0005-0000-0000-000019240000}"/>
    <cellStyle name="Note 2 2" xfId="8036" xr:uid="{00000000-0005-0000-0000-00001A240000}"/>
    <cellStyle name="Note 2 2 2" xfId="8037" xr:uid="{00000000-0005-0000-0000-00001B240000}"/>
    <cellStyle name="Note 2 2 3" xfId="8038" xr:uid="{00000000-0005-0000-0000-00001C240000}"/>
    <cellStyle name="Note 2 2 3 2" xfId="10196" xr:uid="{00000000-0005-0000-0000-00001D240000}"/>
    <cellStyle name="Note 2 2 4" xfId="9759" xr:uid="{00000000-0005-0000-0000-00001E240000}"/>
    <cellStyle name="Note 2 3" xfId="8039" xr:uid="{00000000-0005-0000-0000-00001F240000}"/>
    <cellStyle name="Note 2 3 2" xfId="8040" xr:uid="{00000000-0005-0000-0000-000020240000}"/>
    <cellStyle name="Note 2 3 2 2" xfId="10197" xr:uid="{00000000-0005-0000-0000-000021240000}"/>
    <cellStyle name="Note 2 4" xfId="8041" xr:uid="{00000000-0005-0000-0000-000022240000}"/>
    <cellStyle name="Note 2 5" xfId="8042" xr:uid="{00000000-0005-0000-0000-000023240000}"/>
    <cellStyle name="Note 2 5 2" xfId="10198" xr:uid="{00000000-0005-0000-0000-000024240000}"/>
    <cellStyle name="Note 2 6" xfId="8043" xr:uid="{00000000-0005-0000-0000-000025240000}"/>
    <cellStyle name="Note 2 7" xfId="9683" xr:uid="{00000000-0005-0000-0000-000026240000}"/>
    <cellStyle name="Note 2 7 2" xfId="11015" xr:uid="{00000000-0005-0000-0000-000027240000}"/>
    <cellStyle name="Note 2 8" xfId="9758" xr:uid="{00000000-0005-0000-0000-000028240000}"/>
    <cellStyle name="Note 2_BOT Summary" xfId="10546" xr:uid="{00000000-0005-0000-0000-000029240000}"/>
    <cellStyle name="Note 20" xfId="11213" xr:uid="{00000000-0005-0000-0000-00002A240000}"/>
    <cellStyle name="Note 21" xfId="11210" xr:uid="{00000000-0005-0000-0000-00002B240000}"/>
    <cellStyle name="Note 22" xfId="11245" xr:uid="{00000000-0005-0000-0000-00002C240000}"/>
    <cellStyle name="Note 23" xfId="11417" xr:uid="{00000000-0005-0000-0000-00002D240000}"/>
    <cellStyle name="Note 24" xfId="11413" xr:uid="{00000000-0005-0000-0000-00002E240000}"/>
    <cellStyle name="Note 25" xfId="11418" xr:uid="{00000000-0005-0000-0000-00002F240000}"/>
    <cellStyle name="Note 26" xfId="11463" xr:uid="{00000000-0005-0000-0000-000030240000}"/>
    <cellStyle name="Note 27" xfId="11574" xr:uid="{00000000-0005-0000-0000-000031240000}"/>
    <cellStyle name="Note 28" xfId="11694" xr:uid="{00000000-0005-0000-0000-000032240000}"/>
    <cellStyle name="Note 29" xfId="11689" xr:uid="{00000000-0005-0000-0000-000033240000}"/>
    <cellStyle name="Note 3" xfId="8044" xr:uid="{00000000-0005-0000-0000-000034240000}"/>
    <cellStyle name="Note 3 2" xfId="8045" xr:uid="{00000000-0005-0000-0000-000035240000}"/>
    <cellStyle name="Note 3 2 2" xfId="9761" xr:uid="{00000000-0005-0000-0000-000036240000}"/>
    <cellStyle name="Note 3 3" xfId="8046" xr:uid="{00000000-0005-0000-0000-000037240000}"/>
    <cellStyle name="Note 3 3 2" xfId="10199" xr:uid="{00000000-0005-0000-0000-000038240000}"/>
    <cellStyle name="Note 3 4" xfId="8047" xr:uid="{00000000-0005-0000-0000-000039240000}"/>
    <cellStyle name="Note 3 4 2" xfId="10200" xr:uid="{00000000-0005-0000-0000-00003A240000}"/>
    <cellStyle name="Note 3 5" xfId="8048" xr:uid="{00000000-0005-0000-0000-00003B240000}"/>
    <cellStyle name="Note 3 6" xfId="8049" xr:uid="{00000000-0005-0000-0000-00003C240000}"/>
    <cellStyle name="Note 3 7" xfId="8050" xr:uid="{00000000-0005-0000-0000-00003D240000}"/>
    <cellStyle name="Note 3 8" xfId="9760" xr:uid="{00000000-0005-0000-0000-00003E240000}"/>
    <cellStyle name="Note 3_Activity Fcst Variance" xfId="8051" xr:uid="{00000000-0005-0000-0000-00003F240000}"/>
    <cellStyle name="Note 30" xfId="11695" xr:uid="{00000000-0005-0000-0000-000040240000}"/>
    <cellStyle name="Note 31" xfId="11687" xr:uid="{00000000-0005-0000-0000-000041240000}"/>
    <cellStyle name="Note 32" xfId="11696" xr:uid="{00000000-0005-0000-0000-000042240000}"/>
    <cellStyle name="Note 33" xfId="11770" xr:uid="{00000000-0005-0000-0000-000043240000}"/>
    <cellStyle name="Note 34" xfId="11818" xr:uid="{00000000-0005-0000-0000-000044240000}"/>
    <cellStyle name="Note 35" xfId="11815" xr:uid="{00000000-0005-0000-0000-000045240000}"/>
    <cellStyle name="Note 36" xfId="53" xr:uid="{00000000-0005-0000-0000-000046240000}"/>
    <cellStyle name="Note 4" xfId="8052" xr:uid="{00000000-0005-0000-0000-000047240000}"/>
    <cellStyle name="Note 4 2" xfId="8053" xr:uid="{00000000-0005-0000-0000-000048240000}"/>
    <cellStyle name="Note 4 2 2" xfId="8054" xr:uid="{00000000-0005-0000-0000-000049240000}"/>
    <cellStyle name="Note 4 2 3" xfId="9763" xr:uid="{00000000-0005-0000-0000-00004A240000}"/>
    <cellStyle name="Note 4 2_Cap Forecast" xfId="8055" xr:uid="{00000000-0005-0000-0000-00004B240000}"/>
    <cellStyle name="Note 4 3" xfId="8056" xr:uid="{00000000-0005-0000-0000-00004C240000}"/>
    <cellStyle name="Note 4 4" xfId="9762" xr:uid="{00000000-0005-0000-0000-00004D240000}"/>
    <cellStyle name="Note 5" xfId="8057" xr:uid="{00000000-0005-0000-0000-00004E240000}"/>
    <cellStyle name="Note 5 2" xfId="8058" xr:uid="{00000000-0005-0000-0000-00004F240000}"/>
    <cellStyle name="Note 5 2 2" xfId="10201" xr:uid="{00000000-0005-0000-0000-000050240000}"/>
    <cellStyle name="Note 5 3" xfId="8059" xr:uid="{00000000-0005-0000-0000-000051240000}"/>
    <cellStyle name="Note 5 3 2" xfId="10202" xr:uid="{00000000-0005-0000-0000-000052240000}"/>
    <cellStyle name="Note 5 4" xfId="9848" xr:uid="{00000000-0005-0000-0000-000053240000}"/>
    <cellStyle name="Note 6" xfId="8060" xr:uid="{00000000-0005-0000-0000-000054240000}"/>
    <cellStyle name="Note 6 2" xfId="8061" xr:uid="{00000000-0005-0000-0000-000055240000}"/>
    <cellStyle name="Note 6 2 2" xfId="10203" xr:uid="{00000000-0005-0000-0000-000056240000}"/>
    <cellStyle name="Note 6 3" xfId="8062" xr:uid="{00000000-0005-0000-0000-000057240000}"/>
    <cellStyle name="Note 6 3 2" xfId="10204" xr:uid="{00000000-0005-0000-0000-000058240000}"/>
    <cellStyle name="Note 6 4" xfId="8063" xr:uid="{00000000-0005-0000-0000-000059240000}"/>
    <cellStyle name="Note 6 4 2" xfId="10205" xr:uid="{00000000-0005-0000-0000-00005A240000}"/>
    <cellStyle name="Note 6 5" xfId="8064" xr:uid="{00000000-0005-0000-0000-00005B240000}"/>
    <cellStyle name="Note 6 5 2" xfId="10206" xr:uid="{00000000-0005-0000-0000-00005C240000}"/>
    <cellStyle name="Note 6 6" xfId="9849" xr:uid="{00000000-0005-0000-0000-00005D240000}"/>
    <cellStyle name="Note 7" xfId="8065" xr:uid="{00000000-0005-0000-0000-00005E240000}"/>
    <cellStyle name="Note 7 2" xfId="8066" xr:uid="{00000000-0005-0000-0000-00005F240000}"/>
    <cellStyle name="Note 7 2 2" xfId="10207" xr:uid="{00000000-0005-0000-0000-000060240000}"/>
    <cellStyle name="Note 7 3" xfId="8067" xr:uid="{00000000-0005-0000-0000-000061240000}"/>
    <cellStyle name="Note 7 3 2" xfId="10208" xr:uid="{00000000-0005-0000-0000-000062240000}"/>
    <cellStyle name="Note 7 4" xfId="9850" xr:uid="{00000000-0005-0000-0000-000063240000}"/>
    <cellStyle name="Note 8" xfId="8068" xr:uid="{00000000-0005-0000-0000-000064240000}"/>
    <cellStyle name="Note 8 2" xfId="8069" xr:uid="{00000000-0005-0000-0000-000065240000}"/>
    <cellStyle name="Note 8 2 2" xfId="10210" xr:uid="{00000000-0005-0000-0000-000066240000}"/>
    <cellStyle name="Note 8 3" xfId="8070" xr:uid="{00000000-0005-0000-0000-000067240000}"/>
    <cellStyle name="Note 8 3 2" xfId="10211" xr:uid="{00000000-0005-0000-0000-000068240000}"/>
    <cellStyle name="Note 8 4" xfId="10209" xr:uid="{00000000-0005-0000-0000-000069240000}"/>
    <cellStyle name="Note 9" xfId="8071" xr:uid="{00000000-0005-0000-0000-00006A240000}"/>
    <cellStyle name="Note 9 2" xfId="10212" xr:uid="{00000000-0005-0000-0000-00006B240000}"/>
    <cellStyle name="Output 10" xfId="9734" xr:uid="{00000000-0005-0000-0000-00006C240000}"/>
    <cellStyle name="Output 11" xfId="54" xr:uid="{00000000-0005-0000-0000-00006D240000}"/>
    <cellStyle name="Output 2" xfId="8072" xr:uid="{00000000-0005-0000-0000-00006E240000}"/>
    <cellStyle name="Output 2 2" xfId="8073" xr:uid="{00000000-0005-0000-0000-00006F240000}"/>
    <cellStyle name="Output 2 2 2" xfId="8074" xr:uid="{00000000-0005-0000-0000-000070240000}"/>
    <cellStyle name="Output 2 3" xfId="8075" xr:uid="{00000000-0005-0000-0000-000071240000}"/>
    <cellStyle name="Output 2 3 2" xfId="8076" xr:uid="{00000000-0005-0000-0000-000072240000}"/>
    <cellStyle name="Output 2 4" xfId="8077" xr:uid="{00000000-0005-0000-0000-000073240000}"/>
    <cellStyle name="Output 2_BOT Summary" xfId="10547" xr:uid="{00000000-0005-0000-0000-000074240000}"/>
    <cellStyle name="Output 3" xfId="8078" xr:uid="{00000000-0005-0000-0000-000075240000}"/>
    <cellStyle name="Output 3 2" xfId="8079" xr:uid="{00000000-0005-0000-0000-000076240000}"/>
    <cellStyle name="Output 3 3" xfId="8080" xr:uid="{00000000-0005-0000-0000-000077240000}"/>
    <cellStyle name="Output 3_Cap Forecast" xfId="8081" xr:uid="{00000000-0005-0000-0000-000078240000}"/>
    <cellStyle name="Output 4" xfId="8082" xr:uid="{00000000-0005-0000-0000-000079240000}"/>
    <cellStyle name="Output 4 2" xfId="8083" xr:uid="{00000000-0005-0000-0000-00007A240000}"/>
    <cellStyle name="Output 4 3" xfId="8084" xr:uid="{00000000-0005-0000-0000-00007B240000}"/>
    <cellStyle name="Output 5" xfId="8085" xr:uid="{00000000-0005-0000-0000-00007C240000}"/>
    <cellStyle name="Output 6" xfId="8086" xr:uid="{00000000-0005-0000-0000-00007D240000}"/>
    <cellStyle name="Output 7" xfId="8087" xr:uid="{00000000-0005-0000-0000-00007E240000}"/>
    <cellStyle name="Output 8" xfId="8088" xr:uid="{00000000-0005-0000-0000-00007F240000}"/>
    <cellStyle name="Output 9" xfId="8089" xr:uid="{00000000-0005-0000-0000-000080240000}"/>
    <cellStyle name="Percent" xfId="11" builtinId="5"/>
    <cellStyle name="Percent [2]" xfId="8090" xr:uid="{00000000-0005-0000-0000-000082240000}"/>
    <cellStyle name="Percent [2] 2" xfId="8091" xr:uid="{00000000-0005-0000-0000-000083240000}"/>
    <cellStyle name="Percent [2] 2 2" xfId="8092" xr:uid="{00000000-0005-0000-0000-000084240000}"/>
    <cellStyle name="Percent [2] 2 2 2" xfId="10213" xr:uid="{00000000-0005-0000-0000-000085240000}"/>
    <cellStyle name="Percent [2] 2 3" xfId="9843" xr:uid="{00000000-0005-0000-0000-000086240000}"/>
    <cellStyle name="Percent [2] 3" xfId="8093" xr:uid="{00000000-0005-0000-0000-000087240000}"/>
    <cellStyle name="Percent [2] 3 2" xfId="10214" xr:uid="{00000000-0005-0000-0000-000088240000}"/>
    <cellStyle name="Percent [2] 4" xfId="9736" xr:uid="{00000000-0005-0000-0000-000089240000}"/>
    <cellStyle name="Percent 10" xfId="8094" xr:uid="{00000000-0005-0000-0000-00008A240000}"/>
    <cellStyle name="Percent 10 2" xfId="8095" xr:uid="{00000000-0005-0000-0000-00008B240000}"/>
    <cellStyle name="Percent 10 2 2" xfId="10215" xr:uid="{00000000-0005-0000-0000-00008C240000}"/>
    <cellStyle name="Percent 10 3" xfId="9851" xr:uid="{00000000-0005-0000-0000-00008D240000}"/>
    <cellStyle name="Percent 11" xfId="8096" xr:uid="{00000000-0005-0000-0000-00008E240000}"/>
    <cellStyle name="Percent 11 2" xfId="8097" xr:uid="{00000000-0005-0000-0000-00008F240000}"/>
    <cellStyle name="Percent 11 2 2" xfId="10216" xr:uid="{00000000-0005-0000-0000-000090240000}"/>
    <cellStyle name="Percent 11 3" xfId="9852" xr:uid="{00000000-0005-0000-0000-000091240000}"/>
    <cellStyle name="Percent 12" xfId="8098" xr:uid="{00000000-0005-0000-0000-000092240000}"/>
    <cellStyle name="Percent 12 2" xfId="8099" xr:uid="{00000000-0005-0000-0000-000093240000}"/>
    <cellStyle name="Percent 12 2 2" xfId="10217" xr:uid="{00000000-0005-0000-0000-000094240000}"/>
    <cellStyle name="Percent 12 3" xfId="9853" xr:uid="{00000000-0005-0000-0000-000095240000}"/>
    <cellStyle name="Percent 13" xfId="8100" xr:uid="{00000000-0005-0000-0000-000096240000}"/>
    <cellStyle name="Percent 13 2" xfId="8101" xr:uid="{00000000-0005-0000-0000-000097240000}"/>
    <cellStyle name="Percent 13 2 2" xfId="10218" xr:uid="{00000000-0005-0000-0000-000098240000}"/>
    <cellStyle name="Percent 13 3" xfId="9854" xr:uid="{00000000-0005-0000-0000-000099240000}"/>
    <cellStyle name="Percent 14" xfId="8102" xr:uid="{00000000-0005-0000-0000-00009A240000}"/>
    <cellStyle name="Percent 14 2" xfId="8103" xr:uid="{00000000-0005-0000-0000-00009B240000}"/>
    <cellStyle name="Percent 14 2 2" xfId="10220" xr:uid="{00000000-0005-0000-0000-00009C240000}"/>
    <cellStyle name="Percent 14 3" xfId="10219" xr:uid="{00000000-0005-0000-0000-00009D240000}"/>
    <cellStyle name="Percent 15" xfId="8104" xr:uid="{00000000-0005-0000-0000-00009E240000}"/>
    <cellStyle name="Percent 15 2" xfId="8105" xr:uid="{00000000-0005-0000-0000-00009F240000}"/>
    <cellStyle name="Percent 15 2 2" xfId="10222" xr:uid="{00000000-0005-0000-0000-0000A0240000}"/>
    <cellStyle name="Percent 15 3" xfId="10221" xr:uid="{00000000-0005-0000-0000-0000A1240000}"/>
    <cellStyle name="Percent 16" xfId="8106" xr:uid="{00000000-0005-0000-0000-0000A2240000}"/>
    <cellStyle name="Percent 16 2" xfId="8107" xr:uid="{00000000-0005-0000-0000-0000A3240000}"/>
    <cellStyle name="Percent 16 2 2" xfId="10224" xr:uid="{00000000-0005-0000-0000-0000A4240000}"/>
    <cellStyle name="Percent 16 3" xfId="10223" xr:uid="{00000000-0005-0000-0000-0000A5240000}"/>
    <cellStyle name="Percent 17" xfId="8108" xr:uid="{00000000-0005-0000-0000-0000A6240000}"/>
    <cellStyle name="Percent 17 2" xfId="8109" xr:uid="{00000000-0005-0000-0000-0000A7240000}"/>
    <cellStyle name="Percent 17 2 2" xfId="10226" xr:uid="{00000000-0005-0000-0000-0000A8240000}"/>
    <cellStyle name="Percent 17 3" xfId="10225" xr:uid="{00000000-0005-0000-0000-0000A9240000}"/>
    <cellStyle name="Percent 18" xfId="8110" xr:uid="{00000000-0005-0000-0000-0000AA240000}"/>
    <cellStyle name="Percent 18 2" xfId="8111" xr:uid="{00000000-0005-0000-0000-0000AB240000}"/>
    <cellStyle name="Percent 18 2 2" xfId="10228" xr:uid="{00000000-0005-0000-0000-0000AC240000}"/>
    <cellStyle name="Percent 18 3" xfId="10227" xr:uid="{00000000-0005-0000-0000-0000AD240000}"/>
    <cellStyle name="Percent 19" xfId="8112" xr:uid="{00000000-0005-0000-0000-0000AE240000}"/>
    <cellStyle name="Percent 19 2" xfId="8113" xr:uid="{00000000-0005-0000-0000-0000AF240000}"/>
    <cellStyle name="Percent 19 2 2" xfId="10230" xr:uid="{00000000-0005-0000-0000-0000B0240000}"/>
    <cellStyle name="Percent 19 3" xfId="10229" xr:uid="{00000000-0005-0000-0000-0000B1240000}"/>
    <cellStyle name="Percent 2" xfId="8114" xr:uid="{00000000-0005-0000-0000-0000B2240000}"/>
    <cellStyle name="Percent 2 2" xfId="8115" xr:uid="{00000000-0005-0000-0000-0000B3240000}"/>
    <cellStyle name="Percent 2 2 2" xfId="8116" xr:uid="{00000000-0005-0000-0000-0000B4240000}"/>
    <cellStyle name="Percent 2 2 2 2" xfId="10231" xr:uid="{00000000-0005-0000-0000-0000B5240000}"/>
    <cellStyle name="Percent 2 2 3" xfId="8117" xr:uid="{00000000-0005-0000-0000-0000B6240000}"/>
    <cellStyle name="Percent 2 2 3 2" xfId="10232" xr:uid="{00000000-0005-0000-0000-0000B7240000}"/>
    <cellStyle name="Percent 2 3" xfId="8118" xr:uid="{00000000-0005-0000-0000-0000B8240000}"/>
    <cellStyle name="Percent 2 3 2" xfId="8119" xr:uid="{00000000-0005-0000-0000-0000B9240000}"/>
    <cellStyle name="Percent 2 3 2 2" xfId="10234" xr:uid="{00000000-0005-0000-0000-0000BA240000}"/>
    <cellStyle name="Percent 2 3 3" xfId="8120" xr:uid="{00000000-0005-0000-0000-0000BB240000}"/>
    <cellStyle name="Percent 2 3 3 2" xfId="8121" xr:uid="{00000000-0005-0000-0000-0000BC240000}"/>
    <cellStyle name="Percent 2 3 3 2 2" xfId="8122" xr:uid="{00000000-0005-0000-0000-0000BD240000}"/>
    <cellStyle name="Percent 2 3 3 3" xfId="8123" xr:uid="{00000000-0005-0000-0000-0000BE240000}"/>
    <cellStyle name="Percent 2 3 4" xfId="10233" xr:uid="{00000000-0005-0000-0000-0000BF240000}"/>
    <cellStyle name="Percent 2 4" xfId="8124" xr:uid="{00000000-0005-0000-0000-0000C0240000}"/>
    <cellStyle name="Percent 2 4 2" xfId="10235" xr:uid="{00000000-0005-0000-0000-0000C1240000}"/>
    <cellStyle name="Percent 20" xfId="8125" xr:uid="{00000000-0005-0000-0000-0000C2240000}"/>
    <cellStyle name="Percent 20 2" xfId="8126" xr:uid="{00000000-0005-0000-0000-0000C3240000}"/>
    <cellStyle name="Percent 20 2 2" xfId="10237" xr:uid="{00000000-0005-0000-0000-0000C4240000}"/>
    <cellStyle name="Percent 20 3" xfId="10236" xr:uid="{00000000-0005-0000-0000-0000C5240000}"/>
    <cellStyle name="Percent 21" xfId="8127" xr:uid="{00000000-0005-0000-0000-0000C6240000}"/>
    <cellStyle name="Percent 21 2" xfId="10238" xr:uid="{00000000-0005-0000-0000-0000C7240000}"/>
    <cellStyle name="Percent 22" xfId="8128" xr:uid="{00000000-0005-0000-0000-0000C8240000}"/>
    <cellStyle name="Percent 22 2" xfId="8129" xr:uid="{00000000-0005-0000-0000-0000C9240000}"/>
    <cellStyle name="Percent 22 2 2" xfId="8130" xr:uid="{00000000-0005-0000-0000-0000CA240000}"/>
    <cellStyle name="Percent 22 2 2 2" xfId="8131" xr:uid="{00000000-0005-0000-0000-0000CB240000}"/>
    <cellStyle name="Percent 22 2 2 2 2" xfId="8132" xr:uid="{00000000-0005-0000-0000-0000CC240000}"/>
    <cellStyle name="Percent 22 2 2 2 2 2" xfId="8133" xr:uid="{00000000-0005-0000-0000-0000CD240000}"/>
    <cellStyle name="Percent 22 2 2 2 3" xfId="8134" xr:uid="{00000000-0005-0000-0000-0000CE240000}"/>
    <cellStyle name="Percent 22 2 2 3" xfId="8135" xr:uid="{00000000-0005-0000-0000-0000CF240000}"/>
    <cellStyle name="Percent 22 2 2 3 2" xfId="8136" xr:uid="{00000000-0005-0000-0000-0000D0240000}"/>
    <cellStyle name="Percent 22 2 2 4" xfId="8137" xr:uid="{00000000-0005-0000-0000-0000D1240000}"/>
    <cellStyle name="Percent 22 2 3" xfId="8138" xr:uid="{00000000-0005-0000-0000-0000D2240000}"/>
    <cellStyle name="Percent 22 2 3 2" xfId="8139" xr:uid="{00000000-0005-0000-0000-0000D3240000}"/>
    <cellStyle name="Percent 22 2 3 2 2" xfId="8140" xr:uid="{00000000-0005-0000-0000-0000D4240000}"/>
    <cellStyle name="Percent 22 2 3 3" xfId="8141" xr:uid="{00000000-0005-0000-0000-0000D5240000}"/>
    <cellStyle name="Percent 22 2 4" xfId="8142" xr:uid="{00000000-0005-0000-0000-0000D6240000}"/>
    <cellStyle name="Percent 22 2 4 2" xfId="8143" xr:uid="{00000000-0005-0000-0000-0000D7240000}"/>
    <cellStyle name="Percent 22 2 4 2 2" xfId="8144" xr:uid="{00000000-0005-0000-0000-0000D8240000}"/>
    <cellStyle name="Percent 22 2 4 3" xfId="8145" xr:uid="{00000000-0005-0000-0000-0000D9240000}"/>
    <cellStyle name="Percent 22 2 5" xfId="8146" xr:uid="{00000000-0005-0000-0000-0000DA240000}"/>
    <cellStyle name="Percent 22 2 5 2" xfId="8147" xr:uid="{00000000-0005-0000-0000-0000DB240000}"/>
    <cellStyle name="Percent 22 2 6" xfId="8148" xr:uid="{00000000-0005-0000-0000-0000DC240000}"/>
    <cellStyle name="Percent 22 3" xfId="8149" xr:uid="{00000000-0005-0000-0000-0000DD240000}"/>
    <cellStyle name="Percent 22 3 2" xfId="8150" xr:uid="{00000000-0005-0000-0000-0000DE240000}"/>
    <cellStyle name="Percent 22 3 2 2" xfId="8151" xr:uid="{00000000-0005-0000-0000-0000DF240000}"/>
    <cellStyle name="Percent 22 3 2 2 2" xfId="8152" xr:uid="{00000000-0005-0000-0000-0000E0240000}"/>
    <cellStyle name="Percent 22 3 2 2 2 2" xfId="8153" xr:uid="{00000000-0005-0000-0000-0000E1240000}"/>
    <cellStyle name="Percent 22 3 2 2 3" xfId="8154" xr:uid="{00000000-0005-0000-0000-0000E2240000}"/>
    <cellStyle name="Percent 22 3 2 3" xfId="8155" xr:uid="{00000000-0005-0000-0000-0000E3240000}"/>
    <cellStyle name="Percent 22 3 2 3 2" xfId="8156" xr:uid="{00000000-0005-0000-0000-0000E4240000}"/>
    <cellStyle name="Percent 22 3 2 4" xfId="8157" xr:uid="{00000000-0005-0000-0000-0000E5240000}"/>
    <cellStyle name="Percent 22 3 3" xfId="8158" xr:uid="{00000000-0005-0000-0000-0000E6240000}"/>
    <cellStyle name="Percent 22 3 3 2" xfId="8159" xr:uid="{00000000-0005-0000-0000-0000E7240000}"/>
    <cellStyle name="Percent 22 3 3 2 2" xfId="8160" xr:uid="{00000000-0005-0000-0000-0000E8240000}"/>
    <cellStyle name="Percent 22 3 3 3" xfId="8161" xr:uid="{00000000-0005-0000-0000-0000E9240000}"/>
    <cellStyle name="Percent 22 3 4" xfId="8162" xr:uid="{00000000-0005-0000-0000-0000EA240000}"/>
    <cellStyle name="Percent 22 3 4 2" xfId="8163" xr:uid="{00000000-0005-0000-0000-0000EB240000}"/>
    <cellStyle name="Percent 22 3 4 2 2" xfId="8164" xr:uid="{00000000-0005-0000-0000-0000EC240000}"/>
    <cellStyle name="Percent 22 3 4 3" xfId="8165" xr:uid="{00000000-0005-0000-0000-0000ED240000}"/>
    <cellStyle name="Percent 22 3 5" xfId="8166" xr:uid="{00000000-0005-0000-0000-0000EE240000}"/>
    <cellStyle name="Percent 22 3 5 2" xfId="8167" xr:uid="{00000000-0005-0000-0000-0000EF240000}"/>
    <cellStyle name="Percent 22 3 6" xfId="8168" xr:uid="{00000000-0005-0000-0000-0000F0240000}"/>
    <cellStyle name="Percent 22 4" xfId="8169" xr:uid="{00000000-0005-0000-0000-0000F1240000}"/>
    <cellStyle name="Percent 22 4 2" xfId="8170" xr:uid="{00000000-0005-0000-0000-0000F2240000}"/>
    <cellStyle name="Percent 22 4 2 2" xfId="8171" xr:uid="{00000000-0005-0000-0000-0000F3240000}"/>
    <cellStyle name="Percent 22 4 2 2 2" xfId="8172" xr:uid="{00000000-0005-0000-0000-0000F4240000}"/>
    <cellStyle name="Percent 22 4 2 3" xfId="8173" xr:uid="{00000000-0005-0000-0000-0000F5240000}"/>
    <cellStyle name="Percent 22 4 3" xfId="8174" xr:uid="{00000000-0005-0000-0000-0000F6240000}"/>
    <cellStyle name="Percent 22 4 3 2" xfId="8175" xr:uid="{00000000-0005-0000-0000-0000F7240000}"/>
    <cellStyle name="Percent 22 4 4" xfId="8176" xr:uid="{00000000-0005-0000-0000-0000F8240000}"/>
    <cellStyle name="Percent 22 5" xfId="8177" xr:uid="{00000000-0005-0000-0000-0000F9240000}"/>
    <cellStyle name="Percent 22 5 2" xfId="8178" xr:uid="{00000000-0005-0000-0000-0000FA240000}"/>
    <cellStyle name="Percent 22 5 2 2" xfId="8179" xr:uid="{00000000-0005-0000-0000-0000FB240000}"/>
    <cellStyle name="Percent 22 5 3" xfId="8180" xr:uid="{00000000-0005-0000-0000-0000FC240000}"/>
    <cellStyle name="Percent 22 6" xfId="8181" xr:uid="{00000000-0005-0000-0000-0000FD240000}"/>
    <cellStyle name="Percent 22 6 2" xfId="8182" xr:uid="{00000000-0005-0000-0000-0000FE240000}"/>
    <cellStyle name="Percent 22 6 2 2" xfId="8183" xr:uid="{00000000-0005-0000-0000-0000FF240000}"/>
    <cellStyle name="Percent 22 6 3" xfId="8184" xr:uid="{00000000-0005-0000-0000-000000250000}"/>
    <cellStyle name="Percent 22 7" xfId="8185" xr:uid="{00000000-0005-0000-0000-000001250000}"/>
    <cellStyle name="Percent 22 7 2" xfId="8186" xr:uid="{00000000-0005-0000-0000-000002250000}"/>
    <cellStyle name="Percent 22 8" xfId="8187" xr:uid="{00000000-0005-0000-0000-000003250000}"/>
    <cellStyle name="Percent 22 9" xfId="8188" xr:uid="{00000000-0005-0000-0000-000004250000}"/>
    <cellStyle name="Percent 23" xfId="8189" xr:uid="{00000000-0005-0000-0000-000005250000}"/>
    <cellStyle name="Percent 23 2" xfId="10239" xr:uid="{00000000-0005-0000-0000-000006250000}"/>
    <cellStyle name="Percent 24" xfId="8190" xr:uid="{00000000-0005-0000-0000-000007250000}"/>
    <cellStyle name="Percent 24 2" xfId="10240" xr:uid="{00000000-0005-0000-0000-000008250000}"/>
    <cellStyle name="Percent 25" xfId="8191" xr:uid="{00000000-0005-0000-0000-000009250000}"/>
    <cellStyle name="Percent 25 2" xfId="8192" xr:uid="{00000000-0005-0000-0000-00000A250000}"/>
    <cellStyle name="Percent 25 2 2" xfId="8193" xr:uid="{00000000-0005-0000-0000-00000B250000}"/>
    <cellStyle name="Percent 25 3" xfId="8194" xr:uid="{00000000-0005-0000-0000-00000C250000}"/>
    <cellStyle name="Percent 26" xfId="8195" xr:uid="{00000000-0005-0000-0000-00000D250000}"/>
    <cellStyle name="Percent 26 2" xfId="8196" xr:uid="{00000000-0005-0000-0000-00000E250000}"/>
    <cellStyle name="Percent 26 2 2" xfId="8197" xr:uid="{00000000-0005-0000-0000-00000F250000}"/>
    <cellStyle name="Percent 26 3" xfId="8198" xr:uid="{00000000-0005-0000-0000-000010250000}"/>
    <cellStyle name="Percent 27" xfId="8199" xr:uid="{00000000-0005-0000-0000-000011250000}"/>
    <cellStyle name="Percent 27 2" xfId="8200" xr:uid="{00000000-0005-0000-0000-000012250000}"/>
    <cellStyle name="Percent 27 2 2" xfId="8201" xr:uid="{00000000-0005-0000-0000-000013250000}"/>
    <cellStyle name="Percent 27 3" xfId="8202" xr:uid="{00000000-0005-0000-0000-000014250000}"/>
    <cellStyle name="Percent 28" xfId="8203" xr:uid="{00000000-0005-0000-0000-000015250000}"/>
    <cellStyle name="Percent 28 2" xfId="10241" xr:uid="{00000000-0005-0000-0000-000016250000}"/>
    <cellStyle name="Percent 29" xfId="8204" xr:uid="{00000000-0005-0000-0000-000017250000}"/>
    <cellStyle name="Percent 29 2" xfId="10242" xr:uid="{00000000-0005-0000-0000-000018250000}"/>
    <cellStyle name="Percent 3" xfId="8205" xr:uid="{00000000-0005-0000-0000-000019250000}"/>
    <cellStyle name="Percent 3 10" xfId="8206" xr:uid="{00000000-0005-0000-0000-00001A250000}"/>
    <cellStyle name="Percent 3 10 2" xfId="8207" xr:uid="{00000000-0005-0000-0000-00001B250000}"/>
    <cellStyle name="Percent 3 10 2 2" xfId="8208" xr:uid="{00000000-0005-0000-0000-00001C250000}"/>
    <cellStyle name="Percent 3 10 3" xfId="8209" xr:uid="{00000000-0005-0000-0000-00001D250000}"/>
    <cellStyle name="Percent 3 11" xfId="8210" xr:uid="{00000000-0005-0000-0000-00001E250000}"/>
    <cellStyle name="Percent 3 11 2" xfId="8211" xr:uid="{00000000-0005-0000-0000-00001F250000}"/>
    <cellStyle name="Percent 3 12" xfId="8212" xr:uid="{00000000-0005-0000-0000-000020250000}"/>
    <cellStyle name="Percent 3 13" xfId="8213" xr:uid="{00000000-0005-0000-0000-000021250000}"/>
    <cellStyle name="Percent 3 2" xfId="8214" xr:uid="{00000000-0005-0000-0000-000022250000}"/>
    <cellStyle name="Percent 3 2 2" xfId="8215" xr:uid="{00000000-0005-0000-0000-000023250000}"/>
    <cellStyle name="Percent 3 2 2 2" xfId="10244" xr:uid="{00000000-0005-0000-0000-000024250000}"/>
    <cellStyle name="Percent 3 2 3" xfId="8216" xr:uid="{00000000-0005-0000-0000-000025250000}"/>
    <cellStyle name="Percent 3 2 4" xfId="10243" xr:uid="{00000000-0005-0000-0000-000026250000}"/>
    <cellStyle name="Percent 3 3" xfId="8217" xr:uid="{00000000-0005-0000-0000-000027250000}"/>
    <cellStyle name="Percent 3 3 2" xfId="10245" xr:uid="{00000000-0005-0000-0000-000028250000}"/>
    <cellStyle name="Percent 3 4" xfId="8218" xr:uid="{00000000-0005-0000-0000-000029250000}"/>
    <cellStyle name="Percent 3 4 2" xfId="10246" xr:uid="{00000000-0005-0000-0000-00002A250000}"/>
    <cellStyle name="Percent 3 5" xfId="8219" xr:uid="{00000000-0005-0000-0000-00002B250000}"/>
    <cellStyle name="Percent 3 5 2" xfId="8220" xr:uid="{00000000-0005-0000-0000-00002C250000}"/>
    <cellStyle name="Percent 3 5 2 2" xfId="8221" xr:uid="{00000000-0005-0000-0000-00002D250000}"/>
    <cellStyle name="Percent 3 5 2 2 2" xfId="8222" xr:uid="{00000000-0005-0000-0000-00002E250000}"/>
    <cellStyle name="Percent 3 5 2 2 2 2" xfId="8223" xr:uid="{00000000-0005-0000-0000-00002F250000}"/>
    <cellStyle name="Percent 3 5 2 2 3" xfId="8224" xr:uid="{00000000-0005-0000-0000-000030250000}"/>
    <cellStyle name="Percent 3 5 2 3" xfId="8225" xr:uid="{00000000-0005-0000-0000-000031250000}"/>
    <cellStyle name="Percent 3 5 2 3 2" xfId="8226" xr:uid="{00000000-0005-0000-0000-000032250000}"/>
    <cellStyle name="Percent 3 5 2 4" xfId="8227" xr:uid="{00000000-0005-0000-0000-000033250000}"/>
    <cellStyle name="Percent 3 5 3" xfId="8228" xr:uid="{00000000-0005-0000-0000-000034250000}"/>
    <cellStyle name="Percent 3 5 3 2" xfId="8229" xr:uid="{00000000-0005-0000-0000-000035250000}"/>
    <cellStyle name="Percent 3 5 3 2 2" xfId="8230" xr:uid="{00000000-0005-0000-0000-000036250000}"/>
    <cellStyle name="Percent 3 5 3 3" xfId="8231" xr:uid="{00000000-0005-0000-0000-000037250000}"/>
    <cellStyle name="Percent 3 5 4" xfId="8232" xr:uid="{00000000-0005-0000-0000-000038250000}"/>
    <cellStyle name="Percent 3 5 4 2" xfId="8233" xr:uid="{00000000-0005-0000-0000-000039250000}"/>
    <cellStyle name="Percent 3 5 4 2 2" xfId="8234" xr:uid="{00000000-0005-0000-0000-00003A250000}"/>
    <cellStyle name="Percent 3 5 4 3" xfId="8235" xr:uid="{00000000-0005-0000-0000-00003B250000}"/>
    <cellStyle name="Percent 3 5 5" xfId="8236" xr:uid="{00000000-0005-0000-0000-00003C250000}"/>
    <cellStyle name="Percent 3 5 5 2" xfId="8237" xr:uid="{00000000-0005-0000-0000-00003D250000}"/>
    <cellStyle name="Percent 3 5 6" xfId="8238" xr:uid="{00000000-0005-0000-0000-00003E250000}"/>
    <cellStyle name="Percent 3 6" xfId="8239" xr:uid="{00000000-0005-0000-0000-00003F250000}"/>
    <cellStyle name="Percent 3 6 2" xfId="8240" xr:uid="{00000000-0005-0000-0000-000040250000}"/>
    <cellStyle name="Percent 3 6 2 2" xfId="8241" xr:uid="{00000000-0005-0000-0000-000041250000}"/>
    <cellStyle name="Percent 3 6 2 2 2" xfId="8242" xr:uid="{00000000-0005-0000-0000-000042250000}"/>
    <cellStyle name="Percent 3 6 2 2 2 2" xfId="8243" xr:uid="{00000000-0005-0000-0000-000043250000}"/>
    <cellStyle name="Percent 3 6 2 2 3" xfId="8244" xr:uid="{00000000-0005-0000-0000-000044250000}"/>
    <cellStyle name="Percent 3 6 2 3" xfId="8245" xr:uid="{00000000-0005-0000-0000-000045250000}"/>
    <cellStyle name="Percent 3 6 2 3 2" xfId="8246" xr:uid="{00000000-0005-0000-0000-000046250000}"/>
    <cellStyle name="Percent 3 6 2 4" xfId="8247" xr:uid="{00000000-0005-0000-0000-000047250000}"/>
    <cellStyle name="Percent 3 6 3" xfId="8248" xr:uid="{00000000-0005-0000-0000-000048250000}"/>
    <cellStyle name="Percent 3 6 3 2" xfId="8249" xr:uid="{00000000-0005-0000-0000-000049250000}"/>
    <cellStyle name="Percent 3 6 3 2 2" xfId="8250" xr:uid="{00000000-0005-0000-0000-00004A250000}"/>
    <cellStyle name="Percent 3 6 3 2 2 2" xfId="8251" xr:uid="{00000000-0005-0000-0000-00004B250000}"/>
    <cellStyle name="Percent 3 6 3 2 2 2 2" xfId="10249" xr:uid="{00000000-0005-0000-0000-00004C250000}"/>
    <cellStyle name="Percent 3 6 3 2 2 3" xfId="10248" xr:uid="{00000000-0005-0000-0000-00004D250000}"/>
    <cellStyle name="Percent 3 6 3 2 3" xfId="8252" xr:uid="{00000000-0005-0000-0000-00004E250000}"/>
    <cellStyle name="Percent 3 6 3 2 3 2" xfId="10250" xr:uid="{00000000-0005-0000-0000-00004F250000}"/>
    <cellStyle name="Percent 3 6 3 2 4" xfId="10247" xr:uid="{00000000-0005-0000-0000-000050250000}"/>
    <cellStyle name="Percent 3 6 3 3" xfId="8253" xr:uid="{00000000-0005-0000-0000-000051250000}"/>
    <cellStyle name="Percent 3 6 3 3 2" xfId="8254" xr:uid="{00000000-0005-0000-0000-000052250000}"/>
    <cellStyle name="Percent 3 6 3 4" xfId="8255" xr:uid="{00000000-0005-0000-0000-000053250000}"/>
    <cellStyle name="Percent 3 6 4" xfId="8256" xr:uid="{00000000-0005-0000-0000-000054250000}"/>
    <cellStyle name="Percent 3 6 4 2" xfId="8257" xr:uid="{00000000-0005-0000-0000-000055250000}"/>
    <cellStyle name="Percent 3 6 4 2 2" xfId="8258" xr:uid="{00000000-0005-0000-0000-000056250000}"/>
    <cellStyle name="Percent 3 6 4 3" xfId="8259" xr:uid="{00000000-0005-0000-0000-000057250000}"/>
    <cellStyle name="Percent 3 6 5" xfId="8260" xr:uid="{00000000-0005-0000-0000-000058250000}"/>
    <cellStyle name="Percent 3 6 5 2" xfId="8261" xr:uid="{00000000-0005-0000-0000-000059250000}"/>
    <cellStyle name="Percent 3 6 6" xfId="8262" xr:uid="{00000000-0005-0000-0000-00005A250000}"/>
    <cellStyle name="Percent 3 7" xfId="8263" xr:uid="{00000000-0005-0000-0000-00005B250000}"/>
    <cellStyle name="Percent 3 7 2" xfId="8264" xr:uid="{00000000-0005-0000-0000-00005C250000}"/>
    <cellStyle name="Percent 3 7 2 2" xfId="8265" xr:uid="{00000000-0005-0000-0000-00005D250000}"/>
    <cellStyle name="Percent 3 7 2 2 2" xfId="8266" xr:uid="{00000000-0005-0000-0000-00005E250000}"/>
    <cellStyle name="Percent 3 7 2 2 2 2" xfId="8267" xr:uid="{00000000-0005-0000-0000-00005F250000}"/>
    <cellStyle name="Percent 3 7 2 2 3" xfId="8268" xr:uid="{00000000-0005-0000-0000-000060250000}"/>
    <cellStyle name="Percent 3 7 2 3" xfId="8269" xr:uid="{00000000-0005-0000-0000-000061250000}"/>
    <cellStyle name="Percent 3 7 2 3 2" xfId="8270" xr:uid="{00000000-0005-0000-0000-000062250000}"/>
    <cellStyle name="Percent 3 7 2 4" xfId="8271" xr:uid="{00000000-0005-0000-0000-000063250000}"/>
    <cellStyle name="Percent 3 7 3" xfId="8272" xr:uid="{00000000-0005-0000-0000-000064250000}"/>
    <cellStyle name="Percent 3 7 3 2" xfId="8273" xr:uid="{00000000-0005-0000-0000-000065250000}"/>
    <cellStyle name="Percent 3 7 3 3" xfId="8274" xr:uid="{00000000-0005-0000-0000-000066250000}"/>
    <cellStyle name="Percent 3 7 3 3 2" xfId="8275" xr:uid="{00000000-0005-0000-0000-000067250000}"/>
    <cellStyle name="Percent 3 7 3 4" xfId="8276" xr:uid="{00000000-0005-0000-0000-000068250000}"/>
    <cellStyle name="Percent 3 7 4" xfId="8277" xr:uid="{00000000-0005-0000-0000-000069250000}"/>
    <cellStyle name="Percent 3 7 4 2" xfId="8278" xr:uid="{00000000-0005-0000-0000-00006A250000}"/>
    <cellStyle name="Percent 3 7 4 2 2" xfId="8279" xr:uid="{00000000-0005-0000-0000-00006B250000}"/>
    <cellStyle name="Percent 3 7 4 3" xfId="8280" xr:uid="{00000000-0005-0000-0000-00006C250000}"/>
    <cellStyle name="Percent 3 7 5" xfId="8281" xr:uid="{00000000-0005-0000-0000-00006D250000}"/>
    <cellStyle name="Percent 3 7 5 2" xfId="8282" xr:uid="{00000000-0005-0000-0000-00006E250000}"/>
    <cellStyle name="Percent 3 7 6" xfId="8283" xr:uid="{00000000-0005-0000-0000-00006F250000}"/>
    <cellStyle name="Percent 3 8" xfId="8284" xr:uid="{00000000-0005-0000-0000-000070250000}"/>
    <cellStyle name="Percent 3 8 2" xfId="8285" xr:uid="{00000000-0005-0000-0000-000071250000}"/>
    <cellStyle name="Percent 3 8 2 2" xfId="8286" xr:uid="{00000000-0005-0000-0000-000072250000}"/>
    <cellStyle name="Percent 3 8 2 2 2" xfId="8287" xr:uid="{00000000-0005-0000-0000-000073250000}"/>
    <cellStyle name="Percent 3 8 2 2 2 2" xfId="10253" xr:uid="{00000000-0005-0000-0000-000074250000}"/>
    <cellStyle name="Percent 3 8 2 2 3" xfId="10252" xr:uid="{00000000-0005-0000-0000-000075250000}"/>
    <cellStyle name="Percent 3 8 2 3" xfId="8288" xr:uid="{00000000-0005-0000-0000-000076250000}"/>
    <cellStyle name="Percent 3 8 2 3 2" xfId="10254" xr:uid="{00000000-0005-0000-0000-000077250000}"/>
    <cellStyle name="Percent 3 8 2 4" xfId="10251" xr:uid="{00000000-0005-0000-0000-000078250000}"/>
    <cellStyle name="Percent 3 8 3" xfId="8289" xr:uid="{00000000-0005-0000-0000-000079250000}"/>
    <cellStyle name="Percent 3 8 3 2" xfId="8290" xr:uid="{00000000-0005-0000-0000-00007A250000}"/>
    <cellStyle name="Percent 3 8 4" xfId="8291" xr:uid="{00000000-0005-0000-0000-00007B250000}"/>
    <cellStyle name="Percent 3 9" xfId="8292" xr:uid="{00000000-0005-0000-0000-00007C250000}"/>
    <cellStyle name="Percent 3 9 2" xfId="8293" xr:uid="{00000000-0005-0000-0000-00007D250000}"/>
    <cellStyle name="Percent 3 9 2 2" xfId="8294" xr:uid="{00000000-0005-0000-0000-00007E250000}"/>
    <cellStyle name="Percent 3 9 3" xfId="8295" xr:uid="{00000000-0005-0000-0000-00007F250000}"/>
    <cellStyle name="Percent 30" xfId="8296" xr:uid="{00000000-0005-0000-0000-000080250000}"/>
    <cellStyle name="Percent 31" xfId="8297" xr:uid="{00000000-0005-0000-0000-000081250000}"/>
    <cellStyle name="Percent 31 2" xfId="10255" xr:uid="{00000000-0005-0000-0000-000082250000}"/>
    <cellStyle name="Percent 32" xfId="8298" xr:uid="{00000000-0005-0000-0000-000083250000}"/>
    <cellStyle name="Percent 32 2" xfId="10256" xr:uid="{00000000-0005-0000-0000-000084250000}"/>
    <cellStyle name="Percent 33" xfId="8299" xr:uid="{00000000-0005-0000-0000-000085250000}"/>
    <cellStyle name="Percent 34" xfId="8300" xr:uid="{00000000-0005-0000-0000-000086250000}"/>
    <cellStyle name="Percent 34 2" xfId="8301" xr:uid="{00000000-0005-0000-0000-000087250000}"/>
    <cellStyle name="Percent 34 2 2" xfId="8302" xr:uid="{00000000-0005-0000-0000-000088250000}"/>
    <cellStyle name="Percent 34 3" xfId="8303" xr:uid="{00000000-0005-0000-0000-000089250000}"/>
    <cellStyle name="Percent 35" xfId="8304" xr:uid="{00000000-0005-0000-0000-00008A250000}"/>
    <cellStyle name="Percent 35 2" xfId="8305" xr:uid="{00000000-0005-0000-0000-00008B250000}"/>
    <cellStyle name="Percent 35 2 2" xfId="8306" xr:uid="{00000000-0005-0000-0000-00008C250000}"/>
    <cellStyle name="Percent 35 3" xfId="8307" xr:uid="{00000000-0005-0000-0000-00008D250000}"/>
    <cellStyle name="Percent 36" xfId="9602" xr:uid="{00000000-0005-0000-0000-00008E250000}"/>
    <cellStyle name="Percent 37" xfId="9680" xr:uid="{00000000-0005-0000-0000-00008F250000}"/>
    <cellStyle name="Percent 38" xfId="9735" xr:uid="{00000000-0005-0000-0000-000090250000}"/>
    <cellStyle name="Percent 39" xfId="11012" xr:uid="{00000000-0005-0000-0000-000091250000}"/>
    <cellStyle name="Percent 4" xfId="8308" xr:uid="{00000000-0005-0000-0000-000092250000}"/>
    <cellStyle name="Percent 4 2" xfId="8309" xr:uid="{00000000-0005-0000-0000-000093250000}"/>
    <cellStyle name="Percent 4 2 2" xfId="10257" xr:uid="{00000000-0005-0000-0000-000094250000}"/>
    <cellStyle name="Percent 4 3" xfId="9764" xr:uid="{00000000-0005-0000-0000-000095250000}"/>
    <cellStyle name="Percent 40" xfId="11185" xr:uid="{00000000-0005-0000-0000-000096250000}"/>
    <cellStyle name="Percent 41" xfId="11180" xr:uid="{00000000-0005-0000-0000-000097250000}"/>
    <cellStyle name="Percent 42" xfId="11186" xr:uid="{00000000-0005-0000-0000-000098250000}"/>
    <cellStyle name="Percent 43" xfId="11187" xr:uid="{00000000-0005-0000-0000-000099250000}"/>
    <cellStyle name="Percent 44" xfId="11179" xr:uid="{00000000-0005-0000-0000-00009A250000}"/>
    <cellStyle name="Percent 45" xfId="11194" xr:uid="{00000000-0005-0000-0000-00009B250000}"/>
    <cellStyle name="Percent 46" xfId="11189" xr:uid="{00000000-0005-0000-0000-00009C250000}"/>
    <cellStyle name="Percent 47" xfId="11195" xr:uid="{00000000-0005-0000-0000-00009D250000}"/>
    <cellStyle name="Percent 48" xfId="11196" xr:uid="{00000000-0005-0000-0000-00009E250000}"/>
    <cellStyle name="Percent 49" xfId="11188" xr:uid="{00000000-0005-0000-0000-00009F250000}"/>
    <cellStyle name="Percent 5" xfId="8310" xr:uid="{00000000-0005-0000-0000-0000A0250000}"/>
    <cellStyle name="Percent 5 10" xfId="8311" xr:uid="{00000000-0005-0000-0000-0000A1250000}"/>
    <cellStyle name="Percent 5 10 2" xfId="8312" xr:uid="{00000000-0005-0000-0000-0000A2250000}"/>
    <cellStyle name="Percent 5 10 2 2" xfId="8313" xr:uid="{00000000-0005-0000-0000-0000A3250000}"/>
    <cellStyle name="Percent 5 10 3" xfId="8314" xr:uid="{00000000-0005-0000-0000-0000A4250000}"/>
    <cellStyle name="Percent 5 11" xfId="8315" xr:uid="{00000000-0005-0000-0000-0000A5250000}"/>
    <cellStyle name="Percent 5 11 2" xfId="8316" xr:uid="{00000000-0005-0000-0000-0000A6250000}"/>
    <cellStyle name="Percent 5 12" xfId="8317" xr:uid="{00000000-0005-0000-0000-0000A7250000}"/>
    <cellStyle name="Percent 5 13" xfId="8318" xr:uid="{00000000-0005-0000-0000-0000A8250000}"/>
    <cellStyle name="Percent 5 2" xfId="8319" xr:uid="{00000000-0005-0000-0000-0000A9250000}"/>
    <cellStyle name="Percent 5 2 10" xfId="8320" xr:uid="{00000000-0005-0000-0000-0000AA250000}"/>
    <cellStyle name="Percent 5 2 11" xfId="8321" xr:uid="{00000000-0005-0000-0000-0000AB250000}"/>
    <cellStyle name="Percent 5 2 2" xfId="8322" xr:uid="{00000000-0005-0000-0000-0000AC250000}"/>
    <cellStyle name="Percent 5 2 2 10" xfId="8323" xr:uid="{00000000-0005-0000-0000-0000AD250000}"/>
    <cellStyle name="Percent 5 2 2 2" xfId="8324" xr:uid="{00000000-0005-0000-0000-0000AE250000}"/>
    <cellStyle name="Percent 5 2 2 2 2" xfId="8325" xr:uid="{00000000-0005-0000-0000-0000AF250000}"/>
    <cellStyle name="Percent 5 2 2 2 2 2" xfId="8326" xr:uid="{00000000-0005-0000-0000-0000B0250000}"/>
    <cellStyle name="Percent 5 2 2 2 2 2 2" xfId="8327" xr:uid="{00000000-0005-0000-0000-0000B1250000}"/>
    <cellStyle name="Percent 5 2 2 2 2 2 2 2" xfId="8328" xr:uid="{00000000-0005-0000-0000-0000B2250000}"/>
    <cellStyle name="Percent 5 2 2 2 2 2 3" xfId="8329" xr:uid="{00000000-0005-0000-0000-0000B3250000}"/>
    <cellStyle name="Percent 5 2 2 2 2 3" xfId="8330" xr:uid="{00000000-0005-0000-0000-0000B4250000}"/>
    <cellStyle name="Percent 5 2 2 2 2 3 2" xfId="8331" xr:uid="{00000000-0005-0000-0000-0000B5250000}"/>
    <cellStyle name="Percent 5 2 2 2 2 4" xfId="8332" xr:uid="{00000000-0005-0000-0000-0000B6250000}"/>
    <cellStyle name="Percent 5 2 2 2 3" xfId="8333" xr:uid="{00000000-0005-0000-0000-0000B7250000}"/>
    <cellStyle name="Percent 5 2 2 2 3 2" xfId="8334" xr:uid="{00000000-0005-0000-0000-0000B8250000}"/>
    <cellStyle name="Percent 5 2 2 2 3 3" xfId="8335" xr:uid="{00000000-0005-0000-0000-0000B9250000}"/>
    <cellStyle name="Percent 5 2 2 2 3 3 2" xfId="8336" xr:uid="{00000000-0005-0000-0000-0000BA250000}"/>
    <cellStyle name="Percent 5 2 2 2 3 4" xfId="8337" xr:uid="{00000000-0005-0000-0000-0000BB250000}"/>
    <cellStyle name="Percent 5 2 2 2 4" xfId="8338" xr:uid="{00000000-0005-0000-0000-0000BC250000}"/>
    <cellStyle name="Percent 5 2 2 2 4 2" xfId="8339" xr:uid="{00000000-0005-0000-0000-0000BD250000}"/>
    <cellStyle name="Percent 5 2 2 2 4 2 2" xfId="8340" xr:uid="{00000000-0005-0000-0000-0000BE250000}"/>
    <cellStyle name="Percent 5 2 2 2 4 3" xfId="8341" xr:uid="{00000000-0005-0000-0000-0000BF250000}"/>
    <cellStyle name="Percent 5 2 2 2 5" xfId="8342" xr:uid="{00000000-0005-0000-0000-0000C0250000}"/>
    <cellStyle name="Percent 5 2 2 2 5 2" xfId="8343" xr:uid="{00000000-0005-0000-0000-0000C1250000}"/>
    <cellStyle name="Percent 5 2 2 2 6" xfId="8344" xr:uid="{00000000-0005-0000-0000-0000C2250000}"/>
    <cellStyle name="Percent 5 2 2 3" xfId="8345" xr:uid="{00000000-0005-0000-0000-0000C3250000}"/>
    <cellStyle name="Percent 5 2 2 3 2" xfId="8346" xr:uid="{00000000-0005-0000-0000-0000C4250000}"/>
    <cellStyle name="Percent 5 2 2 3 2 2" xfId="8347" xr:uid="{00000000-0005-0000-0000-0000C5250000}"/>
    <cellStyle name="Percent 5 2 2 3 2 2 2" xfId="8348" xr:uid="{00000000-0005-0000-0000-0000C6250000}"/>
    <cellStyle name="Percent 5 2 2 3 2 2 2 2" xfId="8349" xr:uid="{00000000-0005-0000-0000-0000C7250000}"/>
    <cellStyle name="Percent 5 2 2 3 2 2 3" xfId="8350" xr:uid="{00000000-0005-0000-0000-0000C8250000}"/>
    <cellStyle name="Percent 5 2 2 3 2 3" xfId="8351" xr:uid="{00000000-0005-0000-0000-0000C9250000}"/>
    <cellStyle name="Percent 5 2 2 3 2 3 2" xfId="8352" xr:uid="{00000000-0005-0000-0000-0000CA250000}"/>
    <cellStyle name="Percent 5 2 2 3 2 4" xfId="8353" xr:uid="{00000000-0005-0000-0000-0000CB250000}"/>
    <cellStyle name="Percent 5 2 2 3 3" xfId="8354" xr:uid="{00000000-0005-0000-0000-0000CC250000}"/>
    <cellStyle name="Percent 5 2 2 3 3 2" xfId="8355" xr:uid="{00000000-0005-0000-0000-0000CD250000}"/>
    <cellStyle name="Percent 5 2 2 3 3 2 2" xfId="8356" xr:uid="{00000000-0005-0000-0000-0000CE250000}"/>
    <cellStyle name="Percent 5 2 2 3 3 3" xfId="8357" xr:uid="{00000000-0005-0000-0000-0000CF250000}"/>
    <cellStyle name="Percent 5 2 2 3 4" xfId="8358" xr:uid="{00000000-0005-0000-0000-0000D0250000}"/>
    <cellStyle name="Percent 5 2 2 3 4 2" xfId="8359" xr:uid="{00000000-0005-0000-0000-0000D1250000}"/>
    <cellStyle name="Percent 5 2 2 3 4 2 2" xfId="8360" xr:uid="{00000000-0005-0000-0000-0000D2250000}"/>
    <cellStyle name="Percent 5 2 2 3 4 3" xfId="8361" xr:uid="{00000000-0005-0000-0000-0000D3250000}"/>
    <cellStyle name="Percent 5 2 2 3 5" xfId="8362" xr:uid="{00000000-0005-0000-0000-0000D4250000}"/>
    <cellStyle name="Percent 5 2 2 3 5 2" xfId="8363" xr:uid="{00000000-0005-0000-0000-0000D5250000}"/>
    <cellStyle name="Percent 5 2 2 3 6" xfId="8364" xr:uid="{00000000-0005-0000-0000-0000D6250000}"/>
    <cellStyle name="Percent 5 2 2 4" xfId="8365" xr:uid="{00000000-0005-0000-0000-0000D7250000}"/>
    <cellStyle name="Percent 5 2 2 4 2" xfId="8366" xr:uid="{00000000-0005-0000-0000-0000D8250000}"/>
    <cellStyle name="Percent 5 2 2 4 2 2" xfId="8367" xr:uid="{00000000-0005-0000-0000-0000D9250000}"/>
    <cellStyle name="Percent 5 2 2 4 2 2 2" xfId="8368" xr:uid="{00000000-0005-0000-0000-0000DA250000}"/>
    <cellStyle name="Percent 5 2 2 4 2 2 2 2" xfId="8369" xr:uid="{00000000-0005-0000-0000-0000DB250000}"/>
    <cellStyle name="Percent 5 2 2 4 2 2 3" xfId="8370" xr:uid="{00000000-0005-0000-0000-0000DC250000}"/>
    <cellStyle name="Percent 5 2 2 4 2 3" xfId="8371" xr:uid="{00000000-0005-0000-0000-0000DD250000}"/>
    <cellStyle name="Percent 5 2 2 4 2 3 2" xfId="8372" xr:uid="{00000000-0005-0000-0000-0000DE250000}"/>
    <cellStyle name="Percent 5 2 2 4 2 4" xfId="8373" xr:uid="{00000000-0005-0000-0000-0000DF250000}"/>
    <cellStyle name="Percent 5 2 2 4 3" xfId="8374" xr:uid="{00000000-0005-0000-0000-0000E0250000}"/>
    <cellStyle name="Percent 5 2 2 4 3 2" xfId="8375" xr:uid="{00000000-0005-0000-0000-0000E1250000}"/>
    <cellStyle name="Percent 5 2 2 4 3 2 2" xfId="8376" xr:uid="{00000000-0005-0000-0000-0000E2250000}"/>
    <cellStyle name="Percent 5 2 2 4 3 3" xfId="8377" xr:uid="{00000000-0005-0000-0000-0000E3250000}"/>
    <cellStyle name="Percent 5 2 2 4 4" xfId="8378" xr:uid="{00000000-0005-0000-0000-0000E4250000}"/>
    <cellStyle name="Percent 5 2 2 4 4 2" xfId="8379" xr:uid="{00000000-0005-0000-0000-0000E5250000}"/>
    <cellStyle name="Percent 5 2 2 4 4 2 2" xfId="8380" xr:uid="{00000000-0005-0000-0000-0000E6250000}"/>
    <cellStyle name="Percent 5 2 2 4 4 3" xfId="8381" xr:uid="{00000000-0005-0000-0000-0000E7250000}"/>
    <cellStyle name="Percent 5 2 2 4 5" xfId="8382" xr:uid="{00000000-0005-0000-0000-0000E8250000}"/>
    <cellStyle name="Percent 5 2 2 4 5 2" xfId="8383" xr:uid="{00000000-0005-0000-0000-0000E9250000}"/>
    <cellStyle name="Percent 5 2 2 4 6" xfId="8384" xr:uid="{00000000-0005-0000-0000-0000EA250000}"/>
    <cellStyle name="Percent 5 2 2 5" xfId="8385" xr:uid="{00000000-0005-0000-0000-0000EB250000}"/>
    <cellStyle name="Percent 5 2 2 5 2" xfId="8386" xr:uid="{00000000-0005-0000-0000-0000EC250000}"/>
    <cellStyle name="Percent 5 2 2 5 2 2" xfId="8387" xr:uid="{00000000-0005-0000-0000-0000ED250000}"/>
    <cellStyle name="Percent 5 2 2 5 2 2 2" xfId="8388" xr:uid="{00000000-0005-0000-0000-0000EE250000}"/>
    <cellStyle name="Percent 5 2 2 5 2 3" xfId="8389" xr:uid="{00000000-0005-0000-0000-0000EF250000}"/>
    <cellStyle name="Percent 5 2 2 5 3" xfId="8390" xr:uid="{00000000-0005-0000-0000-0000F0250000}"/>
    <cellStyle name="Percent 5 2 2 5 3 2" xfId="8391" xr:uid="{00000000-0005-0000-0000-0000F1250000}"/>
    <cellStyle name="Percent 5 2 2 5 4" xfId="8392" xr:uid="{00000000-0005-0000-0000-0000F2250000}"/>
    <cellStyle name="Percent 5 2 2 6" xfId="8393" xr:uid="{00000000-0005-0000-0000-0000F3250000}"/>
    <cellStyle name="Percent 5 2 2 6 2" xfId="8394" xr:uid="{00000000-0005-0000-0000-0000F4250000}"/>
    <cellStyle name="Percent 5 2 2 6 2 2" xfId="8395" xr:uid="{00000000-0005-0000-0000-0000F5250000}"/>
    <cellStyle name="Percent 5 2 2 6 3" xfId="8396" xr:uid="{00000000-0005-0000-0000-0000F6250000}"/>
    <cellStyle name="Percent 5 2 2 7" xfId="8397" xr:uid="{00000000-0005-0000-0000-0000F7250000}"/>
    <cellStyle name="Percent 5 2 2 7 2" xfId="8398" xr:uid="{00000000-0005-0000-0000-0000F8250000}"/>
    <cellStyle name="Percent 5 2 2 7 2 2" xfId="8399" xr:uid="{00000000-0005-0000-0000-0000F9250000}"/>
    <cellStyle name="Percent 5 2 2 7 3" xfId="8400" xr:uid="{00000000-0005-0000-0000-0000FA250000}"/>
    <cellStyle name="Percent 5 2 2 8" xfId="8401" xr:uid="{00000000-0005-0000-0000-0000FB250000}"/>
    <cellStyle name="Percent 5 2 2 8 2" xfId="8402" xr:uid="{00000000-0005-0000-0000-0000FC250000}"/>
    <cellStyle name="Percent 5 2 2 9" xfId="8403" xr:uid="{00000000-0005-0000-0000-0000FD250000}"/>
    <cellStyle name="Percent 5 2 3" xfId="8404" xr:uid="{00000000-0005-0000-0000-0000FE250000}"/>
    <cellStyle name="Percent 5 2 3 2" xfId="8405" xr:uid="{00000000-0005-0000-0000-0000FF250000}"/>
    <cellStyle name="Percent 5 2 3 2 2" xfId="8406" xr:uid="{00000000-0005-0000-0000-000000260000}"/>
    <cellStyle name="Percent 5 2 3 2 2 2" xfId="8407" xr:uid="{00000000-0005-0000-0000-000001260000}"/>
    <cellStyle name="Percent 5 2 3 2 2 2 2" xfId="8408" xr:uid="{00000000-0005-0000-0000-000002260000}"/>
    <cellStyle name="Percent 5 2 3 2 2 3" xfId="8409" xr:uid="{00000000-0005-0000-0000-000003260000}"/>
    <cellStyle name="Percent 5 2 3 2 3" xfId="8410" xr:uid="{00000000-0005-0000-0000-000004260000}"/>
    <cellStyle name="Percent 5 2 3 2 3 2" xfId="8411" xr:uid="{00000000-0005-0000-0000-000005260000}"/>
    <cellStyle name="Percent 5 2 3 2 4" xfId="8412" xr:uid="{00000000-0005-0000-0000-000006260000}"/>
    <cellStyle name="Percent 5 2 3 3" xfId="8413" xr:uid="{00000000-0005-0000-0000-000007260000}"/>
    <cellStyle name="Percent 5 2 3 3 2" xfId="8414" xr:uid="{00000000-0005-0000-0000-000008260000}"/>
    <cellStyle name="Percent 5 2 3 3 2 2" xfId="8415" xr:uid="{00000000-0005-0000-0000-000009260000}"/>
    <cellStyle name="Percent 5 2 3 3 3" xfId="8416" xr:uid="{00000000-0005-0000-0000-00000A260000}"/>
    <cellStyle name="Percent 5 2 3 4" xfId="8417" xr:uid="{00000000-0005-0000-0000-00000B260000}"/>
    <cellStyle name="Percent 5 2 3 4 2" xfId="8418" xr:uid="{00000000-0005-0000-0000-00000C260000}"/>
    <cellStyle name="Percent 5 2 3 4 2 2" xfId="8419" xr:uid="{00000000-0005-0000-0000-00000D260000}"/>
    <cellStyle name="Percent 5 2 3 4 3" xfId="8420" xr:uid="{00000000-0005-0000-0000-00000E260000}"/>
    <cellStyle name="Percent 5 2 3 5" xfId="8421" xr:uid="{00000000-0005-0000-0000-00000F260000}"/>
    <cellStyle name="Percent 5 2 3 5 2" xfId="8422" xr:uid="{00000000-0005-0000-0000-000010260000}"/>
    <cellStyle name="Percent 5 2 3 6" xfId="8423" xr:uid="{00000000-0005-0000-0000-000011260000}"/>
    <cellStyle name="Percent 5 2 4" xfId="8424" xr:uid="{00000000-0005-0000-0000-000012260000}"/>
    <cellStyle name="Percent 5 2 4 2" xfId="8425" xr:uid="{00000000-0005-0000-0000-000013260000}"/>
    <cellStyle name="Percent 5 2 4 2 2" xfId="8426" xr:uid="{00000000-0005-0000-0000-000014260000}"/>
    <cellStyle name="Percent 5 2 4 2 2 2" xfId="8427" xr:uid="{00000000-0005-0000-0000-000015260000}"/>
    <cellStyle name="Percent 5 2 4 2 2 2 2" xfId="8428" xr:uid="{00000000-0005-0000-0000-000016260000}"/>
    <cellStyle name="Percent 5 2 4 2 2 3" xfId="8429" xr:uid="{00000000-0005-0000-0000-000017260000}"/>
    <cellStyle name="Percent 5 2 4 2 3" xfId="8430" xr:uid="{00000000-0005-0000-0000-000018260000}"/>
    <cellStyle name="Percent 5 2 4 2 3 2" xfId="8431" xr:uid="{00000000-0005-0000-0000-000019260000}"/>
    <cellStyle name="Percent 5 2 4 2 4" xfId="8432" xr:uid="{00000000-0005-0000-0000-00001A260000}"/>
    <cellStyle name="Percent 5 2 4 3" xfId="8433" xr:uid="{00000000-0005-0000-0000-00001B260000}"/>
    <cellStyle name="Percent 5 2 4 3 2" xfId="8434" xr:uid="{00000000-0005-0000-0000-00001C260000}"/>
    <cellStyle name="Percent 5 2 4 3 2 2" xfId="10258" xr:uid="{00000000-0005-0000-0000-00001D260000}"/>
    <cellStyle name="Percent 5 2 4 3 3" xfId="8435" xr:uid="{00000000-0005-0000-0000-00001E260000}"/>
    <cellStyle name="Percent 5 2 4 3 3 2" xfId="8436" xr:uid="{00000000-0005-0000-0000-00001F260000}"/>
    <cellStyle name="Percent 5 2 4 3 4" xfId="8437" xr:uid="{00000000-0005-0000-0000-000020260000}"/>
    <cellStyle name="Percent 5 2 4 4" xfId="8438" xr:uid="{00000000-0005-0000-0000-000021260000}"/>
    <cellStyle name="Percent 5 2 4 4 2" xfId="8439" xr:uid="{00000000-0005-0000-0000-000022260000}"/>
    <cellStyle name="Percent 5 2 4 4 2 2" xfId="8440" xr:uid="{00000000-0005-0000-0000-000023260000}"/>
    <cellStyle name="Percent 5 2 4 4 3" xfId="8441" xr:uid="{00000000-0005-0000-0000-000024260000}"/>
    <cellStyle name="Percent 5 2 4 5" xfId="8442" xr:uid="{00000000-0005-0000-0000-000025260000}"/>
    <cellStyle name="Percent 5 2 4 5 2" xfId="8443" xr:uid="{00000000-0005-0000-0000-000026260000}"/>
    <cellStyle name="Percent 5 2 4 6" xfId="8444" xr:uid="{00000000-0005-0000-0000-000027260000}"/>
    <cellStyle name="Percent 5 2 5" xfId="8445" xr:uid="{00000000-0005-0000-0000-000028260000}"/>
    <cellStyle name="Percent 5 2 5 2" xfId="8446" xr:uid="{00000000-0005-0000-0000-000029260000}"/>
    <cellStyle name="Percent 5 2 5 2 2" xfId="8447" xr:uid="{00000000-0005-0000-0000-00002A260000}"/>
    <cellStyle name="Percent 5 2 5 2 2 2" xfId="8448" xr:uid="{00000000-0005-0000-0000-00002B260000}"/>
    <cellStyle name="Percent 5 2 5 2 2 2 2" xfId="8449" xr:uid="{00000000-0005-0000-0000-00002C260000}"/>
    <cellStyle name="Percent 5 2 5 2 2 3" xfId="8450" xr:uid="{00000000-0005-0000-0000-00002D260000}"/>
    <cellStyle name="Percent 5 2 5 2 3" xfId="8451" xr:uid="{00000000-0005-0000-0000-00002E260000}"/>
    <cellStyle name="Percent 5 2 5 2 3 2" xfId="8452" xr:uid="{00000000-0005-0000-0000-00002F260000}"/>
    <cellStyle name="Percent 5 2 5 2 4" xfId="8453" xr:uid="{00000000-0005-0000-0000-000030260000}"/>
    <cellStyle name="Percent 5 2 5 3" xfId="8454" xr:uid="{00000000-0005-0000-0000-000031260000}"/>
    <cellStyle name="Percent 5 2 5 3 2" xfId="8455" xr:uid="{00000000-0005-0000-0000-000032260000}"/>
    <cellStyle name="Percent 5 2 5 3 2 2" xfId="8456" xr:uid="{00000000-0005-0000-0000-000033260000}"/>
    <cellStyle name="Percent 5 2 5 3 3" xfId="8457" xr:uid="{00000000-0005-0000-0000-000034260000}"/>
    <cellStyle name="Percent 5 2 5 4" xfId="8458" xr:uid="{00000000-0005-0000-0000-000035260000}"/>
    <cellStyle name="Percent 5 2 5 4 2" xfId="8459" xr:uid="{00000000-0005-0000-0000-000036260000}"/>
    <cellStyle name="Percent 5 2 5 4 2 2" xfId="8460" xr:uid="{00000000-0005-0000-0000-000037260000}"/>
    <cellStyle name="Percent 5 2 5 4 3" xfId="8461" xr:uid="{00000000-0005-0000-0000-000038260000}"/>
    <cellStyle name="Percent 5 2 5 5" xfId="8462" xr:uid="{00000000-0005-0000-0000-000039260000}"/>
    <cellStyle name="Percent 5 2 5 5 2" xfId="8463" xr:uid="{00000000-0005-0000-0000-00003A260000}"/>
    <cellStyle name="Percent 5 2 5 6" xfId="8464" xr:uid="{00000000-0005-0000-0000-00003B260000}"/>
    <cellStyle name="Percent 5 2 6" xfId="8465" xr:uid="{00000000-0005-0000-0000-00003C260000}"/>
    <cellStyle name="Percent 5 2 6 2" xfId="8466" xr:uid="{00000000-0005-0000-0000-00003D260000}"/>
    <cellStyle name="Percent 5 2 6 2 2" xfId="10259" xr:uid="{00000000-0005-0000-0000-00003E260000}"/>
    <cellStyle name="Percent 5 2 6 3" xfId="8467" xr:uid="{00000000-0005-0000-0000-00003F260000}"/>
    <cellStyle name="Percent 5 2 6 3 2" xfId="8468" xr:uid="{00000000-0005-0000-0000-000040260000}"/>
    <cellStyle name="Percent 5 2 6 4" xfId="8469" xr:uid="{00000000-0005-0000-0000-000041260000}"/>
    <cellStyle name="Percent 5 2 7" xfId="8470" xr:uid="{00000000-0005-0000-0000-000042260000}"/>
    <cellStyle name="Percent 5 2 7 2" xfId="8471" xr:uid="{00000000-0005-0000-0000-000043260000}"/>
    <cellStyle name="Percent 5 2 7 2 2" xfId="8472" xr:uid="{00000000-0005-0000-0000-000044260000}"/>
    <cellStyle name="Percent 5 2 7 3" xfId="8473" xr:uid="{00000000-0005-0000-0000-000045260000}"/>
    <cellStyle name="Percent 5 2 8" xfId="8474" xr:uid="{00000000-0005-0000-0000-000046260000}"/>
    <cellStyle name="Percent 5 2 8 2" xfId="8475" xr:uid="{00000000-0005-0000-0000-000047260000}"/>
    <cellStyle name="Percent 5 2 8 2 2" xfId="8476" xr:uid="{00000000-0005-0000-0000-000048260000}"/>
    <cellStyle name="Percent 5 2 8 3" xfId="8477" xr:uid="{00000000-0005-0000-0000-000049260000}"/>
    <cellStyle name="Percent 5 2 9" xfId="8478" xr:uid="{00000000-0005-0000-0000-00004A260000}"/>
    <cellStyle name="Percent 5 2 9 2" xfId="8479" xr:uid="{00000000-0005-0000-0000-00004B260000}"/>
    <cellStyle name="Percent 5 3" xfId="8480" xr:uid="{00000000-0005-0000-0000-00004C260000}"/>
    <cellStyle name="Percent 5 3 10" xfId="8481" xr:uid="{00000000-0005-0000-0000-00004D260000}"/>
    <cellStyle name="Percent 5 3 2" xfId="8482" xr:uid="{00000000-0005-0000-0000-00004E260000}"/>
    <cellStyle name="Percent 5 3 2 2" xfId="8483" xr:uid="{00000000-0005-0000-0000-00004F260000}"/>
    <cellStyle name="Percent 5 3 2 2 2" xfId="8484" xr:uid="{00000000-0005-0000-0000-000050260000}"/>
    <cellStyle name="Percent 5 3 2 2 2 2" xfId="8485" xr:uid="{00000000-0005-0000-0000-000051260000}"/>
    <cellStyle name="Percent 5 3 2 2 2 2 2" xfId="8486" xr:uid="{00000000-0005-0000-0000-000052260000}"/>
    <cellStyle name="Percent 5 3 2 2 2 3" xfId="8487" xr:uid="{00000000-0005-0000-0000-000053260000}"/>
    <cellStyle name="Percent 5 3 2 2 3" xfId="8488" xr:uid="{00000000-0005-0000-0000-000054260000}"/>
    <cellStyle name="Percent 5 3 2 2 3 2" xfId="8489" xr:uid="{00000000-0005-0000-0000-000055260000}"/>
    <cellStyle name="Percent 5 3 2 2 4" xfId="8490" xr:uid="{00000000-0005-0000-0000-000056260000}"/>
    <cellStyle name="Percent 5 3 2 3" xfId="8491" xr:uid="{00000000-0005-0000-0000-000057260000}"/>
    <cellStyle name="Percent 5 3 2 3 2" xfId="8492" xr:uid="{00000000-0005-0000-0000-000058260000}"/>
    <cellStyle name="Percent 5 3 2 3 3" xfId="8493" xr:uid="{00000000-0005-0000-0000-000059260000}"/>
    <cellStyle name="Percent 5 3 2 3 3 2" xfId="8494" xr:uid="{00000000-0005-0000-0000-00005A260000}"/>
    <cellStyle name="Percent 5 3 2 3 4" xfId="8495" xr:uid="{00000000-0005-0000-0000-00005B260000}"/>
    <cellStyle name="Percent 5 3 2 4" xfId="8496" xr:uid="{00000000-0005-0000-0000-00005C260000}"/>
    <cellStyle name="Percent 5 3 2 4 2" xfId="8497" xr:uid="{00000000-0005-0000-0000-00005D260000}"/>
    <cellStyle name="Percent 5 3 2 4 2 2" xfId="8498" xr:uid="{00000000-0005-0000-0000-00005E260000}"/>
    <cellStyle name="Percent 5 3 2 4 3" xfId="8499" xr:uid="{00000000-0005-0000-0000-00005F260000}"/>
    <cellStyle name="Percent 5 3 2 5" xfId="8500" xr:uid="{00000000-0005-0000-0000-000060260000}"/>
    <cellStyle name="Percent 5 3 2 5 2" xfId="8501" xr:uid="{00000000-0005-0000-0000-000061260000}"/>
    <cellStyle name="Percent 5 3 2 6" xfId="8502" xr:uid="{00000000-0005-0000-0000-000062260000}"/>
    <cellStyle name="Percent 5 3 3" xfId="8503" xr:uid="{00000000-0005-0000-0000-000063260000}"/>
    <cellStyle name="Percent 5 3 3 2" xfId="8504" xr:uid="{00000000-0005-0000-0000-000064260000}"/>
    <cellStyle name="Percent 5 3 3 2 2" xfId="8505" xr:uid="{00000000-0005-0000-0000-000065260000}"/>
    <cellStyle name="Percent 5 3 3 2 2 2" xfId="8506" xr:uid="{00000000-0005-0000-0000-000066260000}"/>
    <cellStyle name="Percent 5 3 3 2 2 2 2" xfId="8507" xr:uid="{00000000-0005-0000-0000-000067260000}"/>
    <cellStyle name="Percent 5 3 3 2 2 3" xfId="8508" xr:uid="{00000000-0005-0000-0000-000068260000}"/>
    <cellStyle name="Percent 5 3 3 2 3" xfId="8509" xr:uid="{00000000-0005-0000-0000-000069260000}"/>
    <cellStyle name="Percent 5 3 3 2 3 2" xfId="8510" xr:uid="{00000000-0005-0000-0000-00006A260000}"/>
    <cellStyle name="Percent 5 3 3 2 4" xfId="8511" xr:uid="{00000000-0005-0000-0000-00006B260000}"/>
    <cellStyle name="Percent 5 3 3 3" xfId="8512" xr:uid="{00000000-0005-0000-0000-00006C260000}"/>
    <cellStyle name="Percent 5 3 3 3 2" xfId="8513" xr:uid="{00000000-0005-0000-0000-00006D260000}"/>
    <cellStyle name="Percent 5 3 3 3 2 2" xfId="8514" xr:uid="{00000000-0005-0000-0000-00006E260000}"/>
    <cellStyle name="Percent 5 3 3 3 3" xfId="8515" xr:uid="{00000000-0005-0000-0000-00006F260000}"/>
    <cellStyle name="Percent 5 3 3 4" xfId="8516" xr:uid="{00000000-0005-0000-0000-000070260000}"/>
    <cellStyle name="Percent 5 3 3 4 2" xfId="8517" xr:uid="{00000000-0005-0000-0000-000071260000}"/>
    <cellStyle name="Percent 5 3 3 4 2 2" xfId="8518" xr:uid="{00000000-0005-0000-0000-000072260000}"/>
    <cellStyle name="Percent 5 3 3 4 3" xfId="8519" xr:uid="{00000000-0005-0000-0000-000073260000}"/>
    <cellStyle name="Percent 5 3 3 5" xfId="8520" xr:uid="{00000000-0005-0000-0000-000074260000}"/>
    <cellStyle name="Percent 5 3 3 5 2" xfId="8521" xr:uid="{00000000-0005-0000-0000-000075260000}"/>
    <cellStyle name="Percent 5 3 3 6" xfId="8522" xr:uid="{00000000-0005-0000-0000-000076260000}"/>
    <cellStyle name="Percent 5 3 4" xfId="8523" xr:uid="{00000000-0005-0000-0000-000077260000}"/>
    <cellStyle name="Percent 5 3 4 2" xfId="8524" xr:uid="{00000000-0005-0000-0000-000078260000}"/>
    <cellStyle name="Percent 5 3 4 2 2" xfId="8525" xr:uid="{00000000-0005-0000-0000-000079260000}"/>
    <cellStyle name="Percent 5 3 4 2 2 2" xfId="8526" xr:uid="{00000000-0005-0000-0000-00007A260000}"/>
    <cellStyle name="Percent 5 3 4 2 2 2 2" xfId="8527" xr:uid="{00000000-0005-0000-0000-00007B260000}"/>
    <cellStyle name="Percent 5 3 4 2 2 3" xfId="8528" xr:uid="{00000000-0005-0000-0000-00007C260000}"/>
    <cellStyle name="Percent 5 3 4 2 3" xfId="8529" xr:uid="{00000000-0005-0000-0000-00007D260000}"/>
    <cellStyle name="Percent 5 3 4 2 3 2" xfId="8530" xr:uid="{00000000-0005-0000-0000-00007E260000}"/>
    <cellStyle name="Percent 5 3 4 2 4" xfId="8531" xr:uid="{00000000-0005-0000-0000-00007F260000}"/>
    <cellStyle name="Percent 5 3 4 3" xfId="8532" xr:uid="{00000000-0005-0000-0000-000080260000}"/>
    <cellStyle name="Percent 5 3 4 3 2" xfId="8533" xr:uid="{00000000-0005-0000-0000-000081260000}"/>
    <cellStyle name="Percent 5 3 4 3 2 2" xfId="8534" xr:uid="{00000000-0005-0000-0000-000082260000}"/>
    <cellStyle name="Percent 5 3 4 3 3" xfId="8535" xr:uid="{00000000-0005-0000-0000-000083260000}"/>
    <cellStyle name="Percent 5 3 4 4" xfId="8536" xr:uid="{00000000-0005-0000-0000-000084260000}"/>
    <cellStyle name="Percent 5 3 4 4 2" xfId="8537" xr:uid="{00000000-0005-0000-0000-000085260000}"/>
    <cellStyle name="Percent 5 3 4 4 2 2" xfId="8538" xr:uid="{00000000-0005-0000-0000-000086260000}"/>
    <cellStyle name="Percent 5 3 4 4 3" xfId="8539" xr:uid="{00000000-0005-0000-0000-000087260000}"/>
    <cellStyle name="Percent 5 3 4 5" xfId="8540" xr:uid="{00000000-0005-0000-0000-000088260000}"/>
    <cellStyle name="Percent 5 3 4 5 2" xfId="8541" xr:uid="{00000000-0005-0000-0000-000089260000}"/>
    <cellStyle name="Percent 5 3 4 6" xfId="8542" xr:uid="{00000000-0005-0000-0000-00008A260000}"/>
    <cellStyle name="Percent 5 3 5" xfId="8543" xr:uid="{00000000-0005-0000-0000-00008B260000}"/>
    <cellStyle name="Percent 5 3 5 2" xfId="8544" xr:uid="{00000000-0005-0000-0000-00008C260000}"/>
    <cellStyle name="Percent 5 3 5 2 2" xfId="8545" xr:uid="{00000000-0005-0000-0000-00008D260000}"/>
    <cellStyle name="Percent 5 3 5 2 2 2" xfId="8546" xr:uid="{00000000-0005-0000-0000-00008E260000}"/>
    <cellStyle name="Percent 5 3 5 2 3" xfId="8547" xr:uid="{00000000-0005-0000-0000-00008F260000}"/>
    <cellStyle name="Percent 5 3 5 3" xfId="8548" xr:uid="{00000000-0005-0000-0000-000090260000}"/>
    <cellStyle name="Percent 5 3 5 3 2" xfId="8549" xr:uid="{00000000-0005-0000-0000-000091260000}"/>
    <cellStyle name="Percent 5 3 5 4" xfId="8550" xr:uid="{00000000-0005-0000-0000-000092260000}"/>
    <cellStyle name="Percent 5 3 6" xfId="8551" xr:uid="{00000000-0005-0000-0000-000093260000}"/>
    <cellStyle name="Percent 5 3 6 2" xfId="8552" xr:uid="{00000000-0005-0000-0000-000094260000}"/>
    <cellStyle name="Percent 5 3 6 2 2" xfId="8553" xr:uid="{00000000-0005-0000-0000-000095260000}"/>
    <cellStyle name="Percent 5 3 6 3" xfId="8554" xr:uid="{00000000-0005-0000-0000-000096260000}"/>
    <cellStyle name="Percent 5 3 7" xfId="8555" xr:uid="{00000000-0005-0000-0000-000097260000}"/>
    <cellStyle name="Percent 5 3 7 2" xfId="8556" xr:uid="{00000000-0005-0000-0000-000098260000}"/>
    <cellStyle name="Percent 5 3 7 2 2" xfId="8557" xr:uid="{00000000-0005-0000-0000-000099260000}"/>
    <cellStyle name="Percent 5 3 7 3" xfId="8558" xr:uid="{00000000-0005-0000-0000-00009A260000}"/>
    <cellStyle name="Percent 5 3 8" xfId="8559" xr:uid="{00000000-0005-0000-0000-00009B260000}"/>
    <cellStyle name="Percent 5 3 8 2" xfId="8560" xr:uid="{00000000-0005-0000-0000-00009C260000}"/>
    <cellStyle name="Percent 5 3 9" xfId="8561" xr:uid="{00000000-0005-0000-0000-00009D260000}"/>
    <cellStyle name="Percent 5 4" xfId="8562" xr:uid="{00000000-0005-0000-0000-00009E260000}"/>
    <cellStyle name="Percent 5 4 2" xfId="8563" xr:uid="{00000000-0005-0000-0000-00009F260000}"/>
    <cellStyle name="Percent 5 4 2 2" xfId="10261" xr:uid="{00000000-0005-0000-0000-0000A0260000}"/>
    <cellStyle name="Percent 5 4 3" xfId="8564" xr:uid="{00000000-0005-0000-0000-0000A1260000}"/>
    <cellStyle name="Percent 5 4 4" xfId="10260" xr:uid="{00000000-0005-0000-0000-0000A2260000}"/>
    <cellStyle name="Percent 5 5" xfId="8565" xr:uid="{00000000-0005-0000-0000-0000A3260000}"/>
    <cellStyle name="Percent 5 5 2" xfId="8566" xr:uid="{00000000-0005-0000-0000-0000A4260000}"/>
    <cellStyle name="Percent 5 5 2 2" xfId="8567" xr:uid="{00000000-0005-0000-0000-0000A5260000}"/>
    <cellStyle name="Percent 5 5 2 2 2" xfId="8568" xr:uid="{00000000-0005-0000-0000-0000A6260000}"/>
    <cellStyle name="Percent 5 5 2 2 2 2" xfId="8569" xr:uid="{00000000-0005-0000-0000-0000A7260000}"/>
    <cellStyle name="Percent 5 5 2 2 3" xfId="8570" xr:uid="{00000000-0005-0000-0000-0000A8260000}"/>
    <cellStyle name="Percent 5 5 2 3" xfId="8571" xr:uid="{00000000-0005-0000-0000-0000A9260000}"/>
    <cellStyle name="Percent 5 5 2 3 2" xfId="8572" xr:uid="{00000000-0005-0000-0000-0000AA260000}"/>
    <cellStyle name="Percent 5 5 2 4" xfId="8573" xr:uid="{00000000-0005-0000-0000-0000AB260000}"/>
    <cellStyle name="Percent 5 5 3" xfId="8574" xr:uid="{00000000-0005-0000-0000-0000AC260000}"/>
    <cellStyle name="Percent 5 5 3 2" xfId="8575" xr:uid="{00000000-0005-0000-0000-0000AD260000}"/>
    <cellStyle name="Percent 5 5 3 2 2" xfId="8576" xr:uid="{00000000-0005-0000-0000-0000AE260000}"/>
    <cellStyle name="Percent 5 5 3 3" xfId="8577" xr:uid="{00000000-0005-0000-0000-0000AF260000}"/>
    <cellStyle name="Percent 5 5 4" xfId="8578" xr:uid="{00000000-0005-0000-0000-0000B0260000}"/>
    <cellStyle name="Percent 5 5 4 2" xfId="8579" xr:uid="{00000000-0005-0000-0000-0000B1260000}"/>
    <cellStyle name="Percent 5 5 4 2 2" xfId="8580" xr:uid="{00000000-0005-0000-0000-0000B2260000}"/>
    <cellStyle name="Percent 5 5 4 3" xfId="8581" xr:uid="{00000000-0005-0000-0000-0000B3260000}"/>
    <cellStyle name="Percent 5 5 5" xfId="8582" xr:uid="{00000000-0005-0000-0000-0000B4260000}"/>
    <cellStyle name="Percent 5 5 5 2" xfId="8583" xr:uid="{00000000-0005-0000-0000-0000B5260000}"/>
    <cellStyle name="Percent 5 5 6" xfId="8584" xr:uid="{00000000-0005-0000-0000-0000B6260000}"/>
    <cellStyle name="Percent 5 6" xfId="8585" xr:uid="{00000000-0005-0000-0000-0000B7260000}"/>
    <cellStyle name="Percent 5 6 2" xfId="8586" xr:uid="{00000000-0005-0000-0000-0000B8260000}"/>
    <cellStyle name="Percent 5 6 2 2" xfId="8587" xr:uid="{00000000-0005-0000-0000-0000B9260000}"/>
    <cellStyle name="Percent 5 6 2 2 2" xfId="8588" xr:uid="{00000000-0005-0000-0000-0000BA260000}"/>
    <cellStyle name="Percent 5 6 2 2 2 2" xfId="8589" xr:uid="{00000000-0005-0000-0000-0000BB260000}"/>
    <cellStyle name="Percent 5 6 2 2 3" xfId="8590" xr:uid="{00000000-0005-0000-0000-0000BC260000}"/>
    <cellStyle name="Percent 5 6 2 3" xfId="8591" xr:uid="{00000000-0005-0000-0000-0000BD260000}"/>
    <cellStyle name="Percent 5 6 2 3 2" xfId="8592" xr:uid="{00000000-0005-0000-0000-0000BE260000}"/>
    <cellStyle name="Percent 5 6 2 4" xfId="8593" xr:uid="{00000000-0005-0000-0000-0000BF260000}"/>
    <cellStyle name="Percent 5 6 3" xfId="8594" xr:uid="{00000000-0005-0000-0000-0000C0260000}"/>
    <cellStyle name="Percent 5 6 3 2" xfId="8595" xr:uid="{00000000-0005-0000-0000-0000C1260000}"/>
    <cellStyle name="Percent 5 6 3 2 2" xfId="8596" xr:uid="{00000000-0005-0000-0000-0000C2260000}"/>
    <cellStyle name="Percent 5 6 3 3" xfId="8597" xr:uid="{00000000-0005-0000-0000-0000C3260000}"/>
    <cellStyle name="Percent 5 6 4" xfId="8598" xr:uid="{00000000-0005-0000-0000-0000C4260000}"/>
    <cellStyle name="Percent 5 6 4 2" xfId="8599" xr:uid="{00000000-0005-0000-0000-0000C5260000}"/>
    <cellStyle name="Percent 5 6 4 2 2" xfId="8600" xr:uid="{00000000-0005-0000-0000-0000C6260000}"/>
    <cellStyle name="Percent 5 6 4 3" xfId="8601" xr:uid="{00000000-0005-0000-0000-0000C7260000}"/>
    <cellStyle name="Percent 5 6 5" xfId="8602" xr:uid="{00000000-0005-0000-0000-0000C8260000}"/>
    <cellStyle name="Percent 5 6 5 2" xfId="8603" xr:uid="{00000000-0005-0000-0000-0000C9260000}"/>
    <cellStyle name="Percent 5 6 6" xfId="8604" xr:uid="{00000000-0005-0000-0000-0000CA260000}"/>
    <cellStyle name="Percent 5 7" xfId="8605" xr:uid="{00000000-0005-0000-0000-0000CB260000}"/>
    <cellStyle name="Percent 5 7 2" xfId="8606" xr:uid="{00000000-0005-0000-0000-0000CC260000}"/>
    <cellStyle name="Percent 5 7 2 2" xfId="8607" xr:uid="{00000000-0005-0000-0000-0000CD260000}"/>
    <cellStyle name="Percent 5 7 2 2 2" xfId="8608" xr:uid="{00000000-0005-0000-0000-0000CE260000}"/>
    <cellStyle name="Percent 5 7 2 2 2 2" xfId="8609" xr:uid="{00000000-0005-0000-0000-0000CF260000}"/>
    <cellStyle name="Percent 5 7 2 2 3" xfId="8610" xr:uid="{00000000-0005-0000-0000-0000D0260000}"/>
    <cellStyle name="Percent 5 7 2 3" xfId="8611" xr:uid="{00000000-0005-0000-0000-0000D1260000}"/>
    <cellStyle name="Percent 5 7 2 3 2" xfId="8612" xr:uid="{00000000-0005-0000-0000-0000D2260000}"/>
    <cellStyle name="Percent 5 7 2 4" xfId="8613" xr:uid="{00000000-0005-0000-0000-0000D3260000}"/>
    <cellStyle name="Percent 5 7 3" xfId="8614" xr:uid="{00000000-0005-0000-0000-0000D4260000}"/>
    <cellStyle name="Percent 5 7 3 2" xfId="8615" xr:uid="{00000000-0005-0000-0000-0000D5260000}"/>
    <cellStyle name="Percent 5 7 3 2 2" xfId="8616" xr:uid="{00000000-0005-0000-0000-0000D6260000}"/>
    <cellStyle name="Percent 5 7 3 3" xfId="8617" xr:uid="{00000000-0005-0000-0000-0000D7260000}"/>
    <cellStyle name="Percent 5 7 4" xfId="8618" xr:uid="{00000000-0005-0000-0000-0000D8260000}"/>
    <cellStyle name="Percent 5 7 4 2" xfId="8619" xr:uid="{00000000-0005-0000-0000-0000D9260000}"/>
    <cellStyle name="Percent 5 7 4 2 2" xfId="8620" xr:uid="{00000000-0005-0000-0000-0000DA260000}"/>
    <cellStyle name="Percent 5 7 4 3" xfId="8621" xr:uid="{00000000-0005-0000-0000-0000DB260000}"/>
    <cellStyle name="Percent 5 7 5" xfId="8622" xr:uid="{00000000-0005-0000-0000-0000DC260000}"/>
    <cellStyle name="Percent 5 7 5 2" xfId="8623" xr:uid="{00000000-0005-0000-0000-0000DD260000}"/>
    <cellStyle name="Percent 5 7 6" xfId="8624" xr:uid="{00000000-0005-0000-0000-0000DE260000}"/>
    <cellStyle name="Percent 5 8" xfId="8625" xr:uid="{00000000-0005-0000-0000-0000DF260000}"/>
    <cellStyle name="Percent 5 8 2" xfId="8626" xr:uid="{00000000-0005-0000-0000-0000E0260000}"/>
    <cellStyle name="Percent 5 8 2 2" xfId="8627" xr:uid="{00000000-0005-0000-0000-0000E1260000}"/>
    <cellStyle name="Percent 5 8 2 2 2" xfId="8628" xr:uid="{00000000-0005-0000-0000-0000E2260000}"/>
    <cellStyle name="Percent 5 8 2 3" xfId="8629" xr:uid="{00000000-0005-0000-0000-0000E3260000}"/>
    <cellStyle name="Percent 5 8 3" xfId="8630" xr:uid="{00000000-0005-0000-0000-0000E4260000}"/>
    <cellStyle name="Percent 5 8 3 2" xfId="8631" xr:uid="{00000000-0005-0000-0000-0000E5260000}"/>
    <cellStyle name="Percent 5 8 4" xfId="8632" xr:uid="{00000000-0005-0000-0000-0000E6260000}"/>
    <cellStyle name="Percent 5 9" xfId="8633" xr:uid="{00000000-0005-0000-0000-0000E7260000}"/>
    <cellStyle name="Percent 5 9 2" xfId="8634" xr:uid="{00000000-0005-0000-0000-0000E8260000}"/>
    <cellStyle name="Percent 5 9 2 2" xfId="8635" xr:uid="{00000000-0005-0000-0000-0000E9260000}"/>
    <cellStyle name="Percent 5 9 3" xfId="8636" xr:uid="{00000000-0005-0000-0000-0000EA260000}"/>
    <cellStyle name="Percent 50" xfId="11004" xr:uid="{00000000-0005-0000-0000-0000EB260000}"/>
    <cellStyle name="Percent 51" xfId="10998" xr:uid="{00000000-0005-0000-0000-0000EC260000}"/>
    <cellStyle name="Percent 52" xfId="11029" xr:uid="{00000000-0005-0000-0000-0000ED260000}"/>
    <cellStyle name="Percent 53" xfId="11197" xr:uid="{00000000-0005-0000-0000-0000EE260000}"/>
    <cellStyle name="Percent 54" xfId="10997" xr:uid="{00000000-0005-0000-0000-0000EF260000}"/>
    <cellStyle name="Percent 55" xfId="10956" xr:uid="{00000000-0005-0000-0000-0000F0260000}"/>
    <cellStyle name="Percent 56" xfId="10961" xr:uid="{00000000-0005-0000-0000-0000F1260000}"/>
    <cellStyle name="Percent 57" xfId="10947" xr:uid="{00000000-0005-0000-0000-0000F2260000}"/>
    <cellStyle name="Percent 58" xfId="11198" xr:uid="{00000000-0005-0000-0000-0000F3260000}"/>
    <cellStyle name="Percent 59" xfId="10962" xr:uid="{00000000-0005-0000-0000-0000F4260000}"/>
    <cellStyle name="Percent 6" xfId="8637" xr:uid="{00000000-0005-0000-0000-0000F5260000}"/>
    <cellStyle name="Percent 6 2" xfId="9855" xr:uid="{00000000-0005-0000-0000-0000F6260000}"/>
    <cellStyle name="Percent 60" xfId="11499" xr:uid="{00000000-0005-0000-0000-0000F7260000}"/>
    <cellStyle name="Percent 61" xfId="11500" xr:uid="{00000000-0005-0000-0000-0000F8260000}"/>
    <cellStyle name="Percent 62" xfId="11498" xr:uid="{00000000-0005-0000-0000-0000F9260000}"/>
    <cellStyle name="Percent 63" xfId="11501" xr:uid="{00000000-0005-0000-0000-0000FA260000}"/>
    <cellStyle name="Percent 64" xfId="11497" xr:uid="{00000000-0005-0000-0000-0000FB260000}"/>
    <cellStyle name="Percent 65" xfId="9600" xr:uid="{00000000-0005-0000-0000-0000FC260000}"/>
    <cellStyle name="Percent 7" xfId="8638" xr:uid="{00000000-0005-0000-0000-0000FD260000}"/>
    <cellStyle name="Percent 7 2" xfId="9856" xr:uid="{00000000-0005-0000-0000-0000FE260000}"/>
    <cellStyle name="Percent 8" xfId="8639" xr:uid="{00000000-0005-0000-0000-0000FF260000}"/>
    <cellStyle name="Percent 8 2" xfId="8640" xr:uid="{00000000-0005-0000-0000-000000270000}"/>
    <cellStyle name="Percent 8 2 2" xfId="8641" xr:uid="{00000000-0005-0000-0000-000001270000}"/>
    <cellStyle name="Percent 8 2 2 2" xfId="8642" xr:uid="{00000000-0005-0000-0000-000002270000}"/>
    <cellStyle name="Percent 8 2 2 2 2" xfId="8643" xr:uid="{00000000-0005-0000-0000-000003270000}"/>
    <cellStyle name="Percent 8 2 2 2 2 2" xfId="8644" xr:uid="{00000000-0005-0000-0000-000004270000}"/>
    <cellStyle name="Percent 8 2 2 2 2 2 2" xfId="8645" xr:uid="{00000000-0005-0000-0000-000005270000}"/>
    <cellStyle name="Percent 8 2 2 2 2 3" xfId="8646" xr:uid="{00000000-0005-0000-0000-000006270000}"/>
    <cellStyle name="Percent 8 2 2 2 3" xfId="8647" xr:uid="{00000000-0005-0000-0000-000007270000}"/>
    <cellStyle name="Percent 8 2 2 2 3 2" xfId="8648" xr:uid="{00000000-0005-0000-0000-000008270000}"/>
    <cellStyle name="Percent 8 2 2 2 4" xfId="8649" xr:uid="{00000000-0005-0000-0000-000009270000}"/>
    <cellStyle name="Percent 8 2 2 3" xfId="8650" xr:uid="{00000000-0005-0000-0000-00000A270000}"/>
    <cellStyle name="Percent 8 2 2 3 2" xfId="8651" xr:uid="{00000000-0005-0000-0000-00000B270000}"/>
    <cellStyle name="Percent 8 2 2 3 2 2" xfId="8652" xr:uid="{00000000-0005-0000-0000-00000C270000}"/>
    <cellStyle name="Percent 8 2 2 3 3" xfId="8653" xr:uid="{00000000-0005-0000-0000-00000D270000}"/>
    <cellStyle name="Percent 8 2 2 4" xfId="8654" xr:uid="{00000000-0005-0000-0000-00000E270000}"/>
    <cellStyle name="Percent 8 2 2 4 2" xfId="8655" xr:uid="{00000000-0005-0000-0000-00000F270000}"/>
    <cellStyle name="Percent 8 2 2 4 2 2" xfId="8656" xr:uid="{00000000-0005-0000-0000-000010270000}"/>
    <cellStyle name="Percent 8 2 2 4 3" xfId="8657" xr:uid="{00000000-0005-0000-0000-000011270000}"/>
    <cellStyle name="Percent 8 2 2 5" xfId="8658" xr:uid="{00000000-0005-0000-0000-000012270000}"/>
    <cellStyle name="Percent 8 2 2 5 2" xfId="8659" xr:uid="{00000000-0005-0000-0000-000013270000}"/>
    <cellStyle name="Percent 8 2 2 6" xfId="8660" xr:uid="{00000000-0005-0000-0000-000014270000}"/>
    <cellStyle name="Percent 8 2 3" xfId="8661" xr:uid="{00000000-0005-0000-0000-000015270000}"/>
    <cellStyle name="Percent 8 2 3 2" xfId="8662" xr:uid="{00000000-0005-0000-0000-000016270000}"/>
    <cellStyle name="Percent 8 2 3 2 2" xfId="8663" xr:uid="{00000000-0005-0000-0000-000017270000}"/>
    <cellStyle name="Percent 8 2 3 2 2 2" xfId="8664" xr:uid="{00000000-0005-0000-0000-000018270000}"/>
    <cellStyle name="Percent 8 2 3 2 2 2 2" xfId="8665" xr:uid="{00000000-0005-0000-0000-000019270000}"/>
    <cellStyle name="Percent 8 2 3 2 2 3" xfId="8666" xr:uid="{00000000-0005-0000-0000-00001A270000}"/>
    <cellStyle name="Percent 8 2 3 2 3" xfId="8667" xr:uid="{00000000-0005-0000-0000-00001B270000}"/>
    <cellStyle name="Percent 8 2 3 2 3 2" xfId="8668" xr:uid="{00000000-0005-0000-0000-00001C270000}"/>
    <cellStyle name="Percent 8 2 3 2 4" xfId="8669" xr:uid="{00000000-0005-0000-0000-00001D270000}"/>
    <cellStyle name="Percent 8 2 3 3" xfId="8670" xr:uid="{00000000-0005-0000-0000-00001E270000}"/>
    <cellStyle name="Percent 8 2 3 3 2" xfId="8671" xr:uid="{00000000-0005-0000-0000-00001F270000}"/>
    <cellStyle name="Percent 8 2 3 3 2 2" xfId="8672" xr:uid="{00000000-0005-0000-0000-000020270000}"/>
    <cellStyle name="Percent 8 2 3 3 3" xfId="8673" xr:uid="{00000000-0005-0000-0000-000021270000}"/>
    <cellStyle name="Percent 8 2 3 4" xfId="8674" xr:uid="{00000000-0005-0000-0000-000022270000}"/>
    <cellStyle name="Percent 8 2 3 4 2" xfId="8675" xr:uid="{00000000-0005-0000-0000-000023270000}"/>
    <cellStyle name="Percent 8 2 3 4 2 2" xfId="8676" xr:uid="{00000000-0005-0000-0000-000024270000}"/>
    <cellStyle name="Percent 8 2 3 4 3" xfId="8677" xr:uid="{00000000-0005-0000-0000-000025270000}"/>
    <cellStyle name="Percent 8 2 3 5" xfId="8678" xr:uid="{00000000-0005-0000-0000-000026270000}"/>
    <cellStyle name="Percent 8 2 3 5 2" xfId="8679" xr:uid="{00000000-0005-0000-0000-000027270000}"/>
    <cellStyle name="Percent 8 2 3 6" xfId="8680" xr:uid="{00000000-0005-0000-0000-000028270000}"/>
    <cellStyle name="Percent 8 2 4" xfId="8681" xr:uid="{00000000-0005-0000-0000-000029270000}"/>
    <cellStyle name="Percent 8 2 4 2" xfId="8682" xr:uid="{00000000-0005-0000-0000-00002A270000}"/>
    <cellStyle name="Percent 8 2 4 2 2" xfId="8683" xr:uid="{00000000-0005-0000-0000-00002B270000}"/>
    <cellStyle name="Percent 8 2 4 2 2 2" xfId="8684" xr:uid="{00000000-0005-0000-0000-00002C270000}"/>
    <cellStyle name="Percent 8 2 4 2 3" xfId="8685" xr:uid="{00000000-0005-0000-0000-00002D270000}"/>
    <cellStyle name="Percent 8 2 4 3" xfId="8686" xr:uid="{00000000-0005-0000-0000-00002E270000}"/>
    <cellStyle name="Percent 8 2 4 3 2" xfId="8687" xr:uid="{00000000-0005-0000-0000-00002F270000}"/>
    <cellStyle name="Percent 8 2 4 4" xfId="8688" xr:uid="{00000000-0005-0000-0000-000030270000}"/>
    <cellStyle name="Percent 8 2 5" xfId="8689" xr:uid="{00000000-0005-0000-0000-000031270000}"/>
    <cellStyle name="Percent 8 2 5 2" xfId="8690" xr:uid="{00000000-0005-0000-0000-000032270000}"/>
    <cellStyle name="Percent 8 2 5 2 2" xfId="10262" xr:uid="{00000000-0005-0000-0000-000033270000}"/>
    <cellStyle name="Percent 8 2 5 3" xfId="8691" xr:uid="{00000000-0005-0000-0000-000034270000}"/>
    <cellStyle name="Percent 8 2 5 3 2" xfId="8692" xr:uid="{00000000-0005-0000-0000-000035270000}"/>
    <cellStyle name="Percent 8 2 5 4" xfId="8693" xr:uid="{00000000-0005-0000-0000-000036270000}"/>
    <cellStyle name="Percent 8 2 6" xfId="8694" xr:uid="{00000000-0005-0000-0000-000037270000}"/>
    <cellStyle name="Percent 8 2 6 2" xfId="8695" xr:uid="{00000000-0005-0000-0000-000038270000}"/>
    <cellStyle name="Percent 8 2 6 2 2" xfId="8696" xr:uid="{00000000-0005-0000-0000-000039270000}"/>
    <cellStyle name="Percent 8 2 6 3" xfId="8697" xr:uid="{00000000-0005-0000-0000-00003A270000}"/>
    <cellStyle name="Percent 8 2 7" xfId="8698" xr:uid="{00000000-0005-0000-0000-00003B270000}"/>
    <cellStyle name="Percent 8 2 7 2" xfId="8699" xr:uid="{00000000-0005-0000-0000-00003C270000}"/>
    <cellStyle name="Percent 8 2 8" xfId="8700" xr:uid="{00000000-0005-0000-0000-00003D270000}"/>
    <cellStyle name="Percent 8 3" xfId="8701" xr:uid="{00000000-0005-0000-0000-00003E270000}"/>
    <cellStyle name="Percent 8 4" xfId="8702" xr:uid="{00000000-0005-0000-0000-00003F270000}"/>
    <cellStyle name="Percent 8 4 2" xfId="8703" xr:uid="{00000000-0005-0000-0000-000040270000}"/>
    <cellStyle name="Percent 8 4 2 2" xfId="8704" xr:uid="{00000000-0005-0000-0000-000041270000}"/>
    <cellStyle name="Percent 8 4 3" xfId="8705" xr:uid="{00000000-0005-0000-0000-000042270000}"/>
    <cellStyle name="Percent 8 5" xfId="8706" xr:uid="{00000000-0005-0000-0000-000043270000}"/>
    <cellStyle name="Percent 8 6" xfId="9857" xr:uid="{00000000-0005-0000-0000-000044270000}"/>
    <cellStyle name="Percent 9" xfId="8707" xr:uid="{00000000-0005-0000-0000-000045270000}"/>
    <cellStyle name="Percent 9 2" xfId="8708" xr:uid="{00000000-0005-0000-0000-000046270000}"/>
    <cellStyle name="Percent 9 2 2" xfId="8709" xr:uid="{00000000-0005-0000-0000-000047270000}"/>
    <cellStyle name="Percent 9 2 2 2" xfId="8710" xr:uid="{00000000-0005-0000-0000-000048270000}"/>
    <cellStyle name="Percent 9 2 2 2 2" xfId="8711" xr:uid="{00000000-0005-0000-0000-000049270000}"/>
    <cellStyle name="Percent 9 2 2 2 2 2" xfId="8712" xr:uid="{00000000-0005-0000-0000-00004A270000}"/>
    <cellStyle name="Percent 9 2 2 2 2 2 2" xfId="8713" xr:uid="{00000000-0005-0000-0000-00004B270000}"/>
    <cellStyle name="Percent 9 2 2 2 2 3" xfId="8714" xr:uid="{00000000-0005-0000-0000-00004C270000}"/>
    <cellStyle name="Percent 9 2 2 2 3" xfId="8715" xr:uid="{00000000-0005-0000-0000-00004D270000}"/>
    <cellStyle name="Percent 9 2 2 2 3 2" xfId="8716" xr:uid="{00000000-0005-0000-0000-00004E270000}"/>
    <cellStyle name="Percent 9 2 2 2 4" xfId="8717" xr:uid="{00000000-0005-0000-0000-00004F270000}"/>
    <cellStyle name="Percent 9 2 2 3" xfId="8718" xr:uid="{00000000-0005-0000-0000-000050270000}"/>
    <cellStyle name="Percent 9 2 2 3 2" xfId="8719" xr:uid="{00000000-0005-0000-0000-000051270000}"/>
    <cellStyle name="Percent 9 2 2 3 2 2" xfId="8720" xr:uid="{00000000-0005-0000-0000-000052270000}"/>
    <cellStyle name="Percent 9 2 2 3 3" xfId="8721" xr:uid="{00000000-0005-0000-0000-000053270000}"/>
    <cellStyle name="Percent 9 2 2 4" xfId="8722" xr:uid="{00000000-0005-0000-0000-000054270000}"/>
    <cellStyle name="Percent 9 2 2 4 2" xfId="8723" xr:uid="{00000000-0005-0000-0000-000055270000}"/>
    <cellStyle name="Percent 9 2 2 4 2 2" xfId="8724" xr:uid="{00000000-0005-0000-0000-000056270000}"/>
    <cellStyle name="Percent 9 2 2 4 3" xfId="8725" xr:uid="{00000000-0005-0000-0000-000057270000}"/>
    <cellStyle name="Percent 9 2 2 5" xfId="8726" xr:uid="{00000000-0005-0000-0000-000058270000}"/>
    <cellStyle name="Percent 9 2 2 5 2" xfId="8727" xr:uid="{00000000-0005-0000-0000-000059270000}"/>
    <cellStyle name="Percent 9 2 2 6" xfId="8728" xr:uid="{00000000-0005-0000-0000-00005A270000}"/>
    <cellStyle name="Percent 9 2 3" xfId="8729" xr:uid="{00000000-0005-0000-0000-00005B270000}"/>
    <cellStyle name="Percent 9 2 3 2" xfId="8730" xr:uid="{00000000-0005-0000-0000-00005C270000}"/>
    <cellStyle name="Percent 9 2 3 2 2" xfId="8731" xr:uid="{00000000-0005-0000-0000-00005D270000}"/>
    <cellStyle name="Percent 9 2 3 2 2 2" xfId="8732" xr:uid="{00000000-0005-0000-0000-00005E270000}"/>
    <cellStyle name="Percent 9 2 3 2 2 2 2" xfId="8733" xr:uid="{00000000-0005-0000-0000-00005F270000}"/>
    <cellStyle name="Percent 9 2 3 2 2 3" xfId="8734" xr:uid="{00000000-0005-0000-0000-000060270000}"/>
    <cellStyle name="Percent 9 2 3 2 3" xfId="8735" xr:uid="{00000000-0005-0000-0000-000061270000}"/>
    <cellStyle name="Percent 9 2 3 2 3 2" xfId="8736" xr:uid="{00000000-0005-0000-0000-000062270000}"/>
    <cellStyle name="Percent 9 2 3 2 4" xfId="8737" xr:uid="{00000000-0005-0000-0000-000063270000}"/>
    <cellStyle name="Percent 9 2 3 3" xfId="8738" xr:uid="{00000000-0005-0000-0000-000064270000}"/>
    <cellStyle name="Percent 9 2 3 3 2" xfId="8739" xr:uid="{00000000-0005-0000-0000-000065270000}"/>
    <cellStyle name="Percent 9 2 3 3 2 2" xfId="8740" xr:uid="{00000000-0005-0000-0000-000066270000}"/>
    <cellStyle name="Percent 9 2 3 3 3" xfId="8741" xr:uid="{00000000-0005-0000-0000-000067270000}"/>
    <cellStyle name="Percent 9 2 3 4" xfId="8742" xr:uid="{00000000-0005-0000-0000-000068270000}"/>
    <cellStyle name="Percent 9 2 3 4 2" xfId="8743" xr:uid="{00000000-0005-0000-0000-000069270000}"/>
    <cellStyle name="Percent 9 2 3 4 2 2" xfId="8744" xr:uid="{00000000-0005-0000-0000-00006A270000}"/>
    <cellStyle name="Percent 9 2 3 4 3" xfId="8745" xr:uid="{00000000-0005-0000-0000-00006B270000}"/>
    <cellStyle name="Percent 9 2 3 5" xfId="8746" xr:uid="{00000000-0005-0000-0000-00006C270000}"/>
    <cellStyle name="Percent 9 2 3 5 2" xfId="8747" xr:uid="{00000000-0005-0000-0000-00006D270000}"/>
    <cellStyle name="Percent 9 2 3 6" xfId="8748" xr:uid="{00000000-0005-0000-0000-00006E270000}"/>
    <cellStyle name="Percent 9 2 4" xfId="8749" xr:uid="{00000000-0005-0000-0000-00006F270000}"/>
    <cellStyle name="Percent 9 2 4 2" xfId="8750" xr:uid="{00000000-0005-0000-0000-000070270000}"/>
    <cellStyle name="Percent 9 2 4 2 2" xfId="8751" xr:uid="{00000000-0005-0000-0000-000071270000}"/>
    <cellStyle name="Percent 9 2 4 2 2 2" xfId="8752" xr:uid="{00000000-0005-0000-0000-000072270000}"/>
    <cellStyle name="Percent 9 2 4 2 3" xfId="8753" xr:uid="{00000000-0005-0000-0000-000073270000}"/>
    <cellStyle name="Percent 9 2 4 3" xfId="8754" xr:uid="{00000000-0005-0000-0000-000074270000}"/>
    <cellStyle name="Percent 9 2 4 3 2" xfId="8755" xr:uid="{00000000-0005-0000-0000-000075270000}"/>
    <cellStyle name="Percent 9 2 4 4" xfId="8756" xr:uid="{00000000-0005-0000-0000-000076270000}"/>
    <cellStyle name="Percent 9 2 5" xfId="8757" xr:uid="{00000000-0005-0000-0000-000077270000}"/>
    <cellStyle name="Percent 9 2 5 2" xfId="8758" xr:uid="{00000000-0005-0000-0000-000078270000}"/>
    <cellStyle name="Percent 9 2 5 2 2" xfId="10263" xr:uid="{00000000-0005-0000-0000-000079270000}"/>
    <cellStyle name="Percent 9 2 5 3" xfId="8759" xr:uid="{00000000-0005-0000-0000-00007A270000}"/>
    <cellStyle name="Percent 9 2 5 3 2" xfId="8760" xr:uid="{00000000-0005-0000-0000-00007B270000}"/>
    <cellStyle name="Percent 9 2 5 4" xfId="8761" xr:uid="{00000000-0005-0000-0000-00007C270000}"/>
    <cellStyle name="Percent 9 2 6" xfId="8762" xr:uid="{00000000-0005-0000-0000-00007D270000}"/>
    <cellStyle name="Percent 9 2 6 2" xfId="8763" xr:uid="{00000000-0005-0000-0000-00007E270000}"/>
    <cellStyle name="Percent 9 2 6 2 2" xfId="8764" xr:uid="{00000000-0005-0000-0000-00007F270000}"/>
    <cellStyle name="Percent 9 2 6 3" xfId="8765" xr:uid="{00000000-0005-0000-0000-000080270000}"/>
    <cellStyle name="Percent 9 2 7" xfId="8766" xr:uid="{00000000-0005-0000-0000-000081270000}"/>
    <cellStyle name="Percent 9 2 7 2" xfId="8767" xr:uid="{00000000-0005-0000-0000-000082270000}"/>
    <cellStyle name="Percent 9 2 8" xfId="8768" xr:uid="{00000000-0005-0000-0000-000083270000}"/>
    <cellStyle name="Percent 9 3" xfId="8769" xr:uid="{00000000-0005-0000-0000-000084270000}"/>
    <cellStyle name="Percent 9 4" xfId="8770" xr:uid="{00000000-0005-0000-0000-000085270000}"/>
    <cellStyle name="Percent 9 4 2" xfId="8771" xr:uid="{00000000-0005-0000-0000-000086270000}"/>
    <cellStyle name="Percent 9 4 2 2" xfId="8772" xr:uid="{00000000-0005-0000-0000-000087270000}"/>
    <cellStyle name="Percent 9 4 3" xfId="8773" xr:uid="{00000000-0005-0000-0000-000088270000}"/>
    <cellStyle name="Percent 9 5" xfId="8774" xr:uid="{00000000-0005-0000-0000-000089270000}"/>
    <cellStyle name="Percent 9 6" xfId="9858" xr:uid="{00000000-0005-0000-0000-00008A270000}"/>
    <cellStyle name="SAPBEXaggData" xfId="55" xr:uid="{00000000-0005-0000-0000-00008B270000}"/>
    <cellStyle name="SAPBEXaggData 2" xfId="8776" xr:uid="{00000000-0005-0000-0000-00008C270000}"/>
    <cellStyle name="SAPBEXaggData 2 2" xfId="8777" xr:uid="{00000000-0005-0000-0000-00008D270000}"/>
    <cellStyle name="SAPBEXaggData 2 2 2" xfId="8778" xr:uid="{00000000-0005-0000-0000-00008E270000}"/>
    <cellStyle name="SAPBEXaggData 2 2_Cap Forecast" xfId="8779" xr:uid="{00000000-0005-0000-0000-00008F270000}"/>
    <cellStyle name="SAPBEXaggData 2 3" xfId="8780" xr:uid="{00000000-0005-0000-0000-000090270000}"/>
    <cellStyle name="SAPBEXaggData 2 4" xfId="8781" xr:uid="{00000000-0005-0000-0000-000091270000}"/>
    <cellStyle name="SAPBEXaggData 2 5" xfId="8782" xr:uid="{00000000-0005-0000-0000-000092270000}"/>
    <cellStyle name="SAPBEXaggData 2_Activity Fcst Variance" xfId="8783" xr:uid="{00000000-0005-0000-0000-000093270000}"/>
    <cellStyle name="SAPBEXaggData 3" xfId="8784" xr:uid="{00000000-0005-0000-0000-000094270000}"/>
    <cellStyle name="SAPBEXaggData 3 2" xfId="8785" xr:uid="{00000000-0005-0000-0000-000095270000}"/>
    <cellStyle name="SAPBEXaggData 3_Cap Forecast" xfId="8786" xr:uid="{00000000-0005-0000-0000-000096270000}"/>
    <cellStyle name="SAPBEXaggData 4" xfId="8787" xr:uid="{00000000-0005-0000-0000-000097270000}"/>
    <cellStyle name="SAPBEXaggData 4 2" xfId="8788" xr:uid="{00000000-0005-0000-0000-000098270000}"/>
    <cellStyle name="SAPBEXaggData 4 3" xfId="8789" xr:uid="{00000000-0005-0000-0000-000099270000}"/>
    <cellStyle name="SAPBEXaggData 5" xfId="10975" xr:uid="{00000000-0005-0000-0000-00009A270000}"/>
    <cellStyle name="SAPBEXaggData 6" xfId="8775" xr:uid="{00000000-0005-0000-0000-00009B270000}"/>
    <cellStyle name="SAPBEXaggData_BOT Summary" xfId="10495" xr:uid="{00000000-0005-0000-0000-00009C270000}"/>
    <cellStyle name="SAPBEXaggDataEmph" xfId="56" xr:uid="{00000000-0005-0000-0000-00009D270000}"/>
    <cellStyle name="SAPBEXaggDataEmph 2" xfId="8790" xr:uid="{00000000-0005-0000-0000-00009E270000}"/>
    <cellStyle name="SAPBEXaggDataEmph 2 2" xfId="8791" xr:uid="{00000000-0005-0000-0000-00009F270000}"/>
    <cellStyle name="SAPBEXaggDataEmph 2 2 2" xfId="8792" xr:uid="{00000000-0005-0000-0000-0000A0270000}"/>
    <cellStyle name="SAPBEXaggDataEmph 2 2_Cap Forecast" xfId="8793" xr:uid="{00000000-0005-0000-0000-0000A1270000}"/>
    <cellStyle name="SAPBEXaggDataEmph 2 3" xfId="8794" xr:uid="{00000000-0005-0000-0000-0000A2270000}"/>
    <cellStyle name="SAPBEXaggDataEmph 2 4" xfId="8795" xr:uid="{00000000-0005-0000-0000-0000A3270000}"/>
    <cellStyle name="SAPBEXaggDataEmph 2 5" xfId="8796" xr:uid="{00000000-0005-0000-0000-0000A4270000}"/>
    <cellStyle name="SAPBEXaggDataEmph 2_Activity Fcst Variance" xfId="8797" xr:uid="{00000000-0005-0000-0000-0000A5270000}"/>
    <cellStyle name="SAPBEXaggDataEmph 3" xfId="8798" xr:uid="{00000000-0005-0000-0000-0000A6270000}"/>
    <cellStyle name="SAPBEXaggDataEmph_BOT Summary" xfId="10496" xr:uid="{00000000-0005-0000-0000-0000A7270000}"/>
    <cellStyle name="SAPBEXaggItem" xfId="57" xr:uid="{00000000-0005-0000-0000-0000A8270000}"/>
    <cellStyle name="SAPBEXaggItem 2" xfId="8800" xr:uid="{00000000-0005-0000-0000-0000A9270000}"/>
    <cellStyle name="SAPBEXaggItem 2 2" xfId="8801" xr:uid="{00000000-0005-0000-0000-0000AA270000}"/>
    <cellStyle name="SAPBEXaggItem 2 2 2" xfId="8802" xr:uid="{00000000-0005-0000-0000-0000AB270000}"/>
    <cellStyle name="SAPBEXaggItem 2 2_Cap Forecast" xfId="8803" xr:uid="{00000000-0005-0000-0000-0000AC270000}"/>
    <cellStyle name="SAPBEXaggItem 2 3" xfId="8804" xr:uid="{00000000-0005-0000-0000-0000AD270000}"/>
    <cellStyle name="SAPBEXaggItem 2 4" xfId="8805" xr:uid="{00000000-0005-0000-0000-0000AE270000}"/>
    <cellStyle name="SAPBEXaggItem 2 5" xfId="8806" xr:uid="{00000000-0005-0000-0000-0000AF270000}"/>
    <cellStyle name="SAPBEXaggItem 2_Activity Fcst Variance" xfId="8807" xr:uid="{00000000-0005-0000-0000-0000B0270000}"/>
    <cellStyle name="SAPBEXaggItem 3" xfId="8808" xr:uid="{00000000-0005-0000-0000-0000B1270000}"/>
    <cellStyle name="SAPBEXaggItem 3 2" xfId="8809" xr:uid="{00000000-0005-0000-0000-0000B2270000}"/>
    <cellStyle name="SAPBEXaggItem 3_Cap Forecast" xfId="8810" xr:uid="{00000000-0005-0000-0000-0000B3270000}"/>
    <cellStyle name="SAPBEXaggItem 4" xfId="8811" xr:uid="{00000000-0005-0000-0000-0000B4270000}"/>
    <cellStyle name="SAPBEXaggItem 4 2" xfId="8812" xr:uid="{00000000-0005-0000-0000-0000B5270000}"/>
    <cellStyle name="SAPBEXaggItem 4 3" xfId="8813" xr:uid="{00000000-0005-0000-0000-0000B6270000}"/>
    <cellStyle name="SAPBEXaggItem 5" xfId="10976" xr:uid="{00000000-0005-0000-0000-0000B7270000}"/>
    <cellStyle name="SAPBEXaggItem 6" xfId="8799" xr:uid="{00000000-0005-0000-0000-0000B8270000}"/>
    <cellStyle name="SAPBEXaggItem_BOT Summary" xfId="10497" xr:uid="{00000000-0005-0000-0000-0000B9270000}"/>
    <cellStyle name="SAPBEXaggItemX" xfId="58" xr:uid="{00000000-0005-0000-0000-0000BA270000}"/>
    <cellStyle name="SAPBEXaggItemX 2" xfId="8814" xr:uid="{00000000-0005-0000-0000-0000BB270000}"/>
    <cellStyle name="SAPBEXaggItemX 2 2" xfId="8815" xr:uid="{00000000-0005-0000-0000-0000BC270000}"/>
    <cellStyle name="SAPBEXaggItemX 2 2 2" xfId="8816" xr:uid="{00000000-0005-0000-0000-0000BD270000}"/>
    <cellStyle name="SAPBEXaggItemX 2 2_Cap Forecast" xfId="8817" xr:uid="{00000000-0005-0000-0000-0000BE270000}"/>
    <cellStyle name="SAPBEXaggItemX 2 3" xfId="8818" xr:uid="{00000000-0005-0000-0000-0000BF270000}"/>
    <cellStyle name="SAPBEXaggItemX 2 4" xfId="8819" xr:uid="{00000000-0005-0000-0000-0000C0270000}"/>
    <cellStyle name="SAPBEXaggItemX 2 5" xfId="8820" xr:uid="{00000000-0005-0000-0000-0000C1270000}"/>
    <cellStyle name="SAPBEXaggItemX 2_Activity Fcst Variance" xfId="8821" xr:uid="{00000000-0005-0000-0000-0000C2270000}"/>
    <cellStyle name="SAPBEXaggItemX 3" xfId="8822" xr:uid="{00000000-0005-0000-0000-0000C3270000}"/>
    <cellStyle name="SAPBEXaggItemX 4" xfId="8823" xr:uid="{00000000-0005-0000-0000-0000C4270000}"/>
    <cellStyle name="SAPBEXaggItemX 5" xfId="8824" xr:uid="{00000000-0005-0000-0000-0000C5270000}"/>
    <cellStyle name="SAPBEXaggItemX 6" xfId="8825" xr:uid="{00000000-0005-0000-0000-0000C6270000}"/>
    <cellStyle name="SAPBEXaggItemX 7" xfId="8826" xr:uid="{00000000-0005-0000-0000-0000C7270000}"/>
    <cellStyle name="SAPBEXaggItemX 8" xfId="8827" xr:uid="{00000000-0005-0000-0000-0000C8270000}"/>
    <cellStyle name="SAPBEXaggItemX 9" xfId="9737" xr:uid="{00000000-0005-0000-0000-0000C9270000}"/>
    <cellStyle name="SAPBEXaggItemX_BOT Summary" xfId="10498" xr:uid="{00000000-0005-0000-0000-0000CA270000}"/>
    <cellStyle name="SAPBEXchaText" xfId="59" xr:uid="{00000000-0005-0000-0000-0000CB270000}"/>
    <cellStyle name="SAPBEXchaText 2" xfId="8828" xr:uid="{00000000-0005-0000-0000-0000CC270000}"/>
    <cellStyle name="SAPBEXchaText 2 2" xfId="8829" xr:uid="{00000000-0005-0000-0000-0000CD270000}"/>
    <cellStyle name="SAPBEXchaText 2 2 2" xfId="8830" xr:uid="{00000000-0005-0000-0000-0000CE270000}"/>
    <cellStyle name="SAPBEXchaText 2 2 3" xfId="8831" xr:uid="{00000000-0005-0000-0000-0000CF270000}"/>
    <cellStyle name="SAPBEXchaText 2 2_Cap Forecast" xfId="8832" xr:uid="{00000000-0005-0000-0000-0000D0270000}"/>
    <cellStyle name="SAPBEXchaText 2 3" xfId="8833" xr:uid="{00000000-0005-0000-0000-0000D1270000}"/>
    <cellStyle name="SAPBEXchaText 2 4" xfId="8834" xr:uid="{00000000-0005-0000-0000-0000D2270000}"/>
    <cellStyle name="SAPBEXchaText 2 5" xfId="8835" xr:uid="{00000000-0005-0000-0000-0000D3270000}"/>
    <cellStyle name="SAPBEXchaText 2_Activity Fcst Variance" xfId="8836" xr:uid="{00000000-0005-0000-0000-0000D4270000}"/>
    <cellStyle name="SAPBEXchaText 3" xfId="8837" xr:uid="{00000000-0005-0000-0000-0000D5270000}"/>
    <cellStyle name="SAPBEXchaText 4" xfId="8838" xr:uid="{00000000-0005-0000-0000-0000D6270000}"/>
    <cellStyle name="SAPBEXchaText 5" xfId="10941" xr:uid="{00000000-0005-0000-0000-0000D7270000}"/>
    <cellStyle name="SAPBEXchaText 6" xfId="108" xr:uid="{00000000-0005-0000-0000-0000D8270000}"/>
    <cellStyle name="SAPBEXchaText_2009 DPMO Controls - Cash Flow 04-20-09 v1.0" xfId="8839" xr:uid="{00000000-0005-0000-0000-0000D9270000}"/>
    <cellStyle name="SAPBEXexcBad7" xfId="60" xr:uid="{00000000-0005-0000-0000-0000DA270000}"/>
    <cellStyle name="SAPBEXexcBad7 2" xfId="8841" xr:uid="{00000000-0005-0000-0000-0000DB270000}"/>
    <cellStyle name="SAPBEXexcBad7 2 2" xfId="8842" xr:uid="{00000000-0005-0000-0000-0000DC270000}"/>
    <cellStyle name="SAPBEXexcBad7 2 2 2" xfId="8843" xr:uid="{00000000-0005-0000-0000-0000DD270000}"/>
    <cellStyle name="SAPBEXexcBad7 2 2_Cap Forecast" xfId="8844" xr:uid="{00000000-0005-0000-0000-0000DE270000}"/>
    <cellStyle name="SAPBEXexcBad7 2 3" xfId="8845" xr:uid="{00000000-0005-0000-0000-0000DF270000}"/>
    <cellStyle name="SAPBEXexcBad7 2 4" xfId="8846" xr:uid="{00000000-0005-0000-0000-0000E0270000}"/>
    <cellStyle name="SAPBEXexcBad7 2 5" xfId="8847" xr:uid="{00000000-0005-0000-0000-0000E1270000}"/>
    <cellStyle name="SAPBEXexcBad7 2_Activity Fcst Variance" xfId="8848" xr:uid="{00000000-0005-0000-0000-0000E2270000}"/>
    <cellStyle name="SAPBEXexcBad7 3" xfId="8849" xr:uid="{00000000-0005-0000-0000-0000E3270000}"/>
    <cellStyle name="SAPBEXexcBad7 3 2" xfId="8850" xr:uid="{00000000-0005-0000-0000-0000E4270000}"/>
    <cellStyle name="SAPBEXexcBad7 3_Cap Forecast" xfId="8851" xr:uid="{00000000-0005-0000-0000-0000E5270000}"/>
    <cellStyle name="SAPBEXexcBad7 4" xfId="8852" xr:uid="{00000000-0005-0000-0000-0000E6270000}"/>
    <cellStyle name="SAPBEXexcBad7 4 2" xfId="8853" xr:uid="{00000000-0005-0000-0000-0000E7270000}"/>
    <cellStyle name="SAPBEXexcBad7 4 3" xfId="8854" xr:uid="{00000000-0005-0000-0000-0000E8270000}"/>
    <cellStyle name="SAPBEXexcBad7 5" xfId="10977" xr:uid="{00000000-0005-0000-0000-0000E9270000}"/>
    <cellStyle name="SAPBEXexcBad7 6" xfId="8840" xr:uid="{00000000-0005-0000-0000-0000EA270000}"/>
    <cellStyle name="SAPBEXexcBad7_BOT Summary" xfId="10499" xr:uid="{00000000-0005-0000-0000-0000EB270000}"/>
    <cellStyle name="SAPBEXexcBad8" xfId="61" xr:uid="{00000000-0005-0000-0000-0000EC270000}"/>
    <cellStyle name="SAPBEXexcBad8 2" xfId="8856" xr:uid="{00000000-0005-0000-0000-0000ED270000}"/>
    <cellStyle name="SAPBEXexcBad8 2 2" xfId="8857" xr:uid="{00000000-0005-0000-0000-0000EE270000}"/>
    <cellStyle name="SAPBEXexcBad8 2 2 2" xfId="8858" xr:uid="{00000000-0005-0000-0000-0000EF270000}"/>
    <cellStyle name="SAPBEXexcBad8 2 2_Cap Forecast" xfId="8859" xr:uid="{00000000-0005-0000-0000-0000F0270000}"/>
    <cellStyle name="SAPBEXexcBad8 2 3" xfId="8860" xr:uid="{00000000-0005-0000-0000-0000F1270000}"/>
    <cellStyle name="SAPBEXexcBad8 2 4" xfId="8861" xr:uid="{00000000-0005-0000-0000-0000F2270000}"/>
    <cellStyle name="SAPBEXexcBad8 2 5" xfId="8862" xr:uid="{00000000-0005-0000-0000-0000F3270000}"/>
    <cellStyle name="SAPBEXexcBad8 2_Activity Fcst Variance" xfId="8863" xr:uid="{00000000-0005-0000-0000-0000F4270000}"/>
    <cellStyle name="SAPBEXexcBad8 3" xfId="8864" xr:uid="{00000000-0005-0000-0000-0000F5270000}"/>
    <cellStyle name="SAPBEXexcBad8 3 2" xfId="8865" xr:uid="{00000000-0005-0000-0000-0000F6270000}"/>
    <cellStyle name="SAPBEXexcBad8 3_Cap Forecast" xfId="8866" xr:uid="{00000000-0005-0000-0000-0000F7270000}"/>
    <cellStyle name="SAPBEXexcBad8 4" xfId="8867" xr:uid="{00000000-0005-0000-0000-0000F8270000}"/>
    <cellStyle name="SAPBEXexcBad8 4 2" xfId="8868" xr:uid="{00000000-0005-0000-0000-0000F9270000}"/>
    <cellStyle name="SAPBEXexcBad8 4 3" xfId="8869" xr:uid="{00000000-0005-0000-0000-0000FA270000}"/>
    <cellStyle name="SAPBEXexcBad8 5" xfId="10978" xr:uid="{00000000-0005-0000-0000-0000FB270000}"/>
    <cellStyle name="SAPBEXexcBad8 6" xfId="8855" xr:uid="{00000000-0005-0000-0000-0000FC270000}"/>
    <cellStyle name="SAPBEXexcBad8_BOT Summary" xfId="10500" xr:uid="{00000000-0005-0000-0000-0000FD270000}"/>
    <cellStyle name="SAPBEXexcBad9" xfId="62" xr:uid="{00000000-0005-0000-0000-0000FE270000}"/>
    <cellStyle name="SAPBEXexcBad9 2" xfId="8871" xr:uid="{00000000-0005-0000-0000-0000FF270000}"/>
    <cellStyle name="SAPBEXexcBad9 2 2" xfId="8872" xr:uid="{00000000-0005-0000-0000-000000280000}"/>
    <cellStyle name="SAPBEXexcBad9 2 2 2" xfId="8873" xr:uid="{00000000-0005-0000-0000-000001280000}"/>
    <cellStyle name="SAPBEXexcBad9 2 2_Cap Forecast" xfId="8874" xr:uid="{00000000-0005-0000-0000-000002280000}"/>
    <cellStyle name="SAPBEXexcBad9 2 3" xfId="8875" xr:uid="{00000000-0005-0000-0000-000003280000}"/>
    <cellStyle name="SAPBEXexcBad9 2 4" xfId="8876" xr:uid="{00000000-0005-0000-0000-000004280000}"/>
    <cellStyle name="SAPBEXexcBad9 2 5" xfId="8877" xr:uid="{00000000-0005-0000-0000-000005280000}"/>
    <cellStyle name="SAPBEXexcBad9 2_Activity Fcst Variance" xfId="8878" xr:uid="{00000000-0005-0000-0000-000006280000}"/>
    <cellStyle name="SAPBEXexcBad9 3" xfId="8879" xr:uid="{00000000-0005-0000-0000-000007280000}"/>
    <cellStyle name="SAPBEXexcBad9 3 2" xfId="8880" xr:uid="{00000000-0005-0000-0000-000008280000}"/>
    <cellStyle name="SAPBEXexcBad9 3_Cap Forecast" xfId="8881" xr:uid="{00000000-0005-0000-0000-000009280000}"/>
    <cellStyle name="SAPBEXexcBad9 4" xfId="8882" xr:uid="{00000000-0005-0000-0000-00000A280000}"/>
    <cellStyle name="SAPBEXexcBad9 4 2" xfId="8883" xr:uid="{00000000-0005-0000-0000-00000B280000}"/>
    <cellStyle name="SAPBEXexcBad9 4 3" xfId="8884" xr:uid="{00000000-0005-0000-0000-00000C280000}"/>
    <cellStyle name="SAPBEXexcBad9 5" xfId="10979" xr:uid="{00000000-0005-0000-0000-00000D280000}"/>
    <cellStyle name="SAPBEXexcBad9 6" xfId="8870" xr:uid="{00000000-0005-0000-0000-00000E280000}"/>
    <cellStyle name="SAPBEXexcBad9_BOT Summary" xfId="10501" xr:uid="{00000000-0005-0000-0000-00000F280000}"/>
    <cellStyle name="SAPBEXexcCritical4" xfId="63" xr:uid="{00000000-0005-0000-0000-000010280000}"/>
    <cellStyle name="SAPBEXexcCritical4 2" xfId="8886" xr:uid="{00000000-0005-0000-0000-000011280000}"/>
    <cellStyle name="SAPBEXexcCritical4 2 2" xfId="8887" xr:uid="{00000000-0005-0000-0000-000012280000}"/>
    <cellStyle name="SAPBEXexcCritical4 2 2 2" xfId="8888" xr:uid="{00000000-0005-0000-0000-000013280000}"/>
    <cellStyle name="SAPBEXexcCritical4 2 2_Cap Forecast" xfId="8889" xr:uid="{00000000-0005-0000-0000-000014280000}"/>
    <cellStyle name="SAPBEXexcCritical4 2 3" xfId="8890" xr:uid="{00000000-0005-0000-0000-000015280000}"/>
    <cellStyle name="SAPBEXexcCritical4 2 4" xfId="8891" xr:uid="{00000000-0005-0000-0000-000016280000}"/>
    <cellStyle name="SAPBEXexcCritical4 2 5" xfId="8892" xr:uid="{00000000-0005-0000-0000-000017280000}"/>
    <cellStyle name="SAPBEXexcCritical4 2_Activity Fcst Variance" xfId="8893" xr:uid="{00000000-0005-0000-0000-000018280000}"/>
    <cellStyle name="SAPBEXexcCritical4 3" xfId="8894" xr:uid="{00000000-0005-0000-0000-000019280000}"/>
    <cellStyle name="SAPBEXexcCritical4 3 2" xfId="8895" xr:uid="{00000000-0005-0000-0000-00001A280000}"/>
    <cellStyle name="SAPBEXexcCritical4 3_Cap Forecast" xfId="8896" xr:uid="{00000000-0005-0000-0000-00001B280000}"/>
    <cellStyle name="SAPBEXexcCritical4 4" xfId="8897" xr:uid="{00000000-0005-0000-0000-00001C280000}"/>
    <cellStyle name="SAPBEXexcCritical4 4 2" xfId="8898" xr:uid="{00000000-0005-0000-0000-00001D280000}"/>
    <cellStyle name="SAPBEXexcCritical4 4 3" xfId="8899" xr:uid="{00000000-0005-0000-0000-00001E280000}"/>
    <cellStyle name="SAPBEXexcCritical4 5" xfId="10981" xr:uid="{00000000-0005-0000-0000-00001F280000}"/>
    <cellStyle name="SAPBEXexcCritical4 6" xfId="8885" xr:uid="{00000000-0005-0000-0000-000020280000}"/>
    <cellStyle name="SAPBEXexcCritical4_BOT Summary" xfId="10502" xr:uid="{00000000-0005-0000-0000-000021280000}"/>
    <cellStyle name="SAPBEXexcCritical5" xfId="64" xr:uid="{00000000-0005-0000-0000-000022280000}"/>
    <cellStyle name="SAPBEXexcCritical5 2" xfId="8901" xr:uid="{00000000-0005-0000-0000-000023280000}"/>
    <cellStyle name="SAPBEXexcCritical5 2 2" xfId="8902" xr:uid="{00000000-0005-0000-0000-000024280000}"/>
    <cellStyle name="SAPBEXexcCritical5 2 2 2" xfId="8903" xr:uid="{00000000-0005-0000-0000-000025280000}"/>
    <cellStyle name="SAPBEXexcCritical5 2 2_Cap Forecast" xfId="8904" xr:uid="{00000000-0005-0000-0000-000026280000}"/>
    <cellStyle name="SAPBEXexcCritical5 2 3" xfId="8905" xr:uid="{00000000-0005-0000-0000-000027280000}"/>
    <cellStyle name="SAPBEXexcCritical5 2 4" xfId="8906" xr:uid="{00000000-0005-0000-0000-000028280000}"/>
    <cellStyle name="SAPBEXexcCritical5 2 5" xfId="8907" xr:uid="{00000000-0005-0000-0000-000029280000}"/>
    <cellStyle name="SAPBEXexcCritical5 2_Activity Fcst Variance" xfId="8908" xr:uid="{00000000-0005-0000-0000-00002A280000}"/>
    <cellStyle name="SAPBEXexcCritical5 3" xfId="8909" xr:uid="{00000000-0005-0000-0000-00002B280000}"/>
    <cellStyle name="SAPBEXexcCritical5 3 2" xfId="8910" xr:uid="{00000000-0005-0000-0000-00002C280000}"/>
    <cellStyle name="SAPBEXexcCritical5 3_Cap Forecast" xfId="8911" xr:uid="{00000000-0005-0000-0000-00002D280000}"/>
    <cellStyle name="SAPBEXexcCritical5 4" xfId="8912" xr:uid="{00000000-0005-0000-0000-00002E280000}"/>
    <cellStyle name="SAPBEXexcCritical5 4 2" xfId="8913" xr:uid="{00000000-0005-0000-0000-00002F280000}"/>
    <cellStyle name="SAPBEXexcCritical5 4 3" xfId="8914" xr:uid="{00000000-0005-0000-0000-000030280000}"/>
    <cellStyle name="SAPBEXexcCritical5 5" xfId="10987" xr:uid="{00000000-0005-0000-0000-000031280000}"/>
    <cellStyle name="SAPBEXexcCritical5 6" xfId="8900" xr:uid="{00000000-0005-0000-0000-000032280000}"/>
    <cellStyle name="SAPBEXexcCritical5_BOT Summary" xfId="10503" xr:uid="{00000000-0005-0000-0000-000033280000}"/>
    <cellStyle name="SAPBEXexcCritical6" xfId="65" xr:uid="{00000000-0005-0000-0000-000034280000}"/>
    <cellStyle name="SAPBEXexcCritical6 2" xfId="8916" xr:uid="{00000000-0005-0000-0000-000035280000}"/>
    <cellStyle name="SAPBEXexcCritical6 2 2" xfId="8917" xr:uid="{00000000-0005-0000-0000-000036280000}"/>
    <cellStyle name="SAPBEXexcCritical6 2 2 2" xfId="8918" xr:uid="{00000000-0005-0000-0000-000037280000}"/>
    <cellStyle name="SAPBEXexcCritical6 2 2_Cap Forecast" xfId="8919" xr:uid="{00000000-0005-0000-0000-000038280000}"/>
    <cellStyle name="SAPBEXexcCritical6 2 3" xfId="8920" xr:uid="{00000000-0005-0000-0000-000039280000}"/>
    <cellStyle name="SAPBEXexcCritical6 2 4" xfId="8921" xr:uid="{00000000-0005-0000-0000-00003A280000}"/>
    <cellStyle name="SAPBEXexcCritical6 2 5" xfId="8922" xr:uid="{00000000-0005-0000-0000-00003B280000}"/>
    <cellStyle name="SAPBEXexcCritical6 2_Activity Fcst Variance" xfId="8923" xr:uid="{00000000-0005-0000-0000-00003C280000}"/>
    <cellStyle name="SAPBEXexcCritical6 3" xfId="8924" xr:uid="{00000000-0005-0000-0000-00003D280000}"/>
    <cellStyle name="SAPBEXexcCritical6 3 2" xfId="8925" xr:uid="{00000000-0005-0000-0000-00003E280000}"/>
    <cellStyle name="SAPBEXexcCritical6 3_Cap Forecast" xfId="8926" xr:uid="{00000000-0005-0000-0000-00003F280000}"/>
    <cellStyle name="SAPBEXexcCritical6 4" xfId="8927" xr:uid="{00000000-0005-0000-0000-000040280000}"/>
    <cellStyle name="SAPBEXexcCritical6 4 2" xfId="8928" xr:uid="{00000000-0005-0000-0000-000041280000}"/>
    <cellStyle name="SAPBEXexcCritical6 4 3" xfId="8929" xr:uid="{00000000-0005-0000-0000-000042280000}"/>
    <cellStyle name="SAPBEXexcCritical6 5" xfId="10988" xr:uid="{00000000-0005-0000-0000-000043280000}"/>
    <cellStyle name="SAPBEXexcCritical6 6" xfId="8915" xr:uid="{00000000-0005-0000-0000-000044280000}"/>
    <cellStyle name="SAPBEXexcCritical6_BOT Summary" xfId="10504" xr:uid="{00000000-0005-0000-0000-000045280000}"/>
    <cellStyle name="SAPBEXexcGood1" xfId="66" xr:uid="{00000000-0005-0000-0000-000046280000}"/>
    <cellStyle name="SAPBEXexcGood1 2" xfId="8931" xr:uid="{00000000-0005-0000-0000-000047280000}"/>
    <cellStyle name="SAPBEXexcGood1 2 2" xfId="8932" xr:uid="{00000000-0005-0000-0000-000048280000}"/>
    <cellStyle name="SAPBEXexcGood1 2 2 2" xfId="8933" xr:uid="{00000000-0005-0000-0000-000049280000}"/>
    <cellStyle name="SAPBEXexcGood1 2 2_Cap Forecast" xfId="8934" xr:uid="{00000000-0005-0000-0000-00004A280000}"/>
    <cellStyle name="SAPBEXexcGood1 2 3" xfId="8935" xr:uid="{00000000-0005-0000-0000-00004B280000}"/>
    <cellStyle name="SAPBEXexcGood1 2 4" xfId="8936" xr:uid="{00000000-0005-0000-0000-00004C280000}"/>
    <cellStyle name="SAPBEXexcGood1 2 5" xfId="8937" xr:uid="{00000000-0005-0000-0000-00004D280000}"/>
    <cellStyle name="SAPBEXexcGood1 2_Activity Fcst Variance" xfId="8938" xr:uid="{00000000-0005-0000-0000-00004E280000}"/>
    <cellStyle name="SAPBEXexcGood1 3" xfId="8939" xr:uid="{00000000-0005-0000-0000-00004F280000}"/>
    <cellStyle name="SAPBEXexcGood1 3 2" xfId="8940" xr:uid="{00000000-0005-0000-0000-000050280000}"/>
    <cellStyle name="SAPBEXexcGood1 3_Cap Forecast" xfId="8941" xr:uid="{00000000-0005-0000-0000-000051280000}"/>
    <cellStyle name="SAPBEXexcGood1 4" xfId="8942" xr:uid="{00000000-0005-0000-0000-000052280000}"/>
    <cellStyle name="SAPBEXexcGood1 4 2" xfId="8943" xr:uid="{00000000-0005-0000-0000-000053280000}"/>
    <cellStyle name="SAPBEXexcGood1 4 3" xfId="8944" xr:uid="{00000000-0005-0000-0000-000054280000}"/>
    <cellStyle name="SAPBEXexcGood1 5" xfId="10989" xr:uid="{00000000-0005-0000-0000-000055280000}"/>
    <cellStyle name="SAPBEXexcGood1 6" xfId="8930" xr:uid="{00000000-0005-0000-0000-000056280000}"/>
    <cellStyle name="SAPBEXexcGood1_BOT Summary" xfId="10505" xr:uid="{00000000-0005-0000-0000-000057280000}"/>
    <cellStyle name="SAPBEXexcGood2" xfId="67" xr:uid="{00000000-0005-0000-0000-000058280000}"/>
    <cellStyle name="SAPBEXexcGood2 2" xfId="8946" xr:uid="{00000000-0005-0000-0000-000059280000}"/>
    <cellStyle name="SAPBEXexcGood2 2 2" xfId="8947" xr:uid="{00000000-0005-0000-0000-00005A280000}"/>
    <cellStyle name="SAPBEXexcGood2 2 2 2" xfId="8948" xr:uid="{00000000-0005-0000-0000-00005B280000}"/>
    <cellStyle name="SAPBEXexcGood2 2 2_Cap Forecast" xfId="8949" xr:uid="{00000000-0005-0000-0000-00005C280000}"/>
    <cellStyle name="SAPBEXexcGood2 2 3" xfId="8950" xr:uid="{00000000-0005-0000-0000-00005D280000}"/>
    <cellStyle name="SAPBEXexcGood2 2 4" xfId="8951" xr:uid="{00000000-0005-0000-0000-00005E280000}"/>
    <cellStyle name="SAPBEXexcGood2 2 5" xfId="8952" xr:uid="{00000000-0005-0000-0000-00005F280000}"/>
    <cellStyle name="SAPBEXexcGood2 2_Activity Fcst Variance" xfId="8953" xr:uid="{00000000-0005-0000-0000-000060280000}"/>
    <cellStyle name="SAPBEXexcGood2 3" xfId="8954" xr:uid="{00000000-0005-0000-0000-000061280000}"/>
    <cellStyle name="SAPBEXexcGood2 3 2" xfId="8955" xr:uid="{00000000-0005-0000-0000-000062280000}"/>
    <cellStyle name="SAPBEXexcGood2 3_Cap Forecast" xfId="8956" xr:uid="{00000000-0005-0000-0000-000063280000}"/>
    <cellStyle name="SAPBEXexcGood2 4" xfId="8957" xr:uid="{00000000-0005-0000-0000-000064280000}"/>
    <cellStyle name="SAPBEXexcGood2 4 2" xfId="8958" xr:uid="{00000000-0005-0000-0000-000065280000}"/>
    <cellStyle name="SAPBEXexcGood2 4 3" xfId="8959" xr:uid="{00000000-0005-0000-0000-000066280000}"/>
    <cellStyle name="SAPBEXexcGood2 5" xfId="10990" xr:uid="{00000000-0005-0000-0000-000067280000}"/>
    <cellStyle name="SAPBEXexcGood2 6" xfId="8945" xr:uid="{00000000-0005-0000-0000-000068280000}"/>
    <cellStyle name="SAPBEXexcGood2_BOT Summary" xfId="10506" xr:uid="{00000000-0005-0000-0000-000069280000}"/>
    <cellStyle name="SAPBEXexcGood3" xfId="68" xr:uid="{00000000-0005-0000-0000-00006A280000}"/>
    <cellStyle name="SAPBEXexcGood3 2" xfId="8961" xr:uid="{00000000-0005-0000-0000-00006B280000}"/>
    <cellStyle name="SAPBEXexcGood3 2 2" xfId="8962" xr:uid="{00000000-0005-0000-0000-00006C280000}"/>
    <cellStyle name="SAPBEXexcGood3 2 2 2" xfId="8963" xr:uid="{00000000-0005-0000-0000-00006D280000}"/>
    <cellStyle name="SAPBEXexcGood3 2 2_Cap Forecast" xfId="8964" xr:uid="{00000000-0005-0000-0000-00006E280000}"/>
    <cellStyle name="SAPBEXexcGood3 2 3" xfId="8965" xr:uid="{00000000-0005-0000-0000-00006F280000}"/>
    <cellStyle name="SAPBEXexcGood3 2 4" xfId="8966" xr:uid="{00000000-0005-0000-0000-000070280000}"/>
    <cellStyle name="SAPBEXexcGood3 2 5" xfId="8967" xr:uid="{00000000-0005-0000-0000-000071280000}"/>
    <cellStyle name="SAPBEXexcGood3 2_Activity Fcst Variance" xfId="8968" xr:uid="{00000000-0005-0000-0000-000072280000}"/>
    <cellStyle name="SAPBEXexcGood3 3" xfId="8969" xr:uid="{00000000-0005-0000-0000-000073280000}"/>
    <cellStyle name="SAPBEXexcGood3 3 2" xfId="8970" xr:uid="{00000000-0005-0000-0000-000074280000}"/>
    <cellStyle name="SAPBEXexcGood3 3_Cap Forecast" xfId="8971" xr:uid="{00000000-0005-0000-0000-000075280000}"/>
    <cellStyle name="SAPBEXexcGood3 4" xfId="8972" xr:uid="{00000000-0005-0000-0000-000076280000}"/>
    <cellStyle name="SAPBEXexcGood3 4 2" xfId="8973" xr:uid="{00000000-0005-0000-0000-000077280000}"/>
    <cellStyle name="SAPBEXexcGood3 4 3" xfId="8974" xr:uid="{00000000-0005-0000-0000-000078280000}"/>
    <cellStyle name="SAPBEXexcGood3 5" xfId="10991" xr:uid="{00000000-0005-0000-0000-000079280000}"/>
    <cellStyle name="SAPBEXexcGood3 6" xfId="8960" xr:uid="{00000000-0005-0000-0000-00007A280000}"/>
    <cellStyle name="SAPBEXexcGood3_BOT Summary" xfId="10507" xr:uid="{00000000-0005-0000-0000-00007B280000}"/>
    <cellStyle name="SAPBEXfilterDrill" xfId="69" xr:uid="{00000000-0005-0000-0000-00007C280000}"/>
    <cellStyle name="SAPBEXfilterDrill 2" xfId="8976" xr:uid="{00000000-0005-0000-0000-00007D280000}"/>
    <cellStyle name="SAPBEXfilterDrill 2 2" xfId="8977" xr:uid="{00000000-0005-0000-0000-00007E280000}"/>
    <cellStyle name="SAPBEXfilterDrill 2 2 2" xfId="8978" xr:uid="{00000000-0005-0000-0000-00007F280000}"/>
    <cellStyle name="SAPBEXfilterDrill 2 2 3" xfId="8979" xr:uid="{00000000-0005-0000-0000-000080280000}"/>
    <cellStyle name="SAPBEXfilterDrill 2 2 3 2" xfId="10264" xr:uid="{00000000-0005-0000-0000-000081280000}"/>
    <cellStyle name="SAPBEXfilterDrill 2 2_Cap Forecast" xfId="8980" xr:uid="{00000000-0005-0000-0000-000082280000}"/>
    <cellStyle name="SAPBEXfilterDrill 2 3" xfId="8981" xr:uid="{00000000-0005-0000-0000-000083280000}"/>
    <cellStyle name="SAPBEXfilterDrill 2 3 2" xfId="10265" xr:uid="{00000000-0005-0000-0000-000084280000}"/>
    <cellStyle name="SAPBEXfilterDrill 2 4" xfId="8982" xr:uid="{00000000-0005-0000-0000-000085280000}"/>
    <cellStyle name="SAPBEXfilterDrill 2 5" xfId="8983" xr:uid="{00000000-0005-0000-0000-000086280000}"/>
    <cellStyle name="SAPBEXfilterDrill 2 6" xfId="9765" xr:uid="{00000000-0005-0000-0000-000087280000}"/>
    <cellStyle name="SAPBEXfilterDrill 2_Activity Fcst Variance" xfId="8984" xr:uid="{00000000-0005-0000-0000-000088280000}"/>
    <cellStyle name="SAPBEXfilterDrill 3" xfId="8985" xr:uid="{00000000-0005-0000-0000-000089280000}"/>
    <cellStyle name="SAPBEXfilterDrill 4" xfId="8986" xr:uid="{00000000-0005-0000-0000-00008A280000}"/>
    <cellStyle name="SAPBEXfilterDrill 4 2" xfId="10266" xr:uid="{00000000-0005-0000-0000-00008B280000}"/>
    <cellStyle name="SAPBEXfilterDrill 5" xfId="9684" xr:uid="{00000000-0005-0000-0000-00008C280000}"/>
    <cellStyle name="SAPBEXfilterDrill 6" xfId="9738" xr:uid="{00000000-0005-0000-0000-00008D280000}"/>
    <cellStyle name="SAPBEXfilterDrill 7" xfId="10992" xr:uid="{00000000-0005-0000-0000-00008E280000}"/>
    <cellStyle name="SAPBEXfilterDrill 8" xfId="8975" xr:uid="{00000000-0005-0000-0000-00008F280000}"/>
    <cellStyle name="SAPBEXfilterDrill_BOT Summary" xfId="10508" xr:uid="{00000000-0005-0000-0000-000090280000}"/>
    <cellStyle name="SAPBEXfilterItem" xfId="70" xr:uid="{00000000-0005-0000-0000-000091280000}"/>
    <cellStyle name="SAPBEXfilterItem 10" xfId="9613" xr:uid="{00000000-0005-0000-0000-000092280000}"/>
    <cellStyle name="SAPBEXfilterItem 2" xfId="8987" xr:uid="{00000000-0005-0000-0000-000093280000}"/>
    <cellStyle name="SAPBEXfilterItem 2 2" xfId="8988" xr:uid="{00000000-0005-0000-0000-000094280000}"/>
    <cellStyle name="SAPBEXfilterItem 2 2 2" xfId="10267" xr:uid="{00000000-0005-0000-0000-000095280000}"/>
    <cellStyle name="SAPBEXfilterItem 2 3" xfId="8989" xr:uid="{00000000-0005-0000-0000-000096280000}"/>
    <cellStyle name="SAPBEXfilterItem 2 4" xfId="8990" xr:uid="{00000000-0005-0000-0000-000097280000}"/>
    <cellStyle name="SAPBEXfilterItem 2 4 2" xfId="10268" xr:uid="{00000000-0005-0000-0000-000098280000}"/>
    <cellStyle name="SAPBEXfilterItem 2 5" xfId="8991" xr:uid="{00000000-0005-0000-0000-000099280000}"/>
    <cellStyle name="SAPBEXfilterItem 2 5 2" xfId="10269" xr:uid="{00000000-0005-0000-0000-00009A280000}"/>
    <cellStyle name="SAPBEXfilterItem 2_Activity Fcst Variance" xfId="8992" xr:uid="{00000000-0005-0000-0000-00009B280000}"/>
    <cellStyle name="SAPBEXfilterItem 3" xfId="8993" xr:uid="{00000000-0005-0000-0000-00009C280000}"/>
    <cellStyle name="SAPBEXfilterItem 3 2" xfId="8994" xr:uid="{00000000-0005-0000-0000-00009D280000}"/>
    <cellStyle name="SAPBEXfilterItem 3 3" xfId="8995" xr:uid="{00000000-0005-0000-0000-00009E280000}"/>
    <cellStyle name="SAPBEXfilterItem 3 3 2" xfId="10271" xr:uid="{00000000-0005-0000-0000-00009F280000}"/>
    <cellStyle name="SAPBEXfilterItem 3 4" xfId="10270" xr:uid="{00000000-0005-0000-0000-0000A0280000}"/>
    <cellStyle name="SAPBEXfilterItem 4" xfId="8996" xr:uid="{00000000-0005-0000-0000-0000A1280000}"/>
    <cellStyle name="SAPBEXfilterItem 4 2" xfId="10272" xr:uid="{00000000-0005-0000-0000-0000A2280000}"/>
    <cellStyle name="SAPBEXfilterItem 5" xfId="9628" xr:uid="{00000000-0005-0000-0000-0000A3280000}"/>
    <cellStyle name="SAPBEXfilterItem 6" xfId="9619" xr:uid="{00000000-0005-0000-0000-0000A4280000}"/>
    <cellStyle name="SAPBEXfilterItem 7" xfId="9630" xr:uid="{00000000-0005-0000-0000-0000A5280000}"/>
    <cellStyle name="SAPBEXfilterItem 8" xfId="9616" xr:uid="{00000000-0005-0000-0000-0000A6280000}"/>
    <cellStyle name="SAPBEXfilterItem 9" xfId="9632" xr:uid="{00000000-0005-0000-0000-0000A7280000}"/>
    <cellStyle name="SAPBEXfilterItem_BOT Summary" xfId="10509" xr:uid="{00000000-0005-0000-0000-0000A8280000}"/>
    <cellStyle name="SAPBEXfilterText" xfId="71" xr:uid="{00000000-0005-0000-0000-0000A9280000}"/>
    <cellStyle name="SAPBEXfilterText 10" xfId="9634" xr:uid="{00000000-0005-0000-0000-0000AA280000}"/>
    <cellStyle name="SAPBEXfilterText 2" xfId="8997" xr:uid="{00000000-0005-0000-0000-0000AB280000}"/>
    <cellStyle name="SAPBEXfilterText 2 2" xfId="8998" xr:uid="{00000000-0005-0000-0000-0000AC280000}"/>
    <cellStyle name="SAPBEXfilterText 2 2 2" xfId="10273" xr:uid="{00000000-0005-0000-0000-0000AD280000}"/>
    <cellStyle name="SAPBEXfilterText 2 3" xfId="8999" xr:uid="{00000000-0005-0000-0000-0000AE280000}"/>
    <cellStyle name="SAPBEXfilterText 2 4" xfId="9000" xr:uid="{00000000-0005-0000-0000-0000AF280000}"/>
    <cellStyle name="SAPBEXfilterText 2 5" xfId="9001" xr:uid="{00000000-0005-0000-0000-0000B0280000}"/>
    <cellStyle name="SAPBEXfilterText 2 5 2" xfId="10274" xr:uid="{00000000-0005-0000-0000-0000B1280000}"/>
    <cellStyle name="SAPBEXfilterText 2 6" xfId="9002" xr:uid="{00000000-0005-0000-0000-0000B2280000}"/>
    <cellStyle name="SAPBEXfilterText 2 6 2" xfId="10275" xr:uid="{00000000-0005-0000-0000-0000B3280000}"/>
    <cellStyle name="SAPBEXfilterText 2_Activity Fcst Variance" xfId="9003" xr:uid="{00000000-0005-0000-0000-0000B4280000}"/>
    <cellStyle name="SAPBEXfilterText 3" xfId="9004" xr:uid="{00000000-0005-0000-0000-0000B5280000}"/>
    <cellStyle name="SAPBEXfilterText 3 2" xfId="9005" xr:uid="{00000000-0005-0000-0000-0000B6280000}"/>
    <cellStyle name="SAPBEXfilterText 4" xfId="9006" xr:uid="{00000000-0005-0000-0000-0000B7280000}"/>
    <cellStyle name="SAPBEXfilterText 4 2" xfId="10276" xr:uid="{00000000-0005-0000-0000-0000B8280000}"/>
    <cellStyle name="SAPBEXfilterText 5" xfId="9007" xr:uid="{00000000-0005-0000-0000-0000B9280000}"/>
    <cellStyle name="SAPBEXfilterText 5 2" xfId="9008" xr:uid="{00000000-0005-0000-0000-0000BA280000}"/>
    <cellStyle name="SAPBEXfilterText 6" xfId="9629" xr:uid="{00000000-0005-0000-0000-0000BB280000}"/>
    <cellStyle name="SAPBEXfilterText 7" xfId="9618" xr:uid="{00000000-0005-0000-0000-0000BC280000}"/>
    <cellStyle name="SAPBEXfilterText 8" xfId="9631" xr:uid="{00000000-0005-0000-0000-0000BD280000}"/>
    <cellStyle name="SAPBEXfilterText 9" xfId="9615" xr:uid="{00000000-0005-0000-0000-0000BE280000}"/>
    <cellStyle name="SAPBEXfilterText_BOT Summary" xfId="10510" xr:uid="{00000000-0005-0000-0000-0000BF280000}"/>
    <cellStyle name="SAPBEXformats" xfId="72" xr:uid="{00000000-0005-0000-0000-0000C0280000}"/>
    <cellStyle name="SAPBEXformats 2" xfId="9010" xr:uid="{00000000-0005-0000-0000-0000C1280000}"/>
    <cellStyle name="SAPBEXformats 2 2" xfId="9011" xr:uid="{00000000-0005-0000-0000-0000C2280000}"/>
    <cellStyle name="SAPBEXformats 2 2 2" xfId="9012" xr:uid="{00000000-0005-0000-0000-0000C3280000}"/>
    <cellStyle name="SAPBEXformats 2 2_Cap Forecast" xfId="9013" xr:uid="{00000000-0005-0000-0000-0000C4280000}"/>
    <cellStyle name="SAPBEXformats 2 3" xfId="9014" xr:uid="{00000000-0005-0000-0000-0000C5280000}"/>
    <cellStyle name="SAPBEXformats 2 4" xfId="9015" xr:uid="{00000000-0005-0000-0000-0000C6280000}"/>
    <cellStyle name="SAPBEXformats 2 5" xfId="9016" xr:uid="{00000000-0005-0000-0000-0000C7280000}"/>
    <cellStyle name="SAPBEXformats 2_Activity Fcst Variance" xfId="9017" xr:uid="{00000000-0005-0000-0000-0000C8280000}"/>
    <cellStyle name="SAPBEXformats 3" xfId="9018" xr:uid="{00000000-0005-0000-0000-0000C9280000}"/>
    <cellStyle name="SAPBEXformats 3 2" xfId="9019" xr:uid="{00000000-0005-0000-0000-0000CA280000}"/>
    <cellStyle name="SAPBEXformats 3_Cap Forecast" xfId="9020" xr:uid="{00000000-0005-0000-0000-0000CB280000}"/>
    <cellStyle name="SAPBEXformats 4" xfId="9021" xr:uid="{00000000-0005-0000-0000-0000CC280000}"/>
    <cellStyle name="SAPBEXformats 4 2" xfId="9022" xr:uid="{00000000-0005-0000-0000-0000CD280000}"/>
    <cellStyle name="SAPBEXformats 4 3" xfId="9023" xr:uid="{00000000-0005-0000-0000-0000CE280000}"/>
    <cellStyle name="SAPBEXformats 5" xfId="10993" xr:uid="{00000000-0005-0000-0000-0000CF280000}"/>
    <cellStyle name="SAPBEXformats 6" xfId="9009" xr:uid="{00000000-0005-0000-0000-0000D0280000}"/>
    <cellStyle name="SAPBEXformats_BOT Summary" xfId="10511" xr:uid="{00000000-0005-0000-0000-0000D1280000}"/>
    <cellStyle name="SAPBEXheaderItem" xfId="73" xr:uid="{00000000-0005-0000-0000-0000D2280000}"/>
    <cellStyle name="SAPBEXheaderItem 2" xfId="9025" xr:uid="{00000000-0005-0000-0000-0000D3280000}"/>
    <cellStyle name="SAPBEXheaderItem 2 2" xfId="9026" xr:uid="{00000000-0005-0000-0000-0000D4280000}"/>
    <cellStyle name="SAPBEXheaderItem 2 2 2" xfId="9027" xr:uid="{00000000-0005-0000-0000-0000D5280000}"/>
    <cellStyle name="SAPBEXheaderItem 2 2 3" xfId="9028" xr:uid="{00000000-0005-0000-0000-0000D6280000}"/>
    <cellStyle name="SAPBEXheaderItem 2 2_Cap Forecast" xfId="9029" xr:uid="{00000000-0005-0000-0000-0000D7280000}"/>
    <cellStyle name="SAPBEXheaderItem 2 3" xfId="9030" xr:uid="{00000000-0005-0000-0000-0000D8280000}"/>
    <cellStyle name="SAPBEXheaderItem 2 4" xfId="9031" xr:uid="{00000000-0005-0000-0000-0000D9280000}"/>
    <cellStyle name="SAPBEXheaderItem 2 5" xfId="9032" xr:uid="{00000000-0005-0000-0000-0000DA280000}"/>
    <cellStyle name="SAPBEXheaderItem 2 5 2" xfId="9033" xr:uid="{00000000-0005-0000-0000-0000DB280000}"/>
    <cellStyle name="SAPBEXheaderItem 2 5 3" xfId="9034" xr:uid="{00000000-0005-0000-0000-0000DC280000}"/>
    <cellStyle name="SAPBEXheaderItem 2_Activity Fcst Variance" xfId="9035" xr:uid="{00000000-0005-0000-0000-0000DD280000}"/>
    <cellStyle name="SAPBEXheaderItem 3" xfId="9036" xr:uid="{00000000-0005-0000-0000-0000DE280000}"/>
    <cellStyle name="SAPBEXheaderItem 3 2" xfId="9037" xr:uid="{00000000-0005-0000-0000-0000DF280000}"/>
    <cellStyle name="SAPBEXheaderItem 4" xfId="9038" xr:uid="{00000000-0005-0000-0000-0000E0280000}"/>
    <cellStyle name="SAPBEXheaderItem 4 2" xfId="9039" xr:uid="{00000000-0005-0000-0000-0000E1280000}"/>
    <cellStyle name="SAPBEXheaderItem 5" xfId="9040" xr:uid="{00000000-0005-0000-0000-0000E2280000}"/>
    <cellStyle name="SAPBEXheaderItem 5 2" xfId="9041" xr:uid="{00000000-0005-0000-0000-0000E3280000}"/>
    <cellStyle name="SAPBEXheaderItem 5 3" xfId="9042" xr:uid="{00000000-0005-0000-0000-0000E4280000}"/>
    <cellStyle name="SAPBEXheaderItem 5 4" xfId="9043" xr:uid="{00000000-0005-0000-0000-0000E5280000}"/>
    <cellStyle name="SAPBEXheaderItem 6" xfId="10994" xr:uid="{00000000-0005-0000-0000-0000E6280000}"/>
    <cellStyle name="SAPBEXheaderItem 7" xfId="9024" xr:uid="{00000000-0005-0000-0000-0000E7280000}"/>
    <cellStyle name="SAPBEXheaderItem_BOT Summary" xfId="10512" xr:uid="{00000000-0005-0000-0000-0000E8280000}"/>
    <cellStyle name="SAPBEXheaderText" xfId="74" xr:uid="{00000000-0005-0000-0000-0000E9280000}"/>
    <cellStyle name="SAPBEXheaderText 2" xfId="9045" xr:uid="{00000000-0005-0000-0000-0000EA280000}"/>
    <cellStyle name="SAPBEXheaderText 2 2" xfId="9046" xr:uid="{00000000-0005-0000-0000-0000EB280000}"/>
    <cellStyle name="SAPBEXheaderText 2 2 2" xfId="9047" xr:uid="{00000000-0005-0000-0000-0000EC280000}"/>
    <cellStyle name="SAPBEXheaderText 2 2 3" xfId="9048" xr:uid="{00000000-0005-0000-0000-0000ED280000}"/>
    <cellStyle name="SAPBEXheaderText 2 2_Cap Forecast" xfId="9049" xr:uid="{00000000-0005-0000-0000-0000EE280000}"/>
    <cellStyle name="SAPBEXheaderText 2 3" xfId="9050" xr:uid="{00000000-0005-0000-0000-0000EF280000}"/>
    <cellStyle name="SAPBEXheaderText 2 4" xfId="9051" xr:uid="{00000000-0005-0000-0000-0000F0280000}"/>
    <cellStyle name="SAPBEXheaderText 2 5" xfId="9052" xr:uid="{00000000-0005-0000-0000-0000F1280000}"/>
    <cellStyle name="SAPBEXheaderText 2 5 2" xfId="9053" xr:uid="{00000000-0005-0000-0000-0000F2280000}"/>
    <cellStyle name="SAPBEXheaderText 2 5 3" xfId="9054" xr:uid="{00000000-0005-0000-0000-0000F3280000}"/>
    <cellStyle name="SAPBEXheaderText 2_Activity Fcst Variance" xfId="9055" xr:uid="{00000000-0005-0000-0000-0000F4280000}"/>
    <cellStyle name="SAPBEXheaderText 3" xfId="9056" xr:uid="{00000000-0005-0000-0000-0000F5280000}"/>
    <cellStyle name="SAPBEXheaderText 3 2" xfId="9057" xr:uid="{00000000-0005-0000-0000-0000F6280000}"/>
    <cellStyle name="SAPBEXheaderText 4" xfId="9058" xr:uid="{00000000-0005-0000-0000-0000F7280000}"/>
    <cellStyle name="SAPBEXheaderText 4 2" xfId="9059" xr:uid="{00000000-0005-0000-0000-0000F8280000}"/>
    <cellStyle name="SAPBEXheaderText 5" xfId="9060" xr:uid="{00000000-0005-0000-0000-0000F9280000}"/>
    <cellStyle name="SAPBEXheaderText 5 2" xfId="9061" xr:uid="{00000000-0005-0000-0000-0000FA280000}"/>
    <cellStyle name="SAPBEXheaderText 5 3" xfId="9062" xr:uid="{00000000-0005-0000-0000-0000FB280000}"/>
    <cellStyle name="SAPBEXheaderText 5 4" xfId="9063" xr:uid="{00000000-0005-0000-0000-0000FC280000}"/>
    <cellStyle name="SAPBEXheaderText 6" xfId="10995" xr:uid="{00000000-0005-0000-0000-0000FD280000}"/>
    <cellStyle name="SAPBEXheaderText 7" xfId="9044" xr:uid="{00000000-0005-0000-0000-0000FE280000}"/>
    <cellStyle name="SAPBEXheaderText_BOT Summary" xfId="10513" xr:uid="{00000000-0005-0000-0000-0000FF280000}"/>
    <cellStyle name="SAPBEXHLevel0" xfId="75" xr:uid="{00000000-0005-0000-0000-000000290000}"/>
    <cellStyle name="SAPBEXHLevel0 10" xfId="9064" xr:uid="{00000000-0005-0000-0000-000001290000}"/>
    <cellStyle name="SAPBEXHLevel0 10 2" xfId="10277" xr:uid="{00000000-0005-0000-0000-000002290000}"/>
    <cellStyle name="SAPBEXHLevel0 11" xfId="9065" xr:uid="{00000000-0005-0000-0000-000003290000}"/>
    <cellStyle name="SAPBEXHLevel0 11 2" xfId="10278" xr:uid="{00000000-0005-0000-0000-000004290000}"/>
    <cellStyle name="SAPBEXHLevel0 12" xfId="9066" xr:uid="{00000000-0005-0000-0000-000005290000}"/>
    <cellStyle name="SAPBEXHLevel0 12 2" xfId="10279" xr:uid="{00000000-0005-0000-0000-000006290000}"/>
    <cellStyle name="SAPBEXHLevel0 13" xfId="9067" xr:uid="{00000000-0005-0000-0000-000007290000}"/>
    <cellStyle name="SAPBEXHLevel0 13 2" xfId="10280" xr:uid="{00000000-0005-0000-0000-000008290000}"/>
    <cellStyle name="SAPBEXHLevel0 14" xfId="9068" xr:uid="{00000000-0005-0000-0000-000009290000}"/>
    <cellStyle name="SAPBEXHLevel0 14 2" xfId="10281" xr:uid="{00000000-0005-0000-0000-00000A290000}"/>
    <cellStyle name="SAPBEXHLevel0 15" xfId="9685" xr:uid="{00000000-0005-0000-0000-00000B290000}"/>
    <cellStyle name="SAPBEXHLevel0 15 2" xfId="11016" xr:uid="{00000000-0005-0000-0000-00000C290000}"/>
    <cellStyle name="SAPBEXHLevel0 16" xfId="9739" xr:uid="{00000000-0005-0000-0000-00000D290000}"/>
    <cellStyle name="SAPBEXHLevel0 17" xfId="10601" xr:uid="{00000000-0005-0000-0000-00000E290000}"/>
    <cellStyle name="SAPBEXHLevel0 17 2" xfId="11032" xr:uid="{00000000-0005-0000-0000-00000F290000}"/>
    <cellStyle name="SAPBEXHLevel0 18" xfId="10619" xr:uid="{00000000-0005-0000-0000-000010290000}"/>
    <cellStyle name="SAPBEXHLevel0 18 2" xfId="11043" xr:uid="{00000000-0005-0000-0000-000011290000}"/>
    <cellStyle name="SAPBEXHLevel0 19" xfId="10686" xr:uid="{00000000-0005-0000-0000-000012290000}"/>
    <cellStyle name="SAPBEXHLevel0 19 2" xfId="11055" xr:uid="{00000000-0005-0000-0000-000013290000}"/>
    <cellStyle name="SAPBEXHLevel0 2" xfId="9069" xr:uid="{00000000-0005-0000-0000-000014290000}"/>
    <cellStyle name="SAPBEXHLevel0 2 2" xfId="9070" xr:uid="{00000000-0005-0000-0000-000015290000}"/>
    <cellStyle name="SAPBEXHLevel0 2 2 2" xfId="9071" xr:uid="{00000000-0005-0000-0000-000016290000}"/>
    <cellStyle name="SAPBEXHLevel0 2 2 3" xfId="9767" xr:uid="{00000000-0005-0000-0000-000017290000}"/>
    <cellStyle name="SAPBEXHLevel0 2 2_Cap Forecast" xfId="9072" xr:uid="{00000000-0005-0000-0000-000018290000}"/>
    <cellStyle name="SAPBEXHLevel0 2 3" xfId="9073" xr:uid="{00000000-0005-0000-0000-000019290000}"/>
    <cellStyle name="SAPBEXHLevel0 2 3 2" xfId="10282" xr:uid="{00000000-0005-0000-0000-00001A290000}"/>
    <cellStyle name="SAPBEXHLevel0 2 4" xfId="9074" xr:uid="{00000000-0005-0000-0000-00001B290000}"/>
    <cellStyle name="SAPBEXHLevel0 2 5" xfId="9075" xr:uid="{00000000-0005-0000-0000-00001C290000}"/>
    <cellStyle name="SAPBEXHLevel0 2 6" xfId="9766" xr:uid="{00000000-0005-0000-0000-00001D290000}"/>
    <cellStyle name="SAPBEXHLevel0 2_Activity Fcst Variance" xfId="9076" xr:uid="{00000000-0005-0000-0000-00001E290000}"/>
    <cellStyle name="SAPBEXHLevel0 20" xfId="10727" xr:uid="{00000000-0005-0000-0000-00001F290000}"/>
    <cellStyle name="SAPBEXHLevel0 20 2" xfId="11074" xr:uid="{00000000-0005-0000-0000-000020290000}"/>
    <cellStyle name="SAPBEXHLevel0 21" xfId="10711" xr:uid="{00000000-0005-0000-0000-000021290000}"/>
    <cellStyle name="SAPBEXHLevel0 21 2" xfId="11071" xr:uid="{00000000-0005-0000-0000-000022290000}"/>
    <cellStyle name="SAPBEXHLevel0 22" xfId="10737" xr:uid="{00000000-0005-0000-0000-000023290000}"/>
    <cellStyle name="SAPBEXHLevel0 22 2" xfId="11083" xr:uid="{00000000-0005-0000-0000-000024290000}"/>
    <cellStyle name="SAPBEXHLevel0 23" xfId="10825" xr:uid="{00000000-0005-0000-0000-000025290000}"/>
    <cellStyle name="SAPBEXHLevel0 23 2" xfId="11104" xr:uid="{00000000-0005-0000-0000-000026290000}"/>
    <cellStyle name="SAPBEXHLevel0 24" xfId="10799" xr:uid="{00000000-0005-0000-0000-000027290000}"/>
    <cellStyle name="SAPBEXHLevel0 24 2" xfId="11102" xr:uid="{00000000-0005-0000-0000-000028290000}"/>
    <cellStyle name="SAPBEXHLevel0 25" xfId="10838" xr:uid="{00000000-0005-0000-0000-000029290000}"/>
    <cellStyle name="SAPBEXHLevel0 25 2" xfId="11113" xr:uid="{00000000-0005-0000-0000-00002A290000}"/>
    <cellStyle name="SAPBEXHLevel0 26" xfId="10854" xr:uid="{00000000-0005-0000-0000-00002B290000}"/>
    <cellStyle name="SAPBEXHLevel0 26 2" xfId="11124" xr:uid="{00000000-0005-0000-0000-00002C290000}"/>
    <cellStyle name="SAPBEXHLevel0 27" xfId="10869" xr:uid="{00000000-0005-0000-0000-00002D290000}"/>
    <cellStyle name="SAPBEXHLevel0 27 2" xfId="11134" xr:uid="{00000000-0005-0000-0000-00002E290000}"/>
    <cellStyle name="SAPBEXHLevel0 28" xfId="10883" xr:uid="{00000000-0005-0000-0000-00002F290000}"/>
    <cellStyle name="SAPBEXHLevel0 28 2" xfId="11144" xr:uid="{00000000-0005-0000-0000-000030290000}"/>
    <cellStyle name="SAPBEXHLevel0 29" xfId="10897" xr:uid="{00000000-0005-0000-0000-000031290000}"/>
    <cellStyle name="SAPBEXHLevel0 29 2" xfId="11154" xr:uid="{00000000-0005-0000-0000-000032290000}"/>
    <cellStyle name="SAPBEXHLevel0 3" xfId="9077" xr:uid="{00000000-0005-0000-0000-000033290000}"/>
    <cellStyle name="SAPBEXHLevel0 3 2" xfId="9078" xr:uid="{00000000-0005-0000-0000-000034290000}"/>
    <cellStyle name="SAPBEXHLevel0 3 2 2" xfId="9079" xr:uid="{00000000-0005-0000-0000-000035290000}"/>
    <cellStyle name="SAPBEXHLevel0 3 2 3" xfId="9769" xr:uid="{00000000-0005-0000-0000-000036290000}"/>
    <cellStyle name="SAPBEXHLevel0 3 2_Cap Forecast" xfId="9080" xr:uid="{00000000-0005-0000-0000-000037290000}"/>
    <cellStyle name="SAPBEXHLevel0 3 3" xfId="9081" xr:uid="{00000000-0005-0000-0000-000038290000}"/>
    <cellStyle name="SAPBEXHLevel0 3 3 2" xfId="10283" xr:uid="{00000000-0005-0000-0000-000039290000}"/>
    <cellStyle name="SAPBEXHLevel0 3 4" xfId="9768" xr:uid="{00000000-0005-0000-0000-00003A290000}"/>
    <cellStyle name="SAPBEXHLevel0 30" xfId="10910" xr:uid="{00000000-0005-0000-0000-00003B290000}"/>
    <cellStyle name="SAPBEXHLevel0 30 2" xfId="11164" xr:uid="{00000000-0005-0000-0000-00003C290000}"/>
    <cellStyle name="SAPBEXHLevel0 31" xfId="10943" xr:uid="{00000000-0005-0000-0000-00003D290000}"/>
    <cellStyle name="SAPBEXHLevel0 32" xfId="11217" xr:uid="{00000000-0005-0000-0000-00003E290000}"/>
    <cellStyle name="SAPBEXHLevel0 33" xfId="11203" xr:uid="{00000000-0005-0000-0000-00003F290000}"/>
    <cellStyle name="SAPBEXHLevel0 34" xfId="11246" xr:uid="{00000000-0005-0000-0000-000040290000}"/>
    <cellStyle name="SAPBEXHLevel0 35" xfId="11422" xr:uid="{00000000-0005-0000-0000-000041290000}"/>
    <cellStyle name="SAPBEXHLevel0 36" xfId="11402" xr:uid="{00000000-0005-0000-0000-000042290000}"/>
    <cellStyle name="SAPBEXHLevel0 37" xfId="11432" xr:uid="{00000000-0005-0000-0000-000043290000}"/>
    <cellStyle name="SAPBEXHLevel0 38" xfId="11464" xr:uid="{00000000-0005-0000-0000-000044290000}"/>
    <cellStyle name="SAPBEXHLevel0 39" xfId="11575" xr:uid="{00000000-0005-0000-0000-000045290000}"/>
    <cellStyle name="SAPBEXHLevel0 4" xfId="9082" xr:uid="{00000000-0005-0000-0000-000046290000}"/>
    <cellStyle name="SAPBEXHLevel0 4 2" xfId="9083" xr:uid="{00000000-0005-0000-0000-000047290000}"/>
    <cellStyle name="SAPBEXHLevel0 4 2 2" xfId="9771" xr:uid="{00000000-0005-0000-0000-000048290000}"/>
    <cellStyle name="SAPBEXHLevel0 4 3" xfId="9084" xr:uid="{00000000-0005-0000-0000-000049290000}"/>
    <cellStyle name="SAPBEXHLevel0 4 3 2" xfId="10284" xr:uid="{00000000-0005-0000-0000-00004A290000}"/>
    <cellStyle name="SAPBEXHLevel0 4 4" xfId="9085" xr:uid="{00000000-0005-0000-0000-00004B290000}"/>
    <cellStyle name="SAPBEXHLevel0 4 4 2" xfId="10285" xr:uid="{00000000-0005-0000-0000-00004C290000}"/>
    <cellStyle name="SAPBEXHLevel0 4 5" xfId="9086" xr:uid="{00000000-0005-0000-0000-00004D290000}"/>
    <cellStyle name="SAPBEXHLevel0 4 5 2" xfId="10286" xr:uid="{00000000-0005-0000-0000-00004E290000}"/>
    <cellStyle name="SAPBEXHLevel0 4 6" xfId="9770" xr:uid="{00000000-0005-0000-0000-00004F290000}"/>
    <cellStyle name="SAPBEXHLevel0 40" xfId="11702" xr:uid="{00000000-0005-0000-0000-000050290000}"/>
    <cellStyle name="SAPBEXHLevel0 41" xfId="11678" xr:uid="{00000000-0005-0000-0000-000051290000}"/>
    <cellStyle name="SAPBEXHLevel0 42" xfId="11713" xr:uid="{00000000-0005-0000-0000-000052290000}"/>
    <cellStyle name="SAPBEXHLevel0 43" xfId="11729" xr:uid="{00000000-0005-0000-0000-000053290000}"/>
    <cellStyle name="SAPBEXHLevel0 44" xfId="11740" xr:uid="{00000000-0005-0000-0000-000054290000}"/>
    <cellStyle name="SAPBEXHLevel0 45" xfId="11771" xr:uid="{00000000-0005-0000-0000-000055290000}"/>
    <cellStyle name="SAPBEXHLevel0 46" xfId="11822" xr:uid="{00000000-0005-0000-0000-000056290000}"/>
    <cellStyle name="SAPBEXHLevel0 47" xfId="11805" xr:uid="{00000000-0005-0000-0000-000057290000}"/>
    <cellStyle name="SAPBEXHLevel0 48" xfId="110" xr:uid="{00000000-0005-0000-0000-000058290000}"/>
    <cellStyle name="SAPBEXHLevel0 5" xfId="9087" xr:uid="{00000000-0005-0000-0000-000059290000}"/>
    <cellStyle name="SAPBEXHLevel0 5 2" xfId="9088" xr:uid="{00000000-0005-0000-0000-00005A290000}"/>
    <cellStyle name="SAPBEXHLevel0 5 2 2" xfId="10287" xr:uid="{00000000-0005-0000-0000-00005B290000}"/>
    <cellStyle name="SAPBEXHLevel0 5 3" xfId="9772" xr:uid="{00000000-0005-0000-0000-00005C290000}"/>
    <cellStyle name="SAPBEXHLevel0 6" xfId="9089" xr:uid="{00000000-0005-0000-0000-00005D290000}"/>
    <cellStyle name="SAPBEXHLevel0 6 2" xfId="9090" xr:uid="{00000000-0005-0000-0000-00005E290000}"/>
    <cellStyle name="SAPBEXHLevel0 6 2 2" xfId="10288" xr:uid="{00000000-0005-0000-0000-00005F290000}"/>
    <cellStyle name="SAPBEXHLevel0 6 3" xfId="9091" xr:uid="{00000000-0005-0000-0000-000060290000}"/>
    <cellStyle name="SAPBEXHLevel0 6 3 2" xfId="10289" xr:uid="{00000000-0005-0000-0000-000061290000}"/>
    <cellStyle name="SAPBEXHLevel0 6 4" xfId="9859" xr:uid="{00000000-0005-0000-0000-000062290000}"/>
    <cellStyle name="SAPBEXHLevel0 6_Activity Fcst Variance" xfId="9092" xr:uid="{00000000-0005-0000-0000-000063290000}"/>
    <cellStyle name="SAPBEXHLevel0 7" xfId="9093" xr:uid="{00000000-0005-0000-0000-000064290000}"/>
    <cellStyle name="SAPBEXHLevel0 7 2" xfId="9094" xr:uid="{00000000-0005-0000-0000-000065290000}"/>
    <cellStyle name="SAPBEXHLevel0 7 2 2" xfId="10290" xr:uid="{00000000-0005-0000-0000-000066290000}"/>
    <cellStyle name="SAPBEXHLevel0 7 3" xfId="9095" xr:uid="{00000000-0005-0000-0000-000067290000}"/>
    <cellStyle name="SAPBEXHLevel0 7 3 2" xfId="10291" xr:uid="{00000000-0005-0000-0000-000068290000}"/>
    <cellStyle name="SAPBEXHLevel0 7 4" xfId="9096" xr:uid="{00000000-0005-0000-0000-000069290000}"/>
    <cellStyle name="SAPBEXHLevel0 7 4 2" xfId="10292" xr:uid="{00000000-0005-0000-0000-00006A290000}"/>
    <cellStyle name="SAPBEXHLevel0 7 5" xfId="9097" xr:uid="{00000000-0005-0000-0000-00006B290000}"/>
    <cellStyle name="SAPBEXHLevel0 7 5 2" xfId="10293" xr:uid="{00000000-0005-0000-0000-00006C290000}"/>
    <cellStyle name="SAPBEXHLevel0 7 6" xfId="9860" xr:uid="{00000000-0005-0000-0000-00006D290000}"/>
    <cellStyle name="SAPBEXHLevel0 8" xfId="9098" xr:uid="{00000000-0005-0000-0000-00006E290000}"/>
    <cellStyle name="SAPBEXHLevel0 8 2" xfId="9099" xr:uid="{00000000-0005-0000-0000-00006F290000}"/>
    <cellStyle name="SAPBEXHLevel0 8 2 2" xfId="10294" xr:uid="{00000000-0005-0000-0000-000070290000}"/>
    <cellStyle name="SAPBEXHLevel0 8 3" xfId="9100" xr:uid="{00000000-0005-0000-0000-000071290000}"/>
    <cellStyle name="SAPBEXHLevel0 8 3 2" xfId="10295" xr:uid="{00000000-0005-0000-0000-000072290000}"/>
    <cellStyle name="SAPBEXHLevel0 8 4" xfId="9101" xr:uid="{00000000-0005-0000-0000-000073290000}"/>
    <cellStyle name="SAPBEXHLevel0 9" xfId="9102" xr:uid="{00000000-0005-0000-0000-000074290000}"/>
    <cellStyle name="SAPBEXHLevel0 9 2" xfId="9103" xr:uid="{00000000-0005-0000-0000-000075290000}"/>
    <cellStyle name="SAPBEXHLevel0 9 2 2" xfId="10297" xr:uid="{00000000-0005-0000-0000-000076290000}"/>
    <cellStyle name="SAPBEXHLevel0 9 3" xfId="9104" xr:uid="{00000000-0005-0000-0000-000077290000}"/>
    <cellStyle name="SAPBEXHLevel0 9 3 2" xfId="10298" xr:uid="{00000000-0005-0000-0000-000078290000}"/>
    <cellStyle name="SAPBEXHLevel0 9 4" xfId="10296" xr:uid="{00000000-0005-0000-0000-000079290000}"/>
    <cellStyle name="SAPBEXHLevel0_2009 DPMO Controls - Cash Flow 04-20-09 v1.0" xfId="9105" xr:uid="{00000000-0005-0000-0000-00007A290000}"/>
    <cellStyle name="SAPBEXHLevel0X" xfId="76" xr:uid="{00000000-0005-0000-0000-00007B290000}"/>
    <cellStyle name="SAPBEXHLevel0X 10" xfId="9106" xr:uid="{00000000-0005-0000-0000-00007C290000}"/>
    <cellStyle name="SAPBEXHLevel0X 10 2" xfId="9107" xr:uid="{00000000-0005-0000-0000-00007D290000}"/>
    <cellStyle name="SAPBEXHLevel0X 10 2 2" xfId="10300" xr:uid="{00000000-0005-0000-0000-00007E290000}"/>
    <cellStyle name="SAPBEXHLevel0X 10 3" xfId="10299" xr:uid="{00000000-0005-0000-0000-00007F290000}"/>
    <cellStyle name="SAPBEXHLevel0X 11" xfId="9108" xr:uid="{00000000-0005-0000-0000-000080290000}"/>
    <cellStyle name="SAPBEXHLevel0X 11 2" xfId="10301" xr:uid="{00000000-0005-0000-0000-000081290000}"/>
    <cellStyle name="SAPBEXHLevel0X 12" xfId="9109" xr:uid="{00000000-0005-0000-0000-000082290000}"/>
    <cellStyle name="SAPBEXHLevel0X 12 2" xfId="10302" xr:uid="{00000000-0005-0000-0000-000083290000}"/>
    <cellStyle name="SAPBEXHLevel0X 13" xfId="9110" xr:uid="{00000000-0005-0000-0000-000084290000}"/>
    <cellStyle name="SAPBEXHLevel0X 13 2" xfId="10303" xr:uid="{00000000-0005-0000-0000-000085290000}"/>
    <cellStyle name="SAPBEXHLevel0X 14" xfId="9111" xr:uid="{00000000-0005-0000-0000-000086290000}"/>
    <cellStyle name="SAPBEXHLevel0X 14 2" xfId="10304" xr:uid="{00000000-0005-0000-0000-000087290000}"/>
    <cellStyle name="SAPBEXHLevel0X 15" xfId="9686" xr:uid="{00000000-0005-0000-0000-000088290000}"/>
    <cellStyle name="SAPBEXHLevel0X 15 2" xfId="11017" xr:uid="{00000000-0005-0000-0000-000089290000}"/>
    <cellStyle name="SAPBEXHLevel0X 16" xfId="9740" xr:uid="{00000000-0005-0000-0000-00008A290000}"/>
    <cellStyle name="SAPBEXHLevel0X 17" xfId="10602" xr:uid="{00000000-0005-0000-0000-00008B290000}"/>
    <cellStyle name="SAPBEXHLevel0X 17 2" xfId="11033" xr:uid="{00000000-0005-0000-0000-00008C290000}"/>
    <cellStyle name="SAPBEXHLevel0X 18" xfId="10620" xr:uid="{00000000-0005-0000-0000-00008D290000}"/>
    <cellStyle name="SAPBEXHLevel0X 18 2" xfId="11044" xr:uid="{00000000-0005-0000-0000-00008E290000}"/>
    <cellStyle name="SAPBEXHLevel0X 19" xfId="10687" xr:uid="{00000000-0005-0000-0000-00008F290000}"/>
    <cellStyle name="SAPBEXHLevel0X 19 2" xfId="11056" xr:uid="{00000000-0005-0000-0000-000090290000}"/>
    <cellStyle name="SAPBEXHLevel0X 2" xfId="9112" xr:uid="{00000000-0005-0000-0000-000091290000}"/>
    <cellStyle name="SAPBEXHLevel0X 2 2" xfId="9113" xr:uid="{00000000-0005-0000-0000-000092290000}"/>
    <cellStyle name="SAPBEXHLevel0X 2 2 2" xfId="9114" xr:uid="{00000000-0005-0000-0000-000093290000}"/>
    <cellStyle name="SAPBEXHLevel0X 2 2 3" xfId="9774" xr:uid="{00000000-0005-0000-0000-000094290000}"/>
    <cellStyle name="SAPBEXHLevel0X 2 2_Cap Forecast" xfId="9115" xr:uid="{00000000-0005-0000-0000-000095290000}"/>
    <cellStyle name="SAPBEXHLevel0X 2 3" xfId="9116" xr:uid="{00000000-0005-0000-0000-000096290000}"/>
    <cellStyle name="SAPBEXHLevel0X 2 3 2" xfId="10305" xr:uid="{00000000-0005-0000-0000-000097290000}"/>
    <cellStyle name="SAPBEXHLevel0X 2 4" xfId="9117" xr:uid="{00000000-0005-0000-0000-000098290000}"/>
    <cellStyle name="SAPBEXHLevel0X 2 5" xfId="9118" xr:uid="{00000000-0005-0000-0000-000099290000}"/>
    <cellStyle name="SAPBEXHLevel0X 2 6" xfId="9773" xr:uid="{00000000-0005-0000-0000-00009A290000}"/>
    <cellStyle name="SAPBEXHLevel0X 2_Activity Fcst Variance" xfId="9119" xr:uid="{00000000-0005-0000-0000-00009B290000}"/>
    <cellStyle name="SAPBEXHLevel0X 20" xfId="10728" xr:uid="{00000000-0005-0000-0000-00009C290000}"/>
    <cellStyle name="SAPBEXHLevel0X 20 2" xfId="11075" xr:uid="{00000000-0005-0000-0000-00009D290000}"/>
    <cellStyle name="SAPBEXHLevel0X 21" xfId="10710" xr:uid="{00000000-0005-0000-0000-00009E290000}"/>
    <cellStyle name="SAPBEXHLevel0X 21 2" xfId="11070" xr:uid="{00000000-0005-0000-0000-00009F290000}"/>
    <cellStyle name="SAPBEXHLevel0X 22" xfId="10738" xr:uid="{00000000-0005-0000-0000-0000A0290000}"/>
    <cellStyle name="SAPBEXHLevel0X 22 2" xfId="11084" xr:uid="{00000000-0005-0000-0000-0000A1290000}"/>
    <cellStyle name="SAPBEXHLevel0X 23" xfId="10826" xr:uid="{00000000-0005-0000-0000-0000A2290000}"/>
    <cellStyle name="SAPBEXHLevel0X 23 2" xfId="11105" xr:uid="{00000000-0005-0000-0000-0000A3290000}"/>
    <cellStyle name="SAPBEXHLevel0X 24" xfId="10797" xr:uid="{00000000-0005-0000-0000-0000A4290000}"/>
    <cellStyle name="SAPBEXHLevel0X 24 2" xfId="11101" xr:uid="{00000000-0005-0000-0000-0000A5290000}"/>
    <cellStyle name="SAPBEXHLevel0X 25" xfId="10839" xr:uid="{00000000-0005-0000-0000-0000A6290000}"/>
    <cellStyle name="SAPBEXHLevel0X 25 2" xfId="11114" xr:uid="{00000000-0005-0000-0000-0000A7290000}"/>
    <cellStyle name="SAPBEXHLevel0X 26" xfId="10855" xr:uid="{00000000-0005-0000-0000-0000A8290000}"/>
    <cellStyle name="SAPBEXHLevel0X 26 2" xfId="11125" xr:uid="{00000000-0005-0000-0000-0000A9290000}"/>
    <cellStyle name="SAPBEXHLevel0X 27" xfId="10870" xr:uid="{00000000-0005-0000-0000-0000AA290000}"/>
    <cellStyle name="SAPBEXHLevel0X 27 2" xfId="11135" xr:uid="{00000000-0005-0000-0000-0000AB290000}"/>
    <cellStyle name="SAPBEXHLevel0X 28" xfId="10884" xr:uid="{00000000-0005-0000-0000-0000AC290000}"/>
    <cellStyle name="SAPBEXHLevel0X 28 2" xfId="11145" xr:uid="{00000000-0005-0000-0000-0000AD290000}"/>
    <cellStyle name="SAPBEXHLevel0X 29" xfId="10898" xr:uid="{00000000-0005-0000-0000-0000AE290000}"/>
    <cellStyle name="SAPBEXHLevel0X 29 2" xfId="11155" xr:uid="{00000000-0005-0000-0000-0000AF290000}"/>
    <cellStyle name="SAPBEXHLevel0X 3" xfId="9120" xr:uid="{00000000-0005-0000-0000-0000B0290000}"/>
    <cellStyle name="SAPBEXHLevel0X 3 2" xfId="9121" xr:uid="{00000000-0005-0000-0000-0000B1290000}"/>
    <cellStyle name="SAPBEXHLevel0X 3 2 2" xfId="9776" xr:uid="{00000000-0005-0000-0000-0000B2290000}"/>
    <cellStyle name="SAPBEXHLevel0X 3 3" xfId="9122" xr:uid="{00000000-0005-0000-0000-0000B3290000}"/>
    <cellStyle name="SAPBEXHLevel0X 3 3 2" xfId="10306" xr:uid="{00000000-0005-0000-0000-0000B4290000}"/>
    <cellStyle name="SAPBEXHLevel0X 3 4" xfId="9123" xr:uid="{00000000-0005-0000-0000-0000B5290000}"/>
    <cellStyle name="SAPBEXHLevel0X 3 4 2" xfId="10307" xr:uid="{00000000-0005-0000-0000-0000B6290000}"/>
    <cellStyle name="SAPBEXHLevel0X 3 5" xfId="9775" xr:uid="{00000000-0005-0000-0000-0000B7290000}"/>
    <cellStyle name="SAPBEXHLevel0X 30" xfId="10911" xr:uid="{00000000-0005-0000-0000-0000B8290000}"/>
    <cellStyle name="SAPBEXHLevel0X 30 2" xfId="11165" xr:uid="{00000000-0005-0000-0000-0000B9290000}"/>
    <cellStyle name="SAPBEXHLevel0X 31" xfId="11218" xr:uid="{00000000-0005-0000-0000-0000BA290000}"/>
    <cellStyle name="SAPBEXHLevel0X 32" xfId="11202" xr:uid="{00000000-0005-0000-0000-0000BB290000}"/>
    <cellStyle name="SAPBEXHLevel0X 33" xfId="11247" xr:uid="{00000000-0005-0000-0000-0000BC290000}"/>
    <cellStyle name="SAPBEXHLevel0X 34" xfId="11423" xr:uid="{00000000-0005-0000-0000-0000BD290000}"/>
    <cellStyle name="SAPBEXHLevel0X 35" xfId="11399" xr:uid="{00000000-0005-0000-0000-0000BE290000}"/>
    <cellStyle name="SAPBEXHLevel0X 36" xfId="11434" xr:uid="{00000000-0005-0000-0000-0000BF290000}"/>
    <cellStyle name="SAPBEXHLevel0X 37" xfId="11465" xr:uid="{00000000-0005-0000-0000-0000C0290000}"/>
    <cellStyle name="SAPBEXHLevel0X 38" xfId="11576" xr:uid="{00000000-0005-0000-0000-0000C1290000}"/>
    <cellStyle name="SAPBEXHLevel0X 39" xfId="11703" xr:uid="{00000000-0005-0000-0000-0000C2290000}"/>
    <cellStyle name="SAPBEXHLevel0X 4" xfId="9124" xr:uid="{00000000-0005-0000-0000-0000C3290000}"/>
    <cellStyle name="SAPBEXHLevel0X 4 2" xfId="9125" xr:uid="{00000000-0005-0000-0000-0000C4290000}"/>
    <cellStyle name="SAPBEXHLevel0X 4 2 2" xfId="9126" xr:uid="{00000000-0005-0000-0000-0000C5290000}"/>
    <cellStyle name="SAPBEXHLevel0X 4 2 3" xfId="9778" xr:uid="{00000000-0005-0000-0000-0000C6290000}"/>
    <cellStyle name="SAPBEXHLevel0X 4 2_Cap Forecast" xfId="9127" xr:uid="{00000000-0005-0000-0000-0000C7290000}"/>
    <cellStyle name="SAPBEXHLevel0X 4 3" xfId="9128" xr:uid="{00000000-0005-0000-0000-0000C8290000}"/>
    <cellStyle name="SAPBEXHLevel0X 4 4" xfId="9129" xr:uid="{00000000-0005-0000-0000-0000C9290000}"/>
    <cellStyle name="SAPBEXHLevel0X 4 4 2" xfId="10308" xr:uid="{00000000-0005-0000-0000-0000CA290000}"/>
    <cellStyle name="SAPBEXHLevel0X 4 5" xfId="9777" xr:uid="{00000000-0005-0000-0000-0000CB290000}"/>
    <cellStyle name="SAPBEXHLevel0X 40" xfId="11676" xr:uid="{00000000-0005-0000-0000-0000CC290000}"/>
    <cellStyle name="SAPBEXHLevel0X 41" xfId="11715" xr:uid="{00000000-0005-0000-0000-0000CD290000}"/>
    <cellStyle name="SAPBEXHLevel0X 42" xfId="11730" xr:uid="{00000000-0005-0000-0000-0000CE290000}"/>
    <cellStyle name="SAPBEXHLevel0X 43" xfId="11741" xr:uid="{00000000-0005-0000-0000-0000CF290000}"/>
    <cellStyle name="SAPBEXHLevel0X 44" xfId="11772" xr:uid="{00000000-0005-0000-0000-0000D0290000}"/>
    <cellStyle name="SAPBEXHLevel0X 45" xfId="11823" xr:uid="{00000000-0005-0000-0000-0000D1290000}"/>
    <cellStyle name="SAPBEXHLevel0X 46" xfId="11804" xr:uid="{00000000-0005-0000-0000-0000D2290000}"/>
    <cellStyle name="SAPBEXHLevel0X 5" xfId="9130" xr:uid="{00000000-0005-0000-0000-0000D3290000}"/>
    <cellStyle name="SAPBEXHLevel0X 5 2" xfId="9131" xr:uid="{00000000-0005-0000-0000-0000D4290000}"/>
    <cellStyle name="SAPBEXHLevel0X 5 3" xfId="9132" xr:uid="{00000000-0005-0000-0000-0000D5290000}"/>
    <cellStyle name="SAPBEXHLevel0X 5 3 2" xfId="10309" xr:uid="{00000000-0005-0000-0000-0000D6290000}"/>
    <cellStyle name="SAPBEXHLevel0X 5 4" xfId="9779" xr:uid="{00000000-0005-0000-0000-0000D7290000}"/>
    <cellStyle name="SAPBEXHLevel0X 6" xfId="9133" xr:uid="{00000000-0005-0000-0000-0000D8290000}"/>
    <cellStyle name="SAPBEXHLevel0X 6 2" xfId="9134" xr:uid="{00000000-0005-0000-0000-0000D9290000}"/>
    <cellStyle name="SAPBEXHLevel0X 6 2 2" xfId="10310" xr:uid="{00000000-0005-0000-0000-0000DA290000}"/>
    <cellStyle name="SAPBEXHLevel0X 6 3" xfId="9861" xr:uid="{00000000-0005-0000-0000-0000DB290000}"/>
    <cellStyle name="SAPBEXHLevel0X 6_Activity Fcst Variance" xfId="9135" xr:uid="{00000000-0005-0000-0000-0000DC290000}"/>
    <cellStyle name="SAPBEXHLevel0X 7" xfId="9136" xr:uid="{00000000-0005-0000-0000-0000DD290000}"/>
    <cellStyle name="SAPBEXHLevel0X 7 2" xfId="9137" xr:uid="{00000000-0005-0000-0000-0000DE290000}"/>
    <cellStyle name="SAPBEXHLevel0X 7 2 2" xfId="10311" xr:uid="{00000000-0005-0000-0000-0000DF290000}"/>
    <cellStyle name="SAPBEXHLevel0X 7 3" xfId="9138" xr:uid="{00000000-0005-0000-0000-0000E0290000}"/>
    <cellStyle name="SAPBEXHLevel0X 7 3 2" xfId="10312" xr:uid="{00000000-0005-0000-0000-0000E1290000}"/>
    <cellStyle name="SAPBEXHLevel0X 7 4" xfId="9139" xr:uid="{00000000-0005-0000-0000-0000E2290000}"/>
    <cellStyle name="SAPBEXHLevel0X 7 4 2" xfId="10313" xr:uid="{00000000-0005-0000-0000-0000E3290000}"/>
    <cellStyle name="SAPBEXHLevel0X 7 5" xfId="9140" xr:uid="{00000000-0005-0000-0000-0000E4290000}"/>
    <cellStyle name="SAPBEXHLevel0X 7 5 2" xfId="10314" xr:uid="{00000000-0005-0000-0000-0000E5290000}"/>
    <cellStyle name="SAPBEXHLevel0X 7 6" xfId="9862" xr:uid="{00000000-0005-0000-0000-0000E6290000}"/>
    <cellStyle name="SAPBEXHLevel0X 8" xfId="9141" xr:uid="{00000000-0005-0000-0000-0000E7290000}"/>
    <cellStyle name="SAPBEXHLevel0X 8 2" xfId="9142" xr:uid="{00000000-0005-0000-0000-0000E8290000}"/>
    <cellStyle name="SAPBEXHLevel0X 8 2 2" xfId="10316" xr:uid="{00000000-0005-0000-0000-0000E9290000}"/>
    <cellStyle name="SAPBEXHLevel0X 8 3" xfId="9143" xr:uid="{00000000-0005-0000-0000-0000EA290000}"/>
    <cellStyle name="SAPBEXHLevel0X 8 3 2" xfId="10317" xr:uid="{00000000-0005-0000-0000-0000EB290000}"/>
    <cellStyle name="SAPBEXHLevel0X 8 4" xfId="10315" xr:uid="{00000000-0005-0000-0000-0000EC290000}"/>
    <cellStyle name="SAPBEXHLevel0X 9" xfId="9144" xr:uid="{00000000-0005-0000-0000-0000ED290000}"/>
    <cellStyle name="SAPBEXHLevel0X 9 2" xfId="9145" xr:uid="{00000000-0005-0000-0000-0000EE290000}"/>
    <cellStyle name="SAPBEXHLevel0X 9 2 2" xfId="10319" xr:uid="{00000000-0005-0000-0000-0000EF290000}"/>
    <cellStyle name="SAPBEXHLevel0X 9 3" xfId="10318" xr:uid="{00000000-0005-0000-0000-0000F0290000}"/>
    <cellStyle name="SAPBEXHLevel0X_BOT Summary" xfId="10514" xr:uid="{00000000-0005-0000-0000-0000F1290000}"/>
    <cellStyle name="SAPBEXHLevel1" xfId="77" xr:uid="{00000000-0005-0000-0000-0000F2290000}"/>
    <cellStyle name="SAPBEXHLevel1 10" xfId="9146" xr:uid="{00000000-0005-0000-0000-0000F3290000}"/>
    <cellStyle name="SAPBEXHLevel1 10 2" xfId="10320" xr:uid="{00000000-0005-0000-0000-0000F4290000}"/>
    <cellStyle name="SAPBEXHLevel1 11" xfId="9147" xr:uid="{00000000-0005-0000-0000-0000F5290000}"/>
    <cellStyle name="SAPBEXHLevel1 11 2" xfId="10321" xr:uid="{00000000-0005-0000-0000-0000F6290000}"/>
    <cellStyle name="SAPBEXHLevel1 12" xfId="9148" xr:uid="{00000000-0005-0000-0000-0000F7290000}"/>
    <cellStyle name="SAPBEXHLevel1 12 2" xfId="10322" xr:uid="{00000000-0005-0000-0000-0000F8290000}"/>
    <cellStyle name="SAPBEXHLevel1 13" xfId="9149" xr:uid="{00000000-0005-0000-0000-0000F9290000}"/>
    <cellStyle name="SAPBEXHLevel1 13 2" xfId="10323" xr:uid="{00000000-0005-0000-0000-0000FA290000}"/>
    <cellStyle name="SAPBEXHLevel1 14" xfId="9150" xr:uid="{00000000-0005-0000-0000-0000FB290000}"/>
    <cellStyle name="SAPBEXHLevel1 14 2" xfId="10324" xr:uid="{00000000-0005-0000-0000-0000FC290000}"/>
    <cellStyle name="SAPBEXHLevel1 15" xfId="9687" xr:uid="{00000000-0005-0000-0000-0000FD290000}"/>
    <cellStyle name="SAPBEXHLevel1 15 2" xfId="11018" xr:uid="{00000000-0005-0000-0000-0000FE290000}"/>
    <cellStyle name="SAPBEXHLevel1 16" xfId="9741" xr:uid="{00000000-0005-0000-0000-0000FF290000}"/>
    <cellStyle name="SAPBEXHLevel1 17" xfId="10603" xr:uid="{00000000-0005-0000-0000-0000002A0000}"/>
    <cellStyle name="SAPBEXHLevel1 17 2" xfId="11034" xr:uid="{00000000-0005-0000-0000-0000012A0000}"/>
    <cellStyle name="SAPBEXHLevel1 18" xfId="10621" xr:uid="{00000000-0005-0000-0000-0000022A0000}"/>
    <cellStyle name="SAPBEXHLevel1 18 2" xfId="11045" xr:uid="{00000000-0005-0000-0000-0000032A0000}"/>
    <cellStyle name="SAPBEXHLevel1 19" xfId="10688" xr:uid="{00000000-0005-0000-0000-0000042A0000}"/>
    <cellStyle name="SAPBEXHLevel1 19 2" xfId="11057" xr:uid="{00000000-0005-0000-0000-0000052A0000}"/>
    <cellStyle name="SAPBEXHLevel1 2" xfId="9151" xr:uid="{00000000-0005-0000-0000-0000062A0000}"/>
    <cellStyle name="SAPBEXHLevel1 2 2" xfId="9152" xr:uid="{00000000-0005-0000-0000-0000072A0000}"/>
    <cellStyle name="SAPBEXHLevel1 2 2 2" xfId="9153" xr:uid="{00000000-0005-0000-0000-0000082A0000}"/>
    <cellStyle name="SAPBEXHLevel1 2 2 3" xfId="9781" xr:uid="{00000000-0005-0000-0000-0000092A0000}"/>
    <cellStyle name="SAPBEXHLevel1 2 2_Cap Forecast" xfId="9154" xr:uid="{00000000-0005-0000-0000-00000A2A0000}"/>
    <cellStyle name="SAPBEXHLevel1 2 3" xfId="9155" xr:uid="{00000000-0005-0000-0000-00000B2A0000}"/>
    <cellStyle name="SAPBEXHLevel1 2 3 2" xfId="10325" xr:uid="{00000000-0005-0000-0000-00000C2A0000}"/>
    <cellStyle name="SAPBEXHLevel1 2 4" xfId="9156" xr:uid="{00000000-0005-0000-0000-00000D2A0000}"/>
    <cellStyle name="SAPBEXHLevel1 2 5" xfId="9157" xr:uid="{00000000-0005-0000-0000-00000E2A0000}"/>
    <cellStyle name="SAPBEXHLevel1 2 6" xfId="9780" xr:uid="{00000000-0005-0000-0000-00000F2A0000}"/>
    <cellStyle name="SAPBEXHLevel1 2_Activity Fcst Variance" xfId="9158" xr:uid="{00000000-0005-0000-0000-0000102A0000}"/>
    <cellStyle name="SAPBEXHLevel1 20" xfId="10729" xr:uid="{00000000-0005-0000-0000-0000112A0000}"/>
    <cellStyle name="SAPBEXHLevel1 20 2" xfId="11076" xr:uid="{00000000-0005-0000-0000-0000122A0000}"/>
    <cellStyle name="SAPBEXHLevel1 21" xfId="10709" xr:uid="{00000000-0005-0000-0000-0000132A0000}"/>
    <cellStyle name="SAPBEXHLevel1 21 2" xfId="11069" xr:uid="{00000000-0005-0000-0000-0000142A0000}"/>
    <cellStyle name="SAPBEXHLevel1 22" xfId="10739" xr:uid="{00000000-0005-0000-0000-0000152A0000}"/>
    <cellStyle name="SAPBEXHLevel1 22 2" xfId="11085" xr:uid="{00000000-0005-0000-0000-0000162A0000}"/>
    <cellStyle name="SAPBEXHLevel1 23" xfId="10827" xr:uid="{00000000-0005-0000-0000-0000172A0000}"/>
    <cellStyle name="SAPBEXHLevel1 23 2" xfId="11106" xr:uid="{00000000-0005-0000-0000-0000182A0000}"/>
    <cellStyle name="SAPBEXHLevel1 24" xfId="10796" xr:uid="{00000000-0005-0000-0000-0000192A0000}"/>
    <cellStyle name="SAPBEXHLevel1 24 2" xfId="11100" xr:uid="{00000000-0005-0000-0000-00001A2A0000}"/>
    <cellStyle name="SAPBEXHLevel1 25" xfId="10841" xr:uid="{00000000-0005-0000-0000-00001B2A0000}"/>
    <cellStyle name="SAPBEXHLevel1 25 2" xfId="11115" xr:uid="{00000000-0005-0000-0000-00001C2A0000}"/>
    <cellStyle name="SAPBEXHLevel1 26" xfId="10857" xr:uid="{00000000-0005-0000-0000-00001D2A0000}"/>
    <cellStyle name="SAPBEXHLevel1 26 2" xfId="11126" xr:uid="{00000000-0005-0000-0000-00001E2A0000}"/>
    <cellStyle name="SAPBEXHLevel1 27" xfId="10872" xr:uid="{00000000-0005-0000-0000-00001F2A0000}"/>
    <cellStyle name="SAPBEXHLevel1 27 2" xfId="11136" xr:uid="{00000000-0005-0000-0000-0000202A0000}"/>
    <cellStyle name="SAPBEXHLevel1 28" xfId="10886" xr:uid="{00000000-0005-0000-0000-0000212A0000}"/>
    <cellStyle name="SAPBEXHLevel1 28 2" xfId="11146" xr:uid="{00000000-0005-0000-0000-0000222A0000}"/>
    <cellStyle name="SAPBEXHLevel1 29" xfId="10900" xr:uid="{00000000-0005-0000-0000-0000232A0000}"/>
    <cellStyle name="SAPBEXHLevel1 29 2" xfId="11156" xr:uid="{00000000-0005-0000-0000-0000242A0000}"/>
    <cellStyle name="SAPBEXHLevel1 3" xfId="9159" xr:uid="{00000000-0005-0000-0000-0000252A0000}"/>
    <cellStyle name="SAPBEXHLevel1 3 2" xfId="9160" xr:uid="{00000000-0005-0000-0000-0000262A0000}"/>
    <cellStyle name="SAPBEXHLevel1 3 2 2" xfId="9161" xr:uid="{00000000-0005-0000-0000-0000272A0000}"/>
    <cellStyle name="SAPBEXHLevel1 3 2 3" xfId="9783" xr:uid="{00000000-0005-0000-0000-0000282A0000}"/>
    <cellStyle name="SAPBEXHLevel1 3 2_Cap Forecast" xfId="9162" xr:uid="{00000000-0005-0000-0000-0000292A0000}"/>
    <cellStyle name="SAPBEXHLevel1 3 3" xfId="9163" xr:uid="{00000000-0005-0000-0000-00002A2A0000}"/>
    <cellStyle name="SAPBEXHLevel1 3 3 2" xfId="10326" xr:uid="{00000000-0005-0000-0000-00002B2A0000}"/>
    <cellStyle name="SAPBEXHLevel1 3 4" xfId="9782" xr:uid="{00000000-0005-0000-0000-00002C2A0000}"/>
    <cellStyle name="SAPBEXHLevel1 30" xfId="10913" xr:uid="{00000000-0005-0000-0000-00002D2A0000}"/>
    <cellStyle name="SAPBEXHLevel1 30 2" xfId="11166" xr:uid="{00000000-0005-0000-0000-00002E2A0000}"/>
    <cellStyle name="SAPBEXHLevel1 31" xfId="10945" xr:uid="{00000000-0005-0000-0000-00002F2A0000}"/>
    <cellStyle name="SAPBEXHLevel1 32" xfId="11219" xr:uid="{00000000-0005-0000-0000-0000302A0000}"/>
    <cellStyle name="SAPBEXHLevel1 33" xfId="11201" xr:uid="{00000000-0005-0000-0000-0000312A0000}"/>
    <cellStyle name="SAPBEXHLevel1 34" xfId="11248" xr:uid="{00000000-0005-0000-0000-0000322A0000}"/>
    <cellStyle name="SAPBEXHLevel1 35" xfId="11424" xr:uid="{00000000-0005-0000-0000-0000332A0000}"/>
    <cellStyle name="SAPBEXHLevel1 36" xfId="11409" xr:uid="{00000000-0005-0000-0000-0000342A0000}"/>
    <cellStyle name="SAPBEXHLevel1 37" xfId="11435" xr:uid="{00000000-0005-0000-0000-0000352A0000}"/>
    <cellStyle name="SAPBEXHLevel1 38" xfId="11466" xr:uid="{00000000-0005-0000-0000-0000362A0000}"/>
    <cellStyle name="SAPBEXHLevel1 39" xfId="11577" xr:uid="{00000000-0005-0000-0000-0000372A0000}"/>
    <cellStyle name="SAPBEXHLevel1 4" xfId="9164" xr:uid="{00000000-0005-0000-0000-0000382A0000}"/>
    <cellStyle name="SAPBEXHLevel1 4 2" xfId="9165" xr:uid="{00000000-0005-0000-0000-0000392A0000}"/>
    <cellStyle name="SAPBEXHLevel1 4 2 2" xfId="9785" xr:uid="{00000000-0005-0000-0000-00003A2A0000}"/>
    <cellStyle name="SAPBEXHLevel1 4 3" xfId="9166" xr:uid="{00000000-0005-0000-0000-00003B2A0000}"/>
    <cellStyle name="SAPBEXHLevel1 4 3 2" xfId="10327" xr:uid="{00000000-0005-0000-0000-00003C2A0000}"/>
    <cellStyle name="SAPBEXHLevel1 4 4" xfId="9167" xr:uid="{00000000-0005-0000-0000-00003D2A0000}"/>
    <cellStyle name="SAPBEXHLevel1 4 4 2" xfId="10328" xr:uid="{00000000-0005-0000-0000-00003E2A0000}"/>
    <cellStyle name="SAPBEXHLevel1 4 5" xfId="9168" xr:uid="{00000000-0005-0000-0000-00003F2A0000}"/>
    <cellStyle name="SAPBEXHLevel1 4 5 2" xfId="10329" xr:uid="{00000000-0005-0000-0000-0000402A0000}"/>
    <cellStyle name="SAPBEXHLevel1 4 6" xfId="9784" xr:uid="{00000000-0005-0000-0000-0000412A0000}"/>
    <cellStyle name="SAPBEXHLevel1 40" xfId="11704" xr:uid="{00000000-0005-0000-0000-0000422A0000}"/>
    <cellStyle name="SAPBEXHLevel1 41" xfId="11675" xr:uid="{00000000-0005-0000-0000-0000432A0000}"/>
    <cellStyle name="SAPBEXHLevel1 42" xfId="11716" xr:uid="{00000000-0005-0000-0000-0000442A0000}"/>
    <cellStyle name="SAPBEXHLevel1 43" xfId="11745" xr:uid="{00000000-0005-0000-0000-0000452A0000}"/>
    <cellStyle name="SAPBEXHLevel1 44" xfId="11742" xr:uid="{00000000-0005-0000-0000-0000462A0000}"/>
    <cellStyle name="SAPBEXHLevel1 45" xfId="11773" xr:uid="{00000000-0005-0000-0000-0000472A0000}"/>
    <cellStyle name="SAPBEXHLevel1 46" xfId="11824" xr:uid="{00000000-0005-0000-0000-0000482A0000}"/>
    <cellStyle name="SAPBEXHLevel1 47" xfId="11814" xr:uid="{00000000-0005-0000-0000-0000492A0000}"/>
    <cellStyle name="SAPBEXHLevel1 48" xfId="112" xr:uid="{00000000-0005-0000-0000-00004A2A0000}"/>
    <cellStyle name="SAPBEXHLevel1 5" xfId="9169" xr:uid="{00000000-0005-0000-0000-00004B2A0000}"/>
    <cellStyle name="SAPBEXHLevel1 5 2" xfId="9170" xr:uid="{00000000-0005-0000-0000-00004C2A0000}"/>
    <cellStyle name="SAPBEXHLevel1 5 2 2" xfId="10330" xr:uid="{00000000-0005-0000-0000-00004D2A0000}"/>
    <cellStyle name="SAPBEXHLevel1 5 3" xfId="9786" xr:uid="{00000000-0005-0000-0000-00004E2A0000}"/>
    <cellStyle name="SAPBEXHLevel1 6" xfId="9171" xr:uid="{00000000-0005-0000-0000-00004F2A0000}"/>
    <cellStyle name="SAPBEXHLevel1 6 2" xfId="9172" xr:uid="{00000000-0005-0000-0000-0000502A0000}"/>
    <cellStyle name="SAPBEXHLevel1 6 2 2" xfId="10331" xr:uid="{00000000-0005-0000-0000-0000512A0000}"/>
    <cellStyle name="SAPBEXHLevel1 6 3" xfId="9173" xr:uid="{00000000-0005-0000-0000-0000522A0000}"/>
    <cellStyle name="SAPBEXHLevel1 6 3 2" xfId="10332" xr:uid="{00000000-0005-0000-0000-0000532A0000}"/>
    <cellStyle name="SAPBEXHLevel1 6 4" xfId="9863" xr:uid="{00000000-0005-0000-0000-0000542A0000}"/>
    <cellStyle name="SAPBEXHLevel1 6_Activity Fcst Variance" xfId="9174" xr:uid="{00000000-0005-0000-0000-0000552A0000}"/>
    <cellStyle name="SAPBEXHLevel1 7" xfId="9175" xr:uid="{00000000-0005-0000-0000-0000562A0000}"/>
    <cellStyle name="SAPBEXHLevel1 7 2" xfId="9176" xr:uid="{00000000-0005-0000-0000-0000572A0000}"/>
    <cellStyle name="SAPBEXHLevel1 7 2 2" xfId="10333" xr:uid="{00000000-0005-0000-0000-0000582A0000}"/>
    <cellStyle name="SAPBEXHLevel1 7 3" xfId="9177" xr:uid="{00000000-0005-0000-0000-0000592A0000}"/>
    <cellStyle name="SAPBEXHLevel1 7 3 2" xfId="10334" xr:uid="{00000000-0005-0000-0000-00005A2A0000}"/>
    <cellStyle name="SAPBEXHLevel1 7 4" xfId="9178" xr:uid="{00000000-0005-0000-0000-00005B2A0000}"/>
    <cellStyle name="SAPBEXHLevel1 7 4 2" xfId="10335" xr:uid="{00000000-0005-0000-0000-00005C2A0000}"/>
    <cellStyle name="SAPBEXHLevel1 7 5" xfId="9179" xr:uid="{00000000-0005-0000-0000-00005D2A0000}"/>
    <cellStyle name="SAPBEXHLevel1 7 5 2" xfId="10336" xr:uid="{00000000-0005-0000-0000-00005E2A0000}"/>
    <cellStyle name="SAPBEXHLevel1 7 6" xfId="9864" xr:uid="{00000000-0005-0000-0000-00005F2A0000}"/>
    <cellStyle name="SAPBEXHLevel1 8" xfId="9180" xr:uid="{00000000-0005-0000-0000-0000602A0000}"/>
    <cellStyle name="SAPBEXHLevel1 8 2" xfId="9181" xr:uid="{00000000-0005-0000-0000-0000612A0000}"/>
    <cellStyle name="SAPBEXHLevel1 8 2 2" xfId="10337" xr:uid="{00000000-0005-0000-0000-0000622A0000}"/>
    <cellStyle name="SAPBEXHLevel1 8 3" xfId="9182" xr:uid="{00000000-0005-0000-0000-0000632A0000}"/>
    <cellStyle name="SAPBEXHLevel1 8 3 2" xfId="10338" xr:uid="{00000000-0005-0000-0000-0000642A0000}"/>
    <cellStyle name="SAPBEXHLevel1 8 4" xfId="9183" xr:uid="{00000000-0005-0000-0000-0000652A0000}"/>
    <cellStyle name="SAPBEXHLevel1 9" xfId="9184" xr:uid="{00000000-0005-0000-0000-0000662A0000}"/>
    <cellStyle name="SAPBEXHLevel1 9 2" xfId="9185" xr:uid="{00000000-0005-0000-0000-0000672A0000}"/>
    <cellStyle name="SAPBEXHLevel1 9 2 2" xfId="10340" xr:uid="{00000000-0005-0000-0000-0000682A0000}"/>
    <cellStyle name="SAPBEXHLevel1 9 3" xfId="9186" xr:uid="{00000000-0005-0000-0000-0000692A0000}"/>
    <cellStyle name="SAPBEXHLevel1 9 3 2" xfId="10341" xr:uid="{00000000-0005-0000-0000-00006A2A0000}"/>
    <cellStyle name="SAPBEXHLevel1 9 4" xfId="10339" xr:uid="{00000000-0005-0000-0000-00006B2A0000}"/>
    <cellStyle name="SAPBEXHLevel1_2009 DPMO Controls - Cash Flow 04-20-09 v1.0" xfId="9187" xr:uid="{00000000-0005-0000-0000-00006C2A0000}"/>
    <cellStyle name="SAPBEXHLevel1X" xfId="78" xr:uid="{00000000-0005-0000-0000-00006D2A0000}"/>
    <cellStyle name="SAPBEXHLevel1X 10" xfId="9188" xr:uid="{00000000-0005-0000-0000-00006E2A0000}"/>
    <cellStyle name="SAPBEXHLevel1X 10 2" xfId="9189" xr:uid="{00000000-0005-0000-0000-00006F2A0000}"/>
    <cellStyle name="SAPBEXHLevel1X 10 2 2" xfId="10343" xr:uid="{00000000-0005-0000-0000-0000702A0000}"/>
    <cellStyle name="SAPBEXHLevel1X 10 3" xfId="10342" xr:uid="{00000000-0005-0000-0000-0000712A0000}"/>
    <cellStyle name="SAPBEXHLevel1X 11" xfId="9190" xr:uid="{00000000-0005-0000-0000-0000722A0000}"/>
    <cellStyle name="SAPBEXHLevel1X 11 2" xfId="10344" xr:uid="{00000000-0005-0000-0000-0000732A0000}"/>
    <cellStyle name="SAPBEXHLevel1X 12" xfId="9191" xr:uid="{00000000-0005-0000-0000-0000742A0000}"/>
    <cellStyle name="SAPBEXHLevel1X 12 2" xfId="10345" xr:uid="{00000000-0005-0000-0000-0000752A0000}"/>
    <cellStyle name="SAPBEXHLevel1X 13" xfId="9192" xr:uid="{00000000-0005-0000-0000-0000762A0000}"/>
    <cellStyle name="SAPBEXHLevel1X 13 2" xfId="10346" xr:uid="{00000000-0005-0000-0000-0000772A0000}"/>
    <cellStyle name="SAPBEXHLevel1X 14" xfId="9193" xr:uid="{00000000-0005-0000-0000-0000782A0000}"/>
    <cellStyle name="SAPBEXHLevel1X 14 2" xfId="10347" xr:uid="{00000000-0005-0000-0000-0000792A0000}"/>
    <cellStyle name="SAPBEXHLevel1X 15" xfId="9688" xr:uid="{00000000-0005-0000-0000-00007A2A0000}"/>
    <cellStyle name="SAPBEXHLevel1X 15 2" xfId="11019" xr:uid="{00000000-0005-0000-0000-00007B2A0000}"/>
    <cellStyle name="SAPBEXHLevel1X 16" xfId="9742" xr:uid="{00000000-0005-0000-0000-00007C2A0000}"/>
    <cellStyle name="SAPBEXHLevel1X 17" xfId="10604" xr:uid="{00000000-0005-0000-0000-00007D2A0000}"/>
    <cellStyle name="SAPBEXHLevel1X 17 2" xfId="11035" xr:uid="{00000000-0005-0000-0000-00007E2A0000}"/>
    <cellStyle name="SAPBEXHLevel1X 18" xfId="10622" xr:uid="{00000000-0005-0000-0000-00007F2A0000}"/>
    <cellStyle name="SAPBEXHLevel1X 18 2" xfId="11046" xr:uid="{00000000-0005-0000-0000-0000802A0000}"/>
    <cellStyle name="SAPBEXHLevel1X 19" xfId="10689" xr:uid="{00000000-0005-0000-0000-0000812A0000}"/>
    <cellStyle name="SAPBEXHLevel1X 19 2" xfId="11058" xr:uid="{00000000-0005-0000-0000-0000822A0000}"/>
    <cellStyle name="SAPBEXHLevel1X 2" xfId="9194" xr:uid="{00000000-0005-0000-0000-0000832A0000}"/>
    <cellStyle name="SAPBEXHLevel1X 2 2" xfId="9195" xr:uid="{00000000-0005-0000-0000-0000842A0000}"/>
    <cellStyle name="SAPBEXHLevel1X 2 2 2" xfId="9196" xr:uid="{00000000-0005-0000-0000-0000852A0000}"/>
    <cellStyle name="SAPBEXHLevel1X 2 2 3" xfId="9788" xr:uid="{00000000-0005-0000-0000-0000862A0000}"/>
    <cellStyle name="SAPBEXHLevel1X 2 2_Cap Forecast" xfId="9197" xr:uid="{00000000-0005-0000-0000-0000872A0000}"/>
    <cellStyle name="SAPBEXHLevel1X 2 3" xfId="9198" xr:uid="{00000000-0005-0000-0000-0000882A0000}"/>
    <cellStyle name="SAPBEXHLevel1X 2 3 2" xfId="10348" xr:uid="{00000000-0005-0000-0000-0000892A0000}"/>
    <cellStyle name="SAPBEXHLevel1X 2 4" xfId="9199" xr:uid="{00000000-0005-0000-0000-00008A2A0000}"/>
    <cellStyle name="SAPBEXHLevel1X 2 5" xfId="9200" xr:uid="{00000000-0005-0000-0000-00008B2A0000}"/>
    <cellStyle name="SAPBEXHLevel1X 2 6" xfId="9787" xr:uid="{00000000-0005-0000-0000-00008C2A0000}"/>
    <cellStyle name="SAPBEXHLevel1X 2_Activity Fcst Variance" xfId="9201" xr:uid="{00000000-0005-0000-0000-00008D2A0000}"/>
    <cellStyle name="SAPBEXHLevel1X 20" xfId="10730" xr:uid="{00000000-0005-0000-0000-00008E2A0000}"/>
    <cellStyle name="SAPBEXHLevel1X 20 2" xfId="11077" xr:uid="{00000000-0005-0000-0000-00008F2A0000}"/>
    <cellStyle name="SAPBEXHLevel1X 21" xfId="10746" xr:uid="{00000000-0005-0000-0000-0000902A0000}"/>
    <cellStyle name="SAPBEXHLevel1X 21 2" xfId="11090" xr:uid="{00000000-0005-0000-0000-0000912A0000}"/>
    <cellStyle name="SAPBEXHLevel1X 22" xfId="10741" xr:uid="{00000000-0005-0000-0000-0000922A0000}"/>
    <cellStyle name="SAPBEXHLevel1X 22 2" xfId="11086" xr:uid="{00000000-0005-0000-0000-0000932A0000}"/>
    <cellStyle name="SAPBEXHLevel1X 23" xfId="10828" xr:uid="{00000000-0005-0000-0000-0000942A0000}"/>
    <cellStyle name="SAPBEXHLevel1X 23 2" xfId="11107" xr:uid="{00000000-0005-0000-0000-0000952A0000}"/>
    <cellStyle name="SAPBEXHLevel1X 24" xfId="10795" xr:uid="{00000000-0005-0000-0000-0000962A0000}"/>
    <cellStyle name="SAPBEXHLevel1X 24 2" xfId="11099" xr:uid="{00000000-0005-0000-0000-0000972A0000}"/>
    <cellStyle name="SAPBEXHLevel1X 25" xfId="10842" xr:uid="{00000000-0005-0000-0000-0000982A0000}"/>
    <cellStyle name="SAPBEXHLevel1X 25 2" xfId="11116" xr:uid="{00000000-0005-0000-0000-0000992A0000}"/>
    <cellStyle name="SAPBEXHLevel1X 26" xfId="10858" xr:uid="{00000000-0005-0000-0000-00009A2A0000}"/>
    <cellStyle name="SAPBEXHLevel1X 26 2" xfId="11127" xr:uid="{00000000-0005-0000-0000-00009B2A0000}"/>
    <cellStyle name="SAPBEXHLevel1X 27" xfId="10873" xr:uid="{00000000-0005-0000-0000-00009C2A0000}"/>
    <cellStyle name="SAPBEXHLevel1X 27 2" xfId="11137" xr:uid="{00000000-0005-0000-0000-00009D2A0000}"/>
    <cellStyle name="SAPBEXHLevel1X 28" xfId="10887" xr:uid="{00000000-0005-0000-0000-00009E2A0000}"/>
    <cellStyle name="SAPBEXHLevel1X 28 2" xfId="11147" xr:uid="{00000000-0005-0000-0000-00009F2A0000}"/>
    <cellStyle name="SAPBEXHLevel1X 29" xfId="10901" xr:uid="{00000000-0005-0000-0000-0000A02A0000}"/>
    <cellStyle name="SAPBEXHLevel1X 29 2" xfId="11157" xr:uid="{00000000-0005-0000-0000-0000A12A0000}"/>
    <cellStyle name="SAPBEXHLevel1X 3" xfId="9202" xr:uid="{00000000-0005-0000-0000-0000A22A0000}"/>
    <cellStyle name="SAPBEXHLevel1X 3 2" xfId="9203" xr:uid="{00000000-0005-0000-0000-0000A32A0000}"/>
    <cellStyle name="SAPBEXHLevel1X 3 2 2" xfId="9790" xr:uid="{00000000-0005-0000-0000-0000A42A0000}"/>
    <cellStyle name="SAPBEXHLevel1X 3 3" xfId="9204" xr:uid="{00000000-0005-0000-0000-0000A52A0000}"/>
    <cellStyle name="SAPBEXHLevel1X 3 3 2" xfId="10349" xr:uid="{00000000-0005-0000-0000-0000A62A0000}"/>
    <cellStyle name="SAPBEXHLevel1X 3 4" xfId="9205" xr:uid="{00000000-0005-0000-0000-0000A72A0000}"/>
    <cellStyle name="SAPBEXHLevel1X 3 4 2" xfId="10350" xr:uid="{00000000-0005-0000-0000-0000A82A0000}"/>
    <cellStyle name="SAPBEXHLevel1X 3 5" xfId="9789" xr:uid="{00000000-0005-0000-0000-0000A92A0000}"/>
    <cellStyle name="SAPBEXHLevel1X 30" xfId="10914" xr:uid="{00000000-0005-0000-0000-0000AA2A0000}"/>
    <cellStyle name="SAPBEXHLevel1X 30 2" xfId="11167" xr:uid="{00000000-0005-0000-0000-0000AB2A0000}"/>
    <cellStyle name="SAPBEXHLevel1X 31" xfId="11220" xr:uid="{00000000-0005-0000-0000-0000AC2A0000}"/>
    <cellStyle name="SAPBEXHLevel1X 32" xfId="11230" xr:uid="{00000000-0005-0000-0000-0000AD2A0000}"/>
    <cellStyle name="SAPBEXHLevel1X 33" xfId="11249" xr:uid="{00000000-0005-0000-0000-0000AE2A0000}"/>
    <cellStyle name="SAPBEXHLevel1X 34" xfId="11425" xr:uid="{00000000-0005-0000-0000-0000AF2A0000}"/>
    <cellStyle name="SAPBEXHLevel1X 35" xfId="11439" xr:uid="{00000000-0005-0000-0000-0000B02A0000}"/>
    <cellStyle name="SAPBEXHLevel1X 36" xfId="11436" xr:uid="{00000000-0005-0000-0000-0000B12A0000}"/>
    <cellStyle name="SAPBEXHLevel1X 37" xfId="11467" xr:uid="{00000000-0005-0000-0000-0000B22A0000}"/>
    <cellStyle name="SAPBEXHLevel1X 38" xfId="11578" xr:uid="{00000000-0005-0000-0000-0000B32A0000}"/>
    <cellStyle name="SAPBEXHLevel1X 39" xfId="11705" xr:uid="{00000000-0005-0000-0000-0000B42A0000}"/>
    <cellStyle name="SAPBEXHLevel1X 4" xfId="9206" xr:uid="{00000000-0005-0000-0000-0000B52A0000}"/>
    <cellStyle name="SAPBEXHLevel1X 4 2" xfId="9207" xr:uid="{00000000-0005-0000-0000-0000B62A0000}"/>
    <cellStyle name="SAPBEXHLevel1X 4 2 2" xfId="9208" xr:uid="{00000000-0005-0000-0000-0000B72A0000}"/>
    <cellStyle name="SAPBEXHLevel1X 4 2 3" xfId="9792" xr:uid="{00000000-0005-0000-0000-0000B82A0000}"/>
    <cellStyle name="SAPBEXHLevel1X 4 2_Cap Forecast" xfId="9209" xr:uid="{00000000-0005-0000-0000-0000B92A0000}"/>
    <cellStyle name="SAPBEXHLevel1X 4 3" xfId="9210" xr:uid="{00000000-0005-0000-0000-0000BA2A0000}"/>
    <cellStyle name="SAPBEXHLevel1X 4 4" xfId="9211" xr:uid="{00000000-0005-0000-0000-0000BB2A0000}"/>
    <cellStyle name="SAPBEXHLevel1X 4 4 2" xfId="10351" xr:uid="{00000000-0005-0000-0000-0000BC2A0000}"/>
    <cellStyle name="SAPBEXHLevel1X 4 5" xfId="9791" xr:uid="{00000000-0005-0000-0000-0000BD2A0000}"/>
    <cellStyle name="SAPBEXHLevel1X 40" xfId="11674" xr:uid="{00000000-0005-0000-0000-0000BE2A0000}"/>
    <cellStyle name="SAPBEXHLevel1X 41" xfId="11717" xr:uid="{00000000-0005-0000-0000-0000BF2A0000}"/>
    <cellStyle name="SAPBEXHLevel1X 42" xfId="11746" xr:uid="{00000000-0005-0000-0000-0000C02A0000}"/>
    <cellStyle name="SAPBEXHLevel1X 43" xfId="11756" xr:uid="{00000000-0005-0000-0000-0000C12A0000}"/>
    <cellStyle name="SAPBEXHLevel1X 44" xfId="11774" xr:uid="{00000000-0005-0000-0000-0000C22A0000}"/>
    <cellStyle name="SAPBEXHLevel1X 45" xfId="11825" xr:uid="{00000000-0005-0000-0000-0000C32A0000}"/>
    <cellStyle name="SAPBEXHLevel1X 46" xfId="11813" xr:uid="{00000000-0005-0000-0000-0000C42A0000}"/>
    <cellStyle name="SAPBEXHLevel1X 5" xfId="9212" xr:uid="{00000000-0005-0000-0000-0000C52A0000}"/>
    <cellStyle name="SAPBEXHLevel1X 5 2" xfId="9213" xr:uid="{00000000-0005-0000-0000-0000C62A0000}"/>
    <cellStyle name="SAPBEXHLevel1X 5 3" xfId="9214" xr:uid="{00000000-0005-0000-0000-0000C72A0000}"/>
    <cellStyle name="SAPBEXHLevel1X 5 3 2" xfId="10352" xr:uid="{00000000-0005-0000-0000-0000C82A0000}"/>
    <cellStyle name="SAPBEXHLevel1X 5 4" xfId="9793" xr:uid="{00000000-0005-0000-0000-0000C92A0000}"/>
    <cellStyle name="SAPBEXHLevel1X 6" xfId="9215" xr:uid="{00000000-0005-0000-0000-0000CA2A0000}"/>
    <cellStyle name="SAPBEXHLevel1X 6 2" xfId="9216" xr:uid="{00000000-0005-0000-0000-0000CB2A0000}"/>
    <cellStyle name="SAPBEXHLevel1X 6 2 2" xfId="10353" xr:uid="{00000000-0005-0000-0000-0000CC2A0000}"/>
    <cellStyle name="SAPBEXHLevel1X 6 3" xfId="9865" xr:uid="{00000000-0005-0000-0000-0000CD2A0000}"/>
    <cellStyle name="SAPBEXHLevel1X 6_Activity Fcst Variance" xfId="9217" xr:uid="{00000000-0005-0000-0000-0000CE2A0000}"/>
    <cellStyle name="SAPBEXHLevel1X 7" xfId="9218" xr:uid="{00000000-0005-0000-0000-0000CF2A0000}"/>
    <cellStyle name="SAPBEXHLevel1X 7 2" xfId="9219" xr:uid="{00000000-0005-0000-0000-0000D02A0000}"/>
    <cellStyle name="SAPBEXHLevel1X 7 2 2" xfId="10354" xr:uid="{00000000-0005-0000-0000-0000D12A0000}"/>
    <cellStyle name="SAPBEXHLevel1X 7 3" xfId="9220" xr:uid="{00000000-0005-0000-0000-0000D22A0000}"/>
    <cellStyle name="SAPBEXHLevel1X 7 3 2" xfId="10355" xr:uid="{00000000-0005-0000-0000-0000D32A0000}"/>
    <cellStyle name="SAPBEXHLevel1X 7 4" xfId="9221" xr:uid="{00000000-0005-0000-0000-0000D42A0000}"/>
    <cellStyle name="SAPBEXHLevel1X 7 4 2" xfId="10356" xr:uid="{00000000-0005-0000-0000-0000D52A0000}"/>
    <cellStyle name="SAPBEXHLevel1X 7 5" xfId="9222" xr:uid="{00000000-0005-0000-0000-0000D62A0000}"/>
    <cellStyle name="SAPBEXHLevel1X 7 5 2" xfId="10357" xr:uid="{00000000-0005-0000-0000-0000D72A0000}"/>
    <cellStyle name="SAPBEXHLevel1X 7 6" xfId="9866" xr:uid="{00000000-0005-0000-0000-0000D82A0000}"/>
    <cellStyle name="SAPBEXHLevel1X 8" xfId="9223" xr:uid="{00000000-0005-0000-0000-0000D92A0000}"/>
    <cellStyle name="SAPBEXHLevel1X 8 2" xfId="9224" xr:uid="{00000000-0005-0000-0000-0000DA2A0000}"/>
    <cellStyle name="SAPBEXHLevel1X 8 2 2" xfId="10359" xr:uid="{00000000-0005-0000-0000-0000DB2A0000}"/>
    <cellStyle name="SAPBEXHLevel1X 8 3" xfId="9225" xr:uid="{00000000-0005-0000-0000-0000DC2A0000}"/>
    <cellStyle name="SAPBEXHLevel1X 8 3 2" xfId="10360" xr:uid="{00000000-0005-0000-0000-0000DD2A0000}"/>
    <cellStyle name="SAPBEXHLevel1X 8 4" xfId="10358" xr:uid="{00000000-0005-0000-0000-0000DE2A0000}"/>
    <cellStyle name="SAPBEXHLevel1X 9" xfId="9226" xr:uid="{00000000-0005-0000-0000-0000DF2A0000}"/>
    <cellStyle name="SAPBEXHLevel1X 9 2" xfId="9227" xr:uid="{00000000-0005-0000-0000-0000E02A0000}"/>
    <cellStyle name="SAPBEXHLevel1X 9 2 2" xfId="10362" xr:uid="{00000000-0005-0000-0000-0000E12A0000}"/>
    <cellStyle name="SAPBEXHLevel1X 9 3" xfId="10361" xr:uid="{00000000-0005-0000-0000-0000E22A0000}"/>
    <cellStyle name="SAPBEXHLevel1X_BOT Summary" xfId="10515" xr:uid="{00000000-0005-0000-0000-0000E32A0000}"/>
    <cellStyle name="SAPBEXHLevel2" xfId="79" xr:uid="{00000000-0005-0000-0000-0000E42A0000}"/>
    <cellStyle name="SAPBEXHLevel2 10" xfId="9228" xr:uid="{00000000-0005-0000-0000-0000E52A0000}"/>
    <cellStyle name="SAPBEXHLevel2 10 2" xfId="10363" xr:uid="{00000000-0005-0000-0000-0000E62A0000}"/>
    <cellStyle name="SAPBEXHLevel2 11" xfId="9229" xr:uid="{00000000-0005-0000-0000-0000E72A0000}"/>
    <cellStyle name="SAPBEXHLevel2 11 2" xfId="10364" xr:uid="{00000000-0005-0000-0000-0000E82A0000}"/>
    <cellStyle name="SAPBEXHLevel2 12" xfId="9230" xr:uid="{00000000-0005-0000-0000-0000E92A0000}"/>
    <cellStyle name="SAPBEXHLevel2 12 2" xfId="10365" xr:uid="{00000000-0005-0000-0000-0000EA2A0000}"/>
    <cellStyle name="SAPBEXHLevel2 13" xfId="9231" xr:uid="{00000000-0005-0000-0000-0000EB2A0000}"/>
    <cellStyle name="SAPBEXHLevel2 13 2" xfId="10366" xr:uid="{00000000-0005-0000-0000-0000EC2A0000}"/>
    <cellStyle name="SAPBEXHLevel2 14" xfId="9232" xr:uid="{00000000-0005-0000-0000-0000ED2A0000}"/>
    <cellStyle name="SAPBEXHLevel2 14 2" xfId="10367" xr:uid="{00000000-0005-0000-0000-0000EE2A0000}"/>
    <cellStyle name="SAPBEXHLevel2 15" xfId="9689" xr:uid="{00000000-0005-0000-0000-0000EF2A0000}"/>
    <cellStyle name="SAPBEXHLevel2 15 2" xfId="11020" xr:uid="{00000000-0005-0000-0000-0000F02A0000}"/>
    <cellStyle name="SAPBEXHLevel2 16" xfId="9743" xr:uid="{00000000-0005-0000-0000-0000F12A0000}"/>
    <cellStyle name="SAPBEXHLevel2 17" xfId="10605" xr:uid="{00000000-0005-0000-0000-0000F22A0000}"/>
    <cellStyle name="SAPBEXHLevel2 17 2" xfId="11036" xr:uid="{00000000-0005-0000-0000-0000F32A0000}"/>
    <cellStyle name="SAPBEXHLevel2 18" xfId="10623" xr:uid="{00000000-0005-0000-0000-0000F42A0000}"/>
    <cellStyle name="SAPBEXHLevel2 18 2" xfId="11047" xr:uid="{00000000-0005-0000-0000-0000F52A0000}"/>
    <cellStyle name="SAPBEXHLevel2 19" xfId="10690" xr:uid="{00000000-0005-0000-0000-0000F62A0000}"/>
    <cellStyle name="SAPBEXHLevel2 19 2" xfId="11059" xr:uid="{00000000-0005-0000-0000-0000F72A0000}"/>
    <cellStyle name="SAPBEXHLevel2 2" xfId="9233" xr:uid="{00000000-0005-0000-0000-0000F82A0000}"/>
    <cellStyle name="SAPBEXHLevel2 2 2" xfId="9234" xr:uid="{00000000-0005-0000-0000-0000F92A0000}"/>
    <cellStyle name="SAPBEXHLevel2 2 2 2" xfId="9235" xr:uid="{00000000-0005-0000-0000-0000FA2A0000}"/>
    <cellStyle name="SAPBEXHLevel2 2 2 3" xfId="9795" xr:uid="{00000000-0005-0000-0000-0000FB2A0000}"/>
    <cellStyle name="SAPBEXHLevel2 2 2_Cap Forecast" xfId="9236" xr:uid="{00000000-0005-0000-0000-0000FC2A0000}"/>
    <cellStyle name="SAPBEXHLevel2 2 3" xfId="9237" xr:uid="{00000000-0005-0000-0000-0000FD2A0000}"/>
    <cellStyle name="SAPBEXHLevel2 2 3 2" xfId="10368" xr:uid="{00000000-0005-0000-0000-0000FE2A0000}"/>
    <cellStyle name="SAPBEXHLevel2 2 4" xfId="9238" xr:uid="{00000000-0005-0000-0000-0000FF2A0000}"/>
    <cellStyle name="SAPBEXHLevel2 2 5" xfId="9239" xr:uid="{00000000-0005-0000-0000-0000002B0000}"/>
    <cellStyle name="SAPBEXHLevel2 2 6" xfId="9794" xr:uid="{00000000-0005-0000-0000-0000012B0000}"/>
    <cellStyle name="SAPBEXHLevel2 2_Activity Fcst Variance" xfId="9240" xr:uid="{00000000-0005-0000-0000-0000022B0000}"/>
    <cellStyle name="SAPBEXHLevel2 20" xfId="10731" xr:uid="{00000000-0005-0000-0000-0000032B0000}"/>
    <cellStyle name="SAPBEXHLevel2 20 2" xfId="11078" xr:uid="{00000000-0005-0000-0000-0000042B0000}"/>
    <cellStyle name="SAPBEXHLevel2 21" xfId="10747" xr:uid="{00000000-0005-0000-0000-0000052B0000}"/>
    <cellStyle name="SAPBEXHLevel2 21 2" xfId="11091" xr:uid="{00000000-0005-0000-0000-0000062B0000}"/>
    <cellStyle name="SAPBEXHLevel2 22" xfId="10742" xr:uid="{00000000-0005-0000-0000-0000072B0000}"/>
    <cellStyle name="SAPBEXHLevel2 22 2" xfId="11087" xr:uid="{00000000-0005-0000-0000-0000082B0000}"/>
    <cellStyle name="SAPBEXHLevel2 23" xfId="10829" xr:uid="{00000000-0005-0000-0000-0000092B0000}"/>
    <cellStyle name="SAPBEXHLevel2 23 2" xfId="11108" xr:uid="{00000000-0005-0000-0000-00000A2B0000}"/>
    <cellStyle name="SAPBEXHLevel2 24" xfId="10846" xr:uid="{00000000-0005-0000-0000-00000B2B0000}"/>
    <cellStyle name="SAPBEXHLevel2 24 2" xfId="11119" xr:uid="{00000000-0005-0000-0000-00000C2B0000}"/>
    <cellStyle name="SAPBEXHLevel2 25" xfId="10843" xr:uid="{00000000-0005-0000-0000-00000D2B0000}"/>
    <cellStyle name="SAPBEXHLevel2 25 2" xfId="11117" xr:uid="{00000000-0005-0000-0000-00000E2B0000}"/>
    <cellStyle name="SAPBEXHLevel2 26" xfId="10859" xr:uid="{00000000-0005-0000-0000-00000F2B0000}"/>
    <cellStyle name="SAPBEXHLevel2 26 2" xfId="11128" xr:uid="{00000000-0005-0000-0000-0000102B0000}"/>
    <cellStyle name="SAPBEXHLevel2 27" xfId="10874" xr:uid="{00000000-0005-0000-0000-0000112B0000}"/>
    <cellStyle name="SAPBEXHLevel2 27 2" xfId="11138" xr:uid="{00000000-0005-0000-0000-0000122B0000}"/>
    <cellStyle name="SAPBEXHLevel2 28" xfId="10888" xr:uid="{00000000-0005-0000-0000-0000132B0000}"/>
    <cellStyle name="SAPBEXHLevel2 28 2" xfId="11148" xr:uid="{00000000-0005-0000-0000-0000142B0000}"/>
    <cellStyle name="SAPBEXHLevel2 29" xfId="10902" xr:uid="{00000000-0005-0000-0000-0000152B0000}"/>
    <cellStyle name="SAPBEXHLevel2 29 2" xfId="11158" xr:uid="{00000000-0005-0000-0000-0000162B0000}"/>
    <cellStyle name="SAPBEXHLevel2 3" xfId="9241" xr:uid="{00000000-0005-0000-0000-0000172B0000}"/>
    <cellStyle name="SAPBEXHLevel2 3 2" xfId="9242" xr:uid="{00000000-0005-0000-0000-0000182B0000}"/>
    <cellStyle name="SAPBEXHLevel2 3 2 2" xfId="9243" xr:uid="{00000000-0005-0000-0000-0000192B0000}"/>
    <cellStyle name="SAPBEXHLevel2 3 2 3" xfId="9797" xr:uid="{00000000-0005-0000-0000-00001A2B0000}"/>
    <cellStyle name="SAPBEXHLevel2 3 2_Cap Forecast" xfId="9244" xr:uid="{00000000-0005-0000-0000-00001B2B0000}"/>
    <cellStyle name="SAPBEXHLevel2 3 3" xfId="9245" xr:uid="{00000000-0005-0000-0000-00001C2B0000}"/>
    <cellStyle name="SAPBEXHLevel2 3 3 2" xfId="10369" xr:uid="{00000000-0005-0000-0000-00001D2B0000}"/>
    <cellStyle name="SAPBEXHLevel2 3 4" xfId="9796" xr:uid="{00000000-0005-0000-0000-00001E2B0000}"/>
    <cellStyle name="SAPBEXHLevel2 30" xfId="10915" xr:uid="{00000000-0005-0000-0000-00001F2B0000}"/>
    <cellStyle name="SAPBEXHLevel2 30 2" xfId="11168" xr:uid="{00000000-0005-0000-0000-0000202B0000}"/>
    <cellStyle name="SAPBEXHLevel2 31" xfId="10946" xr:uid="{00000000-0005-0000-0000-0000212B0000}"/>
    <cellStyle name="SAPBEXHLevel2 32" xfId="11221" xr:uid="{00000000-0005-0000-0000-0000222B0000}"/>
    <cellStyle name="SAPBEXHLevel2 33" xfId="11231" xr:uid="{00000000-0005-0000-0000-0000232B0000}"/>
    <cellStyle name="SAPBEXHLevel2 34" xfId="11250" xr:uid="{00000000-0005-0000-0000-0000242B0000}"/>
    <cellStyle name="SAPBEXHLevel2 35" xfId="11426" xr:uid="{00000000-0005-0000-0000-0000252B0000}"/>
    <cellStyle name="SAPBEXHLevel2 36" xfId="11440" xr:uid="{00000000-0005-0000-0000-0000262B0000}"/>
    <cellStyle name="SAPBEXHLevel2 37" xfId="11449" xr:uid="{00000000-0005-0000-0000-0000272B0000}"/>
    <cellStyle name="SAPBEXHLevel2 38" xfId="11468" xr:uid="{00000000-0005-0000-0000-0000282B0000}"/>
    <cellStyle name="SAPBEXHLevel2 39" xfId="11579" xr:uid="{00000000-0005-0000-0000-0000292B0000}"/>
    <cellStyle name="SAPBEXHLevel2 4" xfId="9246" xr:uid="{00000000-0005-0000-0000-00002A2B0000}"/>
    <cellStyle name="SAPBEXHLevel2 4 2" xfId="9247" xr:uid="{00000000-0005-0000-0000-00002B2B0000}"/>
    <cellStyle name="SAPBEXHLevel2 4 2 2" xfId="9799" xr:uid="{00000000-0005-0000-0000-00002C2B0000}"/>
    <cellStyle name="SAPBEXHLevel2 4 3" xfId="9248" xr:uid="{00000000-0005-0000-0000-00002D2B0000}"/>
    <cellStyle name="SAPBEXHLevel2 4 3 2" xfId="10370" xr:uid="{00000000-0005-0000-0000-00002E2B0000}"/>
    <cellStyle name="SAPBEXHLevel2 4 4" xfId="9249" xr:uid="{00000000-0005-0000-0000-00002F2B0000}"/>
    <cellStyle name="SAPBEXHLevel2 4 4 2" xfId="10371" xr:uid="{00000000-0005-0000-0000-0000302B0000}"/>
    <cellStyle name="SAPBEXHLevel2 4 5" xfId="9250" xr:uid="{00000000-0005-0000-0000-0000312B0000}"/>
    <cellStyle name="SAPBEXHLevel2 4 5 2" xfId="10372" xr:uid="{00000000-0005-0000-0000-0000322B0000}"/>
    <cellStyle name="SAPBEXHLevel2 4 6" xfId="9798" xr:uid="{00000000-0005-0000-0000-0000332B0000}"/>
    <cellStyle name="SAPBEXHLevel2 40" xfId="11706" xr:uid="{00000000-0005-0000-0000-0000342B0000}"/>
    <cellStyle name="SAPBEXHLevel2 41" xfId="11720" xr:uid="{00000000-0005-0000-0000-0000352B0000}"/>
    <cellStyle name="SAPBEXHLevel2 42" xfId="11733" xr:uid="{00000000-0005-0000-0000-0000362B0000}"/>
    <cellStyle name="SAPBEXHLevel2 43" xfId="11747" xr:uid="{00000000-0005-0000-0000-0000372B0000}"/>
    <cellStyle name="SAPBEXHLevel2 44" xfId="11757" xr:uid="{00000000-0005-0000-0000-0000382B0000}"/>
    <cellStyle name="SAPBEXHLevel2 45" xfId="11775" xr:uid="{00000000-0005-0000-0000-0000392B0000}"/>
    <cellStyle name="SAPBEXHLevel2 46" xfId="11826" xr:uid="{00000000-0005-0000-0000-00003A2B0000}"/>
    <cellStyle name="SAPBEXHLevel2 47" xfId="11835" xr:uid="{00000000-0005-0000-0000-00003B2B0000}"/>
    <cellStyle name="SAPBEXHLevel2 48" xfId="113" xr:uid="{00000000-0005-0000-0000-00003C2B0000}"/>
    <cellStyle name="SAPBEXHLevel2 5" xfId="9251" xr:uid="{00000000-0005-0000-0000-00003D2B0000}"/>
    <cellStyle name="SAPBEXHLevel2 5 2" xfId="9252" xr:uid="{00000000-0005-0000-0000-00003E2B0000}"/>
    <cellStyle name="SAPBEXHLevel2 5 2 2" xfId="10373" xr:uid="{00000000-0005-0000-0000-00003F2B0000}"/>
    <cellStyle name="SAPBEXHLevel2 5 3" xfId="9800" xr:uid="{00000000-0005-0000-0000-0000402B0000}"/>
    <cellStyle name="SAPBEXHLevel2 6" xfId="9253" xr:uid="{00000000-0005-0000-0000-0000412B0000}"/>
    <cellStyle name="SAPBEXHLevel2 6 2" xfId="9254" xr:uid="{00000000-0005-0000-0000-0000422B0000}"/>
    <cellStyle name="SAPBEXHLevel2 6 2 2" xfId="10374" xr:uid="{00000000-0005-0000-0000-0000432B0000}"/>
    <cellStyle name="SAPBEXHLevel2 6 3" xfId="9255" xr:uid="{00000000-0005-0000-0000-0000442B0000}"/>
    <cellStyle name="SAPBEXHLevel2 6 3 2" xfId="10375" xr:uid="{00000000-0005-0000-0000-0000452B0000}"/>
    <cellStyle name="SAPBEXHLevel2 6 4" xfId="9867" xr:uid="{00000000-0005-0000-0000-0000462B0000}"/>
    <cellStyle name="SAPBEXHLevel2 6_Activity Fcst Variance" xfId="9256" xr:uid="{00000000-0005-0000-0000-0000472B0000}"/>
    <cellStyle name="SAPBEXHLevel2 7" xfId="9257" xr:uid="{00000000-0005-0000-0000-0000482B0000}"/>
    <cellStyle name="SAPBEXHLevel2 7 2" xfId="9258" xr:uid="{00000000-0005-0000-0000-0000492B0000}"/>
    <cellStyle name="SAPBEXHLevel2 7 2 2" xfId="10376" xr:uid="{00000000-0005-0000-0000-00004A2B0000}"/>
    <cellStyle name="SAPBEXHLevel2 7 3" xfId="9259" xr:uid="{00000000-0005-0000-0000-00004B2B0000}"/>
    <cellStyle name="SAPBEXHLevel2 7 3 2" xfId="10377" xr:uid="{00000000-0005-0000-0000-00004C2B0000}"/>
    <cellStyle name="SAPBEXHLevel2 7 4" xfId="9260" xr:uid="{00000000-0005-0000-0000-00004D2B0000}"/>
    <cellStyle name="SAPBEXHLevel2 7 4 2" xfId="10378" xr:uid="{00000000-0005-0000-0000-00004E2B0000}"/>
    <cellStyle name="SAPBEXHLevel2 7 5" xfId="9261" xr:uid="{00000000-0005-0000-0000-00004F2B0000}"/>
    <cellStyle name="SAPBEXHLevel2 7 5 2" xfId="10379" xr:uid="{00000000-0005-0000-0000-0000502B0000}"/>
    <cellStyle name="SAPBEXHLevel2 7 6" xfId="9868" xr:uid="{00000000-0005-0000-0000-0000512B0000}"/>
    <cellStyle name="SAPBEXHLevel2 8" xfId="9262" xr:uid="{00000000-0005-0000-0000-0000522B0000}"/>
    <cellStyle name="SAPBEXHLevel2 8 2" xfId="9263" xr:uid="{00000000-0005-0000-0000-0000532B0000}"/>
    <cellStyle name="SAPBEXHLevel2 8 2 2" xfId="10380" xr:uid="{00000000-0005-0000-0000-0000542B0000}"/>
    <cellStyle name="SAPBEXHLevel2 8 3" xfId="9264" xr:uid="{00000000-0005-0000-0000-0000552B0000}"/>
    <cellStyle name="SAPBEXHLevel2 8 3 2" xfId="10381" xr:uid="{00000000-0005-0000-0000-0000562B0000}"/>
    <cellStyle name="SAPBEXHLevel2 8 4" xfId="9265" xr:uid="{00000000-0005-0000-0000-0000572B0000}"/>
    <cellStyle name="SAPBEXHLevel2 9" xfId="9266" xr:uid="{00000000-0005-0000-0000-0000582B0000}"/>
    <cellStyle name="SAPBEXHLevel2 9 2" xfId="9267" xr:uid="{00000000-0005-0000-0000-0000592B0000}"/>
    <cellStyle name="SAPBEXHLevel2 9 2 2" xfId="10383" xr:uid="{00000000-0005-0000-0000-00005A2B0000}"/>
    <cellStyle name="SAPBEXHLevel2 9 3" xfId="9268" xr:uid="{00000000-0005-0000-0000-00005B2B0000}"/>
    <cellStyle name="SAPBEXHLevel2 9 3 2" xfId="10384" xr:uid="{00000000-0005-0000-0000-00005C2B0000}"/>
    <cellStyle name="SAPBEXHLevel2 9 4" xfId="10382" xr:uid="{00000000-0005-0000-0000-00005D2B0000}"/>
    <cellStyle name="SAPBEXHLevel2_BOT Summary" xfId="10516" xr:uid="{00000000-0005-0000-0000-00005E2B0000}"/>
    <cellStyle name="SAPBEXHLevel2X" xfId="80" xr:uid="{00000000-0005-0000-0000-00005F2B0000}"/>
    <cellStyle name="SAPBEXHLevel2X 10" xfId="9269" xr:uid="{00000000-0005-0000-0000-0000602B0000}"/>
    <cellStyle name="SAPBEXHLevel2X 10 2" xfId="9270" xr:uid="{00000000-0005-0000-0000-0000612B0000}"/>
    <cellStyle name="SAPBEXHLevel2X 10 2 2" xfId="10386" xr:uid="{00000000-0005-0000-0000-0000622B0000}"/>
    <cellStyle name="SAPBEXHLevel2X 10 3" xfId="10385" xr:uid="{00000000-0005-0000-0000-0000632B0000}"/>
    <cellStyle name="SAPBEXHLevel2X 11" xfId="9271" xr:uid="{00000000-0005-0000-0000-0000642B0000}"/>
    <cellStyle name="SAPBEXHLevel2X 11 2" xfId="10387" xr:uid="{00000000-0005-0000-0000-0000652B0000}"/>
    <cellStyle name="SAPBEXHLevel2X 12" xfId="9272" xr:uid="{00000000-0005-0000-0000-0000662B0000}"/>
    <cellStyle name="SAPBEXHLevel2X 12 2" xfId="10388" xr:uid="{00000000-0005-0000-0000-0000672B0000}"/>
    <cellStyle name="SAPBEXHLevel2X 13" xfId="9273" xr:uid="{00000000-0005-0000-0000-0000682B0000}"/>
    <cellStyle name="SAPBEXHLevel2X 13 2" xfId="10389" xr:uid="{00000000-0005-0000-0000-0000692B0000}"/>
    <cellStyle name="SAPBEXHLevel2X 14" xfId="9274" xr:uid="{00000000-0005-0000-0000-00006A2B0000}"/>
    <cellStyle name="SAPBEXHLevel2X 14 2" xfId="10390" xr:uid="{00000000-0005-0000-0000-00006B2B0000}"/>
    <cellStyle name="SAPBEXHLevel2X 15" xfId="9690" xr:uid="{00000000-0005-0000-0000-00006C2B0000}"/>
    <cellStyle name="SAPBEXHLevel2X 15 2" xfId="11021" xr:uid="{00000000-0005-0000-0000-00006D2B0000}"/>
    <cellStyle name="SAPBEXHLevel2X 16" xfId="9744" xr:uid="{00000000-0005-0000-0000-00006E2B0000}"/>
    <cellStyle name="SAPBEXHLevel2X 17" xfId="10606" xr:uid="{00000000-0005-0000-0000-00006F2B0000}"/>
    <cellStyle name="SAPBEXHLevel2X 17 2" xfId="11037" xr:uid="{00000000-0005-0000-0000-0000702B0000}"/>
    <cellStyle name="SAPBEXHLevel2X 18" xfId="10624" xr:uid="{00000000-0005-0000-0000-0000712B0000}"/>
    <cellStyle name="SAPBEXHLevel2X 18 2" xfId="11048" xr:uid="{00000000-0005-0000-0000-0000722B0000}"/>
    <cellStyle name="SAPBEXHLevel2X 19" xfId="10691" xr:uid="{00000000-0005-0000-0000-0000732B0000}"/>
    <cellStyle name="SAPBEXHLevel2X 19 2" xfId="11060" xr:uid="{00000000-0005-0000-0000-0000742B0000}"/>
    <cellStyle name="SAPBEXHLevel2X 2" xfId="9275" xr:uid="{00000000-0005-0000-0000-0000752B0000}"/>
    <cellStyle name="SAPBEXHLevel2X 2 2" xfId="9276" xr:uid="{00000000-0005-0000-0000-0000762B0000}"/>
    <cellStyle name="SAPBEXHLevel2X 2 2 2" xfId="9277" xr:uid="{00000000-0005-0000-0000-0000772B0000}"/>
    <cellStyle name="SAPBEXHLevel2X 2 2 3" xfId="9802" xr:uid="{00000000-0005-0000-0000-0000782B0000}"/>
    <cellStyle name="SAPBEXHLevel2X 2 2_Cap Forecast" xfId="9278" xr:uid="{00000000-0005-0000-0000-0000792B0000}"/>
    <cellStyle name="SAPBEXHLevel2X 2 3" xfId="9279" xr:uid="{00000000-0005-0000-0000-00007A2B0000}"/>
    <cellStyle name="SAPBEXHLevel2X 2 3 2" xfId="10391" xr:uid="{00000000-0005-0000-0000-00007B2B0000}"/>
    <cellStyle name="SAPBEXHLevel2X 2 4" xfId="9280" xr:uid="{00000000-0005-0000-0000-00007C2B0000}"/>
    <cellStyle name="SAPBEXHLevel2X 2 5" xfId="9281" xr:uid="{00000000-0005-0000-0000-00007D2B0000}"/>
    <cellStyle name="SAPBEXHLevel2X 2 6" xfId="9801" xr:uid="{00000000-0005-0000-0000-00007E2B0000}"/>
    <cellStyle name="SAPBEXHLevel2X 2_Activity Fcst Variance" xfId="9282" xr:uid="{00000000-0005-0000-0000-00007F2B0000}"/>
    <cellStyle name="SAPBEXHLevel2X 20" xfId="10732" xr:uid="{00000000-0005-0000-0000-0000802B0000}"/>
    <cellStyle name="SAPBEXHLevel2X 20 2" xfId="11079" xr:uid="{00000000-0005-0000-0000-0000812B0000}"/>
    <cellStyle name="SAPBEXHLevel2X 21" xfId="10748" xr:uid="{00000000-0005-0000-0000-0000822B0000}"/>
    <cellStyle name="SAPBEXHLevel2X 21 2" xfId="11092" xr:uid="{00000000-0005-0000-0000-0000832B0000}"/>
    <cellStyle name="SAPBEXHLevel2X 22" xfId="10743" xr:uid="{00000000-0005-0000-0000-0000842B0000}"/>
    <cellStyle name="SAPBEXHLevel2X 22 2" xfId="11088" xr:uid="{00000000-0005-0000-0000-0000852B0000}"/>
    <cellStyle name="SAPBEXHLevel2X 23" xfId="10830" xr:uid="{00000000-0005-0000-0000-0000862B0000}"/>
    <cellStyle name="SAPBEXHLevel2X 23 2" xfId="11109" xr:uid="{00000000-0005-0000-0000-0000872B0000}"/>
    <cellStyle name="SAPBEXHLevel2X 24" xfId="10847" xr:uid="{00000000-0005-0000-0000-0000882B0000}"/>
    <cellStyle name="SAPBEXHLevel2X 24 2" xfId="11120" xr:uid="{00000000-0005-0000-0000-0000892B0000}"/>
    <cellStyle name="SAPBEXHLevel2X 25" xfId="10862" xr:uid="{00000000-0005-0000-0000-00008A2B0000}"/>
    <cellStyle name="SAPBEXHLevel2X 25 2" xfId="11130" xr:uid="{00000000-0005-0000-0000-00008B2B0000}"/>
    <cellStyle name="SAPBEXHLevel2X 26" xfId="10877" xr:uid="{00000000-0005-0000-0000-00008C2B0000}"/>
    <cellStyle name="SAPBEXHLevel2X 26 2" xfId="11140" xr:uid="{00000000-0005-0000-0000-00008D2B0000}"/>
    <cellStyle name="SAPBEXHLevel2X 27" xfId="10891" xr:uid="{00000000-0005-0000-0000-00008E2B0000}"/>
    <cellStyle name="SAPBEXHLevel2X 27 2" xfId="11150" xr:uid="{00000000-0005-0000-0000-00008F2B0000}"/>
    <cellStyle name="SAPBEXHLevel2X 28" xfId="10905" xr:uid="{00000000-0005-0000-0000-0000902B0000}"/>
    <cellStyle name="SAPBEXHLevel2X 28 2" xfId="11160" xr:uid="{00000000-0005-0000-0000-0000912B0000}"/>
    <cellStyle name="SAPBEXHLevel2X 29" xfId="10918" xr:uid="{00000000-0005-0000-0000-0000922B0000}"/>
    <cellStyle name="SAPBEXHLevel2X 29 2" xfId="11170" xr:uid="{00000000-0005-0000-0000-0000932B0000}"/>
    <cellStyle name="SAPBEXHLevel2X 3" xfId="9283" xr:uid="{00000000-0005-0000-0000-0000942B0000}"/>
    <cellStyle name="SAPBEXHLevel2X 3 2" xfId="9284" xr:uid="{00000000-0005-0000-0000-0000952B0000}"/>
    <cellStyle name="SAPBEXHLevel2X 3 2 2" xfId="9804" xr:uid="{00000000-0005-0000-0000-0000962B0000}"/>
    <cellStyle name="SAPBEXHLevel2X 3 3" xfId="9285" xr:uid="{00000000-0005-0000-0000-0000972B0000}"/>
    <cellStyle name="SAPBEXHLevel2X 3 3 2" xfId="10392" xr:uid="{00000000-0005-0000-0000-0000982B0000}"/>
    <cellStyle name="SAPBEXHLevel2X 3 4" xfId="9286" xr:uid="{00000000-0005-0000-0000-0000992B0000}"/>
    <cellStyle name="SAPBEXHLevel2X 3 4 2" xfId="10393" xr:uid="{00000000-0005-0000-0000-00009A2B0000}"/>
    <cellStyle name="SAPBEXHLevel2X 3 5" xfId="9803" xr:uid="{00000000-0005-0000-0000-00009B2B0000}"/>
    <cellStyle name="SAPBEXHLevel2X 30" xfId="10926" xr:uid="{00000000-0005-0000-0000-00009C2B0000}"/>
    <cellStyle name="SAPBEXHLevel2X 30 2" xfId="11175" xr:uid="{00000000-0005-0000-0000-00009D2B0000}"/>
    <cellStyle name="SAPBEXHLevel2X 31" xfId="11222" xr:uid="{00000000-0005-0000-0000-00009E2B0000}"/>
    <cellStyle name="SAPBEXHLevel2X 32" xfId="11232" xr:uid="{00000000-0005-0000-0000-00009F2B0000}"/>
    <cellStyle name="SAPBEXHLevel2X 33" xfId="11251" xr:uid="{00000000-0005-0000-0000-0000A02B0000}"/>
    <cellStyle name="SAPBEXHLevel2X 34" xfId="11427" xr:uid="{00000000-0005-0000-0000-0000A12B0000}"/>
    <cellStyle name="SAPBEXHLevel2X 35" xfId="11441" xr:uid="{00000000-0005-0000-0000-0000A22B0000}"/>
    <cellStyle name="SAPBEXHLevel2X 36" xfId="11450" xr:uid="{00000000-0005-0000-0000-0000A32B0000}"/>
    <cellStyle name="SAPBEXHLevel2X 37" xfId="11469" xr:uid="{00000000-0005-0000-0000-0000A42B0000}"/>
    <cellStyle name="SAPBEXHLevel2X 38" xfId="11580" xr:uid="{00000000-0005-0000-0000-0000A52B0000}"/>
    <cellStyle name="SAPBEXHLevel2X 39" xfId="11707" xr:uid="{00000000-0005-0000-0000-0000A62B0000}"/>
    <cellStyle name="SAPBEXHLevel2X 4" xfId="9287" xr:uid="{00000000-0005-0000-0000-0000A72B0000}"/>
    <cellStyle name="SAPBEXHLevel2X 4 2" xfId="9288" xr:uid="{00000000-0005-0000-0000-0000A82B0000}"/>
    <cellStyle name="SAPBEXHLevel2X 4 2 2" xfId="9289" xr:uid="{00000000-0005-0000-0000-0000A92B0000}"/>
    <cellStyle name="SAPBEXHLevel2X 4 2 3" xfId="9806" xr:uid="{00000000-0005-0000-0000-0000AA2B0000}"/>
    <cellStyle name="SAPBEXHLevel2X 4 2_Cap Forecast" xfId="9290" xr:uid="{00000000-0005-0000-0000-0000AB2B0000}"/>
    <cellStyle name="SAPBEXHLevel2X 4 3" xfId="9291" xr:uid="{00000000-0005-0000-0000-0000AC2B0000}"/>
    <cellStyle name="SAPBEXHLevel2X 4 4" xfId="9292" xr:uid="{00000000-0005-0000-0000-0000AD2B0000}"/>
    <cellStyle name="SAPBEXHLevel2X 4 4 2" xfId="10394" xr:uid="{00000000-0005-0000-0000-0000AE2B0000}"/>
    <cellStyle name="SAPBEXHLevel2X 4 5" xfId="9805" xr:uid="{00000000-0005-0000-0000-0000AF2B0000}"/>
    <cellStyle name="SAPBEXHLevel2X 40" xfId="11721" xr:uid="{00000000-0005-0000-0000-0000B02B0000}"/>
    <cellStyle name="SAPBEXHLevel2X 41" xfId="11734" xr:uid="{00000000-0005-0000-0000-0000B12B0000}"/>
    <cellStyle name="SAPBEXHLevel2X 42" xfId="11748" xr:uid="{00000000-0005-0000-0000-0000B22B0000}"/>
    <cellStyle name="SAPBEXHLevel2X 43" xfId="11758" xr:uid="{00000000-0005-0000-0000-0000B32B0000}"/>
    <cellStyle name="SAPBEXHLevel2X 44" xfId="11776" xr:uid="{00000000-0005-0000-0000-0000B42B0000}"/>
    <cellStyle name="SAPBEXHLevel2X 45" xfId="11827" xr:uid="{00000000-0005-0000-0000-0000B52B0000}"/>
    <cellStyle name="SAPBEXHLevel2X 46" xfId="11836" xr:uid="{00000000-0005-0000-0000-0000B62B0000}"/>
    <cellStyle name="SAPBEXHLevel2X 5" xfId="9293" xr:uid="{00000000-0005-0000-0000-0000B72B0000}"/>
    <cellStyle name="SAPBEXHLevel2X 5 2" xfId="9294" xr:uid="{00000000-0005-0000-0000-0000B82B0000}"/>
    <cellStyle name="SAPBEXHLevel2X 5 3" xfId="9295" xr:uid="{00000000-0005-0000-0000-0000B92B0000}"/>
    <cellStyle name="SAPBEXHLevel2X 5 3 2" xfId="10395" xr:uid="{00000000-0005-0000-0000-0000BA2B0000}"/>
    <cellStyle name="SAPBEXHLevel2X 5 4" xfId="9807" xr:uid="{00000000-0005-0000-0000-0000BB2B0000}"/>
    <cellStyle name="SAPBEXHLevel2X 6" xfId="9296" xr:uid="{00000000-0005-0000-0000-0000BC2B0000}"/>
    <cellStyle name="SAPBEXHLevel2X 6 2" xfId="9297" xr:uid="{00000000-0005-0000-0000-0000BD2B0000}"/>
    <cellStyle name="SAPBEXHLevel2X 6 2 2" xfId="10396" xr:uid="{00000000-0005-0000-0000-0000BE2B0000}"/>
    <cellStyle name="SAPBEXHLevel2X 6 3" xfId="9869" xr:uid="{00000000-0005-0000-0000-0000BF2B0000}"/>
    <cellStyle name="SAPBEXHLevel2X 6_Activity Fcst Variance" xfId="9298" xr:uid="{00000000-0005-0000-0000-0000C02B0000}"/>
    <cellStyle name="SAPBEXHLevel2X 7" xfId="9299" xr:uid="{00000000-0005-0000-0000-0000C12B0000}"/>
    <cellStyle name="SAPBEXHLevel2X 7 2" xfId="9300" xr:uid="{00000000-0005-0000-0000-0000C22B0000}"/>
    <cellStyle name="SAPBEXHLevel2X 7 2 2" xfId="10397" xr:uid="{00000000-0005-0000-0000-0000C32B0000}"/>
    <cellStyle name="SAPBEXHLevel2X 7 3" xfId="9301" xr:uid="{00000000-0005-0000-0000-0000C42B0000}"/>
    <cellStyle name="SAPBEXHLevel2X 7 3 2" xfId="10398" xr:uid="{00000000-0005-0000-0000-0000C52B0000}"/>
    <cellStyle name="SAPBEXHLevel2X 7 4" xfId="9302" xr:uid="{00000000-0005-0000-0000-0000C62B0000}"/>
    <cellStyle name="SAPBEXHLevel2X 7 4 2" xfId="10399" xr:uid="{00000000-0005-0000-0000-0000C72B0000}"/>
    <cellStyle name="SAPBEXHLevel2X 7 5" xfId="9303" xr:uid="{00000000-0005-0000-0000-0000C82B0000}"/>
    <cellStyle name="SAPBEXHLevel2X 7 5 2" xfId="10400" xr:uid="{00000000-0005-0000-0000-0000C92B0000}"/>
    <cellStyle name="SAPBEXHLevel2X 7 6" xfId="9870" xr:uid="{00000000-0005-0000-0000-0000CA2B0000}"/>
    <cellStyle name="SAPBEXHLevel2X 8" xfId="9304" xr:uid="{00000000-0005-0000-0000-0000CB2B0000}"/>
    <cellStyle name="SAPBEXHLevel2X 8 2" xfId="9305" xr:uid="{00000000-0005-0000-0000-0000CC2B0000}"/>
    <cellStyle name="SAPBEXHLevel2X 8 2 2" xfId="10402" xr:uid="{00000000-0005-0000-0000-0000CD2B0000}"/>
    <cellStyle name="SAPBEXHLevel2X 8 3" xfId="9306" xr:uid="{00000000-0005-0000-0000-0000CE2B0000}"/>
    <cellStyle name="SAPBEXHLevel2X 8 3 2" xfId="10403" xr:uid="{00000000-0005-0000-0000-0000CF2B0000}"/>
    <cellStyle name="SAPBEXHLevel2X 8 4" xfId="10401" xr:uid="{00000000-0005-0000-0000-0000D02B0000}"/>
    <cellStyle name="SAPBEXHLevel2X 9" xfId="9307" xr:uid="{00000000-0005-0000-0000-0000D12B0000}"/>
    <cellStyle name="SAPBEXHLevel2X 9 2" xfId="9308" xr:uid="{00000000-0005-0000-0000-0000D22B0000}"/>
    <cellStyle name="SAPBEXHLevel2X 9 2 2" xfId="10405" xr:uid="{00000000-0005-0000-0000-0000D32B0000}"/>
    <cellStyle name="SAPBEXHLevel2X 9 3" xfId="10404" xr:uid="{00000000-0005-0000-0000-0000D42B0000}"/>
    <cellStyle name="SAPBEXHLevel2X_BOT Summary" xfId="10517" xr:uid="{00000000-0005-0000-0000-0000D52B0000}"/>
    <cellStyle name="SAPBEXHLevel3" xfId="81" xr:uid="{00000000-0005-0000-0000-0000D62B0000}"/>
    <cellStyle name="SAPBEXHLevel3 10" xfId="9310" xr:uid="{00000000-0005-0000-0000-0000D72B0000}"/>
    <cellStyle name="SAPBEXHLevel3 10 2" xfId="10406" xr:uid="{00000000-0005-0000-0000-0000D82B0000}"/>
    <cellStyle name="SAPBEXHLevel3 11" xfId="9311" xr:uid="{00000000-0005-0000-0000-0000D92B0000}"/>
    <cellStyle name="SAPBEXHLevel3 11 2" xfId="10407" xr:uid="{00000000-0005-0000-0000-0000DA2B0000}"/>
    <cellStyle name="SAPBEXHLevel3 12" xfId="9312" xr:uid="{00000000-0005-0000-0000-0000DB2B0000}"/>
    <cellStyle name="SAPBEXHLevel3 12 2" xfId="10408" xr:uid="{00000000-0005-0000-0000-0000DC2B0000}"/>
    <cellStyle name="SAPBEXHLevel3 13" xfId="9313" xr:uid="{00000000-0005-0000-0000-0000DD2B0000}"/>
    <cellStyle name="SAPBEXHLevel3 13 2" xfId="10409" xr:uid="{00000000-0005-0000-0000-0000DE2B0000}"/>
    <cellStyle name="SAPBEXHLevel3 14" xfId="9691" xr:uid="{00000000-0005-0000-0000-0000DF2B0000}"/>
    <cellStyle name="SAPBEXHLevel3 14 2" xfId="11022" xr:uid="{00000000-0005-0000-0000-0000E02B0000}"/>
    <cellStyle name="SAPBEXHLevel3 15" xfId="9745" xr:uid="{00000000-0005-0000-0000-0000E12B0000}"/>
    <cellStyle name="SAPBEXHLevel3 16" xfId="10607" xr:uid="{00000000-0005-0000-0000-0000E22B0000}"/>
    <cellStyle name="SAPBEXHLevel3 16 2" xfId="11038" xr:uid="{00000000-0005-0000-0000-0000E32B0000}"/>
    <cellStyle name="SAPBEXHLevel3 17" xfId="10625" xr:uid="{00000000-0005-0000-0000-0000E42B0000}"/>
    <cellStyle name="SAPBEXHLevel3 17 2" xfId="11049" xr:uid="{00000000-0005-0000-0000-0000E52B0000}"/>
    <cellStyle name="SAPBEXHLevel3 18" xfId="10692" xr:uid="{00000000-0005-0000-0000-0000E62B0000}"/>
    <cellStyle name="SAPBEXHLevel3 18 2" xfId="11061" xr:uid="{00000000-0005-0000-0000-0000E72B0000}"/>
    <cellStyle name="SAPBEXHLevel3 19" xfId="10733" xr:uid="{00000000-0005-0000-0000-0000E82B0000}"/>
    <cellStyle name="SAPBEXHLevel3 19 2" xfId="11080" xr:uid="{00000000-0005-0000-0000-0000E92B0000}"/>
    <cellStyle name="SAPBEXHLevel3 2" xfId="9314" xr:uid="{00000000-0005-0000-0000-0000EA2B0000}"/>
    <cellStyle name="SAPBEXHLevel3 2 2" xfId="9315" xr:uid="{00000000-0005-0000-0000-0000EB2B0000}"/>
    <cellStyle name="SAPBEXHLevel3 2 2 2" xfId="9316" xr:uid="{00000000-0005-0000-0000-0000EC2B0000}"/>
    <cellStyle name="SAPBEXHLevel3 2 2 3" xfId="9809" xr:uid="{00000000-0005-0000-0000-0000ED2B0000}"/>
    <cellStyle name="SAPBEXHLevel3 2 2_Cap Forecast" xfId="9317" xr:uid="{00000000-0005-0000-0000-0000EE2B0000}"/>
    <cellStyle name="SAPBEXHLevel3 2 3" xfId="9318" xr:uid="{00000000-0005-0000-0000-0000EF2B0000}"/>
    <cellStyle name="SAPBEXHLevel3 2 3 2" xfId="10410" xr:uid="{00000000-0005-0000-0000-0000F02B0000}"/>
    <cellStyle name="SAPBEXHLevel3 2 4" xfId="9319" xr:uid="{00000000-0005-0000-0000-0000F12B0000}"/>
    <cellStyle name="SAPBEXHLevel3 2 5" xfId="9320" xr:uid="{00000000-0005-0000-0000-0000F22B0000}"/>
    <cellStyle name="SAPBEXHLevel3 2 6" xfId="9808" xr:uid="{00000000-0005-0000-0000-0000F32B0000}"/>
    <cellStyle name="SAPBEXHLevel3 2_Activity Fcst Variance" xfId="9321" xr:uid="{00000000-0005-0000-0000-0000F42B0000}"/>
    <cellStyle name="SAPBEXHLevel3 20" xfId="10831" xr:uid="{00000000-0005-0000-0000-0000F52B0000}"/>
    <cellStyle name="SAPBEXHLevel3 20 2" xfId="11110" xr:uid="{00000000-0005-0000-0000-0000F62B0000}"/>
    <cellStyle name="SAPBEXHLevel3 21" xfId="10848" xr:uid="{00000000-0005-0000-0000-0000F72B0000}"/>
    <cellStyle name="SAPBEXHLevel3 21 2" xfId="11121" xr:uid="{00000000-0005-0000-0000-0000F82B0000}"/>
    <cellStyle name="SAPBEXHLevel3 22" xfId="10863" xr:uid="{00000000-0005-0000-0000-0000F92B0000}"/>
    <cellStyle name="SAPBEXHLevel3 22 2" xfId="11131" xr:uid="{00000000-0005-0000-0000-0000FA2B0000}"/>
    <cellStyle name="SAPBEXHLevel3 23" xfId="10878" xr:uid="{00000000-0005-0000-0000-0000FB2B0000}"/>
    <cellStyle name="SAPBEXHLevel3 23 2" xfId="11141" xr:uid="{00000000-0005-0000-0000-0000FC2B0000}"/>
    <cellStyle name="SAPBEXHLevel3 24" xfId="10892" xr:uid="{00000000-0005-0000-0000-0000FD2B0000}"/>
    <cellStyle name="SAPBEXHLevel3 24 2" xfId="11151" xr:uid="{00000000-0005-0000-0000-0000FE2B0000}"/>
    <cellStyle name="SAPBEXHLevel3 25" xfId="10906" xr:uid="{00000000-0005-0000-0000-0000FF2B0000}"/>
    <cellStyle name="SAPBEXHLevel3 25 2" xfId="11161" xr:uid="{00000000-0005-0000-0000-0000002C0000}"/>
    <cellStyle name="SAPBEXHLevel3 26" xfId="10919" xr:uid="{00000000-0005-0000-0000-0000012C0000}"/>
    <cellStyle name="SAPBEXHLevel3 26 2" xfId="11171" xr:uid="{00000000-0005-0000-0000-0000022C0000}"/>
    <cellStyle name="SAPBEXHLevel3 27" xfId="10927" xr:uid="{00000000-0005-0000-0000-0000032C0000}"/>
    <cellStyle name="SAPBEXHLevel3 27 2" xfId="11176" xr:uid="{00000000-0005-0000-0000-0000042C0000}"/>
    <cellStyle name="SAPBEXHLevel3 28" xfId="10996" xr:uid="{00000000-0005-0000-0000-0000052C0000}"/>
    <cellStyle name="SAPBEXHLevel3 29" xfId="11223" xr:uid="{00000000-0005-0000-0000-0000062C0000}"/>
    <cellStyle name="SAPBEXHLevel3 3" xfId="9322" xr:uid="{00000000-0005-0000-0000-0000072C0000}"/>
    <cellStyle name="SAPBEXHLevel3 3 2" xfId="9323" xr:uid="{00000000-0005-0000-0000-0000082C0000}"/>
    <cellStyle name="SAPBEXHLevel3 3 2 2" xfId="9324" xr:uid="{00000000-0005-0000-0000-0000092C0000}"/>
    <cellStyle name="SAPBEXHLevel3 3 2 3" xfId="9811" xr:uid="{00000000-0005-0000-0000-00000A2C0000}"/>
    <cellStyle name="SAPBEXHLevel3 3 2_Cap Forecast" xfId="9325" xr:uid="{00000000-0005-0000-0000-00000B2C0000}"/>
    <cellStyle name="SAPBEXHLevel3 3 3" xfId="9326" xr:uid="{00000000-0005-0000-0000-00000C2C0000}"/>
    <cellStyle name="SAPBEXHLevel3 3 3 2" xfId="10411" xr:uid="{00000000-0005-0000-0000-00000D2C0000}"/>
    <cellStyle name="SAPBEXHLevel3 3 4" xfId="9810" xr:uid="{00000000-0005-0000-0000-00000E2C0000}"/>
    <cellStyle name="SAPBEXHLevel3 30" xfId="11233" xr:uid="{00000000-0005-0000-0000-00000F2C0000}"/>
    <cellStyle name="SAPBEXHLevel3 31" xfId="11252" xr:uid="{00000000-0005-0000-0000-0000102C0000}"/>
    <cellStyle name="SAPBEXHLevel3 32" xfId="11428" xr:uid="{00000000-0005-0000-0000-0000112C0000}"/>
    <cellStyle name="SAPBEXHLevel3 33" xfId="11442" xr:uid="{00000000-0005-0000-0000-0000122C0000}"/>
    <cellStyle name="SAPBEXHLevel3 34" xfId="11451" xr:uid="{00000000-0005-0000-0000-0000132C0000}"/>
    <cellStyle name="SAPBEXHLevel3 35" xfId="11470" xr:uid="{00000000-0005-0000-0000-0000142C0000}"/>
    <cellStyle name="SAPBEXHLevel3 36" xfId="11581" xr:uid="{00000000-0005-0000-0000-0000152C0000}"/>
    <cellStyle name="SAPBEXHLevel3 37" xfId="11708" xr:uid="{00000000-0005-0000-0000-0000162C0000}"/>
    <cellStyle name="SAPBEXHLevel3 38" xfId="11722" xr:uid="{00000000-0005-0000-0000-0000172C0000}"/>
    <cellStyle name="SAPBEXHLevel3 39" xfId="11735" xr:uid="{00000000-0005-0000-0000-0000182C0000}"/>
    <cellStyle name="SAPBEXHLevel3 4" xfId="9327" xr:uid="{00000000-0005-0000-0000-0000192C0000}"/>
    <cellStyle name="SAPBEXHLevel3 4 2" xfId="9328" xr:uid="{00000000-0005-0000-0000-00001A2C0000}"/>
    <cellStyle name="SAPBEXHLevel3 4 2 2" xfId="9813" xr:uid="{00000000-0005-0000-0000-00001B2C0000}"/>
    <cellStyle name="SAPBEXHLevel3 4 3" xfId="9329" xr:uid="{00000000-0005-0000-0000-00001C2C0000}"/>
    <cellStyle name="SAPBEXHLevel3 4 3 2" xfId="10412" xr:uid="{00000000-0005-0000-0000-00001D2C0000}"/>
    <cellStyle name="SAPBEXHLevel3 4 4" xfId="9330" xr:uid="{00000000-0005-0000-0000-00001E2C0000}"/>
    <cellStyle name="SAPBEXHLevel3 4 4 2" xfId="10413" xr:uid="{00000000-0005-0000-0000-00001F2C0000}"/>
    <cellStyle name="SAPBEXHLevel3 4 5" xfId="9331" xr:uid="{00000000-0005-0000-0000-0000202C0000}"/>
    <cellStyle name="SAPBEXHLevel3 4 5 2" xfId="10414" xr:uid="{00000000-0005-0000-0000-0000212C0000}"/>
    <cellStyle name="SAPBEXHLevel3 4 6" xfId="9812" xr:uid="{00000000-0005-0000-0000-0000222C0000}"/>
    <cellStyle name="SAPBEXHLevel3 40" xfId="11749" xr:uid="{00000000-0005-0000-0000-0000232C0000}"/>
    <cellStyle name="SAPBEXHLevel3 41" xfId="11759" xr:uid="{00000000-0005-0000-0000-0000242C0000}"/>
    <cellStyle name="SAPBEXHLevel3 42" xfId="11777" xr:uid="{00000000-0005-0000-0000-0000252C0000}"/>
    <cellStyle name="SAPBEXHLevel3 43" xfId="11828" xr:uid="{00000000-0005-0000-0000-0000262C0000}"/>
    <cellStyle name="SAPBEXHLevel3 44" xfId="11837" xr:uid="{00000000-0005-0000-0000-0000272C0000}"/>
    <cellStyle name="SAPBEXHLevel3 45" xfId="9309" xr:uid="{00000000-0005-0000-0000-0000282C0000}"/>
    <cellStyle name="SAPBEXHLevel3 5" xfId="9332" xr:uid="{00000000-0005-0000-0000-0000292C0000}"/>
    <cellStyle name="SAPBEXHLevel3 5 2" xfId="9333" xr:uid="{00000000-0005-0000-0000-00002A2C0000}"/>
    <cellStyle name="SAPBEXHLevel3 5 2 2" xfId="10415" xr:uid="{00000000-0005-0000-0000-00002B2C0000}"/>
    <cellStyle name="SAPBEXHLevel3 5 3" xfId="9814" xr:uid="{00000000-0005-0000-0000-00002C2C0000}"/>
    <cellStyle name="SAPBEXHLevel3 6" xfId="9334" xr:uid="{00000000-0005-0000-0000-00002D2C0000}"/>
    <cellStyle name="SAPBEXHLevel3 6 2" xfId="9335" xr:uid="{00000000-0005-0000-0000-00002E2C0000}"/>
    <cellStyle name="SAPBEXHLevel3 6 2 2" xfId="10416" xr:uid="{00000000-0005-0000-0000-00002F2C0000}"/>
    <cellStyle name="SAPBEXHLevel3 6 3" xfId="9336" xr:uid="{00000000-0005-0000-0000-0000302C0000}"/>
    <cellStyle name="SAPBEXHLevel3 6 3 2" xfId="10417" xr:uid="{00000000-0005-0000-0000-0000312C0000}"/>
    <cellStyle name="SAPBEXHLevel3 6 4" xfId="9871" xr:uid="{00000000-0005-0000-0000-0000322C0000}"/>
    <cellStyle name="SAPBEXHLevel3 6_Activity Fcst Variance" xfId="9337" xr:uid="{00000000-0005-0000-0000-0000332C0000}"/>
    <cellStyle name="SAPBEXHLevel3 7" xfId="9338" xr:uid="{00000000-0005-0000-0000-0000342C0000}"/>
    <cellStyle name="SAPBEXHLevel3 7 2" xfId="9339" xr:uid="{00000000-0005-0000-0000-0000352C0000}"/>
    <cellStyle name="SAPBEXHLevel3 7 2 2" xfId="10418" xr:uid="{00000000-0005-0000-0000-0000362C0000}"/>
    <cellStyle name="SAPBEXHLevel3 7 3" xfId="9340" xr:uid="{00000000-0005-0000-0000-0000372C0000}"/>
    <cellStyle name="SAPBEXHLevel3 7 3 2" xfId="10419" xr:uid="{00000000-0005-0000-0000-0000382C0000}"/>
    <cellStyle name="SAPBEXHLevel3 7 4" xfId="9341" xr:uid="{00000000-0005-0000-0000-0000392C0000}"/>
    <cellStyle name="SAPBEXHLevel3 7 4 2" xfId="10420" xr:uid="{00000000-0005-0000-0000-00003A2C0000}"/>
    <cellStyle name="SAPBEXHLevel3 7 5" xfId="9342" xr:uid="{00000000-0005-0000-0000-00003B2C0000}"/>
    <cellStyle name="SAPBEXHLevel3 7 5 2" xfId="10421" xr:uid="{00000000-0005-0000-0000-00003C2C0000}"/>
    <cellStyle name="SAPBEXHLevel3 7 6" xfId="9872" xr:uid="{00000000-0005-0000-0000-00003D2C0000}"/>
    <cellStyle name="SAPBEXHLevel3 8" xfId="9343" xr:uid="{00000000-0005-0000-0000-00003E2C0000}"/>
    <cellStyle name="SAPBEXHLevel3 8 2" xfId="9344" xr:uid="{00000000-0005-0000-0000-00003F2C0000}"/>
    <cellStyle name="SAPBEXHLevel3 8 2 2" xfId="10422" xr:uid="{00000000-0005-0000-0000-0000402C0000}"/>
    <cellStyle name="SAPBEXHLevel3 8 3" xfId="9345" xr:uid="{00000000-0005-0000-0000-0000412C0000}"/>
    <cellStyle name="SAPBEXHLevel3 8 3 2" xfId="10423" xr:uid="{00000000-0005-0000-0000-0000422C0000}"/>
    <cellStyle name="SAPBEXHLevel3 8 4" xfId="9346" xr:uid="{00000000-0005-0000-0000-0000432C0000}"/>
    <cellStyle name="SAPBEXHLevel3 9" xfId="9347" xr:uid="{00000000-0005-0000-0000-0000442C0000}"/>
    <cellStyle name="SAPBEXHLevel3 9 2" xfId="9348" xr:uid="{00000000-0005-0000-0000-0000452C0000}"/>
    <cellStyle name="SAPBEXHLevel3 9 2 2" xfId="10425" xr:uid="{00000000-0005-0000-0000-0000462C0000}"/>
    <cellStyle name="SAPBEXHLevel3 9 3" xfId="9349" xr:uid="{00000000-0005-0000-0000-0000472C0000}"/>
    <cellStyle name="SAPBEXHLevel3 9 3 2" xfId="10426" xr:uid="{00000000-0005-0000-0000-0000482C0000}"/>
    <cellStyle name="SAPBEXHLevel3 9 4" xfId="10424" xr:uid="{00000000-0005-0000-0000-0000492C0000}"/>
    <cellStyle name="SAPBEXHLevel3_BOT Summary" xfId="10518" xr:uid="{00000000-0005-0000-0000-00004A2C0000}"/>
    <cellStyle name="SAPBEXHLevel3X" xfId="82" xr:uid="{00000000-0005-0000-0000-00004B2C0000}"/>
    <cellStyle name="SAPBEXHLevel3X 10" xfId="9350" xr:uid="{00000000-0005-0000-0000-00004C2C0000}"/>
    <cellStyle name="SAPBEXHLevel3X 10 2" xfId="9351" xr:uid="{00000000-0005-0000-0000-00004D2C0000}"/>
    <cellStyle name="SAPBEXHLevel3X 10 2 2" xfId="10428" xr:uid="{00000000-0005-0000-0000-00004E2C0000}"/>
    <cellStyle name="SAPBEXHLevel3X 10 3" xfId="10427" xr:uid="{00000000-0005-0000-0000-00004F2C0000}"/>
    <cellStyle name="SAPBEXHLevel3X 11" xfId="9352" xr:uid="{00000000-0005-0000-0000-0000502C0000}"/>
    <cellStyle name="SAPBEXHLevel3X 11 2" xfId="10429" xr:uid="{00000000-0005-0000-0000-0000512C0000}"/>
    <cellStyle name="SAPBEXHLevel3X 12" xfId="9353" xr:uid="{00000000-0005-0000-0000-0000522C0000}"/>
    <cellStyle name="SAPBEXHLevel3X 12 2" xfId="10430" xr:uid="{00000000-0005-0000-0000-0000532C0000}"/>
    <cellStyle name="SAPBEXHLevel3X 13" xfId="9354" xr:uid="{00000000-0005-0000-0000-0000542C0000}"/>
    <cellStyle name="SAPBEXHLevel3X 13 2" xfId="10431" xr:uid="{00000000-0005-0000-0000-0000552C0000}"/>
    <cellStyle name="SAPBEXHLevel3X 14" xfId="9355" xr:uid="{00000000-0005-0000-0000-0000562C0000}"/>
    <cellStyle name="SAPBEXHLevel3X 14 2" xfId="10432" xr:uid="{00000000-0005-0000-0000-0000572C0000}"/>
    <cellStyle name="SAPBEXHLevel3X 15" xfId="9692" xr:uid="{00000000-0005-0000-0000-0000582C0000}"/>
    <cellStyle name="SAPBEXHLevel3X 15 2" xfId="11023" xr:uid="{00000000-0005-0000-0000-0000592C0000}"/>
    <cellStyle name="SAPBEXHLevel3X 16" xfId="9746" xr:uid="{00000000-0005-0000-0000-00005A2C0000}"/>
    <cellStyle name="SAPBEXHLevel3X 17" xfId="10608" xr:uid="{00000000-0005-0000-0000-00005B2C0000}"/>
    <cellStyle name="SAPBEXHLevel3X 17 2" xfId="11039" xr:uid="{00000000-0005-0000-0000-00005C2C0000}"/>
    <cellStyle name="SAPBEXHLevel3X 18" xfId="10626" xr:uid="{00000000-0005-0000-0000-00005D2C0000}"/>
    <cellStyle name="SAPBEXHLevel3X 18 2" xfId="11050" xr:uid="{00000000-0005-0000-0000-00005E2C0000}"/>
    <cellStyle name="SAPBEXHLevel3X 19" xfId="10693" xr:uid="{00000000-0005-0000-0000-00005F2C0000}"/>
    <cellStyle name="SAPBEXHLevel3X 19 2" xfId="11062" xr:uid="{00000000-0005-0000-0000-0000602C0000}"/>
    <cellStyle name="SAPBEXHLevel3X 2" xfId="9356" xr:uid="{00000000-0005-0000-0000-0000612C0000}"/>
    <cellStyle name="SAPBEXHLevel3X 2 2" xfId="9357" xr:uid="{00000000-0005-0000-0000-0000622C0000}"/>
    <cellStyle name="SAPBEXHLevel3X 2 2 2" xfId="9358" xr:uid="{00000000-0005-0000-0000-0000632C0000}"/>
    <cellStyle name="SAPBEXHLevel3X 2 2 3" xfId="9816" xr:uid="{00000000-0005-0000-0000-0000642C0000}"/>
    <cellStyle name="SAPBEXHLevel3X 2 2_Cap Forecast" xfId="9359" xr:uid="{00000000-0005-0000-0000-0000652C0000}"/>
    <cellStyle name="SAPBEXHLevel3X 2 3" xfId="9360" xr:uid="{00000000-0005-0000-0000-0000662C0000}"/>
    <cellStyle name="SAPBEXHLevel3X 2 3 2" xfId="10433" xr:uid="{00000000-0005-0000-0000-0000672C0000}"/>
    <cellStyle name="SAPBEXHLevel3X 2 4" xfId="9361" xr:uid="{00000000-0005-0000-0000-0000682C0000}"/>
    <cellStyle name="SAPBEXHLevel3X 2 5" xfId="9362" xr:uid="{00000000-0005-0000-0000-0000692C0000}"/>
    <cellStyle name="SAPBEXHLevel3X 2 6" xfId="9815" xr:uid="{00000000-0005-0000-0000-00006A2C0000}"/>
    <cellStyle name="SAPBEXHLevel3X 2_Activity Fcst Variance" xfId="9363" xr:uid="{00000000-0005-0000-0000-00006B2C0000}"/>
    <cellStyle name="SAPBEXHLevel3X 20" xfId="10734" xr:uid="{00000000-0005-0000-0000-00006C2C0000}"/>
    <cellStyle name="SAPBEXHLevel3X 20 2" xfId="11081" xr:uid="{00000000-0005-0000-0000-00006D2C0000}"/>
    <cellStyle name="SAPBEXHLevel3X 21" xfId="10750" xr:uid="{00000000-0005-0000-0000-00006E2C0000}"/>
    <cellStyle name="SAPBEXHLevel3X 21 2" xfId="11093" xr:uid="{00000000-0005-0000-0000-00006F2C0000}"/>
    <cellStyle name="SAPBEXHLevel3X 22" xfId="10756" xr:uid="{00000000-0005-0000-0000-0000702C0000}"/>
    <cellStyle name="SAPBEXHLevel3X 22 2" xfId="11096" xr:uid="{00000000-0005-0000-0000-0000712C0000}"/>
    <cellStyle name="SAPBEXHLevel3X 23" xfId="10832" xr:uid="{00000000-0005-0000-0000-0000722C0000}"/>
    <cellStyle name="SAPBEXHLevel3X 23 2" xfId="11111" xr:uid="{00000000-0005-0000-0000-0000732C0000}"/>
    <cellStyle name="SAPBEXHLevel3X 24" xfId="10849" xr:uid="{00000000-0005-0000-0000-0000742C0000}"/>
    <cellStyle name="SAPBEXHLevel3X 24 2" xfId="11122" xr:uid="{00000000-0005-0000-0000-0000752C0000}"/>
    <cellStyle name="SAPBEXHLevel3X 25" xfId="10864" xr:uid="{00000000-0005-0000-0000-0000762C0000}"/>
    <cellStyle name="SAPBEXHLevel3X 25 2" xfId="11132" xr:uid="{00000000-0005-0000-0000-0000772C0000}"/>
    <cellStyle name="SAPBEXHLevel3X 26" xfId="10879" xr:uid="{00000000-0005-0000-0000-0000782C0000}"/>
    <cellStyle name="SAPBEXHLevel3X 26 2" xfId="11142" xr:uid="{00000000-0005-0000-0000-0000792C0000}"/>
    <cellStyle name="SAPBEXHLevel3X 27" xfId="10893" xr:uid="{00000000-0005-0000-0000-00007A2C0000}"/>
    <cellStyle name="SAPBEXHLevel3X 27 2" xfId="11152" xr:uid="{00000000-0005-0000-0000-00007B2C0000}"/>
    <cellStyle name="SAPBEXHLevel3X 28" xfId="10907" xr:uid="{00000000-0005-0000-0000-00007C2C0000}"/>
    <cellStyle name="SAPBEXHLevel3X 28 2" xfId="11162" xr:uid="{00000000-0005-0000-0000-00007D2C0000}"/>
    <cellStyle name="SAPBEXHLevel3X 29" xfId="10920" xr:uid="{00000000-0005-0000-0000-00007E2C0000}"/>
    <cellStyle name="SAPBEXHLevel3X 29 2" xfId="11172" xr:uid="{00000000-0005-0000-0000-00007F2C0000}"/>
    <cellStyle name="SAPBEXHLevel3X 3" xfId="9364" xr:uid="{00000000-0005-0000-0000-0000802C0000}"/>
    <cellStyle name="SAPBEXHLevel3X 3 2" xfId="9365" xr:uid="{00000000-0005-0000-0000-0000812C0000}"/>
    <cellStyle name="SAPBEXHLevel3X 3 2 2" xfId="9818" xr:uid="{00000000-0005-0000-0000-0000822C0000}"/>
    <cellStyle name="SAPBEXHLevel3X 3 3" xfId="9366" xr:uid="{00000000-0005-0000-0000-0000832C0000}"/>
    <cellStyle name="SAPBEXHLevel3X 3 3 2" xfId="10434" xr:uid="{00000000-0005-0000-0000-0000842C0000}"/>
    <cellStyle name="SAPBEXHLevel3X 3 4" xfId="9367" xr:uid="{00000000-0005-0000-0000-0000852C0000}"/>
    <cellStyle name="SAPBEXHLevel3X 3 4 2" xfId="10435" xr:uid="{00000000-0005-0000-0000-0000862C0000}"/>
    <cellStyle name="SAPBEXHLevel3X 3 5" xfId="9817" xr:uid="{00000000-0005-0000-0000-0000872C0000}"/>
    <cellStyle name="SAPBEXHLevel3X 30" xfId="10928" xr:uid="{00000000-0005-0000-0000-0000882C0000}"/>
    <cellStyle name="SAPBEXHLevel3X 30 2" xfId="11177" xr:uid="{00000000-0005-0000-0000-0000892C0000}"/>
    <cellStyle name="SAPBEXHLevel3X 31" xfId="11224" xr:uid="{00000000-0005-0000-0000-00008A2C0000}"/>
    <cellStyle name="SAPBEXHLevel3X 32" xfId="11234" xr:uid="{00000000-0005-0000-0000-00008B2C0000}"/>
    <cellStyle name="SAPBEXHLevel3X 33" xfId="11253" xr:uid="{00000000-0005-0000-0000-00008C2C0000}"/>
    <cellStyle name="SAPBEXHLevel3X 34" xfId="11429" xr:uid="{00000000-0005-0000-0000-00008D2C0000}"/>
    <cellStyle name="SAPBEXHLevel3X 35" xfId="11443" xr:uid="{00000000-0005-0000-0000-00008E2C0000}"/>
    <cellStyle name="SAPBEXHLevel3X 36" xfId="11452" xr:uid="{00000000-0005-0000-0000-00008F2C0000}"/>
    <cellStyle name="SAPBEXHLevel3X 37" xfId="11471" xr:uid="{00000000-0005-0000-0000-0000902C0000}"/>
    <cellStyle name="SAPBEXHLevel3X 38" xfId="11582" xr:uid="{00000000-0005-0000-0000-0000912C0000}"/>
    <cellStyle name="SAPBEXHLevel3X 39" xfId="11709" xr:uid="{00000000-0005-0000-0000-0000922C0000}"/>
    <cellStyle name="SAPBEXHLevel3X 4" xfId="9368" xr:uid="{00000000-0005-0000-0000-0000932C0000}"/>
    <cellStyle name="SAPBEXHLevel3X 4 2" xfId="9369" xr:uid="{00000000-0005-0000-0000-0000942C0000}"/>
    <cellStyle name="SAPBEXHLevel3X 4 2 2" xfId="9370" xr:uid="{00000000-0005-0000-0000-0000952C0000}"/>
    <cellStyle name="SAPBEXHLevel3X 4 2 3" xfId="9820" xr:uid="{00000000-0005-0000-0000-0000962C0000}"/>
    <cellStyle name="SAPBEXHLevel3X 4 2_Cap Forecast" xfId="9371" xr:uid="{00000000-0005-0000-0000-0000972C0000}"/>
    <cellStyle name="SAPBEXHLevel3X 4 3" xfId="9372" xr:uid="{00000000-0005-0000-0000-0000982C0000}"/>
    <cellStyle name="SAPBEXHLevel3X 4 4" xfId="9373" xr:uid="{00000000-0005-0000-0000-0000992C0000}"/>
    <cellStyle name="SAPBEXHLevel3X 4 4 2" xfId="10436" xr:uid="{00000000-0005-0000-0000-00009A2C0000}"/>
    <cellStyle name="SAPBEXHLevel3X 4 5" xfId="9819" xr:uid="{00000000-0005-0000-0000-00009B2C0000}"/>
    <cellStyle name="SAPBEXHLevel3X 40" xfId="11723" xr:uid="{00000000-0005-0000-0000-00009C2C0000}"/>
    <cellStyle name="SAPBEXHLevel3X 41" xfId="11736" xr:uid="{00000000-0005-0000-0000-00009D2C0000}"/>
    <cellStyle name="SAPBEXHLevel3X 42" xfId="11750" xr:uid="{00000000-0005-0000-0000-00009E2C0000}"/>
    <cellStyle name="SAPBEXHLevel3X 43" xfId="11760" xr:uid="{00000000-0005-0000-0000-00009F2C0000}"/>
    <cellStyle name="SAPBEXHLevel3X 44" xfId="11778" xr:uid="{00000000-0005-0000-0000-0000A02C0000}"/>
    <cellStyle name="SAPBEXHLevel3X 45" xfId="11829" xr:uid="{00000000-0005-0000-0000-0000A12C0000}"/>
    <cellStyle name="SAPBEXHLevel3X 46" xfId="11838" xr:uid="{00000000-0005-0000-0000-0000A22C0000}"/>
    <cellStyle name="SAPBEXHLevel3X 5" xfId="9374" xr:uid="{00000000-0005-0000-0000-0000A32C0000}"/>
    <cellStyle name="SAPBEXHLevel3X 5 2" xfId="9375" xr:uid="{00000000-0005-0000-0000-0000A42C0000}"/>
    <cellStyle name="SAPBEXHLevel3X 5 3" xfId="9376" xr:uid="{00000000-0005-0000-0000-0000A52C0000}"/>
    <cellStyle name="SAPBEXHLevel3X 5 3 2" xfId="10437" xr:uid="{00000000-0005-0000-0000-0000A62C0000}"/>
    <cellStyle name="SAPBEXHLevel3X 5 4" xfId="9821" xr:uid="{00000000-0005-0000-0000-0000A72C0000}"/>
    <cellStyle name="SAPBEXHLevel3X 6" xfId="9377" xr:uid="{00000000-0005-0000-0000-0000A82C0000}"/>
    <cellStyle name="SAPBEXHLevel3X 6 2" xfId="9378" xr:uid="{00000000-0005-0000-0000-0000A92C0000}"/>
    <cellStyle name="SAPBEXHLevel3X 6 2 2" xfId="10438" xr:uid="{00000000-0005-0000-0000-0000AA2C0000}"/>
    <cellStyle name="SAPBEXHLevel3X 6 3" xfId="9873" xr:uid="{00000000-0005-0000-0000-0000AB2C0000}"/>
    <cellStyle name="SAPBEXHLevel3X 6_Activity Fcst Variance" xfId="9379" xr:uid="{00000000-0005-0000-0000-0000AC2C0000}"/>
    <cellStyle name="SAPBEXHLevel3X 7" xfId="9380" xr:uid="{00000000-0005-0000-0000-0000AD2C0000}"/>
    <cellStyle name="SAPBEXHLevel3X 7 2" xfId="9381" xr:uid="{00000000-0005-0000-0000-0000AE2C0000}"/>
    <cellStyle name="SAPBEXHLevel3X 7 2 2" xfId="10439" xr:uid="{00000000-0005-0000-0000-0000AF2C0000}"/>
    <cellStyle name="SAPBEXHLevel3X 7 3" xfId="9382" xr:uid="{00000000-0005-0000-0000-0000B02C0000}"/>
    <cellStyle name="SAPBEXHLevel3X 7 3 2" xfId="10440" xr:uid="{00000000-0005-0000-0000-0000B12C0000}"/>
    <cellStyle name="SAPBEXHLevel3X 7 4" xfId="9383" xr:uid="{00000000-0005-0000-0000-0000B22C0000}"/>
    <cellStyle name="SAPBEXHLevel3X 7 4 2" xfId="10441" xr:uid="{00000000-0005-0000-0000-0000B32C0000}"/>
    <cellStyle name="SAPBEXHLevel3X 7 5" xfId="9384" xr:uid="{00000000-0005-0000-0000-0000B42C0000}"/>
    <cellStyle name="SAPBEXHLevel3X 7 5 2" xfId="10442" xr:uid="{00000000-0005-0000-0000-0000B52C0000}"/>
    <cellStyle name="SAPBEXHLevel3X 7 6" xfId="9874" xr:uid="{00000000-0005-0000-0000-0000B62C0000}"/>
    <cellStyle name="SAPBEXHLevel3X 8" xfId="9385" xr:uid="{00000000-0005-0000-0000-0000B72C0000}"/>
    <cellStyle name="SAPBEXHLevel3X 8 2" xfId="9386" xr:uid="{00000000-0005-0000-0000-0000B82C0000}"/>
    <cellStyle name="SAPBEXHLevel3X 8 2 2" xfId="10444" xr:uid="{00000000-0005-0000-0000-0000B92C0000}"/>
    <cellStyle name="SAPBEXHLevel3X 8 3" xfId="9387" xr:uid="{00000000-0005-0000-0000-0000BA2C0000}"/>
    <cellStyle name="SAPBEXHLevel3X 8 3 2" xfId="10445" xr:uid="{00000000-0005-0000-0000-0000BB2C0000}"/>
    <cellStyle name="SAPBEXHLevel3X 8 4" xfId="10443" xr:uid="{00000000-0005-0000-0000-0000BC2C0000}"/>
    <cellStyle name="SAPBEXHLevel3X 9" xfId="9388" xr:uid="{00000000-0005-0000-0000-0000BD2C0000}"/>
    <cellStyle name="SAPBEXHLevel3X 9 2" xfId="9389" xr:uid="{00000000-0005-0000-0000-0000BE2C0000}"/>
    <cellStyle name="SAPBEXHLevel3X 9 2 2" xfId="10447" xr:uid="{00000000-0005-0000-0000-0000BF2C0000}"/>
    <cellStyle name="SAPBEXHLevel3X 9 3" xfId="10446" xr:uid="{00000000-0005-0000-0000-0000C02C0000}"/>
    <cellStyle name="SAPBEXHLevel3X_BOT Summary" xfId="10519" xr:uid="{00000000-0005-0000-0000-0000C12C0000}"/>
    <cellStyle name="SAPBEXinputData" xfId="83" xr:uid="{00000000-0005-0000-0000-0000C22C0000}"/>
    <cellStyle name="SAPBEXinputData 10" xfId="9390" xr:uid="{00000000-0005-0000-0000-0000C32C0000}"/>
    <cellStyle name="SAPBEXinputData 10 2" xfId="9391" xr:uid="{00000000-0005-0000-0000-0000C42C0000}"/>
    <cellStyle name="SAPBEXinputData 10 2 2" xfId="10449" xr:uid="{00000000-0005-0000-0000-0000C52C0000}"/>
    <cellStyle name="SAPBEXinputData 10 3" xfId="10448" xr:uid="{00000000-0005-0000-0000-0000C62C0000}"/>
    <cellStyle name="SAPBEXinputData 11" xfId="9392" xr:uid="{00000000-0005-0000-0000-0000C72C0000}"/>
    <cellStyle name="SAPBEXinputData 11 2" xfId="10450" xr:uid="{00000000-0005-0000-0000-0000C82C0000}"/>
    <cellStyle name="SAPBEXinputData 12" xfId="9393" xr:uid="{00000000-0005-0000-0000-0000C92C0000}"/>
    <cellStyle name="SAPBEXinputData 12 2" xfId="10451" xr:uid="{00000000-0005-0000-0000-0000CA2C0000}"/>
    <cellStyle name="SAPBEXinputData 13" xfId="9394" xr:uid="{00000000-0005-0000-0000-0000CB2C0000}"/>
    <cellStyle name="SAPBEXinputData 13 2" xfId="10452" xr:uid="{00000000-0005-0000-0000-0000CC2C0000}"/>
    <cellStyle name="SAPBEXinputData 14" xfId="9395" xr:uid="{00000000-0005-0000-0000-0000CD2C0000}"/>
    <cellStyle name="SAPBEXinputData 14 2" xfId="10453" xr:uid="{00000000-0005-0000-0000-0000CE2C0000}"/>
    <cellStyle name="SAPBEXinputData 15" xfId="9637" xr:uid="{00000000-0005-0000-0000-0000CF2C0000}"/>
    <cellStyle name="SAPBEXinputData 16" xfId="9693" xr:uid="{00000000-0005-0000-0000-0000D02C0000}"/>
    <cellStyle name="SAPBEXinputData 16 2" xfId="11024" xr:uid="{00000000-0005-0000-0000-0000D12C0000}"/>
    <cellStyle name="SAPBEXinputData 17" xfId="9747" xr:uid="{00000000-0005-0000-0000-0000D22C0000}"/>
    <cellStyle name="SAPBEXinputData 18" xfId="10609" xr:uid="{00000000-0005-0000-0000-0000D32C0000}"/>
    <cellStyle name="SAPBEXinputData 18 2" xfId="11040" xr:uid="{00000000-0005-0000-0000-0000D42C0000}"/>
    <cellStyle name="SAPBEXinputData 19" xfId="10627" xr:uid="{00000000-0005-0000-0000-0000D52C0000}"/>
    <cellStyle name="SAPBEXinputData 19 2" xfId="11051" xr:uid="{00000000-0005-0000-0000-0000D62C0000}"/>
    <cellStyle name="SAPBEXinputData 2" xfId="9396" xr:uid="{00000000-0005-0000-0000-0000D72C0000}"/>
    <cellStyle name="SAPBEXinputData 2 2" xfId="9397" xr:uid="{00000000-0005-0000-0000-0000D82C0000}"/>
    <cellStyle name="SAPBEXinputData 2 2 2" xfId="9398" xr:uid="{00000000-0005-0000-0000-0000D92C0000}"/>
    <cellStyle name="SAPBEXinputData 2 2 2 2" xfId="10454" xr:uid="{00000000-0005-0000-0000-0000DA2C0000}"/>
    <cellStyle name="SAPBEXinputData 2 2 3" xfId="9823" xr:uid="{00000000-0005-0000-0000-0000DB2C0000}"/>
    <cellStyle name="SAPBEXinputData 2 2_Cap Forecast" xfId="9399" xr:uid="{00000000-0005-0000-0000-0000DC2C0000}"/>
    <cellStyle name="SAPBEXinputData 2 3" xfId="9400" xr:uid="{00000000-0005-0000-0000-0000DD2C0000}"/>
    <cellStyle name="SAPBEXinputData 2 3 2" xfId="10455" xr:uid="{00000000-0005-0000-0000-0000DE2C0000}"/>
    <cellStyle name="SAPBEXinputData 2 4" xfId="9401" xr:uid="{00000000-0005-0000-0000-0000DF2C0000}"/>
    <cellStyle name="SAPBEXinputData 2 4 2" xfId="10456" xr:uid="{00000000-0005-0000-0000-0000E02C0000}"/>
    <cellStyle name="SAPBEXinputData 2 5" xfId="9402" xr:uid="{00000000-0005-0000-0000-0000E12C0000}"/>
    <cellStyle name="SAPBEXinputData 2 5 2" xfId="10457" xr:uid="{00000000-0005-0000-0000-0000E22C0000}"/>
    <cellStyle name="SAPBEXinputData 2 6" xfId="9822" xr:uid="{00000000-0005-0000-0000-0000E32C0000}"/>
    <cellStyle name="SAPBEXinputData 2_Activity Fcst Variance" xfId="9403" xr:uid="{00000000-0005-0000-0000-0000E42C0000}"/>
    <cellStyle name="SAPBEXinputData 20" xfId="10694" xr:uid="{00000000-0005-0000-0000-0000E52C0000}"/>
    <cellStyle name="SAPBEXinputData 20 2" xfId="11063" xr:uid="{00000000-0005-0000-0000-0000E62C0000}"/>
    <cellStyle name="SAPBEXinputData 21" xfId="10702" xr:uid="{00000000-0005-0000-0000-0000E72C0000}"/>
    <cellStyle name="SAPBEXinputData 21 2" xfId="11066" xr:uid="{00000000-0005-0000-0000-0000E82C0000}"/>
    <cellStyle name="SAPBEXinputData 22" xfId="10696" xr:uid="{00000000-0005-0000-0000-0000E92C0000}"/>
    <cellStyle name="SAPBEXinputData 22 2" xfId="11064" xr:uid="{00000000-0005-0000-0000-0000EA2C0000}"/>
    <cellStyle name="SAPBEXinputData 23" xfId="10735" xr:uid="{00000000-0005-0000-0000-0000EB2C0000}"/>
    <cellStyle name="SAPBEXinputData 23 2" xfId="11082" xr:uid="{00000000-0005-0000-0000-0000EC2C0000}"/>
    <cellStyle name="SAPBEXinputData 24" xfId="10751" xr:uid="{00000000-0005-0000-0000-0000ED2C0000}"/>
    <cellStyle name="SAPBEXinputData 24 2" xfId="11094" xr:uid="{00000000-0005-0000-0000-0000EE2C0000}"/>
    <cellStyle name="SAPBEXinputData 25" xfId="10757" xr:uid="{00000000-0005-0000-0000-0000EF2C0000}"/>
    <cellStyle name="SAPBEXinputData 25 2" xfId="11097" xr:uid="{00000000-0005-0000-0000-0000F02C0000}"/>
    <cellStyle name="SAPBEXinputData 26" xfId="10833" xr:uid="{00000000-0005-0000-0000-0000F12C0000}"/>
    <cellStyle name="SAPBEXinputData 26 2" xfId="11112" xr:uid="{00000000-0005-0000-0000-0000F22C0000}"/>
    <cellStyle name="SAPBEXinputData 27" xfId="10850" xr:uid="{00000000-0005-0000-0000-0000F32C0000}"/>
    <cellStyle name="SAPBEXinputData 27 2" xfId="11123" xr:uid="{00000000-0005-0000-0000-0000F42C0000}"/>
    <cellStyle name="SAPBEXinputData 28" xfId="10865" xr:uid="{00000000-0005-0000-0000-0000F52C0000}"/>
    <cellStyle name="SAPBEXinputData 28 2" xfId="11133" xr:uid="{00000000-0005-0000-0000-0000F62C0000}"/>
    <cellStyle name="SAPBEXinputData 29" xfId="10880" xr:uid="{00000000-0005-0000-0000-0000F72C0000}"/>
    <cellStyle name="SAPBEXinputData 29 2" xfId="11143" xr:uid="{00000000-0005-0000-0000-0000F82C0000}"/>
    <cellStyle name="SAPBEXinputData 3" xfId="9404" xr:uid="{00000000-0005-0000-0000-0000F92C0000}"/>
    <cellStyle name="SAPBEXinputData 3 2" xfId="9405" xr:uid="{00000000-0005-0000-0000-0000FA2C0000}"/>
    <cellStyle name="SAPBEXinputData 3 2 2" xfId="9825" xr:uid="{00000000-0005-0000-0000-0000FB2C0000}"/>
    <cellStyle name="SAPBEXinputData 3 3" xfId="9406" xr:uid="{00000000-0005-0000-0000-0000FC2C0000}"/>
    <cellStyle name="SAPBEXinputData 3 3 2" xfId="10458" xr:uid="{00000000-0005-0000-0000-0000FD2C0000}"/>
    <cellStyle name="SAPBEXinputData 3 4" xfId="9407" xr:uid="{00000000-0005-0000-0000-0000FE2C0000}"/>
    <cellStyle name="SAPBEXinputData 3 4 2" xfId="10459" xr:uid="{00000000-0005-0000-0000-0000FF2C0000}"/>
    <cellStyle name="SAPBEXinputData 3 5" xfId="9824" xr:uid="{00000000-0005-0000-0000-0000002D0000}"/>
    <cellStyle name="SAPBEXinputData 30" xfId="10894" xr:uid="{00000000-0005-0000-0000-0000012D0000}"/>
    <cellStyle name="SAPBEXinputData 30 2" xfId="11153" xr:uid="{00000000-0005-0000-0000-0000022D0000}"/>
    <cellStyle name="SAPBEXinputData 31" xfId="10908" xr:uid="{00000000-0005-0000-0000-0000032D0000}"/>
    <cellStyle name="SAPBEXinputData 31 2" xfId="11163" xr:uid="{00000000-0005-0000-0000-0000042D0000}"/>
    <cellStyle name="SAPBEXinputData 32" xfId="10921" xr:uid="{00000000-0005-0000-0000-0000052D0000}"/>
    <cellStyle name="SAPBEXinputData 32 2" xfId="11173" xr:uid="{00000000-0005-0000-0000-0000062D0000}"/>
    <cellStyle name="SAPBEXinputData 33" xfId="10929" xr:uid="{00000000-0005-0000-0000-0000072D0000}"/>
    <cellStyle name="SAPBEXinputData 33 2" xfId="11178" xr:uid="{00000000-0005-0000-0000-0000082D0000}"/>
    <cellStyle name="SAPBEXinputData 34" xfId="11225" xr:uid="{00000000-0005-0000-0000-0000092D0000}"/>
    <cellStyle name="SAPBEXinputData 35" xfId="11235" xr:uid="{00000000-0005-0000-0000-00000A2D0000}"/>
    <cellStyle name="SAPBEXinputData 36" xfId="11254" xr:uid="{00000000-0005-0000-0000-00000B2D0000}"/>
    <cellStyle name="SAPBEXinputData 37" xfId="11430" xr:uid="{00000000-0005-0000-0000-00000C2D0000}"/>
    <cellStyle name="SAPBEXinputData 38" xfId="11444" xr:uid="{00000000-0005-0000-0000-00000D2D0000}"/>
    <cellStyle name="SAPBEXinputData 39" xfId="11453" xr:uid="{00000000-0005-0000-0000-00000E2D0000}"/>
    <cellStyle name="SAPBEXinputData 4" xfId="9408" xr:uid="{00000000-0005-0000-0000-00000F2D0000}"/>
    <cellStyle name="SAPBEXinputData 4 2" xfId="9409" xr:uid="{00000000-0005-0000-0000-0000102D0000}"/>
    <cellStyle name="SAPBEXinputData 4 2 2" xfId="9410" xr:uid="{00000000-0005-0000-0000-0000112D0000}"/>
    <cellStyle name="SAPBEXinputData 4 2 2 2" xfId="10460" xr:uid="{00000000-0005-0000-0000-0000122D0000}"/>
    <cellStyle name="SAPBEXinputData 4 2 3" xfId="9827" xr:uid="{00000000-0005-0000-0000-0000132D0000}"/>
    <cellStyle name="SAPBEXinputData 4 2_Cap Forecast" xfId="9411" xr:uid="{00000000-0005-0000-0000-0000142D0000}"/>
    <cellStyle name="SAPBEXinputData 4 3" xfId="9412" xr:uid="{00000000-0005-0000-0000-0000152D0000}"/>
    <cellStyle name="SAPBEXinputData 4 3 2" xfId="10461" xr:uid="{00000000-0005-0000-0000-0000162D0000}"/>
    <cellStyle name="SAPBEXinputData 4 4" xfId="9413" xr:uid="{00000000-0005-0000-0000-0000172D0000}"/>
    <cellStyle name="SAPBEXinputData 4 4 2" xfId="10462" xr:uid="{00000000-0005-0000-0000-0000182D0000}"/>
    <cellStyle name="SAPBEXinputData 4 5" xfId="9826" xr:uid="{00000000-0005-0000-0000-0000192D0000}"/>
    <cellStyle name="SAPBEXinputData 40" xfId="11472" xr:uid="{00000000-0005-0000-0000-00001A2D0000}"/>
    <cellStyle name="SAPBEXinputData 41" xfId="11583" xr:uid="{00000000-0005-0000-0000-00001B2D0000}"/>
    <cellStyle name="SAPBEXinputData 42" xfId="11710" xr:uid="{00000000-0005-0000-0000-00001C2D0000}"/>
    <cellStyle name="SAPBEXinputData 43" xfId="11724" xr:uid="{00000000-0005-0000-0000-00001D2D0000}"/>
    <cellStyle name="SAPBEXinputData 44" xfId="11737" xr:uid="{00000000-0005-0000-0000-00001E2D0000}"/>
    <cellStyle name="SAPBEXinputData 45" xfId="11751" xr:uid="{00000000-0005-0000-0000-00001F2D0000}"/>
    <cellStyle name="SAPBEXinputData 46" xfId="11761" xr:uid="{00000000-0005-0000-0000-0000202D0000}"/>
    <cellStyle name="SAPBEXinputData 47" xfId="11779" xr:uid="{00000000-0005-0000-0000-0000212D0000}"/>
    <cellStyle name="SAPBEXinputData 48" xfId="11830" xr:uid="{00000000-0005-0000-0000-0000222D0000}"/>
    <cellStyle name="SAPBEXinputData 49" xfId="11839" xr:uid="{00000000-0005-0000-0000-0000232D0000}"/>
    <cellStyle name="SAPBEXinputData 5" xfId="9414" xr:uid="{00000000-0005-0000-0000-0000242D0000}"/>
    <cellStyle name="SAPBEXinputData 5 2" xfId="9415" xr:uid="{00000000-0005-0000-0000-0000252D0000}"/>
    <cellStyle name="SAPBEXinputData 5 2 2" xfId="10463" xr:uid="{00000000-0005-0000-0000-0000262D0000}"/>
    <cellStyle name="SAPBEXinputData 5 3" xfId="9416" xr:uid="{00000000-0005-0000-0000-0000272D0000}"/>
    <cellStyle name="SAPBEXinputData 5 3 2" xfId="10464" xr:uid="{00000000-0005-0000-0000-0000282D0000}"/>
    <cellStyle name="SAPBEXinputData 5 4" xfId="9828" xr:uid="{00000000-0005-0000-0000-0000292D0000}"/>
    <cellStyle name="SAPBEXinputData 6" xfId="9417" xr:uid="{00000000-0005-0000-0000-00002A2D0000}"/>
    <cellStyle name="SAPBEXinputData 6 2" xfId="9418" xr:uid="{00000000-0005-0000-0000-00002B2D0000}"/>
    <cellStyle name="SAPBEXinputData 6 2 2" xfId="10465" xr:uid="{00000000-0005-0000-0000-00002C2D0000}"/>
    <cellStyle name="SAPBEXinputData 6 3" xfId="9875" xr:uid="{00000000-0005-0000-0000-00002D2D0000}"/>
    <cellStyle name="SAPBEXinputData 6_Activity Fcst Variance" xfId="9419" xr:uid="{00000000-0005-0000-0000-00002E2D0000}"/>
    <cellStyle name="SAPBEXinputData 7" xfId="9420" xr:uid="{00000000-0005-0000-0000-00002F2D0000}"/>
    <cellStyle name="SAPBEXinputData 7 2" xfId="9421" xr:uid="{00000000-0005-0000-0000-0000302D0000}"/>
    <cellStyle name="SAPBEXinputData 7 2 2" xfId="10466" xr:uid="{00000000-0005-0000-0000-0000312D0000}"/>
    <cellStyle name="SAPBEXinputData 7 3" xfId="9422" xr:uid="{00000000-0005-0000-0000-0000322D0000}"/>
    <cellStyle name="SAPBEXinputData 7 3 2" xfId="10467" xr:uid="{00000000-0005-0000-0000-0000332D0000}"/>
    <cellStyle name="SAPBEXinputData 7 4" xfId="9423" xr:uid="{00000000-0005-0000-0000-0000342D0000}"/>
    <cellStyle name="SAPBEXinputData 7 4 2" xfId="10468" xr:uid="{00000000-0005-0000-0000-0000352D0000}"/>
    <cellStyle name="SAPBEXinputData 7 5" xfId="9424" xr:uid="{00000000-0005-0000-0000-0000362D0000}"/>
    <cellStyle name="SAPBEXinputData 7 5 2" xfId="10469" xr:uid="{00000000-0005-0000-0000-0000372D0000}"/>
    <cellStyle name="SAPBEXinputData 7 6" xfId="9876" xr:uid="{00000000-0005-0000-0000-0000382D0000}"/>
    <cellStyle name="SAPBEXinputData 8" xfId="9425" xr:uid="{00000000-0005-0000-0000-0000392D0000}"/>
    <cellStyle name="SAPBEXinputData 8 2" xfId="9426" xr:uid="{00000000-0005-0000-0000-00003A2D0000}"/>
    <cellStyle name="SAPBEXinputData 8 2 2" xfId="10471" xr:uid="{00000000-0005-0000-0000-00003B2D0000}"/>
    <cellStyle name="SAPBEXinputData 8 3" xfId="9427" xr:uid="{00000000-0005-0000-0000-00003C2D0000}"/>
    <cellStyle name="SAPBEXinputData 8 3 2" xfId="10472" xr:uid="{00000000-0005-0000-0000-00003D2D0000}"/>
    <cellStyle name="SAPBEXinputData 8 4" xfId="10470" xr:uid="{00000000-0005-0000-0000-00003E2D0000}"/>
    <cellStyle name="SAPBEXinputData 9" xfId="9428" xr:uid="{00000000-0005-0000-0000-00003F2D0000}"/>
    <cellStyle name="SAPBEXinputData 9 2" xfId="9429" xr:uid="{00000000-0005-0000-0000-0000402D0000}"/>
    <cellStyle name="SAPBEXinputData 9 2 2" xfId="10474" xr:uid="{00000000-0005-0000-0000-0000412D0000}"/>
    <cellStyle name="SAPBEXinputData 9 3" xfId="10473" xr:uid="{00000000-0005-0000-0000-0000422D0000}"/>
    <cellStyle name="SAPBEXinputData_BOT Summary" xfId="10520" xr:uid="{00000000-0005-0000-0000-0000432D0000}"/>
    <cellStyle name="SAPBEXItemHeader" xfId="84" xr:uid="{00000000-0005-0000-0000-0000442D0000}"/>
    <cellStyle name="SAPBEXItemHeader 2" xfId="9430" xr:uid="{00000000-0005-0000-0000-0000452D0000}"/>
    <cellStyle name="SAPBEXresData" xfId="85" xr:uid="{00000000-0005-0000-0000-0000462D0000}"/>
    <cellStyle name="SAPBEXresData 2" xfId="9431" xr:uid="{00000000-0005-0000-0000-0000472D0000}"/>
    <cellStyle name="SAPBEXresData 2 2" xfId="9432" xr:uid="{00000000-0005-0000-0000-0000482D0000}"/>
    <cellStyle name="SAPBEXresData 2 2 2" xfId="9433" xr:uid="{00000000-0005-0000-0000-0000492D0000}"/>
    <cellStyle name="SAPBEXresData 2 2_Cap Forecast" xfId="9434" xr:uid="{00000000-0005-0000-0000-00004A2D0000}"/>
    <cellStyle name="SAPBEXresData 2 3" xfId="9435" xr:uid="{00000000-0005-0000-0000-00004B2D0000}"/>
    <cellStyle name="SAPBEXresData 2 4" xfId="9436" xr:uid="{00000000-0005-0000-0000-00004C2D0000}"/>
    <cellStyle name="SAPBEXresData 2 5" xfId="9437" xr:uid="{00000000-0005-0000-0000-00004D2D0000}"/>
    <cellStyle name="SAPBEXresData 2_Activity Fcst Variance" xfId="9438" xr:uid="{00000000-0005-0000-0000-00004E2D0000}"/>
    <cellStyle name="SAPBEXresData 3" xfId="9439" xr:uid="{00000000-0005-0000-0000-00004F2D0000}"/>
    <cellStyle name="SAPBEXresData_BOT Summary" xfId="10521" xr:uid="{00000000-0005-0000-0000-0000502D0000}"/>
    <cellStyle name="SAPBEXresDataEmph" xfId="86" xr:uid="{00000000-0005-0000-0000-0000512D0000}"/>
    <cellStyle name="SAPBEXresDataEmph 2" xfId="9440" xr:uid="{00000000-0005-0000-0000-0000522D0000}"/>
    <cellStyle name="SAPBEXresDataEmph 2 2" xfId="9441" xr:uid="{00000000-0005-0000-0000-0000532D0000}"/>
    <cellStyle name="SAPBEXresDataEmph 2 2 2" xfId="9442" xr:uid="{00000000-0005-0000-0000-0000542D0000}"/>
    <cellStyle name="SAPBEXresDataEmph 2 2_Cap Forecast" xfId="9443" xr:uid="{00000000-0005-0000-0000-0000552D0000}"/>
    <cellStyle name="SAPBEXresDataEmph 2 3" xfId="9444" xr:uid="{00000000-0005-0000-0000-0000562D0000}"/>
    <cellStyle name="SAPBEXresDataEmph 2 4" xfId="9445" xr:uid="{00000000-0005-0000-0000-0000572D0000}"/>
    <cellStyle name="SAPBEXresDataEmph 2 5" xfId="9446" xr:uid="{00000000-0005-0000-0000-0000582D0000}"/>
    <cellStyle name="SAPBEXresDataEmph 2_Activity Fcst Variance" xfId="9447" xr:uid="{00000000-0005-0000-0000-0000592D0000}"/>
    <cellStyle name="SAPBEXresDataEmph 3" xfId="9448" xr:uid="{00000000-0005-0000-0000-00005A2D0000}"/>
    <cellStyle name="SAPBEXresDataEmph_BOT Summary" xfId="10522" xr:uid="{00000000-0005-0000-0000-00005B2D0000}"/>
    <cellStyle name="SAPBEXresItem" xfId="87" xr:uid="{00000000-0005-0000-0000-00005C2D0000}"/>
    <cellStyle name="SAPBEXresItem 2" xfId="9449" xr:uid="{00000000-0005-0000-0000-00005D2D0000}"/>
    <cellStyle name="SAPBEXresItem 2 2" xfId="9450" xr:uid="{00000000-0005-0000-0000-00005E2D0000}"/>
    <cellStyle name="SAPBEXresItem 2 2 2" xfId="9451" xr:uid="{00000000-0005-0000-0000-00005F2D0000}"/>
    <cellStyle name="SAPBEXresItem 2 2_Cap Forecast" xfId="9452" xr:uid="{00000000-0005-0000-0000-0000602D0000}"/>
    <cellStyle name="SAPBEXresItem 2 3" xfId="9453" xr:uid="{00000000-0005-0000-0000-0000612D0000}"/>
    <cellStyle name="SAPBEXresItem 2 4" xfId="9454" xr:uid="{00000000-0005-0000-0000-0000622D0000}"/>
    <cellStyle name="SAPBEXresItem 2 5" xfId="9455" xr:uid="{00000000-0005-0000-0000-0000632D0000}"/>
    <cellStyle name="SAPBEXresItem 2_Activity Fcst Variance" xfId="9456" xr:uid="{00000000-0005-0000-0000-0000642D0000}"/>
    <cellStyle name="SAPBEXresItem 3" xfId="9457" xr:uid="{00000000-0005-0000-0000-0000652D0000}"/>
    <cellStyle name="SAPBEXresItem_BOT Summary" xfId="10523" xr:uid="{00000000-0005-0000-0000-0000662D0000}"/>
    <cellStyle name="SAPBEXresItemX" xfId="88" xr:uid="{00000000-0005-0000-0000-0000672D0000}"/>
    <cellStyle name="SAPBEXresItemX 2" xfId="9458" xr:uid="{00000000-0005-0000-0000-0000682D0000}"/>
    <cellStyle name="SAPBEXresItemX 2 2" xfId="9459" xr:uid="{00000000-0005-0000-0000-0000692D0000}"/>
    <cellStyle name="SAPBEXresItemX 2 2 2" xfId="9460" xr:uid="{00000000-0005-0000-0000-00006A2D0000}"/>
    <cellStyle name="SAPBEXresItemX 2 2_Cap Forecast" xfId="9461" xr:uid="{00000000-0005-0000-0000-00006B2D0000}"/>
    <cellStyle name="SAPBEXresItemX 2 3" xfId="9462" xr:uid="{00000000-0005-0000-0000-00006C2D0000}"/>
    <cellStyle name="SAPBEXresItemX 2 4" xfId="9463" xr:uid="{00000000-0005-0000-0000-00006D2D0000}"/>
    <cellStyle name="SAPBEXresItemX 2 5" xfId="9464" xr:uid="{00000000-0005-0000-0000-00006E2D0000}"/>
    <cellStyle name="SAPBEXresItemX 2_Activity Fcst Variance" xfId="9465" xr:uid="{00000000-0005-0000-0000-00006F2D0000}"/>
    <cellStyle name="SAPBEXresItemX 3" xfId="9466" xr:uid="{00000000-0005-0000-0000-0000702D0000}"/>
    <cellStyle name="SAPBEXresItemX 4" xfId="9467" xr:uid="{00000000-0005-0000-0000-0000712D0000}"/>
    <cellStyle name="SAPBEXresItemX 5" xfId="9468" xr:uid="{00000000-0005-0000-0000-0000722D0000}"/>
    <cellStyle name="SAPBEXresItemX 6" xfId="9469" xr:uid="{00000000-0005-0000-0000-0000732D0000}"/>
    <cellStyle name="SAPBEXresItemX 7" xfId="9470" xr:uid="{00000000-0005-0000-0000-0000742D0000}"/>
    <cellStyle name="SAPBEXresItemX 8" xfId="9471" xr:uid="{00000000-0005-0000-0000-0000752D0000}"/>
    <cellStyle name="SAPBEXresItemX 9" xfId="9748" xr:uid="{00000000-0005-0000-0000-0000762D0000}"/>
    <cellStyle name="SAPBEXresItemX_BOT Summary" xfId="10524" xr:uid="{00000000-0005-0000-0000-0000772D0000}"/>
    <cellStyle name="SAPBEXstdData" xfId="89" xr:uid="{00000000-0005-0000-0000-0000782D0000}"/>
    <cellStyle name="SAPBEXstdData 2" xfId="9472" xr:uid="{00000000-0005-0000-0000-0000792D0000}"/>
    <cellStyle name="SAPBEXstdData 2 2" xfId="9473" xr:uid="{00000000-0005-0000-0000-00007A2D0000}"/>
    <cellStyle name="SAPBEXstdData 2 2 2" xfId="9474" xr:uid="{00000000-0005-0000-0000-00007B2D0000}"/>
    <cellStyle name="SAPBEXstdData 2 2_Cap Forecast" xfId="9475" xr:uid="{00000000-0005-0000-0000-00007C2D0000}"/>
    <cellStyle name="SAPBEXstdData 2 3" xfId="9476" xr:uid="{00000000-0005-0000-0000-00007D2D0000}"/>
    <cellStyle name="SAPBEXstdData 2 4" xfId="9477" xr:uid="{00000000-0005-0000-0000-00007E2D0000}"/>
    <cellStyle name="SAPBEXstdData 2 5" xfId="9478" xr:uid="{00000000-0005-0000-0000-00007F2D0000}"/>
    <cellStyle name="SAPBEXstdData 2_Activity Fcst Variance" xfId="9479" xr:uid="{00000000-0005-0000-0000-0000802D0000}"/>
    <cellStyle name="SAPBEXstdData 3" xfId="9480" xr:uid="{00000000-0005-0000-0000-0000812D0000}"/>
    <cellStyle name="SAPBEXstdData 3 2" xfId="9481" xr:uid="{00000000-0005-0000-0000-0000822D0000}"/>
    <cellStyle name="SAPBEXstdData 3 3" xfId="9482" xr:uid="{00000000-0005-0000-0000-0000832D0000}"/>
    <cellStyle name="SAPBEXstdData 3_Cap Forecast" xfId="9483" xr:uid="{00000000-0005-0000-0000-0000842D0000}"/>
    <cellStyle name="SAPBEXstdData 4" xfId="9484" xr:uid="{00000000-0005-0000-0000-0000852D0000}"/>
    <cellStyle name="SAPBEXstdData 4 2" xfId="9485" xr:uid="{00000000-0005-0000-0000-0000862D0000}"/>
    <cellStyle name="SAPBEXstdData 4_Cap Forecast" xfId="9486" xr:uid="{00000000-0005-0000-0000-0000872D0000}"/>
    <cellStyle name="SAPBEXstdData 5" xfId="10944" xr:uid="{00000000-0005-0000-0000-0000882D0000}"/>
    <cellStyle name="SAPBEXstdData 6" xfId="111" xr:uid="{00000000-0005-0000-0000-0000892D0000}"/>
    <cellStyle name="SAPBEXstdData_2010 DATA" xfId="9487" xr:uid="{00000000-0005-0000-0000-00008A2D0000}"/>
    <cellStyle name="SAPBEXstdDataEmph" xfId="90" xr:uid="{00000000-0005-0000-0000-00008B2D0000}"/>
    <cellStyle name="SAPBEXstdDataEmph 2" xfId="9488" xr:uid="{00000000-0005-0000-0000-00008C2D0000}"/>
    <cellStyle name="SAPBEXstdDataEmph 2 2" xfId="9489" xr:uid="{00000000-0005-0000-0000-00008D2D0000}"/>
    <cellStyle name="SAPBEXstdDataEmph 2 2 2" xfId="9490" xr:uid="{00000000-0005-0000-0000-00008E2D0000}"/>
    <cellStyle name="SAPBEXstdDataEmph 2 2_Cap Forecast" xfId="9491" xr:uid="{00000000-0005-0000-0000-00008F2D0000}"/>
    <cellStyle name="SAPBEXstdDataEmph 2 3" xfId="9492" xr:uid="{00000000-0005-0000-0000-0000902D0000}"/>
    <cellStyle name="SAPBEXstdDataEmph 2 4" xfId="9493" xr:uid="{00000000-0005-0000-0000-0000912D0000}"/>
    <cellStyle name="SAPBEXstdDataEmph 2 5" xfId="9494" xr:uid="{00000000-0005-0000-0000-0000922D0000}"/>
    <cellStyle name="SAPBEXstdDataEmph 2_Activity Fcst Variance" xfId="9495" xr:uid="{00000000-0005-0000-0000-0000932D0000}"/>
    <cellStyle name="SAPBEXstdDataEmph 3" xfId="9496" xr:uid="{00000000-0005-0000-0000-0000942D0000}"/>
    <cellStyle name="SAPBEXstdDataEmph_BOT Summary" xfId="10525" xr:uid="{00000000-0005-0000-0000-0000952D0000}"/>
    <cellStyle name="SAPBEXstdItem" xfId="91" xr:uid="{00000000-0005-0000-0000-0000962D0000}"/>
    <cellStyle name="SAPBEXstdItem 2" xfId="9497" xr:uid="{00000000-0005-0000-0000-0000972D0000}"/>
    <cellStyle name="SAPBEXstdItem 2 2" xfId="9498" xr:uid="{00000000-0005-0000-0000-0000982D0000}"/>
    <cellStyle name="SAPBEXstdItem 2 2 2" xfId="9499" xr:uid="{00000000-0005-0000-0000-0000992D0000}"/>
    <cellStyle name="SAPBEXstdItem 2 2_Cap Forecast" xfId="9500" xr:uid="{00000000-0005-0000-0000-00009A2D0000}"/>
    <cellStyle name="SAPBEXstdItem 2 3" xfId="9501" xr:uid="{00000000-0005-0000-0000-00009B2D0000}"/>
    <cellStyle name="SAPBEXstdItem 2 4" xfId="9502" xr:uid="{00000000-0005-0000-0000-00009C2D0000}"/>
    <cellStyle name="SAPBEXstdItem 2 5" xfId="9503" xr:uid="{00000000-0005-0000-0000-00009D2D0000}"/>
    <cellStyle name="SAPBEXstdItem 2_Activity Fcst Variance" xfId="9504" xr:uid="{00000000-0005-0000-0000-00009E2D0000}"/>
    <cellStyle name="SAPBEXstdItem 3" xfId="9505" xr:uid="{00000000-0005-0000-0000-00009F2D0000}"/>
    <cellStyle name="SAPBEXstdItem 3 2" xfId="9506" xr:uid="{00000000-0005-0000-0000-0000A02D0000}"/>
    <cellStyle name="SAPBEXstdItem 3 3" xfId="9507" xr:uid="{00000000-0005-0000-0000-0000A12D0000}"/>
    <cellStyle name="SAPBEXstdItem 3_Cap Forecast" xfId="9508" xr:uid="{00000000-0005-0000-0000-0000A22D0000}"/>
    <cellStyle name="SAPBEXstdItem 4" xfId="9509" xr:uid="{00000000-0005-0000-0000-0000A32D0000}"/>
    <cellStyle name="SAPBEXstdItem 5" xfId="9510" xr:uid="{00000000-0005-0000-0000-0000A42D0000}"/>
    <cellStyle name="SAPBEXstdItem 6" xfId="10942" xr:uid="{00000000-0005-0000-0000-0000A52D0000}"/>
    <cellStyle name="SAPBEXstdItem 7" xfId="109" xr:uid="{00000000-0005-0000-0000-0000A62D0000}"/>
    <cellStyle name="SAPBEXstdItem_2009 DPMO Controls - Cash Flow 04-20-09 v1.0" xfId="9511" xr:uid="{00000000-0005-0000-0000-0000A72D0000}"/>
    <cellStyle name="SAPBEXstdItemX" xfId="92" xr:uid="{00000000-0005-0000-0000-0000A82D0000}"/>
    <cellStyle name="SAPBEXstdItemX 2" xfId="9512" xr:uid="{00000000-0005-0000-0000-0000A92D0000}"/>
    <cellStyle name="SAPBEXstdItemX 2 2" xfId="9513" xr:uid="{00000000-0005-0000-0000-0000AA2D0000}"/>
    <cellStyle name="SAPBEXstdItemX 2 2 2" xfId="9514" xr:uid="{00000000-0005-0000-0000-0000AB2D0000}"/>
    <cellStyle name="SAPBEXstdItemX 2 2_Cap Forecast" xfId="9515" xr:uid="{00000000-0005-0000-0000-0000AC2D0000}"/>
    <cellStyle name="SAPBEXstdItemX 2 3" xfId="9516" xr:uid="{00000000-0005-0000-0000-0000AD2D0000}"/>
    <cellStyle name="SAPBEXstdItemX 2 4" xfId="9517" xr:uid="{00000000-0005-0000-0000-0000AE2D0000}"/>
    <cellStyle name="SAPBEXstdItemX 2 5" xfId="9518" xr:uid="{00000000-0005-0000-0000-0000AF2D0000}"/>
    <cellStyle name="SAPBEXstdItemX 2_Activity Fcst Variance" xfId="9519" xr:uid="{00000000-0005-0000-0000-0000B02D0000}"/>
    <cellStyle name="SAPBEXstdItemX 3" xfId="9520" xr:uid="{00000000-0005-0000-0000-0000B12D0000}"/>
    <cellStyle name="SAPBEXstdItemX 4" xfId="9521" xr:uid="{00000000-0005-0000-0000-0000B22D0000}"/>
    <cellStyle name="SAPBEXstdItemX 5" xfId="9522" xr:uid="{00000000-0005-0000-0000-0000B32D0000}"/>
    <cellStyle name="SAPBEXstdItemX 6" xfId="9523" xr:uid="{00000000-0005-0000-0000-0000B42D0000}"/>
    <cellStyle name="SAPBEXstdItemX 7" xfId="9524" xr:uid="{00000000-0005-0000-0000-0000B52D0000}"/>
    <cellStyle name="SAPBEXstdItemX 8" xfId="9525" xr:uid="{00000000-0005-0000-0000-0000B62D0000}"/>
    <cellStyle name="SAPBEXstdItemX 9" xfId="9749" xr:uid="{00000000-0005-0000-0000-0000B72D0000}"/>
    <cellStyle name="SAPBEXstdItemX_BOT Summary" xfId="10526" xr:uid="{00000000-0005-0000-0000-0000B82D0000}"/>
    <cellStyle name="SAPBEXtitle" xfId="93" xr:uid="{00000000-0005-0000-0000-0000B92D0000}"/>
    <cellStyle name="SAPBEXtitle 2" xfId="9526" xr:uid="{00000000-0005-0000-0000-0000BA2D0000}"/>
    <cellStyle name="SAPBEXtitle 2 2" xfId="9527" xr:uid="{00000000-0005-0000-0000-0000BB2D0000}"/>
    <cellStyle name="SAPBEXtitle 2 2 2" xfId="9528" xr:uid="{00000000-0005-0000-0000-0000BC2D0000}"/>
    <cellStyle name="SAPBEXtitle 2 2 3" xfId="9529" xr:uid="{00000000-0005-0000-0000-0000BD2D0000}"/>
    <cellStyle name="SAPBEXtitle 2 2_Cap Forecast" xfId="9530" xr:uid="{00000000-0005-0000-0000-0000BE2D0000}"/>
    <cellStyle name="SAPBEXtitle 2 3" xfId="9531" xr:uid="{00000000-0005-0000-0000-0000BF2D0000}"/>
    <cellStyle name="SAPBEXtitle 2 4" xfId="9532" xr:uid="{00000000-0005-0000-0000-0000C02D0000}"/>
    <cellStyle name="SAPBEXtitle 2 5" xfId="9533" xr:uid="{00000000-0005-0000-0000-0000C12D0000}"/>
    <cellStyle name="SAPBEXtitle 2 6" xfId="9534" xr:uid="{00000000-0005-0000-0000-0000C22D0000}"/>
    <cellStyle name="SAPBEXtitle 2_Activity Fcst Variance" xfId="9535" xr:uid="{00000000-0005-0000-0000-0000C32D0000}"/>
    <cellStyle name="SAPBEXtitle 3" xfId="9536" xr:uid="{00000000-0005-0000-0000-0000C42D0000}"/>
    <cellStyle name="SAPBEXtitle 3 2" xfId="9537" xr:uid="{00000000-0005-0000-0000-0000C52D0000}"/>
    <cellStyle name="SAPBEXtitle 4" xfId="9538" xr:uid="{00000000-0005-0000-0000-0000C62D0000}"/>
    <cellStyle name="SAPBEXtitle 4 2" xfId="9539" xr:uid="{00000000-0005-0000-0000-0000C72D0000}"/>
    <cellStyle name="SAPBEXtitle_BOT Summary" xfId="10527" xr:uid="{00000000-0005-0000-0000-0000C82D0000}"/>
    <cellStyle name="SAPBEXunassignedItem" xfId="94" xr:uid="{00000000-0005-0000-0000-0000C92D0000}"/>
    <cellStyle name="SAPBEXunassignedItem 2" xfId="9541" xr:uid="{00000000-0005-0000-0000-0000CA2D0000}"/>
    <cellStyle name="SAPBEXunassignedItem 3" xfId="11002" xr:uid="{00000000-0005-0000-0000-0000CB2D0000}"/>
    <cellStyle name="SAPBEXunassignedItem 4" xfId="9540" xr:uid="{00000000-0005-0000-0000-0000CC2D0000}"/>
    <cellStyle name="SAPBEXundefined" xfId="95" xr:uid="{00000000-0005-0000-0000-0000CD2D0000}"/>
    <cellStyle name="SAPBEXundefined 2" xfId="9542" xr:uid="{00000000-0005-0000-0000-0000CE2D0000}"/>
    <cellStyle name="SAPBEXundefined 2 2" xfId="9543" xr:uid="{00000000-0005-0000-0000-0000CF2D0000}"/>
    <cellStyle name="SAPBEXundefined 2 2 2" xfId="9544" xr:uid="{00000000-0005-0000-0000-0000D02D0000}"/>
    <cellStyle name="SAPBEXundefined 2 2_Cap Forecast" xfId="9545" xr:uid="{00000000-0005-0000-0000-0000D12D0000}"/>
    <cellStyle name="SAPBEXundefined 2 3" xfId="9546" xr:uid="{00000000-0005-0000-0000-0000D22D0000}"/>
    <cellStyle name="SAPBEXundefined 2 4" xfId="9547" xr:uid="{00000000-0005-0000-0000-0000D32D0000}"/>
    <cellStyle name="SAPBEXundefined 2 5" xfId="9548" xr:uid="{00000000-0005-0000-0000-0000D42D0000}"/>
    <cellStyle name="SAPBEXundefined 2 6" xfId="9549" xr:uid="{00000000-0005-0000-0000-0000D52D0000}"/>
    <cellStyle name="SAPBEXundefined 2_Activity Fcst Variance" xfId="9550" xr:uid="{00000000-0005-0000-0000-0000D62D0000}"/>
    <cellStyle name="SAPBEXundefined 3" xfId="9551" xr:uid="{00000000-0005-0000-0000-0000D72D0000}"/>
    <cellStyle name="SAPBEXundefined_BOT Summary" xfId="10528" xr:uid="{00000000-0005-0000-0000-0000D82D0000}"/>
    <cellStyle name="SAPBorder" xfId="10565" xr:uid="{00000000-0005-0000-0000-0000D92D0000}"/>
    <cellStyle name="SAPBorder 2" xfId="10661" xr:uid="{00000000-0005-0000-0000-0000DA2D0000}"/>
    <cellStyle name="SAPDataCell" xfId="10590" xr:uid="{00000000-0005-0000-0000-0000DB2D0000}"/>
    <cellStyle name="SAPDataTotalCell" xfId="10589" xr:uid="{00000000-0005-0000-0000-0000DC2D0000}"/>
    <cellStyle name="SAPDataTotalCell 2" xfId="10651" xr:uid="{00000000-0005-0000-0000-0000DD2D0000}"/>
    <cellStyle name="SAPDimensionCell" xfId="101" xr:uid="{00000000-0005-0000-0000-0000DE2D0000}"/>
    <cellStyle name="SAPDimensionCell 2" xfId="10591" xr:uid="{00000000-0005-0000-0000-0000DF2D0000}"/>
    <cellStyle name="SAPDimensionCell 3" xfId="10652" xr:uid="{00000000-0005-0000-0000-0000E02D0000}"/>
    <cellStyle name="SAPEditableDataCell" xfId="105" xr:uid="{00000000-0005-0000-0000-0000E12D0000}"/>
    <cellStyle name="SAPEditableDataCell 2" xfId="10588" xr:uid="{00000000-0005-0000-0000-0000E22D0000}"/>
    <cellStyle name="SAPEditableDataCell 3" xfId="10650" xr:uid="{00000000-0005-0000-0000-0000E32D0000}"/>
    <cellStyle name="SAPEditableDataTotalCell" xfId="10586" xr:uid="{00000000-0005-0000-0000-0000E42D0000}"/>
    <cellStyle name="SAPEditableDataTotalCell 2" xfId="10649" xr:uid="{00000000-0005-0000-0000-0000E52D0000}"/>
    <cellStyle name="SAPEmphasized" xfId="10575" xr:uid="{00000000-0005-0000-0000-0000E62D0000}"/>
    <cellStyle name="SAPEmphasized 2" xfId="10668" xr:uid="{00000000-0005-0000-0000-0000E72D0000}"/>
    <cellStyle name="SAPEmphasizedTotal" xfId="10576" xr:uid="{00000000-0005-0000-0000-0000E82D0000}"/>
    <cellStyle name="SAPEmphasizedTotal 2" xfId="10669" xr:uid="{00000000-0005-0000-0000-0000E92D0000}"/>
    <cellStyle name="SAPExceptionLevel1" xfId="10553" xr:uid="{00000000-0005-0000-0000-0000EA2D0000}"/>
    <cellStyle name="SAPExceptionLevel1 2" xfId="10647" xr:uid="{00000000-0005-0000-0000-0000EB2D0000}"/>
    <cellStyle name="SAPExceptionLevel2" xfId="10555" xr:uid="{00000000-0005-0000-0000-0000EC2D0000}"/>
    <cellStyle name="SAPExceptionLevel2 2" xfId="10646" xr:uid="{00000000-0005-0000-0000-0000ED2D0000}"/>
    <cellStyle name="SAPExceptionLevel3" xfId="10556" xr:uid="{00000000-0005-0000-0000-0000EE2D0000}"/>
    <cellStyle name="SAPExceptionLevel3 2" xfId="10653" xr:uid="{00000000-0005-0000-0000-0000EF2D0000}"/>
    <cellStyle name="SAPExceptionLevel4" xfId="10557" xr:uid="{00000000-0005-0000-0000-0000F02D0000}"/>
    <cellStyle name="SAPExceptionLevel4 2" xfId="10644" xr:uid="{00000000-0005-0000-0000-0000F12D0000}"/>
    <cellStyle name="SAPExceptionLevel5" xfId="10559" xr:uid="{00000000-0005-0000-0000-0000F22D0000}"/>
    <cellStyle name="SAPExceptionLevel5 2" xfId="10656" xr:uid="{00000000-0005-0000-0000-0000F32D0000}"/>
    <cellStyle name="SAPExceptionLevel6" xfId="10560" xr:uid="{00000000-0005-0000-0000-0000F42D0000}"/>
    <cellStyle name="SAPExceptionLevel6 2" xfId="10657" xr:uid="{00000000-0005-0000-0000-0000F52D0000}"/>
    <cellStyle name="SAPExceptionLevel7" xfId="10561" xr:uid="{00000000-0005-0000-0000-0000F62D0000}"/>
    <cellStyle name="SAPExceptionLevel7 2" xfId="10658" xr:uid="{00000000-0005-0000-0000-0000F72D0000}"/>
    <cellStyle name="SAPExceptionLevel8" xfId="10563" xr:uid="{00000000-0005-0000-0000-0000F82D0000}"/>
    <cellStyle name="SAPExceptionLevel8 2" xfId="10659" xr:uid="{00000000-0005-0000-0000-0000F92D0000}"/>
    <cellStyle name="SAPExceptionLevel9" xfId="10564" xr:uid="{00000000-0005-0000-0000-0000FA2D0000}"/>
    <cellStyle name="SAPExceptionLevel9 2" xfId="10660" xr:uid="{00000000-0005-0000-0000-0000FB2D0000}"/>
    <cellStyle name="SAPHierarchyCell0" xfId="103" xr:uid="{00000000-0005-0000-0000-0000FC2D0000}"/>
    <cellStyle name="SAPHierarchyCell0 2" xfId="10569" xr:uid="{00000000-0005-0000-0000-0000FD2D0000}"/>
    <cellStyle name="SAPHierarchyCell0 3" xfId="10664" xr:uid="{00000000-0005-0000-0000-0000FE2D0000}"/>
    <cellStyle name="SAPHierarchyCell1" xfId="106" xr:uid="{00000000-0005-0000-0000-0000FF2D0000}"/>
    <cellStyle name="SAPHierarchyCell1 2" xfId="10571" xr:uid="{00000000-0005-0000-0000-0000002E0000}"/>
    <cellStyle name="SAPHierarchyCell1 3" xfId="10665" xr:uid="{00000000-0005-0000-0000-0000012E0000}"/>
    <cellStyle name="SAPHierarchyCell2" xfId="107" xr:uid="{00000000-0005-0000-0000-0000022E0000}"/>
    <cellStyle name="SAPHierarchyCell2 2" xfId="10572" xr:uid="{00000000-0005-0000-0000-0000032E0000}"/>
    <cellStyle name="SAPHierarchyCell3" xfId="10573" xr:uid="{00000000-0005-0000-0000-0000042E0000}"/>
    <cellStyle name="SAPHierarchyCell3 2" xfId="10666" xr:uid="{00000000-0005-0000-0000-0000052E0000}"/>
    <cellStyle name="SAPHierarchyCell4" xfId="10574" xr:uid="{00000000-0005-0000-0000-0000062E0000}"/>
    <cellStyle name="SAPHierarchyCell4 2" xfId="10667" xr:uid="{00000000-0005-0000-0000-0000072E0000}"/>
    <cellStyle name="SAPLockedDataCell" xfId="10587" xr:uid="{00000000-0005-0000-0000-0000082E0000}"/>
    <cellStyle name="SAPLockedDataCell 2" xfId="10654" xr:uid="{00000000-0005-0000-0000-0000092E0000}"/>
    <cellStyle name="SAPLockedDataTotalCell" xfId="10552" xr:uid="{00000000-0005-0000-0000-00000A2E0000}"/>
    <cellStyle name="SAPLockedDataTotalCell 2" xfId="10645" xr:uid="{00000000-0005-0000-0000-00000B2E0000}"/>
    <cellStyle name="SAPMemberCell" xfId="102" xr:uid="{00000000-0005-0000-0000-00000C2E0000}"/>
    <cellStyle name="SAPMemberCell 2" xfId="10567" xr:uid="{00000000-0005-0000-0000-00000D2E0000}"/>
    <cellStyle name="SAPMemberCell 3" xfId="10662" xr:uid="{00000000-0005-0000-0000-00000E2E0000}"/>
    <cellStyle name="SAPMemberTotalCell" xfId="10568" xr:uid="{00000000-0005-0000-0000-00000F2E0000}"/>
    <cellStyle name="SAPMemberTotalCell 2" xfId="10663" xr:uid="{00000000-0005-0000-0000-0000102E0000}"/>
    <cellStyle name="SAPReadonlyDataCell" xfId="104" xr:uid="{00000000-0005-0000-0000-0000112E0000}"/>
    <cellStyle name="SAPReadonlyDataCell 2" xfId="10655" xr:uid="{00000000-0005-0000-0000-0000122E0000}"/>
    <cellStyle name="SAPReadonlyDataTotalCell" xfId="10551" xr:uid="{00000000-0005-0000-0000-0000132E0000}"/>
    <cellStyle name="SAPReadonlyDataTotalCell 2" xfId="10648" xr:uid="{00000000-0005-0000-0000-0000142E0000}"/>
    <cellStyle name="Sheet Title" xfId="96" xr:uid="{00000000-0005-0000-0000-0000152E0000}"/>
    <cellStyle name="Sheet Title 2" xfId="9552" xr:uid="{00000000-0005-0000-0000-0000162E0000}"/>
    <cellStyle name="Sheet Title 3" xfId="9553" xr:uid="{00000000-0005-0000-0000-0000172E0000}"/>
    <cellStyle name="Sheet Title 4" xfId="9554" xr:uid="{00000000-0005-0000-0000-0000182E0000}"/>
    <cellStyle name="Title 2" xfId="9555" xr:uid="{00000000-0005-0000-0000-0000192E0000}"/>
    <cellStyle name="Title 3" xfId="9556" xr:uid="{00000000-0005-0000-0000-00001A2E0000}"/>
    <cellStyle name="Title 3 2" xfId="9557" xr:uid="{00000000-0005-0000-0000-00001B2E0000}"/>
    <cellStyle name="Title 3 3" xfId="9558" xr:uid="{00000000-0005-0000-0000-00001C2E0000}"/>
    <cellStyle name="Title 4" xfId="9559" xr:uid="{00000000-0005-0000-0000-00001D2E0000}"/>
    <cellStyle name="Title 5" xfId="9560" xr:uid="{00000000-0005-0000-0000-00001E2E0000}"/>
    <cellStyle name="Total 10" xfId="9750" xr:uid="{00000000-0005-0000-0000-00001F2E0000}"/>
    <cellStyle name="Total 11" xfId="97" xr:uid="{00000000-0005-0000-0000-0000202E0000}"/>
    <cellStyle name="Total 2" xfId="9561" xr:uid="{00000000-0005-0000-0000-0000212E0000}"/>
    <cellStyle name="Total 2 2" xfId="9562" xr:uid="{00000000-0005-0000-0000-0000222E0000}"/>
    <cellStyle name="Total 2 3" xfId="9563" xr:uid="{00000000-0005-0000-0000-0000232E0000}"/>
    <cellStyle name="Total 2 3 2" xfId="10475" xr:uid="{00000000-0005-0000-0000-0000242E0000}"/>
    <cellStyle name="Total 2 4" xfId="9564" xr:uid="{00000000-0005-0000-0000-0000252E0000}"/>
    <cellStyle name="Total 2 4 2" xfId="10476" xr:uid="{00000000-0005-0000-0000-0000262E0000}"/>
    <cellStyle name="Total 3" xfId="9565" xr:uid="{00000000-0005-0000-0000-0000272E0000}"/>
    <cellStyle name="Total 3 2" xfId="9566" xr:uid="{00000000-0005-0000-0000-0000282E0000}"/>
    <cellStyle name="Total 3 3" xfId="9844" xr:uid="{00000000-0005-0000-0000-0000292E0000}"/>
    <cellStyle name="Total 3_Cap Forecast" xfId="9567" xr:uid="{00000000-0005-0000-0000-00002A2E0000}"/>
    <cellStyle name="Total 4" xfId="9568" xr:uid="{00000000-0005-0000-0000-00002B2E0000}"/>
    <cellStyle name="Total 4 2" xfId="9569" xr:uid="{00000000-0005-0000-0000-00002C2E0000}"/>
    <cellStyle name="Total 4 3" xfId="9570" xr:uid="{00000000-0005-0000-0000-00002D2E0000}"/>
    <cellStyle name="Total 5" xfId="9571" xr:uid="{00000000-0005-0000-0000-00002E2E0000}"/>
    <cellStyle name="Total 6" xfId="9572" xr:uid="{00000000-0005-0000-0000-00002F2E0000}"/>
    <cellStyle name="Total 7" xfId="9573" xr:uid="{00000000-0005-0000-0000-0000302E0000}"/>
    <cellStyle name="Total 8" xfId="9574" xr:uid="{00000000-0005-0000-0000-0000312E0000}"/>
    <cellStyle name="Total 9" xfId="9575" xr:uid="{00000000-0005-0000-0000-0000322E0000}"/>
    <cellStyle name="Unprot" xfId="9576" xr:uid="{00000000-0005-0000-0000-0000332E0000}"/>
    <cellStyle name="Unprot 2" xfId="9577" xr:uid="{00000000-0005-0000-0000-0000342E0000}"/>
    <cellStyle name="Unprot$" xfId="9578" xr:uid="{00000000-0005-0000-0000-0000352E0000}"/>
    <cellStyle name="Unprot$ 2" xfId="9579" xr:uid="{00000000-0005-0000-0000-0000362E0000}"/>
    <cellStyle name="Unprot$_SC&amp;M" xfId="9580" xr:uid="{00000000-0005-0000-0000-0000372E0000}"/>
    <cellStyle name="Unprotect" xfId="9581" xr:uid="{00000000-0005-0000-0000-0000382E0000}"/>
    <cellStyle name="Warning Text 10" xfId="9751" xr:uid="{00000000-0005-0000-0000-0000392E0000}"/>
    <cellStyle name="Warning Text 11" xfId="98" xr:uid="{00000000-0005-0000-0000-00003A2E0000}"/>
    <cellStyle name="Warning Text 2" xfId="9582" xr:uid="{00000000-0005-0000-0000-00003B2E0000}"/>
    <cellStyle name="Warning Text 2 2" xfId="9583" xr:uid="{00000000-0005-0000-0000-00003C2E0000}"/>
    <cellStyle name="Warning Text 2 2 2" xfId="9584" xr:uid="{00000000-0005-0000-0000-00003D2E0000}"/>
    <cellStyle name="Warning Text 2 3" xfId="9585" xr:uid="{00000000-0005-0000-0000-00003E2E0000}"/>
    <cellStyle name="Warning Text 2 3 2" xfId="9586" xr:uid="{00000000-0005-0000-0000-00003F2E0000}"/>
    <cellStyle name="Warning Text 2 4" xfId="9587" xr:uid="{00000000-0005-0000-0000-0000402E0000}"/>
    <cellStyle name="Warning Text 2_BOT Summary" xfId="10548" xr:uid="{00000000-0005-0000-0000-0000412E0000}"/>
    <cellStyle name="Warning Text 3" xfId="9588" xr:uid="{00000000-0005-0000-0000-0000422E0000}"/>
    <cellStyle name="Warning Text 3 2" xfId="9589" xr:uid="{00000000-0005-0000-0000-0000432E0000}"/>
    <cellStyle name="Warning Text 3 3" xfId="9590" xr:uid="{00000000-0005-0000-0000-0000442E0000}"/>
    <cellStyle name="Warning Text 3_Cap Forecast" xfId="9591" xr:uid="{00000000-0005-0000-0000-0000452E0000}"/>
    <cellStyle name="Warning Text 4" xfId="9592" xr:uid="{00000000-0005-0000-0000-0000462E0000}"/>
    <cellStyle name="Warning Text 4 2" xfId="9593" xr:uid="{00000000-0005-0000-0000-0000472E0000}"/>
    <cellStyle name="Warning Text 4 3" xfId="9594" xr:uid="{00000000-0005-0000-0000-0000482E0000}"/>
    <cellStyle name="Warning Text 5" xfId="9595" xr:uid="{00000000-0005-0000-0000-0000492E0000}"/>
    <cellStyle name="Warning Text 6" xfId="9596" xr:uid="{00000000-0005-0000-0000-00004A2E0000}"/>
    <cellStyle name="Warning Text 7" xfId="9597" xr:uid="{00000000-0005-0000-0000-00004B2E0000}"/>
    <cellStyle name="Warning Text 8" xfId="9598" xr:uid="{00000000-0005-0000-0000-00004C2E0000}"/>
    <cellStyle name="Warning Text 9" xfId="9599" xr:uid="{00000000-0005-0000-0000-00004D2E0000}"/>
  </cellStyles>
  <dxfs count="12">
    <dxf>
      <font>
        <b/>
        <i val="0"/>
        <color auto="1"/>
      </font>
      <fill>
        <patternFill>
          <fgColor rgb="FFFFFF99"/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border>
        <left style="thin">
          <color rgb="FFA5A5A5"/>
        </left>
      </border>
    </dxf>
    <dxf>
      <border>
        <left style="thin">
          <color rgb="FFA5A5A5"/>
        </left>
      </border>
    </dxf>
    <dxf>
      <border>
        <top style="thin">
          <color rgb="FFA5A5A5"/>
        </top>
      </border>
    </dxf>
    <dxf>
      <border>
        <top style="thin">
          <color rgb="FFA5A5A5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A5A5A5"/>
        </top>
      </border>
    </dxf>
    <dxf>
      <font>
        <b/>
        <color rgb="FFFFFFFF"/>
      </font>
      <fill>
        <patternFill patternType="solid">
          <fgColor rgb="FFA5A5A5"/>
          <bgColor rgb="FFA5A5A5"/>
        </patternFill>
      </fill>
    </dxf>
    <dxf>
      <font>
        <color rgb="FF000000"/>
      </font>
      <border>
        <left style="thin">
          <color rgb="FFA5A5A5"/>
        </left>
        <right style="thin">
          <color rgb="FFA5A5A5"/>
        </right>
        <top style="thin">
          <color rgb="FFA5A5A5"/>
        </top>
        <bottom style="thin">
          <color rgb="FFA5A5A5"/>
        </bottom>
      </border>
    </dxf>
    <dxf>
      <fill>
        <patternFill>
          <bgColor theme="0" tint="-4.9989318521683403E-2"/>
        </patternFill>
      </fill>
    </dxf>
  </dxfs>
  <tableStyles count="3" defaultTableStyle="TableStyleMedium2" defaultPivotStyle="PivotStyleLight16">
    <tableStyle name="Table Style 1" pivot="0" count="1" xr9:uid="{00000000-0011-0000-FFFF-FFFF00000000}">
      <tableStyleElement type="wholeTable" dxfId="11"/>
    </tableStyle>
    <tableStyle name="Table Style 2" pivot="0" count="1" xr9:uid="{00000000-0011-0000-FFFF-FFFF01000000}">
      <tableStyleElement type="firstColumnStripe" size="2"/>
    </tableStyle>
    <tableStyle name="TableStyleLight11 2" pivot="0" count="9" xr9:uid="{00000000-0011-0000-FFFF-FFFF02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secondRowStripe" dxfId="4"/>
      <tableStyleElement type="firstColumnStripe" dxfId="3"/>
      <tableStyleElement type="secondColumnStripe" dxfId="2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1028700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0" y="0"/>
          <a:ext cx="1775460" cy="1028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CONFIDENTIAL </a:t>
          </a:r>
          <a:endParaRPr lang="en-US" sz="14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Protected Materials Pursuant to California Public Utilities Commission Decisions and Applicable Law.  </a:t>
          </a:r>
          <a:endParaRPr lang="en-US" sz="14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-Public Disclosure Restricted-</a:t>
          </a:r>
          <a:endParaRPr lang="en-US" sz="140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.17-05-010%20Data%20Request%20Tables%2012-3-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Worksheets/R.17-05-010%20Data%20Request%20Tables%2009-28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.17-05-010%20Data%20Request%20Tables-%20Update%201.15.%202020.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.17-05-010%20Data%20Request%20Tables%2009-7-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ELIGIBLE%20AND%20INELIGIBLE%20WORKING%20FILE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et2\Desktop\OIR%204-15-2020\Historical%20Community%202018%20and%20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et2\OneDrive%20-%20Edison%20International\2020%20Allocation%20&amp;%20Borrowing%20Ta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Project Information"/>
      <sheetName val="Dropdown Keys"/>
      <sheetName val="Care %"/>
      <sheetName val="Allocation Factor &amp;Meter Totals"/>
      <sheetName val="Allocation Facor &amp; Meter Totals"/>
      <sheetName val="Eligible&amp;Ineligible Communities"/>
      <sheetName val="I d)"/>
      <sheetName val="I g)"/>
      <sheetName val="I h)"/>
      <sheetName val="2017 Alloc_Expend Sum"/>
      <sheetName val="Historical Project Level Data"/>
      <sheetName val="II a)-d)"/>
      <sheetName val="Historical Community Level Data"/>
      <sheetName val="Annual Spending "/>
      <sheetName val="2016 Allocations and Borrowing"/>
      <sheetName val="2017 Allocations and Borrowing"/>
      <sheetName val="2018 Allocations and Borrowing"/>
      <sheetName val="VI a)"/>
      <sheetName val="Trading History"/>
      <sheetName val="Credits Redeemed"/>
      <sheetName val="dac ws"/>
      <sheetName val="Cost to Residential Customers"/>
      <sheetName val="Saturation"/>
    </sheetNames>
    <sheetDataSet>
      <sheetData sheetId="0"/>
      <sheetData sheetId="1">
        <row r="3">
          <cell r="B3">
            <v>1</v>
          </cell>
          <cell r="C3" t="str">
            <v>Yes</v>
          </cell>
          <cell r="D3" t="str">
            <v>Residential</v>
          </cell>
          <cell r="E3" t="str">
            <v xml:space="preserve">Urban </v>
          </cell>
        </row>
        <row r="4">
          <cell r="B4">
            <v>2</v>
          </cell>
          <cell r="C4" t="str">
            <v>No</v>
          </cell>
          <cell r="D4" t="str">
            <v>Commercial</v>
          </cell>
          <cell r="E4" t="str">
            <v xml:space="preserve">Suburban </v>
          </cell>
        </row>
        <row r="5">
          <cell r="B5">
            <v>3</v>
          </cell>
          <cell r="C5" t="str">
            <v>Unsure</v>
          </cell>
          <cell r="D5" t="str">
            <v xml:space="preserve">Industrial </v>
          </cell>
          <cell r="E5" t="str">
            <v>Rural</v>
          </cell>
        </row>
        <row r="6">
          <cell r="B6">
            <v>3</v>
          </cell>
          <cell r="D6" t="str">
            <v>Agricultural</v>
          </cell>
          <cell r="E6" t="str">
            <v>Mixed</v>
          </cell>
        </row>
        <row r="7">
          <cell r="B7">
            <v>4</v>
          </cell>
          <cell r="D7" t="str">
            <v>Mixed</v>
          </cell>
          <cell r="E7" t="str">
            <v>Other</v>
          </cell>
        </row>
        <row r="8">
          <cell r="B8">
            <v>5</v>
          </cell>
          <cell r="D8" t="str">
            <v>Other</v>
          </cell>
          <cell r="E8" t="str">
            <v>Uncertain</v>
          </cell>
        </row>
        <row r="9">
          <cell r="D9" t="str">
            <v>Uncertain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Project Information"/>
      <sheetName val="Dropdown Keys"/>
      <sheetName val="Allocation Factor &amp;Meter Totals"/>
      <sheetName val="Allocation Facor &amp; Meter Totals"/>
      <sheetName val="Eligible&amp;Ineligible Communities"/>
      <sheetName val="I d)"/>
      <sheetName val="I g)"/>
      <sheetName val="I h)"/>
      <sheetName val="2017 Alloc_Expend Sum"/>
      <sheetName val="Historical Project Level Data"/>
      <sheetName val="II a)-d)"/>
      <sheetName val="Historical Community Level Data"/>
      <sheetName val="Annual Spending"/>
      <sheetName val="Annual Spending Worksheet (2)"/>
      <sheetName val="2016 Allocations and Borrowing"/>
      <sheetName val="2017 Allocations and Borrowing"/>
      <sheetName val="2018 Allocations and Borrowing"/>
      <sheetName val="VI a)"/>
      <sheetName val="Trading History"/>
      <sheetName val="Credits Redeemed"/>
      <sheetName val="dac ws"/>
      <sheetName val="Cost to Residential Customers"/>
      <sheetName val="Saturation"/>
    </sheetNames>
    <sheetDataSet>
      <sheetData sheetId="0"/>
      <sheetData sheetId="1">
        <row r="3">
          <cell r="B3">
            <v>1</v>
          </cell>
          <cell r="C3" t="str">
            <v>Yes</v>
          </cell>
          <cell r="D3" t="str">
            <v>Residential</v>
          </cell>
          <cell r="E3" t="str">
            <v xml:space="preserve">Urban </v>
          </cell>
        </row>
        <row r="4">
          <cell r="B4">
            <v>2</v>
          </cell>
          <cell r="C4" t="str">
            <v>No</v>
          </cell>
          <cell r="D4" t="str">
            <v>Commercial</v>
          </cell>
          <cell r="E4" t="str">
            <v xml:space="preserve">Suburban </v>
          </cell>
        </row>
        <row r="5">
          <cell r="B5">
            <v>3</v>
          </cell>
          <cell r="C5" t="str">
            <v>Unsure</v>
          </cell>
          <cell r="D5" t="str">
            <v xml:space="preserve">Industrial </v>
          </cell>
          <cell r="E5" t="str">
            <v>Rural</v>
          </cell>
        </row>
        <row r="6">
          <cell r="B6">
            <v>3</v>
          </cell>
          <cell r="D6" t="str">
            <v>Agricultural</v>
          </cell>
          <cell r="E6" t="str">
            <v>Mixed</v>
          </cell>
        </row>
        <row r="7">
          <cell r="B7">
            <v>4</v>
          </cell>
          <cell r="D7" t="str">
            <v>Mixed</v>
          </cell>
          <cell r="E7" t="str">
            <v>Other</v>
          </cell>
        </row>
        <row r="8">
          <cell r="B8">
            <v>5</v>
          </cell>
          <cell r="D8" t="str">
            <v>Other</v>
          </cell>
          <cell r="E8" t="str">
            <v>Uncertain</v>
          </cell>
        </row>
        <row r="9">
          <cell r="D9" t="str">
            <v>Uncertain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Project Information"/>
      <sheetName val="Dropdown Keys"/>
      <sheetName val="Care %"/>
      <sheetName val="Contractor Data"/>
      <sheetName val="Allocation Factor &amp;Meter Totals"/>
      <sheetName val="I d)"/>
      <sheetName val="I g)"/>
      <sheetName val="I h)"/>
      <sheetName val="2017 Alloc_Expend Sum"/>
      <sheetName val="Eligible&amp;Ineligible Communities"/>
      <sheetName val="Historical Project Level Data"/>
      <sheetName val="II a)-d)"/>
      <sheetName val="Historical Community Level Data"/>
      <sheetName val="Annual Spending Worksheet "/>
      <sheetName val="VI a)"/>
      <sheetName val="2016 Allocations and Borrowing"/>
      <sheetName val="2017 Allocations and Borrowing "/>
      <sheetName val="2018 Allocations and Borrowing "/>
      <sheetName val="2019 Allocations and Borrow"/>
      <sheetName val="Trading History"/>
      <sheetName val="Credits Redeemed"/>
      <sheetName val="dac ws"/>
      <sheetName val="Cost to Residential Customers"/>
      <sheetName val="High Priority"/>
    </sheetNames>
    <sheetDataSet>
      <sheetData sheetId="0"/>
      <sheetData sheetId="1">
        <row r="3">
          <cell r="B3">
            <v>1</v>
          </cell>
          <cell r="C3" t="str">
            <v>Yes</v>
          </cell>
          <cell r="D3" t="str">
            <v>Residential</v>
          </cell>
          <cell r="E3" t="str">
            <v xml:space="preserve">Urban </v>
          </cell>
        </row>
        <row r="4">
          <cell r="B4">
            <v>2</v>
          </cell>
          <cell r="C4" t="str">
            <v>No</v>
          </cell>
          <cell r="D4" t="str">
            <v>Commercial</v>
          </cell>
          <cell r="E4" t="str">
            <v xml:space="preserve">Suburban </v>
          </cell>
        </row>
        <row r="5">
          <cell r="B5">
            <v>3</v>
          </cell>
          <cell r="C5" t="str">
            <v>Unsure</v>
          </cell>
          <cell r="D5" t="str">
            <v xml:space="preserve">Industrial </v>
          </cell>
          <cell r="E5" t="str">
            <v>Rural</v>
          </cell>
        </row>
        <row r="6">
          <cell r="B6">
            <v>3</v>
          </cell>
          <cell r="D6" t="str">
            <v>Agricultural</v>
          </cell>
          <cell r="E6" t="str">
            <v>Mixed</v>
          </cell>
        </row>
        <row r="7">
          <cell r="B7">
            <v>4</v>
          </cell>
          <cell r="D7" t="str">
            <v>Mixed</v>
          </cell>
          <cell r="E7" t="str">
            <v>Other</v>
          </cell>
        </row>
        <row r="8">
          <cell r="B8">
            <v>5</v>
          </cell>
          <cell r="D8" t="str">
            <v>Other</v>
          </cell>
          <cell r="E8" t="str">
            <v>Uncertain</v>
          </cell>
        </row>
        <row r="9">
          <cell r="D9" t="str">
            <v>Uncertain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Project Information"/>
      <sheetName val="Dropdown Keys"/>
      <sheetName val="Allocation Factor &amp;Meter Totals"/>
      <sheetName val="Allocation Facor &amp; Meter Totals"/>
      <sheetName val="Eligible&amp;Ineligible Communities"/>
      <sheetName val="I d)"/>
      <sheetName val="I g)"/>
      <sheetName val="I h)"/>
      <sheetName val="2017 Alloc_Expend Sum"/>
      <sheetName val="Historical Project Level Data"/>
      <sheetName val="II a)-d)"/>
      <sheetName val="Historical Community Level Data"/>
      <sheetName val="2016 Allocations and Borrowing"/>
      <sheetName val="2017 Allocations and Borrowing"/>
      <sheetName val="2018 Allocations and Borrowing"/>
      <sheetName val="Annual Spending"/>
      <sheetName val="VI a)"/>
      <sheetName val="Trading History"/>
      <sheetName val="Credits Redeemed"/>
      <sheetName val="dac ws"/>
      <sheetName val="Cost to Residential Customers"/>
      <sheetName val="Saturation"/>
    </sheetNames>
    <sheetDataSet>
      <sheetData sheetId="0"/>
      <sheetData sheetId="1">
        <row r="3">
          <cell r="B3">
            <v>1</v>
          </cell>
          <cell r="C3" t="str">
            <v>Yes</v>
          </cell>
          <cell r="D3" t="str">
            <v>Residential</v>
          </cell>
          <cell r="E3" t="str">
            <v xml:space="preserve">Urban </v>
          </cell>
        </row>
        <row r="4">
          <cell r="B4">
            <v>2</v>
          </cell>
          <cell r="C4" t="str">
            <v>No</v>
          </cell>
          <cell r="D4" t="str">
            <v>Commercial</v>
          </cell>
          <cell r="E4" t="str">
            <v xml:space="preserve">Suburban </v>
          </cell>
        </row>
        <row r="5">
          <cell r="B5">
            <v>3</v>
          </cell>
          <cell r="C5" t="str">
            <v>Unsure</v>
          </cell>
          <cell r="D5" t="str">
            <v xml:space="preserve">Industrial </v>
          </cell>
          <cell r="E5" t="str">
            <v>Rural</v>
          </cell>
        </row>
        <row r="6">
          <cell r="B6">
            <v>3</v>
          </cell>
          <cell r="D6" t="str">
            <v>Agricultural</v>
          </cell>
          <cell r="E6" t="str">
            <v>Mixed</v>
          </cell>
        </row>
        <row r="7">
          <cell r="B7">
            <v>4</v>
          </cell>
          <cell r="D7" t="str">
            <v>Mixed</v>
          </cell>
          <cell r="E7" t="str">
            <v>Other</v>
          </cell>
        </row>
        <row r="8">
          <cell r="B8">
            <v>5</v>
          </cell>
          <cell r="D8" t="str">
            <v>Other</v>
          </cell>
          <cell r="E8" t="str">
            <v>Uncertain</v>
          </cell>
        </row>
        <row r="9">
          <cell r="D9" t="str">
            <v>Uncertain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igible&amp;Ineligible Communities"/>
      <sheetName val="Allocation Factor &amp;Meter Totals"/>
    </sheetNames>
    <sheetDataSet>
      <sheetData sheetId="0"/>
      <sheetData sheetId="1">
        <row r="8">
          <cell r="B8" t="str">
            <v>Fresno County</v>
          </cell>
          <cell r="C8"/>
          <cell r="D8"/>
          <cell r="E8"/>
          <cell r="F8"/>
        </row>
        <row r="9">
          <cell r="A9" t="str">
            <v>Unincorporated Fresno</v>
          </cell>
          <cell r="B9" t="str">
            <v xml:space="preserve">     Unincorporated Fresno</v>
          </cell>
          <cell r="C9">
            <v>7.8398114500692758E-4</v>
          </cell>
          <cell r="D9">
            <v>5.9516252671226613E-4</v>
          </cell>
          <cell r="E9">
            <v>1749</v>
          </cell>
          <cell r="F9">
            <v>3080</v>
          </cell>
        </row>
        <row r="10">
          <cell r="B10" t="str">
            <v>TOTAL Fresno County</v>
          </cell>
          <cell r="C10">
            <v>7.8398114500692758E-4</v>
          </cell>
          <cell r="D10">
            <v>5.9516252671226613E-4</v>
          </cell>
          <cell r="E10">
            <v>1749</v>
          </cell>
          <cell r="F10">
            <v>3080</v>
          </cell>
        </row>
        <row r="11">
          <cell r="B11" t="str">
            <v>Imperial County</v>
          </cell>
          <cell r="C11"/>
          <cell r="D11"/>
          <cell r="E11"/>
          <cell r="F11"/>
        </row>
        <row r="12">
          <cell r="A12" t="str">
            <v>Unincorporated Imperial</v>
          </cell>
          <cell r="B12" t="str">
            <v xml:space="preserve">    Unincorporated Imperial</v>
          </cell>
          <cell r="C12">
            <v>1.1878502197074661E-4</v>
          </cell>
          <cell r="D12">
            <v>8.3090872235803392E-5</v>
          </cell>
          <cell r="E12">
            <v>265</v>
          </cell>
          <cell r="F12">
            <v>430</v>
          </cell>
        </row>
        <row r="13">
          <cell r="B13" t="str">
            <v>TOTAL Imperial County</v>
          </cell>
          <cell r="C13">
            <v>1.1878502197074661E-4</v>
          </cell>
          <cell r="D13">
            <v>8.3090872235803392E-5</v>
          </cell>
          <cell r="E13">
            <v>265</v>
          </cell>
          <cell r="F13">
            <v>430</v>
          </cell>
        </row>
        <row r="14">
          <cell r="B14" t="str">
            <v>Inyo County</v>
          </cell>
          <cell r="C14"/>
          <cell r="D14"/>
          <cell r="E14"/>
          <cell r="F14"/>
        </row>
        <row r="15">
          <cell r="A15" t="str">
            <v>Bishop</v>
          </cell>
          <cell r="B15" t="str">
            <v xml:space="preserve">    Bishop</v>
          </cell>
          <cell r="C15">
            <v>9.0097318551396485E-5</v>
          </cell>
          <cell r="D15">
            <v>1.1188282563844224E-4</v>
          </cell>
          <cell r="E15">
            <v>201</v>
          </cell>
          <cell r="F15">
            <v>579</v>
          </cell>
        </row>
        <row r="16">
          <cell r="A16" t="str">
            <v>Unincorporated Inyo</v>
          </cell>
          <cell r="B16" t="str">
            <v xml:space="preserve">    Unincorporated Inyo</v>
          </cell>
          <cell r="C16">
            <v>1.0161722445572927E-3</v>
          </cell>
          <cell r="D16">
            <v>1.0446261751319841E-3</v>
          </cell>
          <cell r="E16">
            <v>2267</v>
          </cell>
          <cell r="F16">
            <v>5406</v>
          </cell>
        </row>
        <row r="17">
          <cell r="B17" t="str">
            <v>TOTAL Inyo County</v>
          </cell>
          <cell r="C17">
            <v>1.1062695631086892E-3</v>
          </cell>
          <cell r="D17">
            <v>1.1565090007704263E-3</v>
          </cell>
          <cell r="E17">
            <v>2468</v>
          </cell>
          <cell r="F17">
            <v>5985</v>
          </cell>
        </row>
        <row r="18">
          <cell r="B18" t="str">
            <v>Kern County</v>
          </cell>
          <cell r="C18"/>
          <cell r="D18"/>
          <cell r="E18"/>
          <cell r="F18"/>
        </row>
        <row r="19">
          <cell r="A19" t="str">
            <v>California City</v>
          </cell>
          <cell r="B19" t="str">
            <v xml:space="preserve">    California City</v>
          </cell>
          <cell r="C19">
            <v>8.1177235769442312E-4</v>
          </cell>
          <cell r="D19">
            <v>1.0697466713893199E-3</v>
          </cell>
          <cell r="E19">
            <v>1811</v>
          </cell>
          <cell r="F19">
            <v>5536</v>
          </cell>
        </row>
        <row r="20">
          <cell r="A20" t="str">
            <v>Delano</v>
          </cell>
          <cell r="B20" t="str">
            <v xml:space="preserve">    Delano</v>
          </cell>
          <cell r="C20">
            <v>2.140819867669003E-3</v>
          </cell>
          <cell r="D20">
            <v>2.366157512854448E-3</v>
          </cell>
          <cell r="E20">
            <v>4776</v>
          </cell>
          <cell r="F20">
            <v>12245</v>
          </cell>
        </row>
        <row r="21">
          <cell r="A21" t="str">
            <v>McFarland</v>
          </cell>
          <cell r="B21" t="str">
            <v xml:space="preserve">    McFarland</v>
          </cell>
          <cell r="C21">
            <v>3.1332351078321467E-4</v>
          </cell>
          <cell r="D21">
            <v>1.8782401817023464E-4</v>
          </cell>
          <cell r="E21">
            <v>699</v>
          </cell>
          <cell r="F21">
            <v>972</v>
          </cell>
        </row>
        <row r="22">
          <cell r="A22" t="str">
            <v>Ridgecrest</v>
          </cell>
          <cell r="B22" t="str">
            <v xml:space="preserve">    Ridgecrest</v>
          </cell>
          <cell r="C22">
            <v>1.7378472837003194E-3</v>
          </cell>
          <cell r="D22">
            <v>2.5961066709023688E-3</v>
          </cell>
          <cell r="E22">
            <v>3877</v>
          </cell>
          <cell r="F22">
            <v>13435</v>
          </cell>
        </row>
        <row r="23">
          <cell r="A23" t="str">
            <v>Tehachapi</v>
          </cell>
          <cell r="B23" t="str">
            <v xml:space="preserve">    Tehachapi</v>
          </cell>
          <cell r="C23">
            <v>6.9612505328516786E-4</v>
          </cell>
          <cell r="D23">
            <v>8.8559411036438827E-4</v>
          </cell>
          <cell r="E23">
            <v>1553</v>
          </cell>
          <cell r="F23">
            <v>4583</v>
          </cell>
        </row>
        <row r="24">
          <cell r="A24" t="str">
            <v>Unincorporated Kern</v>
          </cell>
          <cell r="B24" t="str">
            <v xml:space="preserve">    Unincorporated Kern</v>
          </cell>
          <cell r="C24">
            <v>1.2114727504918371E-2</v>
          </cell>
          <cell r="D24">
            <v>9.12917480908906E-3</v>
          </cell>
          <cell r="E24">
            <v>27027</v>
          </cell>
          <cell r="F24">
            <v>47244</v>
          </cell>
        </row>
        <row r="25">
          <cell r="B25" t="str">
            <v>TOTAL Kern County</v>
          </cell>
          <cell r="C25">
            <v>1.7814615578050499E-2</v>
          </cell>
          <cell r="D25">
            <v>1.6234603792769819E-2</v>
          </cell>
          <cell r="E25">
            <v>39743</v>
          </cell>
          <cell r="F25">
            <v>84015</v>
          </cell>
        </row>
        <row r="26">
          <cell r="B26" t="str">
            <v>Kings County</v>
          </cell>
          <cell r="C26"/>
          <cell r="D26"/>
          <cell r="E26"/>
          <cell r="F26"/>
        </row>
        <row r="27">
          <cell r="A27" t="str">
            <v>Hanford</v>
          </cell>
          <cell r="B27" t="str">
            <v xml:space="preserve">    Hanford</v>
          </cell>
          <cell r="C27">
            <v>3.4662814147161645E-3</v>
          </cell>
          <cell r="D27">
            <v>4.2930928103787069E-3</v>
          </cell>
          <cell r="E27">
            <v>7733</v>
          </cell>
          <cell r="F27">
            <v>22217</v>
          </cell>
        </row>
        <row r="28">
          <cell r="A28" t="str">
            <v>Unincorporated Kings</v>
          </cell>
          <cell r="B28" t="str">
            <v xml:space="preserve">    Unincorporated Kings</v>
          </cell>
          <cell r="C28">
            <v>1.7418814919936655E-3</v>
          </cell>
          <cell r="D28">
            <v>1.0767031165067362E-3</v>
          </cell>
          <cell r="E28">
            <v>3886</v>
          </cell>
          <cell r="F28">
            <v>5572</v>
          </cell>
        </row>
        <row r="29">
          <cell r="B29" t="str">
            <v>TOTAL Kings County</v>
          </cell>
          <cell r="C29">
            <v>5.2081629067098302E-3</v>
          </cell>
          <cell r="D29">
            <v>5.3697959268854435E-3</v>
          </cell>
          <cell r="E29">
            <v>11619</v>
          </cell>
          <cell r="F29">
            <v>27789</v>
          </cell>
        </row>
        <row r="30">
          <cell r="B30" t="str">
            <v>Los Angeles County</v>
          </cell>
          <cell r="C30"/>
          <cell r="D30"/>
          <cell r="E30"/>
          <cell r="F30"/>
        </row>
        <row r="31">
          <cell r="A31" t="str">
            <v>Agoura Hills</v>
          </cell>
          <cell r="B31" t="str">
            <v xml:space="preserve">    Agoura Hills</v>
          </cell>
          <cell r="C31">
            <v>2.1112356735177983E-4</v>
          </cell>
          <cell r="D31">
            <v>1.7595941455330829E-3</v>
          </cell>
          <cell r="E31">
            <v>471</v>
          </cell>
          <cell r="F31">
            <v>9106</v>
          </cell>
        </row>
        <row r="32">
          <cell r="A32" t="str">
            <v>Alhambra</v>
          </cell>
          <cell r="B32" t="str">
            <v xml:space="preserve">    Alhambra</v>
          </cell>
          <cell r="C32">
            <v>1.1728339999489001E-2</v>
          </cell>
          <cell r="D32">
            <v>6.9560586482429083E-3</v>
          </cell>
          <cell r="E32">
            <v>26165</v>
          </cell>
          <cell r="F32">
            <v>35998</v>
          </cell>
        </row>
        <row r="33">
          <cell r="A33" t="str">
            <v>Arcadia</v>
          </cell>
          <cell r="B33" t="str">
            <v xml:space="preserve">    Arcadia</v>
          </cell>
          <cell r="C33">
            <v>6.914184769429307E-3</v>
          </cell>
          <cell r="D33">
            <v>4.5916402466678148E-3</v>
          </cell>
          <cell r="E33">
            <v>15425</v>
          </cell>
          <cell r="F33">
            <v>23762</v>
          </cell>
        </row>
        <row r="34">
          <cell r="A34" t="str">
            <v>Artesia</v>
          </cell>
          <cell r="B34" t="str">
            <v xml:space="preserve">    Artesia</v>
          </cell>
          <cell r="C34">
            <v>1.8082218061509126E-3</v>
          </cell>
          <cell r="D34">
            <v>1.0940942293002763E-3</v>
          </cell>
          <cell r="E34">
            <v>4034</v>
          </cell>
          <cell r="F34">
            <v>5662</v>
          </cell>
        </row>
        <row r="35">
          <cell r="A35" t="str">
            <v>Avalon</v>
          </cell>
          <cell r="B35" t="str">
            <v xml:space="preserve">    Avalon</v>
          </cell>
          <cell r="C35">
            <v>5.9123563765816896E-4</v>
          </cell>
          <cell r="D35">
            <v>4.6666152662666323E-4</v>
          </cell>
          <cell r="E35">
            <v>1319</v>
          </cell>
          <cell r="F35">
            <v>2415</v>
          </cell>
        </row>
        <row r="36">
          <cell r="A36" t="str">
            <v>Azusa</v>
          </cell>
          <cell r="B36" t="str">
            <v xml:space="preserve">    Azusa</v>
          </cell>
          <cell r="C36">
            <v>1.4747272539009673E-4</v>
          </cell>
          <cell r="D36">
            <v>7.9226180503905554E-5</v>
          </cell>
          <cell r="E36">
            <v>329</v>
          </cell>
          <cell r="F36">
            <v>410</v>
          </cell>
        </row>
        <row r="37">
          <cell r="A37" t="str">
            <v>Baldwin Park</v>
          </cell>
          <cell r="B37" t="str">
            <v xml:space="preserve">    Baldwin Park</v>
          </cell>
          <cell r="C37">
            <v>6.1109290736875042E-3</v>
          </cell>
          <cell r="D37">
            <v>3.9137733168929344E-3</v>
          </cell>
          <cell r="E37">
            <v>13633</v>
          </cell>
          <cell r="F37">
            <v>20254</v>
          </cell>
        </row>
        <row r="38">
          <cell r="A38" t="str">
            <v>Bell</v>
          </cell>
          <cell r="B38" t="str">
            <v xml:space="preserve">    Bell</v>
          </cell>
          <cell r="C38">
            <v>3.8692539986848479E-3</v>
          </cell>
          <cell r="D38">
            <v>1.893312479456748E-3</v>
          </cell>
          <cell r="E38">
            <v>8632</v>
          </cell>
          <cell r="F38">
            <v>9798</v>
          </cell>
        </row>
        <row r="39">
          <cell r="A39" t="str">
            <v>Bell Gardens</v>
          </cell>
          <cell r="B39" t="str">
            <v xml:space="preserve">    Bell Gardens</v>
          </cell>
          <cell r="C39">
            <v>4.3784607343783132E-3</v>
          </cell>
          <cell r="D39">
            <v>2.137560996912691E-3</v>
          </cell>
          <cell r="E39">
            <v>9768</v>
          </cell>
          <cell r="F39">
            <v>11062</v>
          </cell>
        </row>
        <row r="40">
          <cell r="A40" t="str">
            <v>Bellflower</v>
          </cell>
          <cell r="B40" t="str">
            <v xml:space="preserve">    Bellflower</v>
          </cell>
          <cell r="C40">
            <v>8.0572104525440391E-3</v>
          </cell>
          <cell r="D40">
            <v>5.1748222290111971E-3</v>
          </cell>
          <cell r="E40">
            <v>17975</v>
          </cell>
          <cell r="F40">
            <v>26780</v>
          </cell>
        </row>
        <row r="41">
          <cell r="A41" t="str">
            <v>Beverly Hills</v>
          </cell>
          <cell r="B41" t="str">
            <v xml:space="preserve">    Beverly Hills</v>
          </cell>
          <cell r="C41">
            <v>4.8849779978762135E-3</v>
          </cell>
          <cell r="D41">
            <v>3.8552232371546827E-3</v>
          </cell>
          <cell r="E41">
            <v>10898</v>
          </cell>
          <cell r="F41">
            <v>19951</v>
          </cell>
        </row>
        <row r="42">
          <cell r="A42" t="str">
            <v>Bradbury</v>
          </cell>
          <cell r="B42" t="str">
            <v xml:space="preserve">    Bradbury</v>
          </cell>
          <cell r="C42">
            <v>1.0130345269958012E-4</v>
          </cell>
          <cell r="D42">
            <v>7.9032945917310664E-5</v>
          </cell>
          <cell r="E42">
            <v>226</v>
          </cell>
          <cell r="F42">
            <v>409</v>
          </cell>
        </row>
        <row r="43">
          <cell r="A43" t="str">
            <v>Calabasas</v>
          </cell>
          <cell r="B43" t="str">
            <v xml:space="preserve">    Calabasas</v>
          </cell>
          <cell r="C43">
            <v>5.3296374008761404E-4</v>
          </cell>
          <cell r="D43">
            <v>2.0171758494640737E-3</v>
          </cell>
          <cell r="E43">
            <v>1189</v>
          </cell>
          <cell r="F43">
            <v>10439</v>
          </cell>
        </row>
        <row r="44">
          <cell r="A44" t="str">
            <v>Carson</v>
          </cell>
          <cell r="B44" t="str">
            <v xml:space="preserve">    Carson</v>
          </cell>
          <cell r="C44">
            <v>8.6843057194763949E-3</v>
          </cell>
          <cell r="D44">
            <v>5.8803217046691468E-3</v>
          </cell>
          <cell r="E44">
            <v>19374</v>
          </cell>
          <cell r="F44">
            <v>30431</v>
          </cell>
        </row>
        <row r="45">
          <cell r="A45" t="str">
            <v>Cerritos</v>
          </cell>
          <cell r="B45" t="str">
            <v xml:space="preserve">    Cerritos</v>
          </cell>
          <cell r="C45">
            <v>7.4946625183052199E-4</v>
          </cell>
          <cell r="D45">
            <v>3.6159988189502067E-3</v>
          </cell>
          <cell r="E45">
            <v>1672</v>
          </cell>
          <cell r="F45">
            <v>18713</v>
          </cell>
        </row>
        <row r="46">
          <cell r="A46" t="str">
            <v>Claremont</v>
          </cell>
          <cell r="B46" t="str">
            <v xml:space="preserve">    Claremont</v>
          </cell>
          <cell r="C46">
            <v>3.03641410879184E-3</v>
          </cell>
          <cell r="D46">
            <v>2.6105992648969858E-3</v>
          </cell>
          <cell r="E46">
            <v>6774</v>
          </cell>
          <cell r="F46">
            <v>13510</v>
          </cell>
        </row>
        <row r="47">
          <cell r="A47" t="str">
            <v>Commerce</v>
          </cell>
          <cell r="B47" t="str">
            <v xml:space="preserve">    Commerce</v>
          </cell>
          <cell r="C47">
            <v>1.8812858007970698E-3</v>
          </cell>
          <cell r="D47">
            <v>1.2245275752518282E-3</v>
          </cell>
          <cell r="E47">
            <v>4197</v>
          </cell>
          <cell r="F47">
            <v>6337</v>
          </cell>
        </row>
        <row r="48">
          <cell r="A48" t="str">
            <v>Compton</v>
          </cell>
          <cell r="B48" t="str">
            <v xml:space="preserve">    Compton</v>
          </cell>
          <cell r="C48">
            <v>1.0130793515323941E-2</v>
          </cell>
          <cell r="D48">
            <v>5.3143376005327092E-3</v>
          </cell>
          <cell r="E48">
            <v>22601</v>
          </cell>
          <cell r="F48">
            <v>27502</v>
          </cell>
        </row>
        <row r="49">
          <cell r="A49" t="str">
            <v>Covina</v>
          </cell>
          <cell r="B49" t="str">
            <v xml:space="preserve">    Covina</v>
          </cell>
          <cell r="C49">
            <v>5.8231555487621477E-3</v>
          </cell>
          <cell r="D49">
            <v>3.8295230371375622E-3</v>
          </cell>
          <cell r="E49">
            <v>12991</v>
          </cell>
          <cell r="F49">
            <v>19818</v>
          </cell>
        </row>
        <row r="50">
          <cell r="A50" t="str">
            <v>Cudahy</v>
          </cell>
          <cell r="B50" t="str">
            <v xml:space="preserve">    Cudahy</v>
          </cell>
          <cell r="C50">
            <v>2.155163719378678E-3</v>
          </cell>
          <cell r="D50">
            <v>1.1767986323628899E-3</v>
          </cell>
          <cell r="E50">
            <v>4808</v>
          </cell>
          <cell r="F50">
            <v>6090</v>
          </cell>
        </row>
        <row r="51">
          <cell r="A51" t="str">
            <v>Culver City</v>
          </cell>
          <cell r="B51" t="str">
            <v xml:space="preserve">    Culver City</v>
          </cell>
          <cell r="C51">
            <v>5.0759305237612629E-3</v>
          </cell>
          <cell r="D51">
            <v>3.8996671920715075E-3</v>
          </cell>
          <cell r="E51">
            <v>11324</v>
          </cell>
          <cell r="F51">
            <v>20181</v>
          </cell>
        </row>
        <row r="52">
          <cell r="A52" t="str">
            <v>Diamond Bar</v>
          </cell>
          <cell r="B52" t="str">
            <v xml:space="preserve">    Diamond Bar</v>
          </cell>
          <cell r="C52">
            <v>1.4361781524312156E-3</v>
          </cell>
          <cell r="D52">
            <v>4.11860197868352E-3</v>
          </cell>
          <cell r="E52">
            <v>3204</v>
          </cell>
          <cell r="F52">
            <v>21314</v>
          </cell>
        </row>
        <row r="53">
          <cell r="A53" t="str">
            <v>Downey</v>
          </cell>
          <cell r="B53" t="str">
            <v xml:space="preserve">    Downey</v>
          </cell>
          <cell r="C53">
            <v>1.3663415244197352E-2</v>
          </cell>
          <cell r="D53">
            <v>7.5479361869830609E-3</v>
          </cell>
          <cell r="E53">
            <v>30482</v>
          </cell>
          <cell r="F53">
            <v>39061</v>
          </cell>
        </row>
        <row r="54">
          <cell r="A54" t="str">
            <v>Duarte</v>
          </cell>
          <cell r="B54" t="str">
            <v xml:space="preserve">    Duarte</v>
          </cell>
          <cell r="C54">
            <v>1.7961191812708743E-3</v>
          </cell>
          <cell r="D54">
            <v>1.5130268130380013E-3</v>
          </cell>
          <cell r="E54">
            <v>4007</v>
          </cell>
          <cell r="F54">
            <v>7830</v>
          </cell>
        </row>
        <row r="55">
          <cell r="A55" t="str">
            <v>El Monte</v>
          </cell>
          <cell r="B55" t="str">
            <v xml:space="preserve">    El Monte</v>
          </cell>
          <cell r="C55">
            <v>1.0787024731041574E-2</v>
          </cell>
          <cell r="D55">
            <v>6.3297853530888647E-3</v>
          </cell>
          <cell r="E55">
            <v>24065</v>
          </cell>
          <cell r="F55">
            <v>32757</v>
          </cell>
        </row>
        <row r="56">
          <cell r="A56" t="str">
            <v>El Segundo</v>
          </cell>
          <cell r="B56" t="str">
            <v xml:space="preserve">    El Segundo</v>
          </cell>
          <cell r="C56">
            <v>2.8127396711940941E-3</v>
          </cell>
          <cell r="D56">
            <v>1.8216224478300432E-3</v>
          </cell>
          <cell r="E56">
            <v>6275</v>
          </cell>
          <cell r="F56">
            <v>9427</v>
          </cell>
        </row>
        <row r="57">
          <cell r="A57" t="str">
            <v>Gardena</v>
          </cell>
          <cell r="B57" t="str">
            <v xml:space="preserve">    Gardena</v>
          </cell>
          <cell r="C57">
            <v>8.910221383903778E-3</v>
          </cell>
          <cell r="D57">
            <v>4.8874823987445932E-3</v>
          </cell>
          <cell r="E57">
            <v>19878</v>
          </cell>
          <cell r="F57">
            <v>25293</v>
          </cell>
        </row>
        <row r="58">
          <cell r="A58" t="str">
            <v>Glendale</v>
          </cell>
          <cell r="B58" t="str">
            <v xml:space="preserve">    Glendale</v>
          </cell>
          <cell r="C58">
            <v>2.1112356735177983E-4</v>
          </cell>
          <cell r="D58">
            <v>9.5651120364471343E-5</v>
          </cell>
          <cell r="E58">
            <v>471</v>
          </cell>
          <cell r="F58">
            <v>495</v>
          </cell>
        </row>
        <row r="59">
          <cell r="A59" t="str">
            <v>Glendora</v>
          </cell>
          <cell r="B59" t="str">
            <v xml:space="preserve">    Glendora</v>
          </cell>
          <cell r="C59">
            <v>5.4717311818751092E-3</v>
          </cell>
          <cell r="D59">
            <v>3.9375411710441061E-3</v>
          </cell>
          <cell r="E59">
            <v>12207</v>
          </cell>
          <cell r="F59">
            <v>20377</v>
          </cell>
        </row>
        <row r="60">
          <cell r="A60" t="str">
            <v>Hawaiian Gardens</v>
          </cell>
          <cell r="B60" t="str">
            <v xml:space="preserve">    Hawaiian Gardens</v>
          </cell>
          <cell r="C60">
            <v>1.1389914748213853E-3</v>
          </cell>
          <cell r="D60">
            <v>7.5206901102731812E-4</v>
          </cell>
          <cell r="E60">
            <v>2541</v>
          </cell>
          <cell r="F60">
            <v>3892</v>
          </cell>
        </row>
        <row r="61">
          <cell r="A61" t="str">
            <v>Hawthorne</v>
          </cell>
          <cell r="B61" t="str">
            <v xml:space="preserve">    Hawthorne</v>
          </cell>
          <cell r="C61">
            <v>9.6480332562201895E-3</v>
          </cell>
          <cell r="D61">
            <v>5.7187775902758173E-3</v>
          </cell>
          <cell r="E61">
            <v>21524</v>
          </cell>
          <cell r="F61">
            <v>29595</v>
          </cell>
        </row>
        <row r="62">
          <cell r="A62" t="str">
            <v>Hermosa Beach</v>
          </cell>
          <cell r="B62" t="str">
            <v xml:space="preserve">    Hermosa Beach</v>
          </cell>
          <cell r="C62">
            <v>2.6060985575015877E-3</v>
          </cell>
          <cell r="D62">
            <v>2.133696305180793E-3</v>
          </cell>
          <cell r="E62">
            <v>5814</v>
          </cell>
          <cell r="F62">
            <v>11042</v>
          </cell>
        </row>
        <row r="63">
          <cell r="A63" t="str">
            <v>Hidden Hills</v>
          </cell>
          <cell r="B63" t="str">
            <v xml:space="preserve">    Hidden Hills</v>
          </cell>
          <cell r="C63">
            <v>1.0892362392034501E-4</v>
          </cell>
          <cell r="D63">
            <v>1.3391156851025988E-4</v>
          </cell>
          <cell r="E63">
            <v>243</v>
          </cell>
          <cell r="F63">
            <v>693</v>
          </cell>
        </row>
        <row r="64">
          <cell r="A64" t="str">
            <v>Huntington Park</v>
          </cell>
          <cell r="B64" t="str">
            <v xml:space="preserve">    Huntington Park</v>
          </cell>
          <cell r="C64">
            <v>6.2350930400493785E-3</v>
          </cell>
          <cell r="D64">
            <v>3.3858564263156907E-3</v>
          </cell>
          <cell r="E64">
            <v>13910</v>
          </cell>
          <cell r="F64">
            <v>17522</v>
          </cell>
        </row>
        <row r="65">
          <cell r="A65" t="str">
            <v>Industry</v>
          </cell>
          <cell r="B65" t="str">
            <v xml:space="preserve">    Industry</v>
          </cell>
          <cell r="C65">
            <v>3.3125332542030848E-4</v>
          </cell>
          <cell r="D65">
            <v>6.3612825907038322E-4</v>
          </cell>
          <cell r="E65">
            <v>739</v>
          </cell>
          <cell r="F65">
            <v>3292</v>
          </cell>
        </row>
        <row r="66">
          <cell r="A66" t="str">
            <v>Inglewood</v>
          </cell>
          <cell r="B66" t="str">
            <v xml:space="preserve">    Inglewood</v>
          </cell>
          <cell r="C66">
            <v>1.5566665067924862E-2</v>
          </cell>
          <cell r="D66">
            <v>8.4232888642579197E-3</v>
          </cell>
          <cell r="E66">
            <v>34728</v>
          </cell>
          <cell r="F66">
            <v>43591</v>
          </cell>
        </row>
        <row r="67">
          <cell r="A67" t="str">
            <v>Irwindale</v>
          </cell>
          <cell r="B67" t="str">
            <v xml:space="preserve">    Irwindale</v>
          </cell>
          <cell r="C67">
            <v>2.7925686297273637E-4</v>
          </cell>
          <cell r="D67">
            <v>3.5130047842951294E-4</v>
          </cell>
          <cell r="E67">
            <v>623</v>
          </cell>
          <cell r="F67">
            <v>1818</v>
          </cell>
        </row>
        <row r="68">
          <cell r="A68" t="str">
            <v>La Canada-Flintridge</v>
          </cell>
          <cell r="B68" t="str">
            <v xml:space="preserve">    La Canada-Flintridge</v>
          </cell>
          <cell r="C68">
            <v>2.5886169882304213E-3</v>
          </cell>
          <cell r="D68">
            <v>1.5317705679377058E-3</v>
          </cell>
          <cell r="E68">
            <v>5775</v>
          </cell>
          <cell r="F68">
            <v>7927</v>
          </cell>
        </row>
        <row r="69">
          <cell r="A69" t="str">
            <v>La Habra Heights</v>
          </cell>
          <cell r="B69" t="str">
            <v xml:space="preserve">    La Habra Heights</v>
          </cell>
          <cell r="C69">
            <v>6.2978473912792075E-4</v>
          </cell>
          <cell r="D69">
            <v>3.8550300025680877E-4</v>
          </cell>
          <cell r="E69">
            <v>1405</v>
          </cell>
          <cell r="F69">
            <v>1995</v>
          </cell>
        </row>
        <row r="70">
          <cell r="A70" t="str">
            <v>La Mirada</v>
          </cell>
          <cell r="B70" t="str">
            <v xml:space="preserve">    La Mirada</v>
          </cell>
          <cell r="C70">
            <v>4.9248718354437471E-3</v>
          </cell>
          <cell r="D70">
            <v>3.1707863314355766E-3</v>
          </cell>
          <cell r="E70">
            <v>10987</v>
          </cell>
          <cell r="F70">
            <v>16409</v>
          </cell>
        </row>
        <row r="71">
          <cell r="A71" t="str">
            <v>La Puente</v>
          </cell>
          <cell r="B71" t="str">
            <v xml:space="preserve">    La Puente</v>
          </cell>
          <cell r="C71">
            <v>3.5792392469298556E-3</v>
          </cell>
          <cell r="D71">
            <v>2.1398798119518299E-3</v>
          </cell>
          <cell r="E71">
            <v>7985</v>
          </cell>
          <cell r="F71">
            <v>11074</v>
          </cell>
        </row>
        <row r="72">
          <cell r="A72" t="str">
            <v>La Verne</v>
          </cell>
          <cell r="B72" t="str">
            <v xml:space="preserve">    La Verne</v>
          </cell>
          <cell r="C72">
            <v>1.6177175256317906E-3</v>
          </cell>
          <cell r="D72">
            <v>2.3785245263965209E-3</v>
          </cell>
          <cell r="E72">
            <v>3609</v>
          </cell>
          <cell r="F72">
            <v>12309</v>
          </cell>
        </row>
        <row r="73">
          <cell r="A73" t="str">
            <v>Lakewood</v>
          </cell>
          <cell r="B73" t="str">
            <v xml:space="preserve">    Lakewood</v>
          </cell>
          <cell r="C73">
            <v>1.0782094032016373E-2</v>
          </cell>
          <cell r="D73">
            <v>5.7344295917900034E-3</v>
          </cell>
          <cell r="E73">
            <v>24054</v>
          </cell>
          <cell r="F73">
            <v>29676</v>
          </cell>
        </row>
        <row r="74">
          <cell r="A74" t="str">
            <v>Lancaster</v>
          </cell>
          <cell r="B74" t="str">
            <v xml:space="preserve">    Lancaster</v>
          </cell>
          <cell r="C74">
            <v>5.167372578410441E-3</v>
          </cell>
          <cell r="D74">
            <v>1.1016497016361365E-2</v>
          </cell>
          <cell r="E74">
            <v>11528</v>
          </cell>
          <cell r="F74">
            <v>57011</v>
          </cell>
        </row>
        <row r="75">
          <cell r="A75" t="str">
            <v>Lawndale</v>
          </cell>
          <cell r="B75" t="str">
            <v xml:space="preserve">    Lawndale</v>
          </cell>
          <cell r="C75">
            <v>3.5030375347222067E-3</v>
          </cell>
          <cell r="D75">
            <v>2.0850011893588805E-3</v>
          </cell>
          <cell r="E75">
            <v>7815</v>
          </cell>
          <cell r="F75">
            <v>10790</v>
          </cell>
        </row>
        <row r="76">
          <cell r="A76" t="str">
            <v>Lomita</v>
          </cell>
          <cell r="B76" t="str">
            <v xml:space="preserve">    Lomita</v>
          </cell>
          <cell r="C76">
            <v>2.7638809263080136E-3</v>
          </cell>
          <cell r="D76">
            <v>1.802492223757149E-3</v>
          </cell>
          <cell r="E76">
            <v>6166</v>
          </cell>
          <cell r="F76">
            <v>9328</v>
          </cell>
        </row>
        <row r="77">
          <cell r="A77" t="str">
            <v>Long Beach</v>
          </cell>
          <cell r="B77" t="str">
            <v xml:space="preserve">    Long Beach</v>
          </cell>
          <cell r="C77">
            <v>6.58588986342412E-2</v>
          </cell>
          <cell r="D77">
            <v>3.6992249553966267E-2</v>
          </cell>
          <cell r="E77">
            <v>146926</v>
          </cell>
          <cell r="F77">
            <v>191437</v>
          </cell>
        </row>
        <row r="78">
          <cell r="A78" t="str">
            <v>Los Angeles, City of</v>
          </cell>
          <cell r="B78" t="str">
            <v xml:space="preserve">    Los Angeles, City of</v>
          </cell>
          <cell r="C78">
            <v>3.3125332542030848E-4</v>
          </cell>
          <cell r="D78">
            <v>2.9951360922208202E-4</v>
          </cell>
          <cell r="E78">
            <v>739</v>
          </cell>
          <cell r="F78">
            <v>1550</v>
          </cell>
        </row>
        <row r="79">
          <cell r="A79" t="str">
            <v>Lynwood</v>
          </cell>
          <cell r="B79" t="str">
            <v xml:space="preserve">    Lynwood</v>
          </cell>
          <cell r="C79">
            <v>6.4726630839908716E-3</v>
          </cell>
          <cell r="D79">
            <v>3.3108814067168727E-3</v>
          </cell>
          <cell r="E79">
            <v>14440</v>
          </cell>
          <cell r="F79">
            <v>17134</v>
          </cell>
        </row>
        <row r="80">
          <cell r="A80" t="str">
            <v>Malibu</v>
          </cell>
          <cell r="B80" t="str">
            <v xml:space="preserve">    Malibu</v>
          </cell>
          <cell r="C80">
            <v>1.170816895802227E-3</v>
          </cell>
          <cell r="D80">
            <v>1.454669967886344E-3</v>
          </cell>
          <cell r="E80">
            <v>2612</v>
          </cell>
          <cell r="F80">
            <v>7528</v>
          </cell>
        </row>
        <row r="81">
          <cell r="A81" t="str">
            <v>Manhattan Beach</v>
          </cell>
          <cell r="B81" t="str">
            <v xml:space="preserve">    Manhattan Beach</v>
          </cell>
          <cell r="C81">
            <v>4.5375878392825203E-3</v>
          </cell>
          <cell r="D81">
            <v>3.1796751224189416E-3</v>
          </cell>
          <cell r="E81">
            <v>10123</v>
          </cell>
          <cell r="F81">
            <v>16455</v>
          </cell>
        </row>
        <row r="82">
          <cell r="A82" t="str">
            <v>Maywood</v>
          </cell>
          <cell r="B82" t="str">
            <v xml:space="preserve">    Maywood</v>
          </cell>
          <cell r="C82">
            <v>2.9037334804773453E-3</v>
          </cell>
          <cell r="D82">
            <v>1.3754437873824384E-3</v>
          </cell>
          <cell r="E82">
            <v>6478</v>
          </cell>
          <cell r="F82">
            <v>7118</v>
          </cell>
        </row>
        <row r="83">
          <cell r="A83" t="str">
            <v>Monrovia</v>
          </cell>
          <cell r="B83" t="str">
            <v xml:space="preserve">    Monrovia</v>
          </cell>
          <cell r="C83">
            <v>5.1283752315747621E-3</v>
          </cell>
          <cell r="D83">
            <v>3.3389004217731322E-3</v>
          </cell>
          <cell r="E83">
            <v>11441</v>
          </cell>
          <cell r="F83">
            <v>17279</v>
          </cell>
        </row>
        <row r="84">
          <cell r="A84" t="str">
            <v>Montebello</v>
          </cell>
          <cell r="B84" t="str">
            <v xml:space="preserve">    Montebello</v>
          </cell>
          <cell r="C84">
            <v>7.3938073109715676E-3</v>
          </cell>
          <cell r="D84">
            <v>4.5386939699408142E-3</v>
          </cell>
          <cell r="E84">
            <v>16495</v>
          </cell>
          <cell r="F84">
            <v>23488</v>
          </cell>
        </row>
        <row r="85">
          <cell r="A85" t="str">
            <v>Monterey Park</v>
          </cell>
          <cell r="B85" t="str">
            <v xml:space="preserve">    Monterey Park</v>
          </cell>
          <cell r="C85">
            <v>7.4251844865864816E-3</v>
          </cell>
          <cell r="D85">
            <v>4.659658821149216E-3</v>
          </cell>
          <cell r="E85">
            <v>16565</v>
          </cell>
          <cell r="F85">
            <v>24114</v>
          </cell>
        </row>
        <row r="86">
          <cell r="A86" t="str">
            <v>Norwalk</v>
          </cell>
          <cell r="B86" t="str">
            <v xml:space="preserve">    Norwalk</v>
          </cell>
          <cell r="C86">
            <v>1.037553548512027E-2</v>
          </cell>
          <cell r="D86">
            <v>5.7095023301192626E-3</v>
          </cell>
          <cell r="E86">
            <v>23147</v>
          </cell>
          <cell r="F86">
            <v>29547</v>
          </cell>
        </row>
        <row r="87">
          <cell r="A87" t="str">
            <v>Palmdale</v>
          </cell>
          <cell r="B87" t="str">
            <v xml:space="preserve">    Palmdale</v>
          </cell>
          <cell r="C87">
            <v>2.7898791575317996E-3</v>
          </cell>
          <cell r="D87">
            <v>1.0043754107442682E-2</v>
          </cell>
          <cell r="E87">
            <v>6224</v>
          </cell>
          <cell r="F87">
            <v>51977</v>
          </cell>
        </row>
        <row r="88">
          <cell r="A88" t="str">
            <v>Palos Verdes Estates</v>
          </cell>
          <cell r="B88" t="str">
            <v xml:space="preserve">    Palos Verdes Estates</v>
          </cell>
          <cell r="C88">
            <v>9.4490123137484479E-4</v>
          </cell>
          <cell r="D88">
            <v>1.1095529962278675E-3</v>
          </cell>
          <cell r="E88">
            <v>2108</v>
          </cell>
          <cell r="F88">
            <v>5742</v>
          </cell>
        </row>
        <row r="89">
          <cell r="A89" t="str">
            <v>Paramount</v>
          </cell>
          <cell r="B89" t="str">
            <v xml:space="preserve">    Paramount</v>
          </cell>
          <cell r="C89">
            <v>4.6913359997956001E-3</v>
          </cell>
          <cell r="D89">
            <v>3.1307867720104339E-3</v>
          </cell>
          <cell r="E89">
            <v>10466</v>
          </cell>
          <cell r="F89">
            <v>16202</v>
          </cell>
        </row>
        <row r="90">
          <cell r="A90" t="str">
            <v>Pasadena</v>
          </cell>
          <cell r="B90" t="str">
            <v xml:space="preserve">    Pasadena</v>
          </cell>
          <cell r="C90">
            <v>3.2721911712696238E-5</v>
          </cell>
          <cell r="D90">
            <v>2.5120496257335911E-5</v>
          </cell>
          <cell r="E90">
            <v>73</v>
          </cell>
          <cell r="F90">
            <v>130</v>
          </cell>
        </row>
        <row r="91">
          <cell r="A91" t="str">
            <v>Pico Rivera</v>
          </cell>
          <cell r="B91" t="str">
            <v xml:space="preserve">    Pico Rivera</v>
          </cell>
          <cell r="C91">
            <v>6.2718491600554207E-3</v>
          </cell>
          <cell r="D91">
            <v>3.5286567858093159E-3</v>
          </cell>
          <cell r="E91">
            <v>13992</v>
          </cell>
          <cell r="F91">
            <v>18261</v>
          </cell>
        </row>
        <row r="92">
          <cell r="A92" t="str">
            <v>Pomona</v>
          </cell>
          <cell r="B92" t="str">
            <v xml:space="preserve">    Pomona</v>
          </cell>
          <cell r="C92">
            <v>1.2886157779679334E-2</v>
          </cell>
          <cell r="D92">
            <v>9.0654073955127451E-3</v>
          </cell>
          <cell r="E92">
            <v>28748</v>
          </cell>
          <cell r="F92">
            <v>46914</v>
          </cell>
        </row>
        <row r="93">
          <cell r="A93" t="str">
            <v>Rancho Palos Verdes</v>
          </cell>
          <cell r="B93" t="str">
            <v xml:space="preserve">    Rancho Palos Verdes</v>
          </cell>
          <cell r="C93">
            <v>3.1444412419803303E-3</v>
          </cell>
          <cell r="D93">
            <v>3.3425718789184349E-3</v>
          </cell>
          <cell r="E93">
            <v>7015</v>
          </cell>
          <cell r="F93">
            <v>17298</v>
          </cell>
        </row>
        <row r="94">
          <cell r="A94" t="str">
            <v>Redondo Beach</v>
          </cell>
          <cell r="B94" t="str">
            <v xml:space="preserve">    Redondo Beach</v>
          </cell>
          <cell r="C94">
            <v>1.0252716254856178E-2</v>
          </cell>
          <cell r="D94">
            <v>6.793161891743415E-3</v>
          </cell>
          <cell r="E94">
            <v>22873</v>
          </cell>
          <cell r="F94">
            <v>35155</v>
          </cell>
        </row>
        <row r="95">
          <cell r="A95" t="str">
            <v>Rolling Hills</v>
          </cell>
          <cell r="B95" t="str">
            <v xml:space="preserve">    Rolling Hills</v>
          </cell>
          <cell r="C95">
            <v>1.6585078539311791E-4</v>
          </cell>
          <cell r="D95">
            <v>1.8106080763941344E-4</v>
          </cell>
          <cell r="E95">
            <v>370</v>
          </cell>
          <cell r="F95">
            <v>937</v>
          </cell>
        </row>
        <row r="96">
          <cell r="A96" t="str">
            <v>Rolling Hills Estates</v>
          </cell>
          <cell r="B96" t="str">
            <v xml:space="preserve">    Rolling Hills Estates</v>
          </cell>
          <cell r="C96">
            <v>6.5936893327912555E-4</v>
          </cell>
          <cell r="D96">
            <v>6.9564451174160984E-4</v>
          </cell>
          <cell r="E96">
            <v>1471</v>
          </cell>
          <cell r="F96">
            <v>3600</v>
          </cell>
        </row>
        <row r="97">
          <cell r="A97" t="str">
            <v>Rosemead</v>
          </cell>
          <cell r="B97" t="str">
            <v xml:space="preserve">    Rosemead</v>
          </cell>
          <cell r="C97">
            <v>5.6124802267762952E-3</v>
          </cell>
          <cell r="D97">
            <v>3.1761968998602333E-3</v>
          </cell>
          <cell r="E97">
            <v>12521</v>
          </cell>
          <cell r="F97">
            <v>16437</v>
          </cell>
        </row>
        <row r="98">
          <cell r="A98" t="str">
            <v>San Dimas</v>
          </cell>
          <cell r="B98" t="str">
            <v xml:space="preserve">    San Dimas</v>
          </cell>
          <cell r="C98">
            <v>1.6392333031963033E-3</v>
          </cell>
          <cell r="D98">
            <v>2.6627726032776066E-3</v>
          </cell>
          <cell r="E98">
            <v>3657</v>
          </cell>
          <cell r="F98">
            <v>13780</v>
          </cell>
        </row>
        <row r="99">
          <cell r="A99" t="str">
            <v>San Fernando</v>
          </cell>
          <cell r="B99" t="str">
            <v xml:space="preserve">    San Fernando</v>
          </cell>
          <cell r="C99">
            <v>2.7132291999582233E-3</v>
          </cell>
          <cell r="D99">
            <v>1.4898386626466143E-3</v>
          </cell>
          <cell r="E99">
            <v>6053</v>
          </cell>
          <cell r="F99">
            <v>7710</v>
          </cell>
        </row>
        <row r="100">
          <cell r="A100" t="str">
            <v>San Gabriel</v>
          </cell>
          <cell r="B100" t="str">
            <v xml:space="preserve">    San Gabriel</v>
          </cell>
          <cell r="C100">
            <v>5.31619003989832E-3</v>
          </cell>
          <cell r="D100">
            <v>3.084217236641065E-3</v>
          </cell>
          <cell r="E100">
            <v>11860</v>
          </cell>
          <cell r="F100">
            <v>15961</v>
          </cell>
        </row>
        <row r="101">
          <cell r="A101" t="str">
            <v>San Marino</v>
          </cell>
          <cell r="B101" t="str">
            <v xml:space="preserve">    San Marino</v>
          </cell>
          <cell r="C101">
            <v>1.7069183534513324E-3</v>
          </cell>
          <cell r="D101">
            <v>9.7969935403610046E-4</v>
          </cell>
          <cell r="E101">
            <v>3808</v>
          </cell>
          <cell r="F101">
            <v>5070</v>
          </cell>
        </row>
        <row r="102">
          <cell r="A102" t="str">
            <v>Santa Clarita</v>
          </cell>
          <cell r="B102" t="str">
            <v xml:space="preserve">    Santa Clarita</v>
          </cell>
          <cell r="C102">
            <v>3.926629405523548E-3</v>
          </cell>
          <cell r="D102">
            <v>1.5916926132407815E-2</v>
          </cell>
          <cell r="E102">
            <v>8760</v>
          </cell>
          <cell r="F102">
            <v>82371</v>
          </cell>
        </row>
        <row r="103">
          <cell r="A103" t="str">
            <v>Santa Fe Springs</v>
          </cell>
          <cell r="B103" t="str">
            <v xml:space="preserve">    Santa Fe Springs</v>
          </cell>
          <cell r="C103">
            <v>2.2560189267123308E-3</v>
          </cell>
          <cell r="D103">
            <v>2.0757259292023258E-3</v>
          </cell>
          <cell r="E103">
            <v>5033</v>
          </cell>
          <cell r="F103">
            <v>10742</v>
          </cell>
        </row>
        <row r="104">
          <cell r="A104" t="str">
            <v>Santa Monica</v>
          </cell>
          <cell r="B104" t="str">
            <v xml:space="preserve">    Santa Monica</v>
          </cell>
          <cell r="C104">
            <v>1.6035529720684866E-2</v>
          </cell>
          <cell r="D104">
            <v>1.133784613386867E-2</v>
          </cell>
          <cell r="E104">
            <v>35774</v>
          </cell>
          <cell r="F104">
            <v>58674</v>
          </cell>
        </row>
        <row r="105">
          <cell r="A105" t="str">
            <v>Sierra Madre</v>
          </cell>
          <cell r="B105" t="str">
            <v xml:space="preserve">    Sierra Madre</v>
          </cell>
          <cell r="C105">
            <v>2.0023120495974533E-3</v>
          </cell>
          <cell r="D105">
            <v>1.0511961510762105E-3</v>
          </cell>
          <cell r="E105">
            <v>4467</v>
          </cell>
          <cell r="F105">
            <v>5440</v>
          </cell>
        </row>
        <row r="106">
          <cell r="A106" t="str">
            <v>Signal Hill</v>
          </cell>
          <cell r="B106" t="str">
            <v xml:space="preserve">    Signal Hill</v>
          </cell>
          <cell r="C106">
            <v>1.4316956987719422E-3</v>
          </cell>
          <cell r="D106">
            <v>1.281918247470511E-3</v>
          </cell>
          <cell r="E106">
            <v>3194</v>
          </cell>
          <cell r="F106">
            <v>6634</v>
          </cell>
        </row>
        <row r="107">
          <cell r="A107" t="str">
            <v>South El Monte</v>
          </cell>
          <cell r="B107" t="str">
            <v xml:space="preserve">    South El Monte</v>
          </cell>
          <cell r="C107">
            <v>2.6912651770277835E-3</v>
          </cell>
          <cell r="D107">
            <v>1.55998281758056E-3</v>
          </cell>
          <cell r="E107">
            <v>6004</v>
          </cell>
          <cell r="F107">
            <v>8073</v>
          </cell>
        </row>
        <row r="108">
          <cell r="A108" t="str">
            <v>South Gate</v>
          </cell>
          <cell r="B108" t="str">
            <v xml:space="preserve">    South Gate</v>
          </cell>
          <cell r="C108">
            <v>1.0678549352487157E-2</v>
          </cell>
          <cell r="D108">
            <v>5.2573333974872162E-3</v>
          </cell>
          <cell r="E108">
            <v>23823</v>
          </cell>
          <cell r="F108">
            <v>27207</v>
          </cell>
        </row>
        <row r="109">
          <cell r="A109" t="str">
            <v>South Pasadena</v>
          </cell>
          <cell r="B109" t="str">
            <v xml:space="preserve">    South Pasadena</v>
          </cell>
          <cell r="C109">
            <v>4.0696196772543715E-3</v>
          </cell>
          <cell r="D109">
            <v>2.3918577128715685E-3</v>
          </cell>
          <cell r="E109">
            <v>9079</v>
          </cell>
          <cell r="F109">
            <v>12378</v>
          </cell>
        </row>
        <row r="110">
          <cell r="A110" t="str">
            <v>Temple City</v>
          </cell>
          <cell r="B110" t="str">
            <v xml:space="preserve">    Temple City</v>
          </cell>
          <cell r="C110">
            <v>4.5537246724559046E-3</v>
          </cell>
          <cell r="D110">
            <v>2.5553341731308467E-3</v>
          </cell>
          <cell r="E110">
            <v>10159</v>
          </cell>
          <cell r="F110">
            <v>13224</v>
          </cell>
        </row>
        <row r="111">
          <cell r="A111" t="str">
            <v>Torrance</v>
          </cell>
          <cell r="B111" t="str">
            <v xml:space="preserve">    Torrance</v>
          </cell>
          <cell r="C111">
            <v>1.8517912557190506E-2</v>
          </cell>
          <cell r="D111">
            <v>1.2519475630896433E-2</v>
          </cell>
          <cell r="E111">
            <v>41312</v>
          </cell>
          <cell r="F111">
            <v>64789</v>
          </cell>
        </row>
        <row r="112">
          <cell r="A112" t="str">
            <v>Walnut</v>
          </cell>
          <cell r="B112" t="str">
            <v xml:space="preserve">    Walnut</v>
          </cell>
          <cell r="C112">
            <v>7.9204956159361988E-4</v>
          </cell>
          <cell r="D112">
            <v>2.023552590821705E-3</v>
          </cell>
          <cell r="E112">
            <v>1767</v>
          </cell>
          <cell r="F112">
            <v>10472</v>
          </cell>
        </row>
        <row r="113">
          <cell r="A113" t="str">
            <v>West Covina</v>
          </cell>
          <cell r="B113" t="str">
            <v xml:space="preserve">    West Covina</v>
          </cell>
          <cell r="C113">
            <v>8.5812092853131058E-3</v>
          </cell>
          <cell r="D113">
            <v>7.0609850287639345E-3</v>
          </cell>
          <cell r="E113">
            <v>19144</v>
          </cell>
          <cell r="F113">
            <v>36541</v>
          </cell>
        </row>
        <row r="114">
          <cell r="A114" t="str">
            <v>West Hollywood</v>
          </cell>
          <cell r="B114" t="str">
            <v xml:space="preserve">    West Hollywood</v>
          </cell>
          <cell r="C114">
            <v>8.1612033774391829E-3</v>
          </cell>
          <cell r="D114">
            <v>5.4068969675116624E-3</v>
          </cell>
          <cell r="E114">
            <v>18207</v>
          </cell>
          <cell r="F114">
            <v>27981</v>
          </cell>
        </row>
        <row r="115">
          <cell r="A115" t="str">
            <v>Westlake Village</v>
          </cell>
          <cell r="B115" t="str">
            <v xml:space="preserve">    Westlake Village</v>
          </cell>
          <cell r="C115">
            <v>3.9445592201606424E-5</v>
          </cell>
          <cell r="D115">
            <v>8.4269603214032229E-4</v>
          </cell>
          <cell r="E115">
            <v>88</v>
          </cell>
          <cell r="F115">
            <v>4361</v>
          </cell>
        </row>
        <row r="116">
          <cell r="A116" t="str">
            <v>Whittier</v>
          </cell>
          <cell r="B116" t="str">
            <v xml:space="preserve">    Whittier</v>
          </cell>
          <cell r="C116">
            <v>1.1905396919030302E-2</v>
          </cell>
          <cell r="D116">
            <v>6.3485291079885689E-3</v>
          </cell>
          <cell r="E116">
            <v>26560</v>
          </cell>
          <cell r="F116">
            <v>32854</v>
          </cell>
        </row>
        <row r="117">
          <cell r="A117" t="str">
            <v>Unincorporated Los Angeles</v>
          </cell>
          <cell r="B117" t="str">
            <v xml:space="preserve">    Unincorporated Los Angeles</v>
          </cell>
          <cell r="C117">
            <v>9.763590911556258E-2</v>
          </cell>
          <cell r="D117">
            <v>6.196685369842303E-2</v>
          </cell>
          <cell r="E117">
            <v>217818</v>
          </cell>
          <cell r="F117">
            <v>320682</v>
          </cell>
        </row>
        <row r="118">
          <cell r="B118" t="str">
            <v>TOTAL Los Angeles County</v>
          </cell>
          <cell r="C118">
            <v>0.56713527731371927</v>
          </cell>
          <cell r="D118">
            <v>0.397366251231629</v>
          </cell>
          <cell r="E118">
            <v>1265234</v>
          </cell>
          <cell r="F118">
            <v>2056393</v>
          </cell>
        </row>
        <row r="119">
          <cell r="B119" t="str">
            <v>Madera County</v>
          </cell>
          <cell r="C119"/>
          <cell r="D119"/>
          <cell r="E119"/>
          <cell r="F119"/>
        </row>
        <row r="120">
          <cell r="A120" t="str">
            <v>Unincorporated Madera</v>
          </cell>
          <cell r="B120" t="str">
            <v xml:space="preserve">    Unincorporated Madera</v>
          </cell>
          <cell r="C120">
            <v>8.0684165866922219E-6</v>
          </cell>
          <cell r="D120">
            <v>4.2511609050876154E-6</v>
          </cell>
          <cell r="E120">
            <v>18</v>
          </cell>
          <cell r="F120">
            <v>22</v>
          </cell>
        </row>
        <row r="121">
          <cell r="B121" t="str">
            <v>TOTAL Madera County</v>
          </cell>
          <cell r="C121">
            <v>8.0684165866922219E-6</v>
          </cell>
          <cell r="D121">
            <v>4.2511609050876154E-6</v>
          </cell>
          <cell r="E121">
            <v>18</v>
          </cell>
          <cell r="F121">
            <v>22</v>
          </cell>
        </row>
        <row r="122">
          <cell r="B122" t="str">
            <v>Mono County</v>
          </cell>
          <cell r="C122"/>
          <cell r="D122"/>
          <cell r="E122"/>
          <cell r="F122"/>
        </row>
        <row r="123">
          <cell r="A123" t="str">
            <v>Mammoth Lakes</v>
          </cell>
          <cell r="B123" t="str">
            <v xml:space="preserve">    Mammoth Lakes</v>
          </cell>
          <cell r="C123">
            <v>4.2941906055839717E-4</v>
          </cell>
          <cell r="D123">
            <v>2.1016193638060412E-3</v>
          </cell>
          <cell r="E123">
            <v>958</v>
          </cell>
          <cell r="F123">
            <v>10876</v>
          </cell>
        </row>
        <row r="124">
          <cell r="A124" t="str">
            <v>Unincorporated Mono</v>
          </cell>
          <cell r="B124" t="str">
            <v xml:space="preserve">    Unincorporated Mono</v>
          </cell>
          <cell r="C124">
            <v>7.0643469670149687E-4</v>
          </cell>
          <cell r="D124">
            <v>7.3912229372546045E-4</v>
          </cell>
          <cell r="E124">
            <v>1576</v>
          </cell>
          <cell r="F124">
            <v>3825</v>
          </cell>
        </row>
        <row r="125">
          <cell r="B125" t="str">
            <v>TOTAL Mono County</v>
          </cell>
          <cell r="C125">
            <v>1.1358537572598941E-3</v>
          </cell>
          <cell r="D125">
            <v>2.8407416575315014E-3</v>
          </cell>
          <cell r="E125">
            <v>2534</v>
          </cell>
          <cell r="F125">
            <v>14701</v>
          </cell>
        </row>
        <row r="126">
          <cell r="B126" t="str">
            <v>Orange County</v>
          </cell>
          <cell r="C126"/>
          <cell r="D126"/>
          <cell r="E126"/>
          <cell r="F126"/>
        </row>
        <row r="127">
          <cell r="A127" t="str">
            <v>Aliso Viejo</v>
          </cell>
          <cell r="B127" t="str">
            <v xml:space="preserve">    Aliso Viejo</v>
          </cell>
          <cell r="C127">
            <v>1.0219994343143482E-4</v>
          </cell>
          <cell r="D127">
            <v>3.764982685214868E-3</v>
          </cell>
          <cell r="E127">
            <v>228</v>
          </cell>
          <cell r="F127">
            <v>19484</v>
          </cell>
        </row>
        <row r="128">
          <cell r="A128" t="str">
            <v>Anaheim</v>
          </cell>
          <cell r="B128" t="str">
            <v xml:space="preserve">    Anaheim</v>
          </cell>
          <cell r="C128">
            <v>8.9649073185469148E-6</v>
          </cell>
          <cell r="D128">
            <v>1.8550520313109594E-5</v>
          </cell>
          <cell r="E128">
            <v>20</v>
          </cell>
          <cell r="F128">
            <v>96</v>
          </cell>
        </row>
        <row r="129">
          <cell r="A129" t="str">
            <v>Brea</v>
          </cell>
          <cell r="B129" t="str">
            <v xml:space="preserve">    Brea</v>
          </cell>
          <cell r="C129">
            <v>1.9435919066609711E-3</v>
          </cell>
          <cell r="D129">
            <v>3.7102972972085139E-3</v>
          </cell>
          <cell r="E129">
            <v>4336</v>
          </cell>
          <cell r="F129">
            <v>19201</v>
          </cell>
        </row>
        <row r="130">
          <cell r="A130" t="str">
            <v>Buena Park</v>
          </cell>
          <cell r="B130" t="str">
            <v xml:space="preserve">    Buena Park</v>
          </cell>
          <cell r="C130">
            <v>7.5991036885662919E-3</v>
          </cell>
          <cell r="D130">
            <v>5.627570865403028E-3</v>
          </cell>
          <cell r="E130">
            <v>16953</v>
          </cell>
          <cell r="F130">
            <v>29123</v>
          </cell>
        </row>
        <row r="131">
          <cell r="A131" t="str">
            <v>Costa Mesa</v>
          </cell>
          <cell r="B131" t="str">
            <v xml:space="preserve">    Costa Mesa</v>
          </cell>
          <cell r="C131">
            <v>9.3252965927525001E-3</v>
          </cell>
          <cell r="D131">
            <v>9.6764151583257924E-3</v>
          </cell>
          <cell r="E131">
            <v>20804</v>
          </cell>
          <cell r="F131">
            <v>50076</v>
          </cell>
        </row>
        <row r="132">
          <cell r="A132" t="str">
            <v>Cypress</v>
          </cell>
          <cell r="B132" t="str">
            <v xml:space="preserve">    Cypress</v>
          </cell>
          <cell r="C132">
            <v>2.5626187570066353E-3</v>
          </cell>
          <cell r="D132">
            <v>3.5282703166361258E-3</v>
          </cell>
          <cell r="E132">
            <v>5717</v>
          </cell>
          <cell r="F132">
            <v>18259</v>
          </cell>
        </row>
        <row r="133">
          <cell r="A133" t="str">
            <v>Fountain Valley</v>
          </cell>
          <cell r="B133" t="str">
            <v xml:space="preserve">    Fountain Valley</v>
          </cell>
          <cell r="C133">
            <v>2.370321495023804E-3</v>
          </cell>
          <cell r="D133">
            <v>4.1939634674555276E-3</v>
          </cell>
          <cell r="E133">
            <v>5288</v>
          </cell>
          <cell r="F133">
            <v>21704</v>
          </cell>
        </row>
        <row r="134">
          <cell r="A134" t="str">
            <v>Fullerton</v>
          </cell>
          <cell r="B134" t="str">
            <v xml:space="preserve">    Fullerton</v>
          </cell>
          <cell r="C134">
            <v>1.0992769354002226E-2</v>
          </cell>
          <cell r="D134">
            <v>1.0496889213007702E-2</v>
          </cell>
          <cell r="E134">
            <v>24524</v>
          </cell>
          <cell r="F134">
            <v>54322</v>
          </cell>
        </row>
        <row r="135">
          <cell r="A135" t="str">
            <v>Garden Grove</v>
          </cell>
          <cell r="B135" t="str">
            <v xml:space="preserve">    Garden Grove</v>
          </cell>
          <cell r="C135">
            <v>1.5688587807457098E-2</v>
          </cell>
          <cell r="D135">
            <v>1.05082900536168E-2</v>
          </cell>
          <cell r="E135">
            <v>35000</v>
          </cell>
          <cell r="F135">
            <v>54381</v>
          </cell>
        </row>
        <row r="136">
          <cell r="A136" t="str">
            <v>Huntington Beach</v>
          </cell>
          <cell r="B136" t="str">
            <v xml:space="preserve">    Huntington Beach</v>
          </cell>
          <cell r="C136">
            <v>1.0391672318293655E-2</v>
          </cell>
          <cell r="D136">
            <v>1.7256235052097012E-2</v>
          </cell>
          <cell r="E136">
            <v>23183</v>
          </cell>
          <cell r="F136">
            <v>89302</v>
          </cell>
        </row>
        <row r="137">
          <cell r="A137" t="str">
            <v>Irvine</v>
          </cell>
          <cell r="B137" t="str">
            <v xml:space="preserve">    Irvine</v>
          </cell>
          <cell r="C137">
            <v>4.8769095812895214E-4</v>
          </cell>
          <cell r="D137">
            <v>2.4591226724652502E-2</v>
          </cell>
          <cell r="E137">
            <v>1088</v>
          </cell>
          <cell r="F137">
            <v>127261</v>
          </cell>
        </row>
        <row r="138">
          <cell r="A138" t="str">
            <v>La Habra</v>
          </cell>
          <cell r="B138" t="str">
            <v xml:space="preserve">    La Habra</v>
          </cell>
          <cell r="C138">
            <v>5.7200591145988586E-3</v>
          </cell>
          <cell r="D138">
            <v>4.4882597428395473E-3</v>
          </cell>
          <cell r="E138">
            <v>12761</v>
          </cell>
          <cell r="F138">
            <v>23227</v>
          </cell>
        </row>
        <row r="139">
          <cell r="A139" t="str">
            <v>La Palma</v>
          </cell>
          <cell r="B139" t="str">
            <v xml:space="preserve">    La Palma</v>
          </cell>
          <cell r="C139">
            <v>1.4971395221973348E-4</v>
          </cell>
          <cell r="D139">
            <v>1.08752425335605E-3</v>
          </cell>
          <cell r="E139">
            <v>334</v>
          </cell>
          <cell r="F139">
            <v>5628</v>
          </cell>
        </row>
        <row r="140">
          <cell r="A140" t="str">
            <v>Laguna Beach</v>
          </cell>
          <cell r="B140" t="str">
            <v xml:space="preserve">    Laguna Beach</v>
          </cell>
          <cell r="C140">
            <v>1.8023946163938571E-3</v>
          </cell>
          <cell r="D140">
            <v>2.4131135173970065E-3</v>
          </cell>
          <cell r="E140">
            <v>4021</v>
          </cell>
          <cell r="F140">
            <v>12488</v>
          </cell>
        </row>
        <row r="141">
          <cell r="A141" t="str">
            <v>Laguna Hills</v>
          </cell>
          <cell r="B141" t="str">
            <v xml:space="preserve">    Laguna Hills</v>
          </cell>
          <cell r="C141">
            <v>5.3341198545354138E-5</v>
          </cell>
          <cell r="D141">
            <v>1.1657842609269812E-3</v>
          </cell>
          <cell r="E141">
            <v>119</v>
          </cell>
          <cell r="F141">
            <v>6033</v>
          </cell>
        </row>
        <row r="142">
          <cell r="A142" t="str">
            <v>Laguna Niguel</v>
          </cell>
          <cell r="B142" t="str">
            <v xml:space="preserve">    Laguna Niguel</v>
          </cell>
          <cell r="C142">
            <v>3.406664781047827E-5</v>
          </cell>
          <cell r="D142">
            <v>9.5322621567260027E-4</v>
          </cell>
          <cell r="E142">
            <v>76</v>
          </cell>
          <cell r="F142">
            <v>4933</v>
          </cell>
        </row>
        <row r="143">
          <cell r="A143" t="str">
            <v>Laguna Woods</v>
          </cell>
          <cell r="B143" t="str">
            <v xml:space="preserve">    Laguna Woods</v>
          </cell>
          <cell r="C143">
            <v>2.4205249760076668E-5</v>
          </cell>
          <cell r="D143">
            <v>2.6463476634170408E-3</v>
          </cell>
          <cell r="E143">
            <v>54</v>
          </cell>
          <cell r="F143">
            <v>13695</v>
          </cell>
        </row>
        <row r="144">
          <cell r="A144" t="str">
            <v>Lake Forest</v>
          </cell>
          <cell r="B144" t="str">
            <v xml:space="preserve">    Lake Forest</v>
          </cell>
          <cell r="C144">
            <v>6.7729874791621931E-4</v>
          </cell>
          <cell r="D144">
            <v>6.2998339921666565E-3</v>
          </cell>
          <cell r="E144">
            <v>1511</v>
          </cell>
          <cell r="F144">
            <v>32602</v>
          </cell>
        </row>
        <row r="145">
          <cell r="A145" t="str">
            <v>Los Alamitos</v>
          </cell>
          <cell r="B145" t="str">
            <v xml:space="preserve">    Los Alamitos</v>
          </cell>
          <cell r="C145">
            <v>1.220123886054235E-3</v>
          </cell>
          <cell r="D145">
            <v>1.174673051910346E-3</v>
          </cell>
          <cell r="E145">
            <v>2722</v>
          </cell>
          <cell r="F145">
            <v>6079</v>
          </cell>
        </row>
        <row r="146">
          <cell r="A146" t="str">
            <v>Mission Viejo</v>
          </cell>
          <cell r="B146" t="str">
            <v xml:space="preserve">    Mission Viejo</v>
          </cell>
          <cell r="C146">
            <v>1.8826305368948519E-4</v>
          </cell>
          <cell r="D146">
            <v>5.2283482094979822E-3</v>
          </cell>
          <cell r="E146">
            <v>420</v>
          </cell>
          <cell r="F146">
            <v>27057</v>
          </cell>
        </row>
        <row r="147">
          <cell r="A147" t="str">
            <v>Newport Beach</v>
          </cell>
          <cell r="B147" t="str">
            <v xml:space="preserve">    Newport Beach</v>
          </cell>
          <cell r="C147">
            <v>3.8486347118521901E-3</v>
          </cell>
          <cell r="D147">
            <v>9.2665646001580271E-3</v>
          </cell>
          <cell r="E147">
            <v>8586</v>
          </cell>
          <cell r="F147">
            <v>47955</v>
          </cell>
        </row>
        <row r="148">
          <cell r="A148" t="str">
            <v>Orange</v>
          </cell>
          <cell r="B148" t="str">
            <v xml:space="preserve">    Orange</v>
          </cell>
          <cell r="C148">
            <v>1.0398395998782565E-2</v>
          </cell>
          <cell r="D148">
            <v>1.0539594056645174E-2</v>
          </cell>
          <cell r="E148">
            <v>23198</v>
          </cell>
          <cell r="F148">
            <v>54543</v>
          </cell>
        </row>
        <row r="149">
          <cell r="A149" t="str">
            <v>Placentia</v>
          </cell>
          <cell r="B149" t="str">
            <v xml:space="preserve">    Placentia</v>
          </cell>
          <cell r="C149">
            <v>2.1493365296216226E-3</v>
          </cell>
          <cell r="D149">
            <v>3.7046934941972619E-3</v>
          </cell>
          <cell r="E149">
            <v>4795</v>
          </cell>
          <cell r="F149">
            <v>19172</v>
          </cell>
        </row>
        <row r="150">
          <cell r="A150" t="str">
            <v>Rancho Santa Margarita</v>
          </cell>
          <cell r="B150" t="str">
            <v xml:space="preserve">    Rancho Santa Margarita</v>
          </cell>
          <cell r="C150">
            <v>1.0040696196772543E-4</v>
          </cell>
          <cell r="D150">
            <v>3.6074964971400314E-3</v>
          </cell>
          <cell r="E150">
            <v>224</v>
          </cell>
          <cell r="F150">
            <v>18669</v>
          </cell>
        </row>
        <row r="151">
          <cell r="A151" t="str">
            <v>Santa Ana</v>
          </cell>
          <cell r="B151" t="str">
            <v xml:space="preserve">    Santa Ana</v>
          </cell>
          <cell r="C151">
            <v>1.9428747140754873E-2</v>
          </cell>
          <cell r="D151">
            <v>1.7139907830966885E-2</v>
          </cell>
          <cell r="E151">
            <v>43344</v>
          </cell>
          <cell r="F151">
            <v>88700</v>
          </cell>
        </row>
        <row r="152">
          <cell r="A152" t="str">
            <v>Seal Beach</v>
          </cell>
          <cell r="B152" t="str">
            <v xml:space="preserve">    Seal Beach</v>
          </cell>
          <cell r="C152">
            <v>1.7015394090602043E-3</v>
          </cell>
          <cell r="D152">
            <v>2.9659576696449913E-3</v>
          </cell>
          <cell r="E152">
            <v>3796</v>
          </cell>
          <cell r="F152">
            <v>15349</v>
          </cell>
        </row>
        <row r="153">
          <cell r="A153" t="str">
            <v>Stanton</v>
          </cell>
          <cell r="B153" t="str">
            <v xml:space="preserve">    Stanton</v>
          </cell>
          <cell r="C153">
            <v>2.3187732779421594E-3</v>
          </cell>
          <cell r="D153">
            <v>2.2913757278422249E-3</v>
          </cell>
          <cell r="E153">
            <v>5173</v>
          </cell>
          <cell r="F153">
            <v>11858</v>
          </cell>
        </row>
        <row r="154">
          <cell r="A154" t="str">
            <v>Tustin</v>
          </cell>
          <cell r="B154" t="str">
            <v xml:space="preserve">    Tustin</v>
          </cell>
          <cell r="C154">
            <v>3.611064667910697E-3</v>
          </cell>
          <cell r="D154">
            <v>6.0814789093144288E-3</v>
          </cell>
          <cell r="E154">
            <v>8056</v>
          </cell>
          <cell r="F154">
            <v>31472</v>
          </cell>
        </row>
        <row r="155">
          <cell r="A155" t="str">
            <v>Villa Park</v>
          </cell>
          <cell r="B155" t="str">
            <v xml:space="preserve">    Villa Park</v>
          </cell>
          <cell r="C155">
            <v>1.6047184100198976E-4</v>
          </cell>
          <cell r="D155">
            <v>4.1719347245837098E-4</v>
          </cell>
          <cell r="E155">
            <v>358</v>
          </cell>
          <cell r="F155">
            <v>2159</v>
          </cell>
        </row>
        <row r="156">
          <cell r="A156" t="str">
            <v>Westminster</v>
          </cell>
          <cell r="B156" t="str">
            <v xml:space="preserve">    Westminster</v>
          </cell>
          <cell r="C156">
            <v>6.4560780054515599E-3</v>
          </cell>
          <cell r="D156">
            <v>5.6926909210855067E-3</v>
          </cell>
          <cell r="E156">
            <v>14403</v>
          </cell>
          <cell r="F156">
            <v>29460</v>
          </cell>
        </row>
        <row r="157">
          <cell r="A157" t="str">
            <v>Yorba Linda</v>
          </cell>
          <cell r="B157" t="str">
            <v xml:space="preserve">    Yorba Linda</v>
          </cell>
          <cell r="C157">
            <v>1.3622176670532037E-3</v>
          </cell>
          <cell r="D157">
            <v>5.0229398439476129E-3</v>
          </cell>
          <cell r="E157">
            <v>3039</v>
          </cell>
          <cell r="F157">
            <v>25994</v>
          </cell>
        </row>
        <row r="158">
          <cell r="A158" t="str">
            <v>Unincorporated Orange</v>
          </cell>
          <cell r="B158" t="str">
            <v xml:space="preserve">    Unincorporated Orange</v>
          </cell>
          <cell r="C158">
            <v>7.6927869700451068E-3</v>
          </cell>
          <cell r="D158">
            <v>6.3632149365697808E-3</v>
          </cell>
          <cell r="E158">
            <v>17162</v>
          </cell>
          <cell r="F158">
            <v>32930</v>
          </cell>
        </row>
        <row r="159">
          <cell r="B159" t="str">
            <v>TOTAL Orange County</v>
          </cell>
          <cell r="C159">
            <v>0.13057073737707431</v>
          </cell>
          <cell r="D159">
            <v>0.19192291022108551</v>
          </cell>
          <cell r="E159">
            <v>291293</v>
          </cell>
          <cell r="F159">
            <v>993212</v>
          </cell>
        </row>
        <row r="160">
          <cell r="B160" t="str">
            <v>Riverside County</v>
          </cell>
          <cell r="C160"/>
          <cell r="D160"/>
          <cell r="E160"/>
          <cell r="F160"/>
        </row>
        <row r="161">
          <cell r="A161" t="str">
            <v>Beaumont</v>
          </cell>
          <cell r="B161" t="str">
            <v xml:space="preserve">    Beaumont</v>
          </cell>
          <cell r="C161">
            <v>1.3577352133939302E-3</v>
          </cell>
          <cell r="D161">
            <v>3.370977363147884E-3</v>
          </cell>
          <cell r="E161">
            <v>3029</v>
          </cell>
          <cell r="F161">
            <v>17445</v>
          </cell>
        </row>
        <row r="162">
          <cell r="A162" t="str">
            <v>Blythe</v>
          </cell>
          <cell r="B162" t="str">
            <v xml:space="preserve">    Blythe</v>
          </cell>
          <cell r="C162">
            <v>1.282429991918136E-3</v>
          </cell>
          <cell r="D162">
            <v>1.1914844609441017E-3</v>
          </cell>
          <cell r="E162">
            <v>2861</v>
          </cell>
          <cell r="F162">
            <v>6166</v>
          </cell>
        </row>
        <row r="163">
          <cell r="A163" t="str">
            <v>Calimesa</v>
          </cell>
          <cell r="B163" t="str">
            <v xml:space="preserve">    Calimesa</v>
          </cell>
          <cell r="C163">
            <v>6.669891044998904E-4</v>
          </cell>
          <cell r="D163">
            <v>7.1033034032282158E-4</v>
          </cell>
          <cell r="E163">
            <v>1488</v>
          </cell>
          <cell r="F163">
            <v>3676</v>
          </cell>
        </row>
        <row r="164">
          <cell r="A164" t="str">
            <v>Canyon Lake</v>
          </cell>
          <cell r="B164" t="str">
            <v xml:space="preserve">    Canyon Lake</v>
          </cell>
          <cell r="C164">
            <v>1.1071660538405438E-4</v>
          </cell>
          <cell r="D164">
            <v>9.3293658408013667E-4</v>
          </cell>
          <cell r="E164">
            <v>247</v>
          </cell>
          <cell r="F164">
            <v>4828</v>
          </cell>
        </row>
        <row r="165">
          <cell r="A165" t="str">
            <v>Cathedral City</v>
          </cell>
          <cell r="B165" t="str">
            <v xml:space="preserve">    Cathedral City</v>
          </cell>
          <cell r="C165">
            <v>1.607856127581389E-3</v>
          </cell>
          <cell r="D165">
            <v>4.737918828720147E-3</v>
          </cell>
          <cell r="E165">
            <v>3587</v>
          </cell>
          <cell r="F165">
            <v>24519</v>
          </cell>
        </row>
        <row r="166">
          <cell r="A166" t="str">
            <v>Corona</v>
          </cell>
          <cell r="B166" t="str">
            <v xml:space="preserve">    Corona</v>
          </cell>
          <cell r="C166">
            <v>3.8634268089277925E-3</v>
          </cell>
          <cell r="D166">
            <v>1.0266360351199997E-2</v>
          </cell>
          <cell r="E166">
            <v>8619</v>
          </cell>
          <cell r="F166">
            <v>53129</v>
          </cell>
        </row>
        <row r="167">
          <cell r="A167" t="str">
            <v>Desert Hot Springs</v>
          </cell>
          <cell r="B167" t="str">
            <v xml:space="preserve">    Desert Hot Springs</v>
          </cell>
          <cell r="C167">
            <v>1.0596520450522453E-3</v>
          </cell>
          <cell r="D167">
            <v>2.2869313323505423E-3</v>
          </cell>
          <cell r="E167">
            <v>2364</v>
          </cell>
          <cell r="F167">
            <v>11835</v>
          </cell>
        </row>
        <row r="168">
          <cell r="A168" t="str">
            <v>Eastvale</v>
          </cell>
          <cell r="B168" t="str">
            <v xml:space="preserve">    Eastvale</v>
          </cell>
          <cell r="C168">
            <v>1.4478325319453267E-4</v>
          </cell>
          <cell r="D168">
            <v>3.2266311269615001E-3</v>
          </cell>
          <cell r="E168">
            <v>323</v>
          </cell>
          <cell r="F168">
            <v>16698</v>
          </cell>
        </row>
        <row r="169">
          <cell r="A169" t="str">
            <v>Hemet</v>
          </cell>
          <cell r="B169" t="str">
            <v xml:space="preserve">    Hemet</v>
          </cell>
          <cell r="C169">
            <v>2.4393512813766153E-3</v>
          </cell>
          <cell r="D169">
            <v>6.5873670570198552E-3</v>
          </cell>
          <cell r="E169">
            <v>5442</v>
          </cell>
          <cell r="F169">
            <v>34090</v>
          </cell>
        </row>
        <row r="170">
          <cell r="A170" t="str">
            <v>Indian Wells</v>
          </cell>
          <cell r="B170" t="str">
            <v xml:space="preserve">    Indian Wells</v>
          </cell>
          <cell r="C170">
            <v>6.5892068791319821E-5</v>
          </cell>
          <cell r="D170">
            <v>1.0365103224949986E-3</v>
          </cell>
          <cell r="E170">
            <v>147</v>
          </cell>
          <cell r="F170">
            <v>5364</v>
          </cell>
        </row>
        <row r="171">
          <cell r="A171" t="str">
            <v>Jurupa Valley</v>
          </cell>
          <cell r="B171" t="str">
            <v xml:space="preserve">    Jurupa Valley </v>
          </cell>
          <cell r="C171">
            <v>4.8002596237159455E-3</v>
          </cell>
          <cell r="D171">
            <v>5.6111459255424627E-3</v>
          </cell>
          <cell r="E171">
            <v>10709</v>
          </cell>
          <cell r="F171">
            <v>29038</v>
          </cell>
        </row>
        <row r="172">
          <cell r="A172" t="str">
            <v>Elsinore, Lake</v>
          </cell>
          <cell r="B172" t="str">
            <v xml:space="preserve">    Elsinore, Lake</v>
          </cell>
          <cell r="C172">
            <v>1.1945739001963762E-3</v>
          </cell>
          <cell r="D172">
            <v>4.3502902480107948E-3</v>
          </cell>
          <cell r="E172">
            <v>2665</v>
          </cell>
          <cell r="F172">
            <v>22513</v>
          </cell>
        </row>
        <row r="173">
          <cell r="A173" t="str">
            <v>Menifee</v>
          </cell>
          <cell r="B173" t="str">
            <v xml:space="preserve">    Menifee</v>
          </cell>
          <cell r="C173">
            <v>1.7907402368797462E-3</v>
          </cell>
          <cell r="D173">
            <v>5.7512410008237593E-3</v>
          </cell>
          <cell r="E173">
            <v>3995</v>
          </cell>
          <cell r="F173">
            <v>29763</v>
          </cell>
        </row>
        <row r="174">
          <cell r="A174" t="str">
            <v>Moreno Valley</v>
          </cell>
          <cell r="B174" t="str">
            <v xml:space="preserve">    Moreno Valley</v>
          </cell>
          <cell r="C174">
            <v>2.5567915672495799E-3</v>
          </cell>
          <cell r="D174">
            <v>1.0432735330258198E-2</v>
          </cell>
          <cell r="E174">
            <v>5704</v>
          </cell>
          <cell r="F174">
            <v>53990</v>
          </cell>
        </row>
        <row r="175">
          <cell r="A175" t="str">
            <v>Murrieta</v>
          </cell>
          <cell r="B175" t="str">
            <v xml:space="preserve">    Murrieta</v>
          </cell>
          <cell r="C175">
            <v>4.6169272690516609E-4</v>
          </cell>
          <cell r="D175">
            <v>7.5896748576875575E-3</v>
          </cell>
          <cell r="E175">
            <v>1030</v>
          </cell>
          <cell r="F175">
            <v>39277</v>
          </cell>
        </row>
        <row r="176">
          <cell r="A176" t="str">
            <v>Norco</v>
          </cell>
          <cell r="B176" t="str">
            <v xml:space="preserve">    Norco</v>
          </cell>
          <cell r="C176">
            <v>1.5733412344049835E-3</v>
          </cell>
          <cell r="D176">
            <v>1.6625903830624475E-3</v>
          </cell>
          <cell r="E176">
            <v>3510</v>
          </cell>
          <cell r="F176">
            <v>8604</v>
          </cell>
        </row>
        <row r="177">
          <cell r="A177" t="str">
            <v>Palm Desert</v>
          </cell>
          <cell r="B177" t="str">
            <v xml:space="preserve">    Palm Desert</v>
          </cell>
          <cell r="C177">
            <v>1.6970569554009308E-3</v>
          </cell>
          <cell r="D177">
            <v>8.1013600429908315E-3</v>
          </cell>
          <cell r="E177">
            <v>3786</v>
          </cell>
          <cell r="F177">
            <v>41925</v>
          </cell>
        </row>
        <row r="178">
          <cell r="A178" t="str">
            <v>Palm Springs</v>
          </cell>
          <cell r="B178" t="str">
            <v xml:space="preserve">    Palm Springs</v>
          </cell>
          <cell r="C178">
            <v>2.5043468594360806E-3</v>
          </cell>
          <cell r="D178">
            <v>7.4841687734067469E-3</v>
          </cell>
          <cell r="E178">
            <v>5587</v>
          </cell>
          <cell r="F178">
            <v>38731</v>
          </cell>
        </row>
        <row r="179">
          <cell r="A179" t="str">
            <v>Perris</v>
          </cell>
          <cell r="B179" t="str">
            <v xml:space="preserve">    Perris</v>
          </cell>
          <cell r="C179">
            <v>1.2021940714171413E-3</v>
          </cell>
          <cell r="D179">
            <v>4.010197375603786E-3</v>
          </cell>
          <cell r="E179">
            <v>2682</v>
          </cell>
          <cell r="F179">
            <v>20753</v>
          </cell>
        </row>
        <row r="180">
          <cell r="A180" t="str">
            <v>Rancho Mirage</v>
          </cell>
          <cell r="B180" t="str">
            <v xml:space="preserve">    Rancho Mirage</v>
          </cell>
          <cell r="C180">
            <v>2.303981180866557E-4</v>
          </cell>
          <cell r="D180">
            <v>2.9321416169908851E-3</v>
          </cell>
          <cell r="E180">
            <v>514</v>
          </cell>
          <cell r="F180">
            <v>15174</v>
          </cell>
        </row>
        <row r="181">
          <cell r="A181" t="str">
            <v>Riverside, City of</v>
          </cell>
          <cell r="B181" t="str">
            <v xml:space="preserve">    Riverside, City of</v>
          </cell>
          <cell r="C181">
            <v>1.039929248951442E-4</v>
          </cell>
          <cell r="D181">
            <v>1.1806633240947877E-4</v>
          </cell>
          <cell r="E181">
            <v>232</v>
          </cell>
          <cell r="F181">
            <v>611</v>
          </cell>
        </row>
        <row r="182">
          <cell r="A182" t="str">
            <v>San Jacinto</v>
          </cell>
          <cell r="B182" t="str">
            <v xml:space="preserve">    San Jacinto</v>
          </cell>
          <cell r="C182">
            <v>1.1017871094494158E-3</v>
          </cell>
          <cell r="D182">
            <v>3.0216092305843201E-3</v>
          </cell>
          <cell r="E182">
            <v>2458</v>
          </cell>
          <cell r="F182">
            <v>15637</v>
          </cell>
        </row>
        <row r="183">
          <cell r="A183" t="str">
            <v>Temecula</v>
          </cell>
          <cell r="B183" t="str">
            <v xml:space="preserve">    Temecula</v>
          </cell>
          <cell r="C183">
            <v>2.3801828930742057E-4</v>
          </cell>
          <cell r="D183">
            <v>7.4735408711440283E-3</v>
          </cell>
          <cell r="E183">
            <v>531</v>
          </cell>
          <cell r="F183">
            <v>38676</v>
          </cell>
        </row>
        <row r="184">
          <cell r="A184" t="str">
            <v>Wildomar</v>
          </cell>
          <cell r="B184" t="str">
            <v xml:space="preserve">    Wildomar</v>
          </cell>
          <cell r="C184">
            <v>7.5484519622165012E-4</v>
          </cell>
          <cell r="D184">
            <v>2.187801989427363E-3</v>
          </cell>
          <cell r="E184">
            <v>1684</v>
          </cell>
          <cell r="F184">
            <v>11322</v>
          </cell>
        </row>
        <row r="185">
          <cell r="A185" t="str">
            <v>Unincorporated Riverside</v>
          </cell>
          <cell r="B185" t="str">
            <v xml:space="preserve">    Unincorporated Riverside</v>
          </cell>
          <cell r="C185">
            <v>1.725251588917761E-2</v>
          </cell>
          <cell r="D185">
            <v>2.4411518559119251E-2</v>
          </cell>
          <cell r="E185">
            <v>38489</v>
          </cell>
          <cell r="F185">
            <v>126331</v>
          </cell>
        </row>
        <row r="186">
          <cell r="B186" t="str">
            <v>TOTAL Riverside County</v>
          </cell>
          <cell r="C186">
            <v>5.0061387202863745E-2</v>
          </cell>
          <cell r="D186">
            <v>0.1294855303043039</v>
          </cell>
          <cell r="E186">
            <v>111683</v>
          </cell>
          <cell r="F186">
            <v>670095</v>
          </cell>
        </row>
        <row r="187">
          <cell r="B187" t="str">
            <v>San Bernardino County</v>
          </cell>
          <cell r="C187"/>
          <cell r="D187"/>
          <cell r="E187"/>
          <cell r="F187"/>
        </row>
        <row r="188">
          <cell r="A188" t="str">
            <v>Adelanto</v>
          </cell>
          <cell r="B188" t="str">
            <v xml:space="preserve">    Adelanto</v>
          </cell>
          <cell r="C188">
            <v>4.9575937471564439E-4</v>
          </cell>
          <cell r="D188">
            <v>1.9595919426587958E-3</v>
          </cell>
          <cell r="E188">
            <v>1106</v>
          </cell>
          <cell r="F188">
            <v>10141</v>
          </cell>
        </row>
        <row r="189">
          <cell r="A189" t="str">
            <v>Apple Valley</v>
          </cell>
          <cell r="B189" t="str">
            <v xml:space="preserve">    Apple Valley</v>
          </cell>
          <cell r="C189">
            <v>5.5761723521361804E-3</v>
          </cell>
          <cell r="D189">
            <v>5.6165564939671198E-3</v>
          </cell>
          <cell r="E189">
            <v>12440</v>
          </cell>
          <cell r="F189">
            <v>29066</v>
          </cell>
        </row>
        <row r="190">
          <cell r="A190" t="str">
            <v>Banning</v>
          </cell>
          <cell r="B190" t="str">
            <v xml:space="preserve">    Banning</v>
          </cell>
          <cell r="C190">
            <v>1.6136833173384444E-5</v>
          </cell>
          <cell r="D190">
            <v>1.2560248128667955E-5</v>
          </cell>
          <cell r="E190">
            <v>36</v>
          </cell>
          <cell r="F190">
            <v>65</v>
          </cell>
        </row>
        <row r="191">
          <cell r="A191" t="str">
            <v>Barstow</v>
          </cell>
          <cell r="B191" t="str">
            <v xml:space="preserve">    Barstow</v>
          </cell>
          <cell r="C191">
            <v>2.6406134506779936E-3</v>
          </cell>
          <cell r="D191">
            <v>2.0216202449557562E-3</v>
          </cell>
          <cell r="E191">
            <v>5891</v>
          </cell>
          <cell r="F191">
            <v>10462</v>
          </cell>
        </row>
        <row r="192">
          <cell r="A192" t="str">
            <v>Chino</v>
          </cell>
          <cell r="B192" t="str">
            <v xml:space="preserve">    Chino</v>
          </cell>
          <cell r="C192">
            <v>2.520483692609465E-3</v>
          </cell>
          <cell r="D192">
            <v>6.0246679408555307E-3</v>
          </cell>
          <cell r="E192">
            <v>5623</v>
          </cell>
          <cell r="F192">
            <v>31178</v>
          </cell>
        </row>
        <row r="193">
          <cell r="A193" t="str">
            <v>Chino Hills</v>
          </cell>
          <cell r="B193" t="str">
            <v xml:space="preserve">    Chino Hills</v>
          </cell>
          <cell r="C193">
            <v>9.1979949088291343E-4</v>
          </cell>
          <cell r="D193">
            <v>5.3011976486442569E-3</v>
          </cell>
          <cell r="E193">
            <v>2052</v>
          </cell>
          <cell r="F193">
            <v>27434</v>
          </cell>
        </row>
        <row r="194">
          <cell r="A194" t="str">
            <v>Colton</v>
          </cell>
          <cell r="B194" t="str">
            <v xml:space="preserve">    Colton</v>
          </cell>
          <cell r="C194">
            <v>1.0892362392034501E-4</v>
          </cell>
          <cell r="D194">
            <v>6.7438870721617177E-5</v>
          </cell>
          <cell r="E194">
            <v>243</v>
          </cell>
          <cell r="F194">
            <v>349</v>
          </cell>
        </row>
        <row r="195">
          <cell r="A195" t="str">
            <v>Fontana</v>
          </cell>
          <cell r="B195" t="str">
            <v xml:space="preserve">    Fontana</v>
          </cell>
          <cell r="C195">
            <v>5.4228724369890279E-3</v>
          </cell>
          <cell r="D195">
            <v>1.1235818272146567E-2</v>
          </cell>
          <cell r="E195">
            <v>12098</v>
          </cell>
          <cell r="F195">
            <v>58146</v>
          </cell>
        </row>
        <row r="196">
          <cell r="A196" t="str">
            <v>Grand Terrace</v>
          </cell>
          <cell r="B196" t="str">
            <v xml:space="preserve">    Grand Terrace</v>
          </cell>
          <cell r="C196">
            <v>7.1136539572669766E-4</v>
          </cell>
          <cell r="D196">
            <v>9.7061732846614058E-4</v>
          </cell>
          <cell r="E196">
            <v>1587</v>
          </cell>
          <cell r="F196">
            <v>5023</v>
          </cell>
        </row>
        <row r="197">
          <cell r="A197" t="str">
            <v>Hesperia</v>
          </cell>
          <cell r="B197" t="str">
            <v xml:space="preserve">    Hesperia</v>
          </cell>
          <cell r="C197">
            <v>8.6385846921518059E-3</v>
          </cell>
          <cell r="D197">
            <v>6.37306990048612E-3</v>
          </cell>
          <cell r="E197">
            <v>19272</v>
          </cell>
          <cell r="F197">
            <v>32981</v>
          </cell>
        </row>
        <row r="198">
          <cell r="A198" t="str">
            <v>Highland</v>
          </cell>
          <cell r="B198" t="str">
            <v xml:space="preserve">    Highland</v>
          </cell>
          <cell r="C198">
            <v>3.0888588166053392E-3</v>
          </cell>
          <cell r="D198">
            <v>3.442474160187994E-3</v>
          </cell>
          <cell r="E198">
            <v>6891</v>
          </cell>
          <cell r="F198">
            <v>17815</v>
          </cell>
        </row>
        <row r="199">
          <cell r="A199" t="str">
            <v>Loma Linda</v>
          </cell>
          <cell r="B199" t="str">
            <v xml:space="preserve">    Loma Linda</v>
          </cell>
          <cell r="C199">
            <v>1.3424948709524003E-3</v>
          </cell>
          <cell r="D199">
            <v>2.0322481472184752E-3</v>
          </cell>
          <cell r="E199">
            <v>2995</v>
          </cell>
          <cell r="F199">
            <v>10517</v>
          </cell>
        </row>
        <row r="200">
          <cell r="A200" t="str">
            <v>Montclair</v>
          </cell>
          <cell r="B200" t="str">
            <v xml:space="preserve">    Montclair</v>
          </cell>
          <cell r="C200">
            <v>2.9629018687797552E-3</v>
          </cell>
          <cell r="D200">
            <v>2.4579439414870214E-3</v>
          </cell>
          <cell r="E200">
            <v>6610</v>
          </cell>
          <cell r="F200">
            <v>12720</v>
          </cell>
        </row>
        <row r="201">
          <cell r="A201" t="str">
            <v>Ontario</v>
          </cell>
          <cell r="B201" t="str">
            <v xml:space="preserve">    Ontario</v>
          </cell>
          <cell r="C201">
            <v>8.9788029248906616E-3</v>
          </cell>
          <cell r="D201">
            <v>1.1473883282831474E-2</v>
          </cell>
          <cell r="E201">
            <v>20031</v>
          </cell>
          <cell r="F201">
            <v>59378</v>
          </cell>
        </row>
        <row r="202">
          <cell r="A202" t="str">
            <v>Rancho Cucamonga</v>
          </cell>
          <cell r="B202" t="str">
            <v xml:space="preserve">    Rancho Cucamonga</v>
          </cell>
          <cell r="C202">
            <v>2.6818520243433092E-3</v>
          </cell>
          <cell r="D202">
            <v>1.2780342322799535E-2</v>
          </cell>
          <cell r="E202">
            <v>5983</v>
          </cell>
          <cell r="F202">
            <v>66139</v>
          </cell>
        </row>
        <row r="203">
          <cell r="A203" t="str">
            <v>Redlands</v>
          </cell>
          <cell r="B203" t="str">
            <v xml:space="preserve">    Redlands</v>
          </cell>
          <cell r="C203">
            <v>5.1938190550001543E-3</v>
          </cell>
          <cell r="D203">
            <v>5.891336076105055E-3</v>
          </cell>
          <cell r="E203">
            <v>11587</v>
          </cell>
          <cell r="F203">
            <v>30488</v>
          </cell>
        </row>
        <row r="204">
          <cell r="A204" t="str">
            <v>Rialto</v>
          </cell>
          <cell r="B204" t="str">
            <v xml:space="preserve">    Rialto</v>
          </cell>
          <cell r="C204">
            <v>4.0906872094529567E-3</v>
          </cell>
          <cell r="D204">
            <v>5.8397424414842192E-3</v>
          </cell>
          <cell r="E204">
            <v>9126</v>
          </cell>
          <cell r="F204">
            <v>30221</v>
          </cell>
        </row>
        <row r="205">
          <cell r="A205" t="str">
            <v>San Bernardino</v>
          </cell>
          <cell r="B205" t="str">
            <v xml:space="preserve">    San Bernardino</v>
          </cell>
          <cell r="C205">
            <v>1.7399540369201778E-2</v>
          </cell>
          <cell r="D205">
            <v>1.4378778823112479E-2</v>
          </cell>
          <cell r="E205">
            <v>38817</v>
          </cell>
          <cell r="F205">
            <v>74411</v>
          </cell>
        </row>
        <row r="206">
          <cell r="A206" t="str">
            <v>Twentynine Palms</v>
          </cell>
          <cell r="B206" t="str">
            <v xml:space="preserve">    Twentynine Palms</v>
          </cell>
          <cell r="C206">
            <v>2.533482808221358E-3</v>
          </cell>
          <cell r="D206">
            <v>1.570610719843279E-3</v>
          </cell>
          <cell r="E206">
            <v>5652</v>
          </cell>
          <cell r="F206">
            <v>8128</v>
          </cell>
        </row>
        <row r="207">
          <cell r="A207" t="str">
            <v>Upland</v>
          </cell>
          <cell r="B207" t="str">
            <v xml:space="preserve">    Upland</v>
          </cell>
          <cell r="C207">
            <v>4.8979771134881065E-3</v>
          </cell>
          <cell r="D207">
            <v>6.4207988433750583E-3</v>
          </cell>
          <cell r="E207">
            <v>10927</v>
          </cell>
          <cell r="F207">
            <v>33228</v>
          </cell>
        </row>
        <row r="208">
          <cell r="A208" t="str">
            <v>Victorville</v>
          </cell>
          <cell r="B208" t="str">
            <v xml:space="preserve">    Victorville</v>
          </cell>
          <cell r="C208">
            <v>2.7387791858160824E-3</v>
          </cell>
          <cell r="D208">
            <v>8.2441604024844559E-3</v>
          </cell>
          <cell r="E208">
            <v>6110</v>
          </cell>
          <cell r="F208">
            <v>42664</v>
          </cell>
        </row>
        <row r="209">
          <cell r="A209" t="str">
            <v>Yucaipa</v>
          </cell>
          <cell r="B209" t="str">
            <v xml:space="preserve">    Yucaipa</v>
          </cell>
          <cell r="C209">
            <v>3.676956736702017E-3</v>
          </cell>
          <cell r="D209">
            <v>3.676094775381218E-3</v>
          </cell>
          <cell r="E209">
            <v>8203</v>
          </cell>
          <cell r="F209">
            <v>19024</v>
          </cell>
        </row>
        <row r="210">
          <cell r="A210" t="str">
            <v>Yucca Valley</v>
          </cell>
          <cell r="B210" t="str">
            <v xml:space="preserve">    Yucca Valley</v>
          </cell>
          <cell r="C210">
            <v>3.4183191605619383E-3</v>
          </cell>
          <cell r="D210">
            <v>2.1020058329792308E-3</v>
          </cell>
          <cell r="E210">
            <v>7626</v>
          </cell>
          <cell r="F210">
            <v>10878</v>
          </cell>
        </row>
        <row r="211">
          <cell r="A211" t="str">
            <v>Unincorporated San Bernardino</v>
          </cell>
          <cell r="B211" t="str">
            <v xml:space="preserve">    Unincorporated San Bernardino</v>
          </cell>
          <cell r="C211">
            <v>3.6975311989980816E-2</v>
          </cell>
          <cell r="D211">
            <v>2.35245718066487E-2</v>
          </cell>
          <cell r="E211">
            <v>82489</v>
          </cell>
          <cell r="F211">
            <v>121741</v>
          </cell>
        </row>
        <row r="212">
          <cell r="B212" t="str">
            <v>TOTAL San Bernardino County</v>
          </cell>
          <cell r="C212">
            <v>0.12703049547698014</v>
          </cell>
          <cell r="D212">
            <v>0.14341813046696877</v>
          </cell>
          <cell r="E212">
            <v>283395</v>
          </cell>
          <cell r="F212">
            <v>742197</v>
          </cell>
        </row>
        <row r="213">
          <cell r="B213" t="str">
            <v>San Diego County</v>
          </cell>
          <cell r="C213"/>
          <cell r="D213"/>
          <cell r="E213"/>
          <cell r="F213"/>
        </row>
        <row r="214">
          <cell r="A214" t="str">
            <v>Unincorporated San Diego</v>
          </cell>
          <cell r="B214" t="str">
            <v xml:space="preserve">    Unincorporated San Diego</v>
          </cell>
          <cell r="C214">
            <v>4.930699025200803E-6</v>
          </cell>
          <cell r="D214">
            <v>3.091753385518266E-6</v>
          </cell>
          <cell r="E214">
            <v>11</v>
          </cell>
          <cell r="F214">
            <v>16</v>
          </cell>
        </row>
        <row r="215">
          <cell r="B215" t="str">
            <v>TOTAL San Diego County</v>
          </cell>
          <cell r="C215">
            <v>4.930699025200803E-6</v>
          </cell>
          <cell r="D215">
            <v>3.091753385518266E-6</v>
          </cell>
          <cell r="E215">
            <v>11</v>
          </cell>
          <cell r="F215">
            <v>16</v>
          </cell>
        </row>
        <row r="216">
          <cell r="B216" t="str">
            <v>Santa Barbara County</v>
          </cell>
          <cell r="C216"/>
          <cell r="D216"/>
          <cell r="E216"/>
          <cell r="F216"/>
        </row>
        <row r="217">
          <cell r="A217" t="str">
            <v>Carpinteria</v>
          </cell>
          <cell r="B217" t="str">
            <v xml:space="preserve">    Carpinteria</v>
          </cell>
          <cell r="C217">
            <v>7.9832499671660269E-4</v>
          </cell>
          <cell r="D217">
            <v>1.1623060383682731E-3</v>
          </cell>
          <cell r="E217">
            <v>1781</v>
          </cell>
          <cell r="F217">
            <v>6015</v>
          </cell>
        </row>
        <row r="218">
          <cell r="A218" t="str">
            <v>Goleta</v>
          </cell>
          <cell r="B218" t="str">
            <v xml:space="preserve">    Goleta</v>
          </cell>
          <cell r="C218">
            <v>1.7763963851700709E-3</v>
          </cell>
          <cell r="D218">
            <v>2.6324347731822083E-3</v>
          </cell>
          <cell r="E218">
            <v>3963</v>
          </cell>
          <cell r="F218">
            <v>13623</v>
          </cell>
        </row>
        <row r="219">
          <cell r="A219" t="str">
            <v>Santa Barbara</v>
          </cell>
          <cell r="B219" t="str">
            <v xml:space="preserve">    Santa Barbara</v>
          </cell>
          <cell r="C219">
            <v>9.4597702025307033E-3</v>
          </cell>
          <cell r="D219">
            <v>8.1614559994218419E-3</v>
          </cell>
          <cell r="E219">
            <v>21104</v>
          </cell>
          <cell r="F219">
            <v>42236</v>
          </cell>
        </row>
        <row r="220">
          <cell r="A220" t="str">
            <v>Unincorporated Santa Barbara</v>
          </cell>
          <cell r="B220" t="str">
            <v xml:space="preserve">    Unincorporated Santa Barbara</v>
          </cell>
          <cell r="C220">
            <v>5.8446713263266602E-3</v>
          </cell>
          <cell r="D220">
            <v>4.9881576183605321E-3</v>
          </cell>
          <cell r="E220">
            <v>13039</v>
          </cell>
          <cell r="F220">
            <v>25814</v>
          </cell>
        </row>
        <row r="221">
          <cell r="B221" t="str">
            <v>TOTAL Santa Barbara County</v>
          </cell>
          <cell r="C221">
            <v>1.7879162910744036E-2</v>
          </cell>
          <cell r="D221">
            <v>1.6944354429332856E-2</v>
          </cell>
          <cell r="E221">
            <v>39887</v>
          </cell>
          <cell r="F221">
            <v>87688</v>
          </cell>
        </row>
        <row r="222">
          <cell r="B222" t="str">
            <v>Tulare County</v>
          </cell>
          <cell r="C222"/>
          <cell r="D222"/>
          <cell r="E222"/>
          <cell r="F222"/>
        </row>
        <row r="223">
          <cell r="A223" t="str">
            <v>Exeter</v>
          </cell>
          <cell r="B223" t="str">
            <v xml:space="preserve">    Exeter</v>
          </cell>
          <cell r="C223">
            <v>8.646653108738498E-4</v>
          </cell>
          <cell r="D223">
            <v>7.6907365464766865E-4</v>
          </cell>
          <cell r="E223">
            <v>1929</v>
          </cell>
          <cell r="F223">
            <v>3980</v>
          </cell>
        </row>
        <row r="224">
          <cell r="A224" t="str">
            <v>Farmersville</v>
          </cell>
          <cell r="B224" t="str">
            <v xml:space="preserve">    Farmersville</v>
          </cell>
          <cell r="C224">
            <v>5.2624005959870388E-4</v>
          </cell>
          <cell r="D224">
            <v>5.3332745900190083E-4</v>
          </cell>
          <cell r="E224">
            <v>1174</v>
          </cell>
          <cell r="F224">
            <v>2760</v>
          </cell>
        </row>
        <row r="225">
          <cell r="A225" t="str">
            <v>Lindsay</v>
          </cell>
          <cell r="B225" t="str">
            <v xml:space="preserve">    Lindsay</v>
          </cell>
          <cell r="C225">
            <v>9.8748454113794268E-4</v>
          </cell>
          <cell r="D225">
            <v>8.3129519153122373E-4</v>
          </cell>
          <cell r="E225">
            <v>2203</v>
          </cell>
          <cell r="F225">
            <v>4302</v>
          </cell>
        </row>
        <row r="226">
          <cell r="A226" t="str">
            <v>Porterville</v>
          </cell>
          <cell r="B226" t="str">
            <v xml:space="preserve">    Porterville</v>
          </cell>
          <cell r="C226">
            <v>3.1820938527182272E-3</v>
          </cell>
          <cell r="D226">
            <v>3.6476892911517689E-3</v>
          </cell>
          <cell r="E226">
            <v>7099</v>
          </cell>
          <cell r="F226">
            <v>18877</v>
          </cell>
        </row>
        <row r="227">
          <cell r="A227" t="str">
            <v>Tulare</v>
          </cell>
          <cell r="B227" t="str">
            <v xml:space="preserve">    Tulare</v>
          </cell>
          <cell r="C227">
            <v>3.3353937678653792E-3</v>
          </cell>
          <cell r="D227">
            <v>4.4252652676096127E-3</v>
          </cell>
          <cell r="E227">
            <v>7441</v>
          </cell>
          <cell r="F227">
            <v>22901</v>
          </cell>
        </row>
        <row r="228">
          <cell r="A228" t="str">
            <v>Visalia</v>
          </cell>
          <cell r="B228" t="str">
            <v xml:space="preserve">    Visalia</v>
          </cell>
          <cell r="C228">
            <v>6.1938544663840628E-3</v>
          </cell>
          <cell r="D228">
            <v>1.0523555585957797E-2</v>
          </cell>
          <cell r="E228">
            <v>13818</v>
          </cell>
          <cell r="F228">
            <v>54460</v>
          </cell>
        </row>
        <row r="229">
          <cell r="A229" t="str">
            <v>Woodlake</v>
          </cell>
          <cell r="B229" t="str">
            <v xml:space="preserve">    Woodlake</v>
          </cell>
          <cell r="C229">
            <v>6.0109703570857063E-4</v>
          </cell>
          <cell r="D229">
            <v>4.7941500934192607E-4</v>
          </cell>
          <cell r="E229">
            <v>1341</v>
          </cell>
          <cell r="F229">
            <v>2481</v>
          </cell>
        </row>
        <row r="230">
          <cell r="A230" t="str">
            <v>Unincorporated Tulare</v>
          </cell>
          <cell r="B230" t="str">
            <v xml:space="preserve">    Unincorporated Tulare</v>
          </cell>
          <cell r="C230">
            <v>2.0314031738461379E-2</v>
          </cell>
          <cell r="D230">
            <v>1.1590596973134788E-2</v>
          </cell>
          <cell r="E230">
            <v>45319</v>
          </cell>
          <cell r="F230">
            <v>59982</v>
          </cell>
        </row>
        <row r="231">
          <cell r="B231" t="str">
            <v>TOTAL Tulare County</v>
          </cell>
          <cell r="C231">
            <v>3.6004860772748115E-2</v>
          </cell>
          <cell r="D231">
            <v>3.2800218432376689E-2</v>
          </cell>
          <cell r="E231">
            <v>80324</v>
          </cell>
          <cell r="F231">
            <v>169743</v>
          </cell>
        </row>
        <row r="232">
          <cell r="B232" t="str">
            <v xml:space="preserve">Tuolumne County </v>
          </cell>
          <cell r="C232"/>
          <cell r="D232"/>
          <cell r="E232"/>
          <cell r="F232"/>
        </row>
        <row r="233">
          <cell r="A233" t="str">
            <v>Unincorporated Tuolumne</v>
          </cell>
          <cell r="B233" t="str">
            <v xml:space="preserve">    Unincorporated Tuolumne</v>
          </cell>
          <cell r="C233">
            <v>8.9649073185469146E-7</v>
          </cell>
          <cell r="D233">
            <v>5.6038030112518564E-6</v>
          </cell>
          <cell r="E233">
            <v>2</v>
          </cell>
          <cell r="F233">
            <v>29</v>
          </cell>
        </row>
        <row r="234">
          <cell r="B234" t="str">
            <v>TOTAL Tuolumne County</v>
          </cell>
          <cell r="C234">
            <v>8.9649073185469146E-7</v>
          </cell>
          <cell r="D234">
            <v>5.6038030112518564E-6</v>
          </cell>
          <cell r="E234">
            <v>2</v>
          </cell>
          <cell r="F234">
            <v>29</v>
          </cell>
        </row>
        <row r="235">
          <cell r="B235" t="str">
            <v>Ventura County</v>
          </cell>
          <cell r="C235"/>
          <cell r="D235"/>
          <cell r="E235"/>
          <cell r="F235"/>
        </row>
        <row r="236">
          <cell r="A236" t="str">
            <v>Camarillo</v>
          </cell>
          <cell r="B236" t="str">
            <v xml:space="preserve">    Camarillo</v>
          </cell>
          <cell r="C236">
            <v>2.4917959891901146E-3</v>
          </cell>
          <cell r="D236">
            <v>5.9734607754078845E-3</v>
          </cell>
          <cell r="E236">
            <v>5559</v>
          </cell>
          <cell r="F236">
            <v>30913</v>
          </cell>
        </row>
        <row r="237">
          <cell r="A237" t="str">
            <v>Fillmore</v>
          </cell>
          <cell r="B237" t="str">
            <v xml:space="preserve">    Fillmore</v>
          </cell>
          <cell r="C237">
            <v>8.7631969038796085E-4</v>
          </cell>
          <cell r="D237">
            <v>9.3061776904099799E-4</v>
          </cell>
          <cell r="E237">
            <v>1955</v>
          </cell>
          <cell r="F237">
            <v>4816</v>
          </cell>
        </row>
        <row r="238">
          <cell r="A238" t="str">
            <v>Moorpark</v>
          </cell>
          <cell r="B238" t="str">
            <v xml:space="preserve">    Moorpark</v>
          </cell>
          <cell r="C238">
            <v>5.428251381380156E-4</v>
          </cell>
          <cell r="D238">
            <v>2.6042225235393545E-3</v>
          </cell>
          <cell r="E238">
            <v>1211</v>
          </cell>
          <cell r="F238">
            <v>13477</v>
          </cell>
        </row>
        <row r="239">
          <cell r="A239" t="str">
            <v>Ojai</v>
          </cell>
          <cell r="B239" t="str">
            <v xml:space="preserve">    Ojai</v>
          </cell>
          <cell r="C239">
            <v>9.7807138845346824E-4</v>
          </cell>
          <cell r="D239">
            <v>7.6327661704982184E-4</v>
          </cell>
          <cell r="E239">
            <v>2182</v>
          </cell>
          <cell r="F239">
            <v>3950</v>
          </cell>
        </row>
        <row r="240">
          <cell r="A240" t="str">
            <v>Oxnard</v>
          </cell>
          <cell r="B240" t="str">
            <v xml:space="preserve">    Oxnard</v>
          </cell>
          <cell r="C240">
            <v>9.4799412439974338E-3</v>
          </cell>
          <cell r="D240">
            <v>1.1446250736948405E-2</v>
          </cell>
          <cell r="E240">
            <v>21149</v>
          </cell>
          <cell r="F240">
            <v>59235</v>
          </cell>
        </row>
        <row r="241">
          <cell r="A241" t="str">
            <v>Port Hueneme</v>
          </cell>
          <cell r="B241" t="str">
            <v xml:space="preserve">    Port Hueneme</v>
          </cell>
          <cell r="C241">
            <v>1.1614037431177528E-3</v>
          </cell>
          <cell r="D241">
            <v>1.6851988296940497E-3</v>
          </cell>
          <cell r="E241">
            <v>2591</v>
          </cell>
          <cell r="F241">
            <v>8721</v>
          </cell>
        </row>
        <row r="242">
          <cell r="A242" t="str">
            <v>Santa Paula</v>
          </cell>
          <cell r="B242" t="str">
            <v xml:space="preserve">    Santa Paula</v>
          </cell>
          <cell r="C242">
            <v>2.5254143916346658E-3</v>
          </cell>
          <cell r="D242">
            <v>1.8830710463672187E-3</v>
          </cell>
          <cell r="E242">
            <v>5634</v>
          </cell>
          <cell r="F242">
            <v>9745</v>
          </cell>
        </row>
        <row r="243">
          <cell r="A243" t="str">
            <v>Simi Valley</v>
          </cell>
          <cell r="B243" t="str">
            <v xml:space="preserve">    Simi Valley</v>
          </cell>
          <cell r="C243">
            <v>5.5985846204325476E-3</v>
          </cell>
          <cell r="D243">
            <v>9.2710089956497092E-3</v>
          </cell>
          <cell r="E243">
            <v>12490</v>
          </cell>
          <cell r="F243">
            <v>47978</v>
          </cell>
        </row>
        <row r="244">
          <cell r="A244" t="str">
            <v>Thousand Oaks</v>
          </cell>
          <cell r="B244" t="str">
            <v xml:space="preserve">    Thousand Oaks</v>
          </cell>
          <cell r="C244">
            <v>3.2784666063926065E-3</v>
          </cell>
          <cell r="D244">
            <v>1.034751887756985E-2</v>
          </cell>
          <cell r="E244">
            <v>7314</v>
          </cell>
          <cell r="F244">
            <v>53549</v>
          </cell>
        </row>
        <row r="245">
          <cell r="A245" t="str">
            <v>Ventura</v>
          </cell>
          <cell r="B245" t="str">
            <v xml:space="preserve">    Ventura</v>
          </cell>
          <cell r="C245">
            <v>9.0644177897827843E-3</v>
          </cell>
          <cell r="D245">
            <v>9.3743894994779767E-3</v>
          </cell>
          <cell r="E245">
            <v>20222</v>
          </cell>
          <cell r="F245">
            <v>48513</v>
          </cell>
        </row>
        <row r="246">
          <cell r="A246" t="str">
            <v>Unincorporated Ventura</v>
          </cell>
          <cell r="B246" t="str">
            <v xml:space="preserve">    Unincorporated Ventura</v>
          </cell>
          <cell r="C246">
            <v>9.1392747658926507E-3</v>
          </cell>
          <cell r="D246">
            <v>7.490738749350973E-3</v>
          </cell>
          <cell r="E246">
            <v>20389</v>
          </cell>
          <cell r="F246">
            <v>38765</v>
          </cell>
        </row>
        <row r="247">
          <cell r="B247" t="str">
            <v>TOTAL Ventura County</v>
          </cell>
          <cell r="C247">
            <v>4.5136515367419999E-2</v>
          </cell>
          <cell r="D247">
            <v>6.1769754420096239E-2</v>
          </cell>
          <cell r="E247">
            <v>100696</v>
          </cell>
          <cell r="F247">
            <v>319662</v>
          </cell>
        </row>
        <row r="248">
          <cell r="B248"/>
          <cell r="C248"/>
          <cell r="D248"/>
          <cell r="E248"/>
          <cell r="F248"/>
        </row>
        <row r="249">
          <cell r="B249" t="str">
            <v>TOTAL SOUTHERN CALIFORNIA EDISON:</v>
          </cell>
          <cell r="C249">
            <v>1</v>
          </cell>
          <cell r="D249">
            <v>1</v>
          </cell>
          <cell r="E249">
            <v>2230921</v>
          </cell>
          <cell r="F249">
            <v>5175057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 combo"/>
      <sheetName val="2019"/>
      <sheetName val="2018"/>
      <sheetName val="Historical Community Level Data"/>
      <sheetName val="2017"/>
      <sheetName val="2018 allocation"/>
      <sheetName val="Annual Spending Worksheet "/>
      <sheetName val="2019 annual"/>
    </sheetNames>
    <sheetDataSet>
      <sheetData sheetId="0"/>
      <sheetData sheetId="1"/>
      <sheetData sheetId="2"/>
      <sheetData sheetId="3"/>
      <sheetData sheetId="4"/>
      <sheetData sheetId="5">
        <row r="11">
          <cell r="A11" t="str">
            <v>Unincorporated Fresno</v>
          </cell>
          <cell r="B11">
            <v>20584.868215458926</v>
          </cell>
        </row>
        <row r="12">
          <cell r="A12" t="str">
            <v>Unincorporated Imperial</v>
          </cell>
          <cell r="B12">
            <v>3922.0330713470289</v>
          </cell>
        </row>
        <row r="13">
          <cell r="A13" t="str">
            <v>Bishop</v>
          </cell>
          <cell r="B13">
            <v>3039.2876758862462</v>
          </cell>
        </row>
        <row r="14">
          <cell r="A14" t="str">
            <v>Unincorporated Inyo</v>
          </cell>
          <cell r="B14">
            <v>30414.505822347866</v>
          </cell>
        </row>
        <row r="15">
          <cell r="A15" t="str">
            <v>California City</v>
          </cell>
          <cell r="B15">
            <v>17673.527483074868</v>
          </cell>
        </row>
        <row r="16">
          <cell r="A16" t="str">
            <v>Delano</v>
          </cell>
          <cell r="B16">
            <v>47784.443151378611</v>
          </cell>
        </row>
        <row r="17">
          <cell r="A17" t="str">
            <v>Mc Farland</v>
          </cell>
          <cell r="B17">
            <v>6962.0163267587996</v>
          </cell>
        </row>
        <row r="18">
          <cell r="A18" t="str">
            <v>Ridgecrest</v>
          </cell>
          <cell r="B18">
            <v>62800.605135098231</v>
          </cell>
        </row>
        <row r="19">
          <cell r="A19" t="str">
            <v>Tehachapi</v>
          </cell>
          <cell r="B19">
            <v>14569.491698819122</v>
          </cell>
        </row>
        <row r="20">
          <cell r="A20" t="str">
            <v>Unincorporated Kern</v>
          </cell>
          <cell r="B20">
            <v>314981.32435894589</v>
          </cell>
        </row>
        <row r="21">
          <cell r="A21" t="str">
            <v>Hanford</v>
          </cell>
          <cell r="B21">
            <v>76121.897832131188</v>
          </cell>
        </row>
        <row r="22">
          <cell r="A22" t="str">
            <v>Unincorporated Kings</v>
          </cell>
          <cell r="B22">
            <v>52189.099446208747</v>
          </cell>
        </row>
        <row r="23">
          <cell r="A23" t="str">
            <v>Agoura Hills</v>
          </cell>
          <cell r="B23">
            <v>30958.688489242133</v>
          </cell>
        </row>
        <row r="24">
          <cell r="A24" t="str">
            <v>Alhambra</v>
          </cell>
          <cell r="B24">
            <v>322539.304549122</v>
          </cell>
        </row>
        <row r="25">
          <cell r="A25" t="str">
            <v>Arcadia</v>
          </cell>
          <cell r="B25">
            <v>203976.00811569171</v>
          </cell>
        </row>
        <row r="26">
          <cell r="A26" t="str">
            <v>Artesia</v>
          </cell>
          <cell r="B26">
            <v>46614.395852841568</v>
          </cell>
        </row>
        <row r="27">
          <cell r="A27" t="str">
            <v>Avalon</v>
          </cell>
          <cell r="B27">
            <v>15599.653405492825</v>
          </cell>
        </row>
        <row r="28">
          <cell r="A28" t="str">
            <v>Azusa</v>
          </cell>
          <cell r="B28">
            <v>6643.0616095083587</v>
          </cell>
        </row>
        <row r="29">
          <cell r="A29" t="str">
            <v>Baldwin Park</v>
          </cell>
          <cell r="B29">
            <v>156241.84308038795</v>
          </cell>
        </row>
        <row r="30">
          <cell r="A30" t="str">
            <v>Bell</v>
          </cell>
          <cell r="B30">
            <v>99652.529824524521</v>
          </cell>
        </row>
        <row r="31">
          <cell r="A31" t="str">
            <v>Bell Gardens</v>
          </cell>
          <cell r="B31">
            <v>103612.86392328746</v>
          </cell>
        </row>
        <row r="32">
          <cell r="A32" t="str">
            <v>Bellflower</v>
          </cell>
          <cell r="B32">
            <v>221241.15283112577</v>
          </cell>
        </row>
        <row r="33">
          <cell r="A33" t="str">
            <v>Beverly Hills</v>
          </cell>
          <cell r="B33">
            <v>147609.1296166791</v>
          </cell>
        </row>
        <row r="34">
          <cell r="A34" t="str">
            <v>Bradbury</v>
          </cell>
          <cell r="B34">
            <v>3738.3895199246344</v>
          </cell>
        </row>
        <row r="35">
          <cell r="A35" t="str">
            <v>Calabasas</v>
          </cell>
          <cell r="B35">
            <v>24764.692206279979</v>
          </cell>
        </row>
        <row r="36">
          <cell r="A36" t="str">
            <v>Carson</v>
          </cell>
          <cell r="B36">
            <v>212809.16524788248</v>
          </cell>
        </row>
        <row r="37">
          <cell r="A37" t="str">
            <v>Cerritos</v>
          </cell>
          <cell r="B37">
            <v>62118.424573450982</v>
          </cell>
        </row>
        <row r="38">
          <cell r="A38" t="str">
            <v>Claremont</v>
          </cell>
          <cell r="B38">
            <v>83728.758901775</v>
          </cell>
        </row>
        <row r="39">
          <cell r="A39" t="str">
            <v>Commerce</v>
          </cell>
          <cell r="B39">
            <v>52412.412239715108</v>
          </cell>
        </row>
        <row r="40">
          <cell r="A40" t="str">
            <v>Compton</v>
          </cell>
          <cell r="B40">
            <v>251900.38578706357</v>
          </cell>
        </row>
        <row r="41">
          <cell r="A41" t="str">
            <v>Covina</v>
          </cell>
          <cell r="B41">
            <v>151176.38940456923</v>
          </cell>
        </row>
        <row r="42">
          <cell r="A42" t="str">
            <v>Cudahy</v>
          </cell>
          <cell r="B42">
            <v>53548.430195993307</v>
          </cell>
        </row>
        <row r="43">
          <cell r="A43" t="str">
            <v>Culver City</v>
          </cell>
          <cell r="B43">
            <v>145399.30957421797</v>
          </cell>
        </row>
        <row r="44">
          <cell r="A44" t="str">
            <v>Diamond Bar</v>
          </cell>
          <cell r="B44">
            <v>78440.258138285179</v>
          </cell>
        </row>
        <row r="45">
          <cell r="A45" t="str">
            <v>Downey</v>
          </cell>
          <cell r="B45">
            <v>364946.38692271709</v>
          </cell>
        </row>
        <row r="46">
          <cell r="A46" t="str">
            <v>Duarte</v>
          </cell>
          <cell r="B46">
            <v>45846.002712246191</v>
          </cell>
        </row>
        <row r="47">
          <cell r="A47" t="str">
            <v>El Monte</v>
          </cell>
          <cell r="B47">
            <v>281586.70973512897</v>
          </cell>
        </row>
        <row r="48">
          <cell r="A48" t="str">
            <v>El Segundo</v>
          </cell>
          <cell r="B48">
            <v>83711.0898951001</v>
          </cell>
        </row>
        <row r="49">
          <cell r="A49" t="str">
            <v>Gardena</v>
          </cell>
          <cell r="B49">
            <v>207753.34203039893</v>
          </cell>
        </row>
        <row r="50">
          <cell r="A50" t="str">
            <v>Glendale</v>
          </cell>
          <cell r="B50">
            <v>4988.3652825529407</v>
          </cell>
        </row>
        <row r="51">
          <cell r="A51" t="str">
            <v>Glendora</v>
          </cell>
          <cell r="B51">
            <v>141427.07441804046</v>
          </cell>
        </row>
        <row r="52">
          <cell r="A52" t="str">
            <v>Hawaiian Gardens</v>
          </cell>
          <cell r="B52">
            <v>30727.605507373548</v>
          </cell>
        </row>
        <row r="53">
          <cell r="A53" t="str">
            <v>Hawthorne</v>
          </cell>
          <cell r="B53">
            <v>243944.64859713725</v>
          </cell>
        </row>
        <row r="54">
          <cell r="A54" t="str">
            <v>Hermosa Beach</v>
          </cell>
          <cell r="B54">
            <v>100610.57410534998</v>
          </cell>
        </row>
        <row r="55">
          <cell r="A55" t="str">
            <v>Hidden Hills</v>
          </cell>
          <cell r="B55">
            <v>4942.484245597986</v>
          </cell>
        </row>
        <row r="56">
          <cell r="A56" t="str">
            <v>Huntington Park</v>
          </cell>
          <cell r="B56">
            <v>157617.15427982254</v>
          </cell>
        </row>
        <row r="57">
          <cell r="A57" t="str">
            <v>Industry</v>
          </cell>
          <cell r="B57">
            <v>13708.060318793259</v>
          </cell>
        </row>
        <row r="58">
          <cell r="A58" t="str">
            <v>Inglewood</v>
          </cell>
          <cell r="B58">
            <v>416939.40368602495</v>
          </cell>
        </row>
        <row r="59">
          <cell r="A59" t="str">
            <v>Irwindale</v>
          </cell>
          <cell r="B59">
            <v>9613.6897190068121</v>
          </cell>
        </row>
        <row r="60">
          <cell r="A60" t="str">
            <v>La Canada-Flintridge</v>
          </cell>
          <cell r="B60">
            <v>72549.06674155184</v>
          </cell>
        </row>
        <row r="61">
          <cell r="A61" t="str">
            <v>La Habra Heights</v>
          </cell>
          <cell r="B61">
            <v>17355.121083066704</v>
          </cell>
        </row>
        <row r="62">
          <cell r="A62" t="str">
            <v>La Mirada</v>
          </cell>
          <cell r="B62">
            <v>119948.8233579541</v>
          </cell>
        </row>
        <row r="63">
          <cell r="A63" t="str">
            <v>La Puente</v>
          </cell>
          <cell r="B63">
            <v>89241.365341510726</v>
          </cell>
        </row>
        <row r="64">
          <cell r="A64" t="str">
            <v>La Verne</v>
          </cell>
          <cell r="B64">
            <v>53813.646963533538</v>
          </cell>
        </row>
        <row r="65">
          <cell r="A65" t="str">
            <v>Lakewood</v>
          </cell>
          <cell r="B65">
            <v>265519.00575070817</v>
          </cell>
        </row>
        <row r="66">
          <cell r="A66" t="str">
            <v>Lancaster</v>
          </cell>
          <cell r="B66">
            <v>179987.25900341338</v>
          </cell>
        </row>
        <row r="67">
          <cell r="A67" t="str">
            <v>Lawndale</v>
          </cell>
          <cell r="B67">
            <v>99610.641648484016</v>
          </cell>
        </row>
        <row r="68">
          <cell r="A68" t="str">
            <v>Lomita</v>
          </cell>
          <cell r="B68">
            <v>76346.308447707968</v>
          </cell>
        </row>
        <row r="69">
          <cell r="A69" t="str">
            <v>Long Beach</v>
          </cell>
          <cell r="B69">
            <v>1579254.1861748695</v>
          </cell>
        </row>
        <row r="70">
          <cell r="A70" t="str">
            <v>Los Angeles, City of</v>
          </cell>
          <cell r="B70">
            <v>4761.9899740204628</v>
          </cell>
        </row>
        <row r="71">
          <cell r="A71" t="str">
            <v>Lynwood</v>
          </cell>
          <cell r="B71">
            <v>167832.48391980751</v>
          </cell>
        </row>
        <row r="72">
          <cell r="A72" t="str">
            <v>Malibu</v>
          </cell>
          <cell r="B72">
            <v>36791.397295215378</v>
          </cell>
        </row>
        <row r="73">
          <cell r="A73" t="str">
            <v>Manhattan Beach</v>
          </cell>
          <cell r="B73">
            <v>159229.51713243086</v>
          </cell>
        </row>
        <row r="74">
          <cell r="A74" t="str">
            <v>Maywood</v>
          </cell>
          <cell r="B74">
            <v>74629.15152358741</v>
          </cell>
        </row>
        <row r="75">
          <cell r="A75" t="str">
            <v>Monrovia</v>
          </cell>
          <cell r="B75">
            <v>139505.6260383022</v>
          </cell>
        </row>
        <row r="76">
          <cell r="A76" t="str">
            <v>Montebello</v>
          </cell>
          <cell r="B76">
            <v>186108.47692345112</v>
          </cell>
        </row>
        <row r="77">
          <cell r="A77" t="str">
            <v>Monterey Park</v>
          </cell>
          <cell r="B77">
            <v>204692.83644372452</v>
          </cell>
        </row>
        <row r="78">
          <cell r="A78" t="str">
            <v>Norwalk</v>
          </cell>
          <cell r="B78">
            <v>262981.94918366103</v>
          </cell>
        </row>
        <row r="79">
          <cell r="A79" t="str">
            <v>Palmdale</v>
          </cell>
          <cell r="B79">
            <v>86521.247671209596</v>
          </cell>
        </row>
        <row r="80">
          <cell r="A80" t="str">
            <v>Palos Verdes Estates</v>
          </cell>
          <cell r="B80">
            <v>32331.821683632748</v>
          </cell>
        </row>
        <row r="81">
          <cell r="A81" t="str">
            <v>Paramount</v>
          </cell>
          <cell r="B81">
            <v>119379.4801219947</v>
          </cell>
        </row>
        <row r="82">
          <cell r="A82" t="str">
            <v>Pasadena</v>
          </cell>
          <cell r="B82">
            <v>642.42624956411078</v>
          </cell>
        </row>
        <row r="83">
          <cell r="A83" t="str">
            <v>Pico Rivera</v>
          </cell>
          <cell r="B83">
            <v>162857.70453496146</v>
          </cell>
        </row>
        <row r="84">
          <cell r="A84" t="str">
            <v>Pomona</v>
          </cell>
          <cell r="B84">
            <v>313865.06658035703</v>
          </cell>
        </row>
        <row r="85">
          <cell r="A85" t="str">
            <v>Rancho Palos Verdes</v>
          </cell>
          <cell r="B85">
            <v>95792.491964629327</v>
          </cell>
        </row>
        <row r="86">
          <cell r="A86" t="str">
            <v>Redondo Beach</v>
          </cell>
          <cell r="B86">
            <v>291121.02734348434</v>
          </cell>
        </row>
        <row r="87">
          <cell r="A87" t="str">
            <v>Rolling Hills</v>
          </cell>
          <cell r="B87">
            <v>6651.4094750515223</v>
          </cell>
        </row>
        <row r="88">
          <cell r="A88" t="str">
            <v>Rolling Hills Estates</v>
          </cell>
          <cell r="B88">
            <v>20680.005394523731</v>
          </cell>
        </row>
        <row r="89">
          <cell r="A89" t="str">
            <v>Rosemead</v>
          </cell>
          <cell r="B89">
            <v>146398.46316295461</v>
          </cell>
        </row>
        <row r="90">
          <cell r="A90" t="str">
            <v>San Dimas</v>
          </cell>
          <cell r="B90">
            <v>59788.601111925789</v>
          </cell>
        </row>
        <row r="91">
          <cell r="A91" t="str">
            <v>San Fernando</v>
          </cell>
          <cell r="B91">
            <v>68665.768616867019</v>
          </cell>
        </row>
        <row r="92">
          <cell r="A92" t="str">
            <v>San Gabriel</v>
          </cell>
          <cell r="B92">
            <v>148578.57360241076</v>
          </cell>
        </row>
        <row r="93">
          <cell r="A93" t="str">
            <v>San Marino</v>
          </cell>
          <cell r="B93">
            <v>46740.099711039453</v>
          </cell>
        </row>
        <row r="94">
          <cell r="A94" t="str">
            <v>Santa Clarita</v>
          </cell>
          <cell r="B94">
            <v>160007.83480005068</v>
          </cell>
        </row>
        <row r="95">
          <cell r="A95" t="str">
            <v>Santa Fe Springs</v>
          </cell>
          <cell r="B95">
            <v>62029.194724172077</v>
          </cell>
        </row>
        <row r="96">
          <cell r="A96" t="str">
            <v>Santa Monica</v>
          </cell>
          <cell r="B96">
            <v>507348.93895857572</v>
          </cell>
        </row>
        <row r="97">
          <cell r="A97" t="str">
            <v>Sierra Madre</v>
          </cell>
          <cell r="B97">
            <v>52192.425304020551</v>
          </cell>
        </row>
        <row r="98">
          <cell r="A98" t="str">
            <v>Signal Hill</v>
          </cell>
          <cell r="B98">
            <v>37623.385513158959</v>
          </cell>
        </row>
        <row r="99">
          <cell r="A99" t="str">
            <v>South El Monte</v>
          </cell>
          <cell r="B99">
            <v>76656.633548079699</v>
          </cell>
        </row>
        <row r="100">
          <cell r="A100" t="str">
            <v>South Gate</v>
          </cell>
          <cell r="B100">
            <v>262402.42066312477</v>
          </cell>
        </row>
        <row r="101">
          <cell r="A101" t="str">
            <v>South Pasadena</v>
          </cell>
          <cell r="B101">
            <v>108094.0333663521</v>
          </cell>
        </row>
        <row r="102">
          <cell r="A102" t="str">
            <v>Temple City</v>
          </cell>
          <cell r="B102">
            <v>128785.32968619387</v>
          </cell>
        </row>
        <row r="103">
          <cell r="A103" t="str">
            <v>Torrance</v>
          </cell>
          <cell r="B103">
            <v>507859.64291489054</v>
          </cell>
        </row>
        <row r="104">
          <cell r="A104" t="str">
            <v>Walnut</v>
          </cell>
          <cell r="B104">
            <v>38794.987732732952</v>
          </cell>
        </row>
        <row r="105">
          <cell r="A105" t="str">
            <v>West Covina</v>
          </cell>
          <cell r="B105">
            <v>208903.78876518222</v>
          </cell>
        </row>
        <row r="106">
          <cell r="A106" t="str">
            <v>West Hollywood</v>
          </cell>
          <cell r="B106">
            <v>248004.98721170466</v>
          </cell>
        </row>
        <row r="107">
          <cell r="A107" t="str">
            <v>Westlake Village</v>
          </cell>
          <cell r="B107">
            <v>12256.483953185096</v>
          </cell>
        </row>
        <row r="108">
          <cell r="A108" t="str">
            <v>Whittier</v>
          </cell>
          <cell r="B108">
            <v>293582.12685874727</v>
          </cell>
        </row>
        <row r="109">
          <cell r="A109" t="str">
            <v>Unincorporated Los Angeles</v>
          </cell>
          <cell r="B109">
            <v>2489007.8884260957</v>
          </cell>
        </row>
        <row r="110">
          <cell r="A110" t="str">
            <v>Unincorporated Madera</v>
          </cell>
          <cell r="B110">
            <v>120.59094458804108</v>
          </cell>
        </row>
        <row r="111">
          <cell r="A111" t="str">
            <v>Mammoth Lakes</v>
          </cell>
          <cell r="B111">
            <v>35057.539666392506</v>
          </cell>
        </row>
        <row r="112">
          <cell r="A112" t="str">
            <v>Unincorporated Mono</v>
          </cell>
          <cell r="B112">
            <v>26357.044207095205</v>
          </cell>
        </row>
        <row r="113">
          <cell r="A113" t="str">
            <v>Aliso Viejo</v>
          </cell>
          <cell r="B113">
            <v>45961.214174059685</v>
          </cell>
        </row>
        <row r="114">
          <cell r="A114" t="str">
            <v>Anaheim</v>
          </cell>
          <cell r="B114">
            <v>141.16612374461474</v>
          </cell>
        </row>
        <row r="115">
          <cell r="A115" t="str">
            <v>Brea</v>
          </cell>
          <cell r="B115">
            <v>71289.977832610748</v>
          </cell>
        </row>
        <row r="116">
          <cell r="A116" t="str">
            <v>Buena Park</v>
          </cell>
          <cell r="B116">
            <v>205643.34046346531</v>
          </cell>
        </row>
        <row r="117">
          <cell r="A117" t="str">
            <v>Costa Mesa</v>
          </cell>
          <cell r="B117">
            <v>281043.19640529662</v>
          </cell>
        </row>
        <row r="118">
          <cell r="A118" t="str">
            <v>Cypress</v>
          </cell>
          <cell r="B118">
            <v>83867.910680303525</v>
          </cell>
        </row>
        <row r="119">
          <cell r="A119" t="str">
            <v>Fountain Valley</v>
          </cell>
          <cell r="B119">
            <v>94222.856060090824</v>
          </cell>
        </row>
        <row r="120">
          <cell r="A120" t="str">
            <v>Fullerton</v>
          </cell>
          <cell r="B120">
            <v>284053.67854105786</v>
          </cell>
        </row>
        <row r="121">
          <cell r="A121" t="str">
            <v>Garden Grove</v>
          </cell>
          <cell r="B121">
            <v>416531.15461755847</v>
          </cell>
        </row>
        <row r="122">
          <cell r="A122" t="str">
            <v>Huntington Beach</v>
          </cell>
          <cell r="B122">
            <v>402915.82874883688</v>
          </cell>
        </row>
        <row r="123">
          <cell r="A123" t="str">
            <v>Irvine</v>
          </cell>
          <cell r="B123">
            <v>102540.82083974124</v>
          </cell>
        </row>
        <row r="124">
          <cell r="A124" t="str">
            <v>La Habra</v>
          </cell>
          <cell r="B124">
            <v>142191.63123905536</v>
          </cell>
        </row>
        <row r="125">
          <cell r="A125" t="str">
            <v>La Palma</v>
          </cell>
          <cell r="B125">
            <v>19091.026445020081</v>
          </cell>
        </row>
        <row r="126">
          <cell r="A126" t="str">
            <v>Laguna Beach</v>
          </cell>
          <cell r="B126">
            <v>83880.820953476257</v>
          </cell>
        </row>
        <row r="127">
          <cell r="A127" t="str">
            <v>Laguna Hills</v>
          </cell>
          <cell r="B127">
            <v>0</v>
          </cell>
        </row>
        <row r="128">
          <cell r="A128" t="str">
            <v>Laguna Niguel</v>
          </cell>
          <cell r="B128">
            <v>8975.3905753971685</v>
          </cell>
        </row>
        <row r="129">
          <cell r="A129" t="str">
            <v>Laguna Woods</v>
          </cell>
          <cell r="B129">
            <v>21794.161915235098</v>
          </cell>
        </row>
        <row r="130">
          <cell r="A130" t="str">
            <v>Lake Forest</v>
          </cell>
          <cell r="B130">
            <v>0</v>
          </cell>
        </row>
        <row r="131">
          <cell r="A131" t="str">
            <v>Los Alamitos</v>
          </cell>
          <cell r="B131">
            <v>42334.607230011999</v>
          </cell>
        </row>
        <row r="132">
          <cell r="A132" t="str">
            <v>Mission Viejo</v>
          </cell>
          <cell r="B132">
            <v>68185.818711106476</v>
          </cell>
        </row>
        <row r="133">
          <cell r="A133" t="str">
            <v>Newport Beach</v>
          </cell>
          <cell r="B133">
            <v>210245.0496845991</v>
          </cell>
        </row>
        <row r="134">
          <cell r="A134" t="str">
            <v>Orange</v>
          </cell>
          <cell r="B134">
            <v>268409.24376850552</v>
          </cell>
        </row>
        <row r="135">
          <cell r="A135" t="str">
            <v>Placentia</v>
          </cell>
          <cell r="B135">
            <v>72591.756510493491</v>
          </cell>
        </row>
        <row r="136">
          <cell r="A136" t="str">
            <v>Rancho Santa Margarita</v>
          </cell>
          <cell r="B136">
            <v>50296.600196959218</v>
          </cell>
        </row>
        <row r="137">
          <cell r="A137" t="str">
            <v>Santa Ana</v>
          </cell>
          <cell r="B137">
            <v>539600.83477465017</v>
          </cell>
        </row>
        <row r="138">
          <cell r="A138" t="str">
            <v>Seal Beach</v>
          </cell>
          <cell r="B138">
            <v>73662.845799000817</v>
          </cell>
        </row>
        <row r="139">
          <cell r="A139" t="str">
            <v>Stanton</v>
          </cell>
          <cell r="B139">
            <v>65287.397177799823</v>
          </cell>
        </row>
        <row r="140">
          <cell r="A140" t="str">
            <v>Tustin</v>
          </cell>
          <cell r="B140">
            <v>110926.22747696699</v>
          </cell>
        </row>
        <row r="141">
          <cell r="A141" t="str">
            <v>Villa Park</v>
          </cell>
          <cell r="B141">
            <v>9770.1897901510056</v>
          </cell>
        </row>
        <row r="142">
          <cell r="A142" t="str">
            <v>Westminster</v>
          </cell>
          <cell r="B142">
            <v>166870.83032402562</v>
          </cell>
        </row>
        <row r="143">
          <cell r="A143" t="str">
            <v>Yorba Linda</v>
          </cell>
          <cell r="B143">
            <v>75088.121198476467</v>
          </cell>
        </row>
        <row r="144">
          <cell r="A144" t="str">
            <v>Unincorporated Orange</v>
          </cell>
          <cell r="B144">
            <v>289459.37600303959</v>
          </cell>
        </row>
        <row r="145">
          <cell r="A145" t="str">
            <v>Beaumont</v>
          </cell>
          <cell r="B145">
            <v>19847.982216274177</v>
          </cell>
        </row>
        <row r="146">
          <cell r="A146" t="str">
            <v>Blythe</v>
          </cell>
          <cell r="B146">
            <v>22595.165703373943</v>
          </cell>
        </row>
        <row r="147">
          <cell r="A147" t="str">
            <v>Calimesa</v>
          </cell>
          <cell r="B147">
            <v>14571.104740242403</v>
          </cell>
        </row>
        <row r="148">
          <cell r="A148" t="str">
            <v>Canyon Lake</v>
          </cell>
          <cell r="B148">
            <v>9078.4017838115142</v>
          </cell>
        </row>
        <row r="149">
          <cell r="A149" t="str">
            <v>Cathedral City</v>
          </cell>
          <cell r="B149">
            <v>87585.386163350253</v>
          </cell>
        </row>
        <row r="150">
          <cell r="A150" t="str">
            <v>Corona</v>
          </cell>
          <cell r="B150">
            <v>127060.46622151291</v>
          </cell>
        </row>
        <row r="151">
          <cell r="A151" t="str">
            <v>Desert Hot Springs</v>
          </cell>
          <cell r="B151">
            <v>47383.003782543747</v>
          </cell>
        </row>
        <row r="152">
          <cell r="A152" t="str">
            <v>Eastvale</v>
          </cell>
          <cell r="B152">
            <v>39936.800809491557</v>
          </cell>
        </row>
        <row r="153">
          <cell r="A153" t="str">
            <v>Hemet</v>
          </cell>
          <cell r="B153">
            <v>69183.976955675709</v>
          </cell>
        </row>
        <row r="154">
          <cell r="A154" t="str">
            <v>Indian Wells</v>
          </cell>
          <cell r="B154">
            <v>9908.5748970198874</v>
          </cell>
        </row>
        <row r="155">
          <cell r="A155" t="str">
            <v>Jurupa Valley</v>
          </cell>
          <cell r="B155">
            <v>0</v>
          </cell>
        </row>
        <row r="156">
          <cell r="A156" t="str">
            <v>Elsinore, Lake</v>
          </cell>
          <cell r="B156">
            <v>20739.24724979571</v>
          </cell>
        </row>
        <row r="157">
          <cell r="A157" t="str">
            <v>Menifee</v>
          </cell>
          <cell r="B157">
            <v>55533.655982170269</v>
          </cell>
        </row>
        <row r="158">
          <cell r="A158" t="str">
            <v>Moreno Valley</v>
          </cell>
          <cell r="B158">
            <v>150175.94693235628</v>
          </cell>
        </row>
        <row r="159">
          <cell r="A159" t="str">
            <v>Murrieta</v>
          </cell>
          <cell r="B159">
            <v>13329.908361714261</v>
          </cell>
        </row>
        <row r="160">
          <cell r="A160" t="str">
            <v>Norco</v>
          </cell>
          <cell r="B160">
            <v>43242.187489388612</v>
          </cell>
        </row>
        <row r="161">
          <cell r="A161" t="str">
            <v>Palm Desert</v>
          </cell>
          <cell r="B161">
            <v>82197.778841827036</v>
          </cell>
        </row>
        <row r="162">
          <cell r="A162" t="str">
            <v>Palm Springs</v>
          </cell>
          <cell r="B162">
            <v>155937.97869528393</v>
          </cell>
        </row>
        <row r="163">
          <cell r="A163" t="str">
            <v>Perris</v>
          </cell>
          <cell r="B163">
            <v>30349.316033935174</v>
          </cell>
        </row>
        <row r="164">
          <cell r="A164" t="str">
            <v>Rancho Mirage</v>
          </cell>
          <cell r="B164">
            <v>38889.772134397004</v>
          </cell>
        </row>
        <row r="165">
          <cell r="A165" t="str">
            <v>Riverside, City of</v>
          </cell>
          <cell r="B165">
            <v>0</v>
          </cell>
        </row>
        <row r="166">
          <cell r="A166" t="str">
            <v>San Jacinto</v>
          </cell>
          <cell r="B166">
            <v>22239.844626773647</v>
          </cell>
        </row>
        <row r="167">
          <cell r="A167" t="str">
            <v>Temecula</v>
          </cell>
          <cell r="B167">
            <v>24957.629619046285</v>
          </cell>
        </row>
        <row r="168">
          <cell r="A168" t="str">
            <v>Wildomar</v>
          </cell>
          <cell r="B168">
            <v>24416.35093904745</v>
          </cell>
        </row>
        <row r="169">
          <cell r="A169" t="str">
            <v>Unincorporated Riverside</v>
          </cell>
          <cell r="B169">
            <v>552553.57735020632</v>
          </cell>
        </row>
        <row r="170">
          <cell r="A170" t="str">
            <v>Adelanto</v>
          </cell>
          <cell r="B170">
            <v>10369.742793545125</v>
          </cell>
        </row>
        <row r="171">
          <cell r="A171" t="str">
            <v>Apple Valley</v>
          </cell>
          <cell r="B171">
            <v>130997.19222144573</v>
          </cell>
        </row>
        <row r="172">
          <cell r="A172" t="str">
            <v>Banning</v>
          </cell>
          <cell r="B172">
            <v>336.60978422556627</v>
          </cell>
        </row>
        <row r="173">
          <cell r="A173" t="str">
            <v>Barstow</v>
          </cell>
          <cell r="B173">
            <v>59325.933856681033</v>
          </cell>
        </row>
        <row r="174">
          <cell r="A174" t="str">
            <v>Chino</v>
          </cell>
          <cell r="B174">
            <v>84411.413904478221</v>
          </cell>
        </row>
        <row r="175">
          <cell r="A175" t="str">
            <v>Chino Hills</v>
          </cell>
          <cell r="B175">
            <v>4367.1659187268015</v>
          </cell>
        </row>
        <row r="176">
          <cell r="A176" t="str">
            <v>Colton</v>
          </cell>
          <cell r="B176">
            <v>1105.7116738196876</v>
          </cell>
        </row>
        <row r="177">
          <cell r="A177" t="str">
            <v>Fontana</v>
          </cell>
          <cell r="B177">
            <v>130000.49271671441</v>
          </cell>
        </row>
        <row r="178">
          <cell r="A178" t="str">
            <v>Grand Terrace</v>
          </cell>
          <cell r="B178">
            <v>15773.806882061268</v>
          </cell>
        </row>
        <row r="179">
          <cell r="A179" t="str">
            <v>Hesperia</v>
          </cell>
          <cell r="B179">
            <v>142289.76190259872</v>
          </cell>
        </row>
        <row r="180">
          <cell r="A180" t="str">
            <v>Highland</v>
          </cell>
          <cell r="B180">
            <v>72430.645728856107</v>
          </cell>
        </row>
        <row r="181">
          <cell r="A181" t="str">
            <v>Loma Linda</v>
          </cell>
          <cell r="B181">
            <v>34076.393129251846</v>
          </cell>
        </row>
        <row r="182">
          <cell r="A182" t="str">
            <v>Montclair</v>
          </cell>
          <cell r="B182">
            <v>76880.293790904208</v>
          </cell>
        </row>
        <row r="183">
          <cell r="A183" t="str">
            <v>Ontario</v>
          </cell>
          <cell r="B183">
            <v>263511.15982714773</v>
          </cell>
        </row>
        <row r="184">
          <cell r="A184" t="str">
            <v>Rancho Cucamonga</v>
          </cell>
          <cell r="B184">
            <v>143950.92881079233</v>
          </cell>
        </row>
        <row r="185">
          <cell r="A185" t="str">
            <v>Redlands</v>
          </cell>
          <cell r="B185">
            <v>136890.0822893554</v>
          </cell>
        </row>
        <row r="186">
          <cell r="A186" t="str">
            <v>Rialto</v>
          </cell>
          <cell r="B186">
            <v>122929.88654234793</v>
          </cell>
        </row>
        <row r="187">
          <cell r="A187" t="str">
            <v>San Bernardino</v>
          </cell>
          <cell r="B187">
            <v>444473.81865494448</v>
          </cell>
        </row>
        <row r="188">
          <cell r="A188" t="str">
            <v>Twentynine Palms</v>
          </cell>
          <cell r="B188">
            <v>56559.704081533928</v>
          </cell>
        </row>
        <row r="189">
          <cell r="A189" t="str">
            <v>Upland</v>
          </cell>
          <cell r="B189">
            <v>145344.96622197406</v>
          </cell>
        </row>
        <row r="190">
          <cell r="A190" t="str">
            <v>Victorville</v>
          </cell>
          <cell r="B190">
            <v>59887.059502714153</v>
          </cell>
        </row>
        <row r="191">
          <cell r="A191" t="str">
            <v>Yucaipa</v>
          </cell>
          <cell r="B191">
            <v>80704.290552486389</v>
          </cell>
        </row>
        <row r="192">
          <cell r="A192" t="str">
            <v>Yucca Valley</v>
          </cell>
          <cell r="B192">
            <v>14757.376001384233</v>
          </cell>
        </row>
        <row r="193">
          <cell r="A193" t="str">
            <v>Unincorporated San Bernardino</v>
          </cell>
          <cell r="B193">
            <v>1081867.6228446949</v>
          </cell>
        </row>
        <row r="194">
          <cell r="A194" t="str">
            <v>Unincorporated San Diego</v>
          </cell>
          <cell r="B194">
            <v>103.81580828234807</v>
          </cell>
        </row>
        <row r="195">
          <cell r="A195" t="str">
            <v>Carpinteria</v>
          </cell>
          <cell r="B195">
            <v>28427.113940367541</v>
          </cell>
        </row>
        <row r="196">
          <cell r="A196" t="str">
            <v>Goleta</v>
          </cell>
          <cell r="B196">
            <v>59462.25476839047</v>
          </cell>
        </row>
        <row r="197">
          <cell r="A197" t="str">
            <v>Santa Barbara</v>
          </cell>
          <cell r="B197">
            <v>327336.87404642114</v>
          </cell>
        </row>
        <row r="198">
          <cell r="A198" t="str">
            <v>Unincorporated Santa Barbara</v>
          </cell>
          <cell r="B198">
            <v>171998.65367318841</v>
          </cell>
        </row>
        <row r="199">
          <cell r="A199" t="str">
            <v>Exeter</v>
          </cell>
          <cell r="B199">
            <v>22482.52565543514</v>
          </cell>
        </row>
        <row r="200">
          <cell r="A200" t="str">
            <v>Farmersville</v>
          </cell>
          <cell r="B200">
            <v>12739.51242068946</v>
          </cell>
        </row>
        <row r="201">
          <cell r="A201" t="str">
            <v>Lindsay</v>
          </cell>
          <cell r="B201">
            <v>22390.700799660823</v>
          </cell>
        </row>
        <row r="202">
          <cell r="A202" t="str">
            <v>Porterville</v>
          </cell>
          <cell r="B202">
            <v>60235.273527633522</v>
          </cell>
        </row>
        <row r="203">
          <cell r="A203" t="str">
            <v>Tulare</v>
          </cell>
          <cell r="B203">
            <v>70648.078166530191</v>
          </cell>
        </row>
        <row r="204">
          <cell r="A204" t="str">
            <v>Visalia</v>
          </cell>
          <cell r="B204">
            <v>161278.67029586766</v>
          </cell>
        </row>
        <row r="205">
          <cell r="A205" t="str">
            <v>Woodlake</v>
          </cell>
          <cell r="B205">
            <v>13576.524747103455</v>
          </cell>
        </row>
        <row r="206">
          <cell r="A206" t="str">
            <v>Unincorporated Tulare</v>
          </cell>
          <cell r="B206">
            <v>568704.8098721659</v>
          </cell>
        </row>
        <row r="207">
          <cell r="A207" t="str">
            <v>Unincorporated Tuolomne</v>
          </cell>
          <cell r="B207">
            <v>16.261885913160981</v>
          </cell>
        </row>
        <row r="208">
          <cell r="A208" t="str">
            <v>Camarillo</v>
          </cell>
          <cell r="B208">
            <v>84709.05060521116</v>
          </cell>
        </row>
        <row r="209">
          <cell r="A209" t="str">
            <v>Fillmore</v>
          </cell>
          <cell r="B209">
            <v>21914.564124850935</v>
          </cell>
        </row>
        <row r="210">
          <cell r="A210" t="str">
            <v>Moorpark</v>
          </cell>
          <cell r="B210">
            <v>32464.663748785795</v>
          </cell>
        </row>
        <row r="211">
          <cell r="A211" t="str">
            <v>Ojai</v>
          </cell>
          <cell r="B211">
            <v>28671.795097159964</v>
          </cell>
        </row>
        <row r="212">
          <cell r="A212" t="str">
            <v>Oxnard</v>
          </cell>
          <cell r="B212">
            <v>235943.89362879939</v>
          </cell>
        </row>
        <row r="213">
          <cell r="A213" t="str">
            <v>Port Hueneme</v>
          </cell>
          <cell r="B213">
            <v>38433.124593447959</v>
          </cell>
        </row>
        <row r="214">
          <cell r="A214" t="str">
            <v>Santa Paula</v>
          </cell>
          <cell r="B214">
            <v>62802.641909929502</v>
          </cell>
        </row>
        <row r="215">
          <cell r="A215" t="str">
            <v>Simi Valley</v>
          </cell>
          <cell r="B215">
            <v>182078.6961500718</v>
          </cell>
        </row>
        <row r="216">
          <cell r="A216" t="str">
            <v>Thousand Oaks</v>
          </cell>
          <cell r="B216">
            <v>176438.50660786976</v>
          </cell>
        </row>
        <row r="217">
          <cell r="A217" t="str">
            <v>Ventura</v>
          </cell>
          <cell r="B217">
            <v>230134.96819831367</v>
          </cell>
        </row>
        <row r="218">
          <cell r="A218" t="str">
            <v>Unincorporated Ventura</v>
          </cell>
          <cell r="B218">
            <v>277315.98694875103</v>
          </cell>
        </row>
      </sheetData>
      <sheetData sheetId="6">
        <row r="6">
          <cell r="C6" t="str">
            <v>FRESNO County</v>
          </cell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</row>
        <row r="7">
          <cell r="C7" t="str">
            <v>Unincorporated Fresno</v>
          </cell>
          <cell r="D7"/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C8" t="str">
            <v>Fresno County Total</v>
          </cell>
          <cell r="D8"/>
          <cell r="E8"/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</row>
        <row r="9">
          <cell r="C9" t="str">
            <v>IMPERIAL County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</row>
        <row r="10">
          <cell r="C10" t="str">
            <v>Unincorporated Imperial</v>
          </cell>
          <cell r="D10"/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</row>
        <row r="11">
          <cell r="C11" t="str">
            <v>Imperial County Total</v>
          </cell>
          <cell r="D11"/>
          <cell r="E11"/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C12" t="str">
            <v>INYO County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</row>
        <row r="13">
          <cell r="C13" t="str">
            <v>Bishop</v>
          </cell>
          <cell r="D13"/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C14" t="str">
            <v>Unincorporated Inyo</v>
          </cell>
          <cell r="D14"/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</row>
        <row r="15">
          <cell r="C15" t="str">
            <v>Inyo County Total</v>
          </cell>
          <cell r="D15"/>
          <cell r="E15"/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</row>
        <row r="16">
          <cell r="C16" t="str">
            <v>KERN County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</row>
        <row r="17">
          <cell r="C17" t="str">
            <v>California City</v>
          </cell>
          <cell r="D17"/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</row>
        <row r="18">
          <cell r="C18" t="str">
            <v>Delano</v>
          </cell>
          <cell r="D18"/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2126.96</v>
          </cell>
          <cell r="Y18">
            <v>0</v>
          </cell>
          <cell r="Z18">
            <v>1548.88</v>
          </cell>
          <cell r="AA18">
            <v>0</v>
          </cell>
          <cell r="AB18">
            <v>1264141.97</v>
          </cell>
          <cell r="AC18">
            <v>1267817.81</v>
          </cell>
          <cell r="AD18">
            <v>91609.559999999983</v>
          </cell>
          <cell r="AE18">
            <v>0</v>
          </cell>
          <cell r="AF18">
            <v>0</v>
          </cell>
          <cell r="AG18">
            <v>0</v>
          </cell>
        </row>
        <row r="19">
          <cell r="C19" t="str">
            <v>Mc Farland</v>
          </cell>
          <cell r="D19"/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C20" t="str">
            <v>Ridgecrest</v>
          </cell>
          <cell r="D20"/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</row>
        <row r="21">
          <cell r="C21" t="str">
            <v>Tehachapi</v>
          </cell>
          <cell r="D21"/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C22" t="str">
            <v>Unincorporated Kern</v>
          </cell>
          <cell r="D22"/>
          <cell r="E22">
            <v>0</v>
          </cell>
          <cell r="F22">
            <v>101093.23999999999</v>
          </cell>
          <cell r="G22">
            <v>0</v>
          </cell>
          <cell r="H22">
            <v>46416.810000000005</v>
          </cell>
          <cell r="I22">
            <v>0</v>
          </cell>
          <cell r="J22">
            <v>149308.58000000002</v>
          </cell>
          <cell r="K22">
            <v>1523324</v>
          </cell>
          <cell r="L22">
            <v>1134570.4000000029</v>
          </cell>
          <cell r="M22">
            <v>1523324</v>
          </cell>
          <cell r="N22">
            <v>-154372.66999999998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C23" t="str">
            <v>Kern County Total</v>
          </cell>
          <cell r="D23"/>
          <cell r="E23"/>
          <cell r="F23">
            <v>101093.23999999999</v>
          </cell>
          <cell r="G23">
            <v>0</v>
          </cell>
          <cell r="H23">
            <v>46416.810000000005</v>
          </cell>
          <cell r="I23">
            <v>0</v>
          </cell>
          <cell r="J23">
            <v>149308.58000000002</v>
          </cell>
          <cell r="K23">
            <v>1523324</v>
          </cell>
          <cell r="L23">
            <v>1134570.4000000029</v>
          </cell>
          <cell r="M23">
            <v>1523324</v>
          </cell>
          <cell r="N23">
            <v>-154372.66999999998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2126.96</v>
          </cell>
          <cell r="Y23">
            <v>0</v>
          </cell>
          <cell r="Z23">
            <v>1548.88</v>
          </cell>
          <cell r="AA23">
            <v>0</v>
          </cell>
          <cell r="AB23">
            <v>1264141.97</v>
          </cell>
          <cell r="AC23">
            <v>1267817.81</v>
          </cell>
          <cell r="AD23">
            <v>91609.559999999983</v>
          </cell>
          <cell r="AE23">
            <v>0</v>
          </cell>
          <cell r="AF23">
            <v>0</v>
          </cell>
          <cell r="AG23">
            <v>0</v>
          </cell>
        </row>
        <row r="24">
          <cell r="C24" t="str">
            <v>KINGS County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</row>
        <row r="25">
          <cell r="C25" t="str">
            <v>Hanford</v>
          </cell>
          <cell r="D25"/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C26" t="str">
            <v>Unincorporated Kings</v>
          </cell>
          <cell r="D26"/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C27" t="str">
            <v>Kings County Total</v>
          </cell>
          <cell r="D27"/>
          <cell r="E27"/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C28" t="str">
            <v>LOS ANGELES County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</row>
        <row r="29">
          <cell r="C29" t="str">
            <v>Agoura Hills</v>
          </cell>
          <cell r="D29"/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C30" t="str">
            <v>Alhambra</v>
          </cell>
          <cell r="D30"/>
          <cell r="E30">
            <v>398583.47</v>
          </cell>
          <cell r="F30">
            <v>24219.67</v>
          </cell>
          <cell r="G30">
            <v>0</v>
          </cell>
          <cell r="H30">
            <v>0</v>
          </cell>
          <cell r="I30">
            <v>0</v>
          </cell>
          <cell r="J30">
            <v>642949</v>
          </cell>
          <cell r="K30">
            <v>5187831</v>
          </cell>
          <cell r="L30">
            <v>138105.39000000016</v>
          </cell>
          <cell r="M30">
            <v>1369528</v>
          </cell>
          <cell r="N30">
            <v>22236.59</v>
          </cell>
          <cell r="O30">
            <v>0</v>
          </cell>
          <cell r="P30">
            <v>293301.42000000016</v>
          </cell>
          <cell r="Q30">
            <v>0</v>
          </cell>
          <cell r="R30">
            <v>3845.9499999999985</v>
          </cell>
          <cell r="S30">
            <v>0</v>
          </cell>
          <cell r="T30">
            <v>-97358.620000000039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C31" t="str">
            <v>Arcadia</v>
          </cell>
          <cell r="D31"/>
          <cell r="E31">
            <v>0</v>
          </cell>
          <cell r="F31">
            <v>459662.5</v>
          </cell>
          <cell r="G31">
            <v>0</v>
          </cell>
          <cell r="H31">
            <v>4108954.6</v>
          </cell>
          <cell r="I31">
            <v>0</v>
          </cell>
          <cell r="J31">
            <v>419971</v>
          </cell>
          <cell r="K31">
            <v>0</v>
          </cell>
          <cell r="L31">
            <v>4199.1200000000008</v>
          </cell>
          <cell r="M31">
            <v>0</v>
          </cell>
          <cell r="N31">
            <v>0</v>
          </cell>
          <cell r="O31">
            <v>0</v>
          </cell>
          <cell r="P31">
            <v>32.639999999999993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C32" t="str">
            <v>Artesia</v>
          </cell>
          <cell r="D32"/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C33" t="str">
            <v>Avalon</v>
          </cell>
          <cell r="D33"/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C34" t="str">
            <v>Azusa</v>
          </cell>
          <cell r="D34"/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C35" t="str">
            <v>Baldwin Park</v>
          </cell>
          <cell r="D35"/>
          <cell r="E35">
            <v>0</v>
          </cell>
          <cell r="F35">
            <v>573443.19999999995</v>
          </cell>
          <cell r="G35">
            <v>0</v>
          </cell>
          <cell r="H35">
            <v>10781.849999999999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32068.76</v>
          </cell>
          <cell r="AA35">
            <v>0</v>
          </cell>
          <cell r="AB35">
            <v>8251.9</v>
          </cell>
          <cell r="AC35">
            <v>0</v>
          </cell>
          <cell r="AD35">
            <v>1972.0699999999997</v>
          </cell>
          <cell r="AE35">
            <v>0</v>
          </cell>
          <cell r="AF35">
            <v>13372.16</v>
          </cell>
          <cell r="AG35">
            <v>0</v>
          </cell>
        </row>
        <row r="36">
          <cell r="C36" t="str">
            <v>Bell</v>
          </cell>
          <cell r="D36"/>
          <cell r="E36">
            <v>0</v>
          </cell>
          <cell r="F36">
            <v>1308002.9800000002</v>
          </cell>
          <cell r="G36">
            <v>0</v>
          </cell>
          <cell r="H36">
            <v>546557.57999999996</v>
          </cell>
          <cell r="I36">
            <v>0</v>
          </cell>
          <cell r="J36">
            <v>174663</v>
          </cell>
          <cell r="K36">
            <v>1877845</v>
          </cell>
          <cell r="L36">
            <v>15709.220000000001</v>
          </cell>
          <cell r="M36">
            <v>0</v>
          </cell>
          <cell r="N36">
            <v>567898.66</v>
          </cell>
          <cell r="O36">
            <v>0</v>
          </cell>
          <cell r="P36">
            <v>585408.08000000007</v>
          </cell>
          <cell r="Q36">
            <v>1701176</v>
          </cell>
          <cell r="R36">
            <v>116572.29000000001</v>
          </cell>
          <cell r="S36">
            <v>0</v>
          </cell>
          <cell r="T36">
            <v>34.68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C37" t="str">
            <v>Bell Gardens</v>
          </cell>
          <cell r="D37"/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43731.019999999968</v>
          </cell>
          <cell r="Q37">
            <v>0</v>
          </cell>
          <cell r="R37">
            <v>55154.699999999968</v>
          </cell>
          <cell r="S37">
            <v>0</v>
          </cell>
          <cell r="T37">
            <v>41162.649999999936</v>
          </cell>
          <cell r="U37">
            <v>0</v>
          </cell>
          <cell r="V37">
            <v>16540.590000000015</v>
          </cell>
          <cell r="W37">
            <v>0</v>
          </cell>
          <cell r="X37">
            <v>11455.85</v>
          </cell>
          <cell r="Y37">
            <v>0</v>
          </cell>
          <cell r="Z37">
            <v>8694.0499999999993</v>
          </cell>
          <cell r="AA37">
            <v>0</v>
          </cell>
          <cell r="AB37">
            <v>8145.3200000000043</v>
          </cell>
          <cell r="AC37">
            <v>0</v>
          </cell>
          <cell r="AD37">
            <v>1486589.52</v>
          </cell>
          <cell r="AE37">
            <v>0</v>
          </cell>
          <cell r="AF37">
            <v>534225.27</v>
          </cell>
          <cell r="AG37">
            <v>2071075.5</v>
          </cell>
        </row>
        <row r="38">
          <cell r="C38" t="str">
            <v>Bellflower</v>
          </cell>
          <cell r="D38"/>
          <cell r="E38">
            <v>0</v>
          </cell>
          <cell r="F38">
            <v>0</v>
          </cell>
          <cell r="G38">
            <v>0</v>
          </cell>
          <cell r="H38">
            <v>1356.37</v>
          </cell>
          <cell r="I38">
            <v>0</v>
          </cell>
          <cell r="J38">
            <v>360883</v>
          </cell>
          <cell r="K38">
            <v>0</v>
          </cell>
          <cell r="L38">
            <v>158904.06</v>
          </cell>
          <cell r="M38">
            <v>0</v>
          </cell>
          <cell r="N38">
            <v>37493.22</v>
          </cell>
          <cell r="O38">
            <v>0</v>
          </cell>
          <cell r="P38">
            <v>47110.79</v>
          </cell>
          <cell r="Q38">
            <v>0</v>
          </cell>
          <cell r="R38">
            <v>82575.5</v>
          </cell>
          <cell r="S38">
            <v>0</v>
          </cell>
          <cell r="T38">
            <v>81427.859999999957</v>
          </cell>
          <cell r="U38">
            <v>0</v>
          </cell>
          <cell r="V38">
            <v>581798.36000000103</v>
          </cell>
          <cell r="W38">
            <v>0</v>
          </cell>
          <cell r="X38">
            <v>2041321.1200000003</v>
          </cell>
          <cell r="Y38">
            <v>0</v>
          </cell>
          <cell r="Z38">
            <v>54554.03</v>
          </cell>
          <cell r="AA38">
            <v>3511691.9199999636</v>
          </cell>
          <cell r="AB38">
            <v>16453.849999999991</v>
          </cell>
          <cell r="AC38">
            <v>0</v>
          </cell>
          <cell r="AD38">
            <v>8146.54</v>
          </cell>
          <cell r="AE38">
            <v>0</v>
          </cell>
          <cell r="AF38">
            <v>0</v>
          </cell>
          <cell r="AG38">
            <v>0</v>
          </cell>
        </row>
        <row r="39">
          <cell r="C39" t="str">
            <v>Beverly Hills</v>
          </cell>
          <cell r="D39"/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73475.19</v>
          </cell>
          <cell r="O39">
            <v>0</v>
          </cell>
          <cell r="P39">
            <v>30240.15999999996</v>
          </cell>
          <cell r="Q39">
            <v>0</v>
          </cell>
          <cell r="R39">
            <v>72476.239999999918</v>
          </cell>
          <cell r="S39">
            <v>0</v>
          </cell>
          <cell r="T39">
            <v>62604.279999999992</v>
          </cell>
          <cell r="U39">
            <v>0</v>
          </cell>
          <cell r="V39">
            <v>1620376.6000000008</v>
          </cell>
          <cell r="W39">
            <v>0</v>
          </cell>
          <cell r="X39">
            <v>836095.75</v>
          </cell>
          <cell r="Y39">
            <v>2695268.22</v>
          </cell>
          <cell r="Z39">
            <v>113.95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C40" t="str">
            <v>Bradbury</v>
          </cell>
          <cell r="D40"/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C41" t="str">
            <v>Calabasas</v>
          </cell>
          <cell r="D41"/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C42" t="str">
            <v>Carson</v>
          </cell>
          <cell r="D42"/>
          <cell r="E42">
            <v>0</v>
          </cell>
          <cell r="F42">
            <v>40658.67</v>
          </cell>
          <cell r="G42">
            <v>0</v>
          </cell>
          <cell r="H42">
            <v>69586.549999999988</v>
          </cell>
          <cell r="I42">
            <v>0</v>
          </cell>
          <cell r="J42">
            <v>38048</v>
          </cell>
          <cell r="K42">
            <v>0</v>
          </cell>
          <cell r="L42">
            <v>61393.07</v>
          </cell>
          <cell r="M42">
            <v>0</v>
          </cell>
          <cell r="N42">
            <v>384469.1100000001</v>
          </cell>
          <cell r="O42">
            <v>0</v>
          </cell>
          <cell r="P42">
            <v>3274536.6600000029</v>
          </cell>
          <cell r="Q42">
            <v>1075643</v>
          </cell>
          <cell r="R42">
            <v>1140237.8499999999</v>
          </cell>
          <cell r="S42">
            <v>3877519</v>
          </cell>
          <cell r="T42">
            <v>2683711.5999999978</v>
          </cell>
          <cell r="U42">
            <v>3561518</v>
          </cell>
          <cell r="V42">
            <v>296591.18999999994</v>
          </cell>
          <cell r="W42">
            <v>0</v>
          </cell>
          <cell r="X42">
            <v>125395.68000000001</v>
          </cell>
          <cell r="Y42">
            <v>0</v>
          </cell>
          <cell r="Z42">
            <v>-204836.46000000011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C43" t="str">
            <v>Cerritos</v>
          </cell>
          <cell r="D43"/>
          <cell r="E43">
            <v>0</v>
          </cell>
          <cell r="F43">
            <v>0</v>
          </cell>
          <cell r="G43">
            <v>0</v>
          </cell>
          <cell r="H43">
            <v>3575.55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45103.789999999986</v>
          </cell>
          <cell r="W43">
            <v>0</v>
          </cell>
          <cell r="X43">
            <v>8083.43</v>
          </cell>
          <cell r="Y43">
            <v>0</v>
          </cell>
          <cell r="Z43">
            <v>4546.93</v>
          </cell>
          <cell r="AA43">
            <v>0</v>
          </cell>
          <cell r="AB43">
            <v>55259.680000000015</v>
          </cell>
          <cell r="AC43">
            <v>0</v>
          </cell>
          <cell r="AD43">
            <v>56838.260000000009</v>
          </cell>
          <cell r="AE43">
            <v>0</v>
          </cell>
          <cell r="AF43">
            <v>10870.02</v>
          </cell>
          <cell r="AG43">
            <v>0</v>
          </cell>
        </row>
        <row r="44">
          <cell r="C44" t="str">
            <v>Claremont</v>
          </cell>
          <cell r="D44"/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C45" t="str">
            <v>Commerce</v>
          </cell>
          <cell r="D45"/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C46" t="str">
            <v>Compton</v>
          </cell>
          <cell r="D46"/>
          <cell r="E46">
            <v>0</v>
          </cell>
          <cell r="F46">
            <v>584540.27</v>
          </cell>
          <cell r="G46">
            <v>0</v>
          </cell>
          <cell r="H46">
            <v>2891786.99</v>
          </cell>
          <cell r="I46">
            <v>5660935</v>
          </cell>
          <cell r="J46">
            <v>-42056</v>
          </cell>
          <cell r="K46">
            <v>0</v>
          </cell>
          <cell r="L46">
            <v>0</v>
          </cell>
          <cell r="M46">
            <v>0</v>
          </cell>
          <cell r="N46">
            <v>10317.86</v>
          </cell>
          <cell r="O46">
            <v>0</v>
          </cell>
          <cell r="P46">
            <v>47.350000000000009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C47" t="str">
            <v>Covina</v>
          </cell>
          <cell r="D47"/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C48" t="str">
            <v>Cudahy</v>
          </cell>
          <cell r="D48"/>
          <cell r="E48">
            <v>0</v>
          </cell>
          <cell r="F48">
            <v>53288.91</v>
          </cell>
          <cell r="G48">
            <v>0</v>
          </cell>
          <cell r="H48">
            <v>12423.39</v>
          </cell>
          <cell r="I48">
            <v>0</v>
          </cell>
          <cell r="J48">
            <v>4008.4800000000068</v>
          </cell>
          <cell r="K48">
            <v>0</v>
          </cell>
          <cell r="L48">
            <v>3582.94</v>
          </cell>
          <cell r="M48">
            <v>0</v>
          </cell>
          <cell r="N48">
            <v>1672.19</v>
          </cell>
          <cell r="O48">
            <v>0</v>
          </cell>
          <cell r="P48">
            <v>10676.920000000013</v>
          </cell>
          <cell r="Q48">
            <v>0</v>
          </cell>
          <cell r="R48">
            <v>26180.019999999997</v>
          </cell>
          <cell r="S48">
            <v>0</v>
          </cell>
          <cell r="T48">
            <v>12768.46000000001</v>
          </cell>
          <cell r="U48">
            <v>0</v>
          </cell>
          <cell r="V48">
            <v>12782.759999999998</v>
          </cell>
          <cell r="W48">
            <v>0</v>
          </cell>
          <cell r="X48">
            <v>2074.4700000000003</v>
          </cell>
          <cell r="Y48">
            <v>0</v>
          </cell>
          <cell r="Z48">
            <v>2626.06</v>
          </cell>
          <cell r="AA48">
            <v>0</v>
          </cell>
          <cell r="AB48">
            <v>1969.95</v>
          </cell>
          <cell r="AC48">
            <v>0</v>
          </cell>
          <cell r="AD48">
            <v>1680.8400000000001</v>
          </cell>
          <cell r="AE48">
            <v>0</v>
          </cell>
          <cell r="AF48">
            <v>1942.67</v>
          </cell>
          <cell r="AG48">
            <v>0</v>
          </cell>
        </row>
        <row r="49">
          <cell r="C49" t="str">
            <v>Culver City</v>
          </cell>
          <cell r="D49"/>
          <cell r="E49">
            <v>0</v>
          </cell>
          <cell r="F49">
            <v>0</v>
          </cell>
          <cell r="G49">
            <v>0</v>
          </cell>
          <cell r="H49">
            <v>34885.440000000002</v>
          </cell>
          <cell r="I49">
            <v>0</v>
          </cell>
          <cell r="J49">
            <v>229111.25</v>
          </cell>
          <cell r="K49">
            <v>0</v>
          </cell>
          <cell r="L49">
            <v>1480235.68</v>
          </cell>
          <cell r="M49">
            <v>0</v>
          </cell>
          <cell r="N49">
            <v>177184.25</v>
          </cell>
          <cell r="O49">
            <v>1920221</v>
          </cell>
          <cell r="P49">
            <v>2656.7500000000005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73337.549999999988</v>
          </cell>
          <cell r="AC49">
            <v>0</v>
          </cell>
          <cell r="AD49">
            <v>8281.9600000000009</v>
          </cell>
          <cell r="AE49">
            <v>0</v>
          </cell>
          <cell r="AF49">
            <v>31770.019999999997</v>
          </cell>
          <cell r="AG49">
            <v>0</v>
          </cell>
        </row>
        <row r="50">
          <cell r="C50" t="str">
            <v>Diamond Bar</v>
          </cell>
          <cell r="D50"/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C51" t="str">
            <v>Downey</v>
          </cell>
          <cell r="D51"/>
          <cell r="E51">
            <v>0</v>
          </cell>
          <cell r="F51">
            <v>27160.58</v>
          </cell>
          <cell r="G51">
            <v>0</v>
          </cell>
          <cell r="H51">
            <v>602160.38000000012</v>
          </cell>
          <cell r="I51">
            <v>685314.73</v>
          </cell>
          <cell r="J51">
            <v>216906.98999999996</v>
          </cell>
          <cell r="K51">
            <v>0</v>
          </cell>
          <cell r="L51">
            <v>577298.74000000011</v>
          </cell>
          <cell r="M51">
            <v>0</v>
          </cell>
          <cell r="N51">
            <v>1599876.4600000002</v>
          </cell>
          <cell r="O51">
            <v>0</v>
          </cell>
          <cell r="P51">
            <v>937408.17999999912</v>
          </cell>
          <cell r="Q51">
            <v>1493888</v>
          </cell>
          <cell r="R51">
            <v>-13376.550000000001</v>
          </cell>
          <cell r="S51">
            <v>0</v>
          </cell>
          <cell r="T51">
            <v>-235.44999999999993</v>
          </cell>
          <cell r="U51">
            <v>0</v>
          </cell>
          <cell r="V51">
            <v>-656.78000000000111</v>
          </cell>
          <cell r="W51">
            <v>0</v>
          </cell>
          <cell r="X51">
            <v>804.05</v>
          </cell>
          <cell r="Y51">
            <v>0</v>
          </cell>
          <cell r="Z51">
            <v>1422.67</v>
          </cell>
          <cell r="AA51">
            <v>0</v>
          </cell>
          <cell r="AB51">
            <v>763.54</v>
          </cell>
          <cell r="AC51">
            <v>0</v>
          </cell>
          <cell r="AD51">
            <v>2080.7199999999998</v>
          </cell>
          <cell r="AE51">
            <v>0</v>
          </cell>
          <cell r="AF51">
            <v>0</v>
          </cell>
          <cell r="AG51">
            <v>0</v>
          </cell>
        </row>
        <row r="52">
          <cell r="C52" t="str">
            <v>Duarte</v>
          </cell>
          <cell r="D52"/>
          <cell r="E52">
            <v>0</v>
          </cell>
          <cell r="F52">
            <v>4205.43</v>
          </cell>
          <cell r="G52">
            <v>0</v>
          </cell>
          <cell r="H52">
            <v>14906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C53" t="str">
            <v>El Monte</v>
          </cell>
          <cell r="D53"/>
          <cell r="E53">
            <v>0</v>
          </cell>
          <cell r="F53">
            <v>-208594.97000000003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</row>
        <row r="54">
          <cell r="C54" t="str">
            <v>El Segundo</v>
          </cell>
          <cell r="D54"/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</row>
        <row r="55">
          <cell r="C55" t="str">
            <v>Gardena</v>
          </cell>
          <cell r="D55"/>
          <cell r="E55">
            <v>0</v>
          </cell>
          <cell r="F55">
            <v>132499.51</v>
          </cell>
          <cell r="G55">
            <v>0</v>
          </cell>
          <cell r="H55">
            <v>588999.99</v>
          </cell>
          <cell r="I55">
            <v>0</v>
          </cell>
          <cell r="J55">
            <v>-194176.23</v>
          </cell>
          <cell r="K55">
            <v>0</v>
          </cell>
          <cell r="L55">
            <v>-352315.8</v>
          </cell>
          <cell r="M55">
            <v>0</v>
          </cell>
          <cell r="N55">
            <v>-158744.76000000004</v>
          </cell>
          <cell r="O55">
            <v>0</v>
          </cell>
          <cell r="P55">
            <v>72207.489999999918</v>
          </cell>
          <cell r="Q55">
            <v>0</v>
          </cell>
          <cell r="R55">
            <v>188992.07999999987</v>
          </cell>
          <cell r="S55">
            <v>0</v>
          </cell>
          <cell r="T55">
            <v>6964406.8599999994</v>
          </cell>
          <cell r="U55">
            <v>0</v>
          </cell>
          <cell r="V55">
            <v>1681914.530000001</v>
          </cell>
          <cell r="W55">
            <v>9025315</v>
          </cell>
          <cell r="X55">
            <v>-478879.26999999996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</row>
        <row r="56">
          <cell r="C56" t="str">
            <v>Glendale</v>
          </cell>
          <cell r="D56"/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C57" t="str">
            <v>Glendora</v>
          </cell>
          <cell r="D57"/>
          <cell r="E57">
            <v>0</v>
          </cell>
          <cell r="F57">
            <v>87285.28</v>
          </cell>
          <cell r="G57">
            <v>3392541</v>
          </cell>
          <cell r="H57">
            <v>53173.64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42624.74</v>
          </cell>
          <cell r="Y57">
            <v>0</v>
          </cell>
          <cell r="Z57">
            <v>56146.78</v>
          </cell>
          <cell r="AA57">
            <v>0</v>
          </cell>
          <cell r="AB57">
            <v>9638.6299999999992</v>
          </cell>
          <cell r="AC57">
            <v>0</v>
          </cell>
          <cell r="AD57">
            <v>45660.14</v>
          </cell>
          <cell r="AE57">
            <v>0</v>
          </cell>
          <cell r="AF57">
            <v>1012336.69</v>
          </cell>
          <cell r="AG57">
            <v>1166406.98</v>
          </cell>
        </row>
        <row r="58">
          <cell r="C58" t="str">
            <v>Hawaiian Gardens</v>
          </cell>
          <cell r="D58"/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</row>
        <row r="59">
          <cell r="C59" t="str">
            <v>Hawthorne</v>
          </cell>
          <cell r="D59"/>
          <cell r="E59">
            <v>0</v>
          </cell>
          <cell r="F59">
            <v>432751.13</v>
          </cell>
          <cell r="G59">
            <v>1420483</v>
          </cell>
          <cell r="H59">
            <v>189679.74999999997</v>
          </cell>
          <cell r="I59">
            <v>0</v>
          </cell>
          <cell r="J59">
            <v>549586.9</v>
          </cell>
          <cell r="K59">
            <v>0</v>
          </cell>
          <cell r="L59">
            <v>3327879.0800000005</v>
          </cell>
          <cell r="M59">
            <v>0</v>
          </cell>
          <cell r="N59">
            <v>1061487.5</v>
          </cell>
          <cell r="O59">
            <v>4927524</v>
          </cell>
          <cell r="P59">
            <v>-100323.37999999999</v>
          </cell>
          <cell r="Q59">
            <v>0</v>
          </cell>
          <cell r="R59">
            <v>-29545.51999999999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C60" t="str">
            <v>Hermosa Beach</v>
          </cell>
          <cell r="D60"/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C61" t="str">
            <v>Hidden Hills</v>
          </cell>
          <cell r="D61"/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</row>
        <row r="62">
          <cell r="C62" t="str">
            <v>Huntington Park</v>
          </cell>
          <cell r="D62"/>
          <cell r="E62">
            <v>0</v>
          </cell>
          <cell r="F62">
            <v>39596.07</v>
          </cell>
          <cell r="G62">
            <v>0</v>
          </cell>
          <cell r="H62">
            <v>38683.4</v>
          </cell>
          <cell r="I62">
            <v>0</v>
          </cell>
          <cell r="J62">
            <v>13767.51999999999</v>
          </cell>
          <cell r="K62">
            <v>0</v>
          </cell>
          <cell r="L62">
            <v>32722.46</v>
          </cell>
          <cell r="M62">
            <v>0</v>
          </cell>
          <cell r="N62">
            <v>109819.97</v>
          </cell>
          <cell r="O62">
            <v>0</v>
          </cell>
          <cell r="P62">
            <v>438647.8299999999</v>
          </cell>
          <cell r="Q62">
            <v>0</v>
          </cell>
          <cell r="R62">
            <v>322582.18000000005</v>
          </cell>
          <cell r="S62">
            <v>993591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0.1</v>
          </cell>
          <cell r="AA62">
            <v>0</v>
          </cell>
          <cell r="AB62">
            <v>0</v>
          </cell>
          <cell r="AC62">
            <v>0</v>
          </cell>
          <cell r="AD62">
            <v>41307.56</v>
          </cell>
          <cell r="AE62">
            <v>0</v>
          </cell>
          <cell r="AF62">
            <v>0</v>
          </cell>
          <cell r="AG62">
            <v>0</v>
          </cell>
        </row>
        <row r="63">
          <cell r="C63" t="str">
            <v>Industry</v>
          </cell>
          <cell r="D63"/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C64" t="str">
            <v>Inglewood</v>
          </cell>
          <cell r="D64"/>
          <cell r="E64">
            <v>0</v>
          </cell>
          <cell r="F64">
            <v>1895556.96</v>
          </cell>
          <cell r="G64">
            <v>0</v>
          </cell>
          <cell r="H64">
            <v>570285.17999999993</v>
          </cell>
          <cell r="I64">
            <v>6548605</v>
          </cell>
          <cell r="J64">
            <v>-511.54000000003725</v>
          </cell>
          <cell r="K64">
            <v>0</v>
          </cell>
          <cell r="L64">
            <v>9115.5499999999993</v>
          </cell>
          <cell r="M64">
            <v>0</v>
          </cell>
          <cell r="N64">
            <v>9208.32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C65" t="str">
            <v>Irwindale</v>
          </cell>
          <cell r="D65"/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C66" t="str">
            <v>La Canada-Flintridge</v>
          </cell>
          <cell r="D66"/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C67" t="str">
            <v>La Habra Heights</v>
          </cell>
          <cell r="D67"/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47016.09</v>
          </cell>
          <cell r="K67">
            <v>0</v>
          </cell>
          <cell r="L67">
            <v>31721.739999999998</v>
          </cell>
          <cell r="M67">
            <v>0</v>
          </cell>
          <cell r="N67">
            <v>2455.25</v>
          </cell>
          <cell r="O67">
            <v>0</v>
          </cell>
          <cell r="P67">
            <v>535332.23999999976</v>
          </cell>
          <cell r="Q67">
            <v>636723</v>
          </cell>
          <cell r="R67">
            <v>11611.100000000002</v>
          </cell>
          <cell r="S67">
            <v>0</v>
          </cell>
          <cell r="T67">
            <v>-323.82999999999981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C68" t="str">
            <v>La Mirada</v>
          </cell>
          <cell r="D68"/>
          <cell r="E68">
            <v>0</v>
          </cell>
          <cell r="F68">
            <v>35120.92</v>
          </cell>
          <cell r="G68">
            <v>0</v>
          </cell>
          <cell r="H68">
            <v>319.85000000000002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C69" t="str">
            <v>La Puente</v>
          </cell>
          <cell r="D69"/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13074.619999999999</v>
          </cell>
          <cell r="Y69">
            <v>0</v>
          </cell>
          <cell r="Z69">
            <v>24905.470000000005</v>
          </cell>
          <cell r="AA69">
            <v>0</v>
          </cell>
          <cell r="AB69">
            <v>11526.47</v>
          </cell>
          <cell r="AC69">
            <v>0</v>
          </cell>
          <cell r="AD69">
            <v>1155693.3600000001</v>
          </cell>
          <cell r="AE69">
            <v>0</v>
          </cell>
          <cell r="AF69">
            <v>555171.8899999999</v>
          </cell>
          <cell r="AG69">
            <v>1760371.81</v>
          </cell>
        </row>
        <row r="70">
          <cell r="C70" t="str">
            <v>La Verne</v>
          </cell>
          <cell r="D70"/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151653.44</v>
          </cell>
          <cell r="AA70">
            <v>0</v>
          </cell>
          <cell r="AB70">
            <v>31002.010000000002</v>
          </cell>
          <cell r="AC70">
            <v>0</v>
          </cell>
          <cell r="AD70">
            <v>19588.079999999998</v>
          </cell>
          <cell r="AE70">
            <v>0</v>
          </cell>
          <cell r="AF70">
            <v>8451.9699999999993</v>
          </cell>
          <cell r="AG70">
            <v>0</v>
          </cell>
        </row>
        <row r="71">
          <cell r="C71" t="str">
            <v>Lakewood</v>
          </cell>
          <cell r="D71"/>
          <cell r="E71">
            <v>3549013</v>
          </cell>
          <cell r="F71">
            <v>49783.92</v>
          </cell>
          <cell r="G71">
            <v>0</v>
          </cell>
          <cell r="H71">
            <v>92287.24</v>
          </cell>
          <cell r="I71">
            <v>0</v>
          </cell>
          <cell r="J71">
            <v>681409.80999999994</v>
          </cell>
          <cell r="K71">
            <v>0</v>
          </cell>
          <cell r="L71">
            <v>628847.91</v>
          </cell>
          <cell r="M71">
            <v>0</v>
          </cell>
          <cell r="N71">
            <v>667765.30000000005</v>
          </cell>
          <cell r="O71">
            <v>0</v>
          </cell>
          <cell r="P71">
            <v>250581.84000000003</v>
          </cell>
          <cell r="Q71">
            <v>0</v>
          </cell>
          <cell r="R71">
            <v>-24361.569999999996</v>
          </cell>
          <cell r="S71">
            <v>0</v>
          </cell>
          <cell r="T71">
            <v>-52460.380000000012</v>
          </cell>
          <cell r="U71">
            <v>2576332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C72" t="str">
            <v>Lancaster</v>
          </cell>
          <cell r="D72"/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110217.5</v>
          </cell>
          <cell r="M72">
            <v>0</v>
          </cell>
          <cell r="N72">
            <v>44049.74</v>
          </cell>
          <cell r="O72">
            <v>0</v>
          </cell>
          <cell r="P72">
            <v>75328.460000000006</v>
          </cell>
          <cell r="Q72">
            <v>0</v>
          </cell>
          <cell r="R72">
            <v>1464647.2100000042</v>
          </cell>
          <cell r="S72">
            <v>1698447</v>
          </cell>
          <cell r="T72">
            <v>17382.57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C73" t="str">
            <v>Lawndale</v>
          </cell>
          <cell r="D73"/>
          <cell r="E73">
            <v>5129512.88</v>
          </cell>
          <cell r="F73">
            <v>104715.6</v>
          </cell>
          <cell r="G73">
            <v>0</v>
          </cell>
          <cell r="H73">
            <v>46390.539999999994</v>
          </cell>
          <cell r="I73">
            <v>0</v>
          </cell>
          <cell r="J73">
            <v>-11951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C74" t="str">
            <v>Lomita</v>
          </cell>
          <cell r="D74"/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C75" t="str">
            <v>Long Beach</v>
          </cell>
          <cell r="D75"/>
          <cell r="E75">
            <v>0</v>
          </cell>
          <cell r="F75">
            <v>830834.3600000001</v>
          </cell>
          <cell r="G75">
            <v>0</v>
          </cell>
          <cell r="H75">
            <v>875082.21999999986</v>
          </cell>
          <cell r="I75">
            <v>0</v>
          </cell>
          <cell r="J75">
            <v>56333.850000000006</v>
          </cell>
          <cell r="K75">
            <v>12786024</v>
          </cell>
          <cell r="L75">
            <v>40161.079999999987</v>
          </cell>
          <cell r="M75">
            <v>0</v>
          </cell>
          <cell r="N75">
            <v>48360.009999999995</v>
          </cell>
          <cell r="O75">
            <v>0</v>
          </cell>
          <cell r="P75">
            <v>18906.799999999959</v>
          </cell>
          <cell r="Q75">
            <v>0</v>
          </cell>
          <cell r="R75">
            <v>168940.85000000027</v>
          </cell>
          <cell r="S75">
            <v>0</v>
          </cell>
          <cell r="T75">
            <v>3156075.0599999968</v>
          </cell>
          <cell r="U75">
            <v>0</v>
          </cell>
          <cell r="V75">
            <v>2846417.5499999966</v>
          </cell>
          <cell r="W75">
            <v>0</v>
          </cell>
          <cell r="X75">
            <v>-462820.05000000005</v>
          </cell>
          <cell r="Y75">
            <v>5221752</v>
          </cell>
          <cell r="Z75">
            <v>5632679.0300000012</v>
          </cell>
          <cell r="AA75">
            <v>0</v>
          </cell>
          <cell r="AB75">
            <v>621320.32999999996</v>
          </cell>
          <cell r="AC75">
            <v>0</v>
          </cell>
          <cell r="AD75">
            <v>568374.9</v>
          </cell>
          <cell r="AE75">
            <v>0</v>
          </cell>
          <cell r="AF75">
            <v>42994.65</v>
          </cell>
          <cell r="AG75">
            <v>0</v>
          </cell>
        </row>
        <row r="76">
          <cell r="C76" t="str">
            <v>Los Angeles, City of</v>
          </cell>
          <cell r="D76"/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</row>
        <row r="77">
          <cell r="C77" t="str">
            <v>Lynwood</v>
          </cell>
          <cell r="D77"/>
          <cell r="E77">
            <v>0</v>
          </cell>
          <cell r="F77">
            <v>24605.53</v>
          </cell>
          <cell r="G77">
            <v>0</v>
          </cell>
          <cell r="H77">
            <v>9370.77</v>
          </cell>
          <cell r="I77">
            <v>0</v>
          </cell>
          <cell r="J77">
            <v>-2923.7599999999925</v>
          </cell>
          <cell r="K77">
            <v>0</v>
          </cell>
          <cell r="L77">
            <v>313109.25999999995</v>
          </cell>
          <cell r="M77">
            <v>0</v>
          </cell>
          <cell r="N77">
            <v>38846.859999999993</v>
          </cell>
          <cell r="O77">
            <v>0</v>
          </cell>
          <cell r="P77">
            <v>115074.57999999984</v>
          </cell>
          <cell r="Q77">
            <v>0</v>
          </cell>
          <cell r="R77">
            <v>1542115.2899999954</v>
          </cell>
          <cell r="S77">
            <v>2290697.27</v>
          </cell>
          <cell r="T77">
            <v>209549.8</v>
          </cell>
          <cell r="U77">
            <v>0</v>
          </cell>
          <cell r="V77">
            <v>3506.9499999999953</v>
          </cell>
          <cell r="W77">
            <v>0</v>
          </cell>
          <cell r="X77">
            <v>48864.02</v>
          </cell>
          <cell r="Y77">
            <v>0</v>
          </cell>
          <cell r="Z77">
            <v>-3978.07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C78" t="str">
            <v>Malibu</v>
          </cell>
          <cell r="D78"/>
          <cell r="E78">
            <v>0</v>
          </cell>
          <cell r="F78">
            <v>-11638</v>
          </cell>
          <cell r="G78">
            <v>0</v>
          </cell>
          <cell r="H78">
            <v>860.78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C79" t="str">
            <v>Manhattan Beach</v>
          </cell>
          <cell r="D79"/>
          <cell r="E79">
            <v>0</v>
          </cell>
          <cell r="F79">
            <v>4650462.92</v>
          </cell>
          <cell r="G79">
            <v>0</v>
          </cell>
          <cell r="H79">
            <v>4334923.91</v>
          </cell>
          <cell r="I79">
            <v>9520594</v>
          </cell>
          <cell r="J79">
            <v>49927.240000000165</v>
          </cell>
          <cell r="K79">
            <v>0</v>
          </cell>
          <cell r="L79">
            <v>8289.0400000000081</v>
          </cell>
          <cell r="M79">
            <v>0</v>
          </cell>
          <cell r="N79">
            <v>315.51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-0.03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</row>
        <row r="80">
          <cell r="C80" t="str">
            <v>Maywood</v>
          </cell>
          <cell r="D80"/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</row>
        <row r="81">
          <cell r="C81" t="str">
            <v>Monrovia</v>
          </cell>
          <cell r="D81"/>
          <cell r="E81">
            <v>0</v>
          </cell>
          <cell r="F81">
            <v>88942.82</v>
          </cell>
          <cell r="G81">
            <v>0</v>
          </cell>
          <cell r="H81">
            <v>70252.98</v>
          </cell>
          <cell r="I81">
            <v>0</v>
          </cell>
          <cell r="J81">
            <v>1484689.46</v>
          </cell>
          <cell r="K81">
            <v>0</v>
          </cell>
          <cell r="L81">
            <v>2021900.29</v>
          </cell>
          <cell r="M81">
            <v>1731971</v>
          </cell>
          <cell r="N81">
            <v>1301682.04</v>
          </cell>
          <cell r="O81">
            <v>0</v>
          </cell>
          <cell r="P81">
            <v>4437.5299999998442</v>
          </cell>
          <cell r="Q81">
            <v>0</v>
          </cell>
          <cell r="R81">
            <v>85848</v>
          </cell>
          <cell r="S81">
            <v>0</v>
          </cell>
          <cell r="T81">
            <v>319497.60999999993</v>
          </cell>
          <cell r="U81">
            <v>0</v>
          </cell>
          <cell r="V81">
            <v>0</v>
          </cell>
          <cell r="W81">
            <v>3734440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</row>
        <row r="82">
          <cell r="C82" t="str">
            <v>Montebello</v>
          </cell>
          <cell r="D82"/>
          <cell r="E82">
            <v>0</v>
          </cell>
          <cell r="F82">
            <v>565244.87</v>
          </cell>
          <cell r="G82">
            <v>776380.49999999988</v>
          </cell>
          <cell r="H82">
            <v>1239237.5899999999</v>
          </cell>
          <cell r="I82">
            <v>1536556</v>
          </cell>
          <cell r="J82">
            <v>10103.439999999979</v>
          </cell>
          <cell r="K82">
            <v>0</v>
          </cell>
          <cell r="L82">
            <v>941.6000000000015</v>
          </cell>
          <cell r="M82">
            <v>0</v>
          </cell>
          <cell r="N82">
            <v>19516.220000000012</v>
          </cell>
          <cell r="O82">
            <v>0</v>
          </cell>
          <cell r="P82">
            <v>47470.610000000008</v>
          </cell>
          <cell r="Q82">
            <v>0</v>
          </cell>
          <cell r="R82">
            <v>20543.219999999998</v>
          </cell>
          <cell r="S82">
            <v>0</v>
          </cell>
          <cell r="T82">
            <v>10679.729999999998</v>
          </cell>
          <cell r="U82">
            <v>0</v>
          </cell>
          <cell r="V82">
            <v>18838.419999999998</v>
          </cell>
          <cell r="W82">
            <v>0</v>
          </cell>
          <cell r="X82">
            <v>10547.84</v>
          </cell>
          <cell r="Y82">
            <v>0</v>
          </cell>
          <cell r="Z82">
            <v>13400.49</v>
          </cell>
          <cell r="AA82">
            <v>0</v>
          </cell>
          <cell r="AB82">
            <v>2300.7600000000002</v>
          </cell>
          <cell r="AC82">
            <v>0</v>
          </cell>
          <cell r="AD82">
            <v>1963.1100000000001</v>
          </cell>
          <cell r="AE82">
            <v>0</v>
          </cell>
          <cell r="AF82">
            <v>2268.91</v>
          </cell>
          <cell r="AG82">
            <v>0</v>
          </cell>
        </row>
        <row r="83">
          <cell r="C83" t="str">
            <v>Monterey Park</v>
          </cell>
          <cell r="D83"/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91930.77</v>
          </cell>
          <cell r="M83">
            <v>0</v>
          </cell>
          <cell r="N83">
            <v>7443.93</v>
          </cell>
          <cell r="O83">
            <v>0</v>
          </cell>
          <cell r="P83">
            <v>15508.950000000003</v>
          </cell>
          <cell r="Q83">
            <v>0</v>
          </cell>
          <cell r="R83">
            <v>6778.6899999999987</v>
          </cell>
          <cell r="S83">
            <v>0</v>
          </cell>
          <cell r="T83">
            <v>7520.4800000000005</v>
          </cell>
          <cell r="U83">
            <v>0</v>
          </cell>
          <cell r="V83">
            <v>11166.28</v>
          </cell>
          <cell r="W83">
            <v>0</v>
          </cell>
          <cell r="X83">
            <v>2212.4700000000003</v>
          </cell>
          <cell r="Y83">
            <v>0</v>
          </cell>
          <cell r="Z83">
            <v>7982.95</v>
          </cell>
          <cell r="AA83">
            <v>0</v>
          </cell>
          <cell r="AB83">
            <v>1370.62</v>
          </cell>
          <cell r="AC83">
            <v>0</v>
          </cell>
          <cell r="AD83">
            <v>1169.47</v>
          </cell>
          <cell r="AE83">
            <v>0</v>
          </cell>
          <cell r="AF83">
            <v>1351.6399999999999</v>
          </cell>
          <cell r="AG83">
            <v>0</v>
          </cell>
        </row>
        <row r="84">
          <cell r="C84" t="str">
            <v>Norwalk</v>
          </cell>
          <cell r="D84"/>
          <cell r="E84">
            <v>0</v>
          </cell>
          <cell r="F84">
            <v>121136.97999999998</v>
          </cell>
          <cell r="G84">
            <v>0</v>
          </cell>
          <cell r="H84">
            <v>192151.95</v>
          </cell>
          <cell r="I84">
            <v>0</v>
          </cell>
          <cell r="J84">
            <v>40528.36</v>
          </cell>
          <cell r="K84">
            <v>0</v>
          </cell>
          <cell r="L84">
            <v>25715.09</v>
          </cell>
          <cell r="M84">
            <v>0</v>
          </cell>
          <cell r="N84">
            <v>283044.16000000003</v>
          </cell>
          <cell r="O84">
            <v>0</v>
          </cell>
          <cell r="P84">
            <v>1272157.1699999997</v>
          </cell>
          <cell r="Q84">
            <v>0</v>
          </cell>
          <cell r="R84">
            <v>230115.8299999999</v>
          </cell>
          <cell r="S84">
            <v>0</v>
          </cell>
          <cell r="T84">
            <v>192390.93999999983</v>
          </cell>
          <cell r="U84">
            <v>0</v>
          </cell>
          <cell r="V84">
            <v>166956.57999999996</v>
          </cell>
          <cell r="W84">
            <v>0</v>
          </cell>
          <cell r="X84">
            <v>197088.63</v>
          </cell>
          <cell r="Y84">
            <v>0</v>
          </cell>
          <cell r="Z84">
            <v>187861.33999999997</v>
          </cell>
          <cell r="AA84">
            <v>0</v>
          </cell>
          <cell r="AB84">
            <v>485653.97999999992</v>
          </cell>
          <cell r="AC84">
            <v>0</v>
          </cell>
          <cell r="AD84">
            <v>1709537.3000000003</v>
          </cell>
          <cell r="AE84">
            <v>0</v>
          </cell>
          <cell r="AF84">
            <v>252774.48000000004</v>
          </cell>
          <cell r="AG84">
            <v>0</v>
          </cell>
        </row>
        <row r="85">
          <cell r="C85" t="str">
            <v>Palmdale</v>
          </cell>
          <cell r="D85"/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C86" t="str">
            <v>Palos Verdes Estates</v>
          </cell>
          <cell r="D86"/>
          <cell r="E86">
            <v>0</v>
          </cell>
          <cell r="F86">
            <v>0</v>
          </cell>
          <cell r="G86">
            <v>0</v>
          </cell>
          <cell r="H86">
            <v>238568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</row>
        <row r="87">
          <cell r="C87" t="str">
            <v>Paramount</v>
          </cell>
          <cell r="D87"/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C88" t="str">
            <v>Pasadena</v>
          </cell>
          <cell r="D88"/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</row>
        <row r="89">
          <cell r="C89" t="str">
            <v>Pico Rivera</v>
          </cell>
          <cell r="D89"/>
          <cell r="E89">
            <v>1285973</v>
          </cell>
          <cell r="F89">
            <v>609339.07999999996</v>
          </cell>
          <cell r="G89">
            <v>0</v>
          </cell>
          <cell r="H89">
            <v>334665.77999999991</v>
          </cell>
          <cell r="I89">
            <v>691755.05</v>
          </cell>
          <cell r="J89">
            <v>3100.5599999999436</v>
          </cell>
          <cell r="K89">
            <v>0</v>
          </cell>
          <cell r="L89">
            <v>86.42999999999995</v>
          </cell>
          <cell r="M89">
            <v>0</v>
          </cell>
          <cell r="N89">
            <v>2773.44</v>
          </cell>
          <cell r="O89">
            <v>0</v>
          </cell>
          <cell r="P89">
            <v>-1.9900000000000002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</row>
        <row r="90">
          <cell r="C90" t="str">
            <v>Pomona</v>
          </cell>
          <cell r="D90"/>
          <cell r="E90">
            <v>0</v>
          </cell>
          <cell r="F90">
            <v>24707.120000000003</v>
          </cell>
          <cell r="G90">
            <v>0</v>
          </cell>
          <cell r="H90">
            <v>4558.5700000000052</v>
          </cell>
          <cell r="I90">
            <v>0</v>
          </cell>
          <cell r="J90">
            <v>10698.849999999991</v>
          </cell>
          <cell r="K90">
            <v>0</v>
          </cell>
          <cell r="L90">
            <v>-312392.24</v>
          </cell>
          <cell r="M90">
            <v>0</v>
          </cell>
          <cell r="N90">
            <v>-11546.759999999998</v>
          </cell>
          <cell r="O90">
            <v>0</v>
          </cell>
          <cell r="P90">
            <v>919341.46</v>
          </cell>
          <cell r="Q90">
            <v>926832</v>
          </cell>
          <cell r="R90">
            <v>-11738.619999999999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</row>
        <row r="91">
          <cell r="C91" t="str">
            <v>Rancho Palos Verdes</v>
          </cell>
          <cell r="D91"/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29162.559999999998</v>
          </cell>
          <cell r="AC91">
            <v>0</v>
          </cell>
          <cell r="AD91">
            <v>15777.49</v>
          </cell>
          <cell r="AE91">
            <v>0</v>
          </cell>
          <cell r="AF91">
            <v>17261.61</v>
          </cell>
          <cell r="AG91">
            <v>0</v>
          </cell>
        </row>
        <row r="92">
          <cell r="C92" t="str">
            <v>Redondo Beach</v>
          </cell>
          <cell r="D92"/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48244.78000000005</v>
          </cell>
          <cell r="W92">
            <v>0</v>
          </cell>
          <cell r="X92">
            <v>4911.3099999999995</v>
          </cell>
          <cell r="Y92">
            <v>0</v>
          </cell>
          <cell r="Z92">
            <v>17103.89</v>
          </cell>
          <cell r="AA92">
            <v>0</v>
          </cell>
          <cell r="AB92">
            <v>6121.6</v>
          </cell>
          <cell r="AC92">
            <v>0</v>
          </cell>
          <cell r="AD92">
            <v>80138.22</v>
          </cell>
          <cell r="AE92">
            <v>0</v>
          </cell>
          <cell r="AF92">
            <v>102822.53</v>
          </cell>
          <cell r="AG92">
            <v>0</v>
          </cell>
        </row>
        <row r="93">
          <cell r="C93" t="str">
            <v>Rolling Hills</v>
          </cell>
          <cell r="D93"/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</row>
        <row r="94">
          <cell r="C94" t="str">
            <v>Rolling Hills Estates</v>
          </cell>
          <cell r="D94"/>
          <cell r="E94">
            <v>0</v>
          </cell>
          <cell r="F94">
            <v>1310</v>
          </cell>
          <cell r="G94">
            <v>0</v>
          </cell>
          <cell r="H94">
            <v>17592.329999999994</v>
          </cell>
          <cell r="I94">
            <v>0</v>
          </cell>
          <cell r="J94">
            <v>17150.089999999997</v>
          </cell>
          <cell r="K94">
            <v>0</v>
          </cell>
          <cell r="L94">
            <v>43745.549999999981</v>
          </cell>
          <cell r="M94">
            <v>0</v>
          </cell>
          <cell r="N94">
            <v>107996.58</v>
          </cell>
          <cell r="O94">
            <v>0</v>
          </cell>
          <cell r="P94">
            <v>92565.430000000051</v>
          </cell>
          <cell r="Q94">
            <v>0</v>
          </cell>
          <cell r="R94">
            <v>43570.239999999954</v>
          </cell>
          <cell r="S94">
            <v>0</v>
          </cell>
          <cell r="T94">
            <v>48396.579999999965</v>
          </cell>
          <cell r="U94">
            <v>0</v>
          </cell>
          <cell r="V94">
            <v>393034.64999999979</v>
          </cell>
          <cell r="W94">
            <v>0</v>
          </cell>
          <cell r="X94">
            <v>851866.53</v>
          </cell>
          <cell r="Y94">
            <v>1714981</v>
          </cell>
          <cell r="Z94">
            <v>6249.5599999999986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</row>
        <row r="95">
          <cell r="C95" t="str">
            <v>Rosemead</v>
          </cell>
          <cell r="D95"/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163697.62</v>
          </cell>
          <cell r="AA95">
            <v>0</v>
          </cell>
          <cell r="AB95">
            <v>93903.76</v>
          </cell>
          <cell r="AC95">
            <v>0</v>
          </cell>
          <cell r="AD95">
            <v>43431.710000000006</v>
          </cell>
          <cell r="AE95">
            <v>0</v>
          </cell>
          <cell r="AF95">
            <v>756103.34</v>
          </cell>
          <cell r="AG95">
            <v>0</v>
          </cell>
        </row>
        <row r="96">
          <cell r="C96" t="str">
            <v>San Dimas</v>
          </cell>
          <cell r="D96"/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</row>
        <row r="97">
          <cell r="C97" t="str">
            <v>San Fernando</v>
          </cell>
          <cell r="D97"/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</row>
        <row r="98">
          <cell r="C98" t="str">
            <v>San Gabriel</v>
          </cell>
          <cell r="D98"/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170423.68999999997</v>
          </cell>
          <cell r="Q98">
            <v>0</v>
          </cell>
          <cell r="R98">
            <v>474160.37999999989</v>
          </cell>
          <cell r="S98">
            <v>0</v>
          </cell>
          <cell r="T98">
            <v>184542.51000000007</v>
          </cell>
          <cell r="U98">
            <v>0</v>
          </cell>
          <cell r="V98">
            <v>3867389.0899999598</v>
          </cell>
          <cell r="W98">
            <v>0</v>
          </cell>
          <cell r="X98">
            <v>778852.12</v>
          </cell>
          <cell r="Y98">
            <v>0</v>
          </cell>
          <cell r="Z98">
            <v>-390892.49</v>
          </cell>
          <cell r="AA98">
            <v>5075864.8599999594</v>
          </cell>
          <cell r="AB98">
            <v>-8698.5999999999985</v>
          </cell>
          <cell r="AC98">
            <v>0</v>
          </cell>
          <cell r="AD98">
            <v>53.22</v>
          </cell>
          <cell r="AE98">
            <v>0</v>
          </cell>
          <cell r="AF98">
            <v>0</v>
          </cell>
          <cell r="AG98">
            <v>0</v>
          </cell>
        </row>
        <row r="99">
          <cell r="C99" t="str">
            <v>San Marino</v>
          </cell>
          <cell r="D99"/>
          <cell r="E99">
            <v>0</v>
          </cell>
          <cell r="F99">
            <v>16020.58</v>
          </cell>
          <cell r="G99">
            <v>0</v>
          </cell>
          <cell r="H99">
            <v>22438.250000000004</v>
          </cell>
          <cell r="I99">
            <v>0</v>
          </cell>
          <cell r="J99">
            <v>734682.62</v>
          </cell>
          <cell r="K99">
            <v>0</v>
          </cell>
          <cell r="L99">
            <v>65838.859999999986</v>
          </cell>
          <cell r="M99">
            <v>0</v>
          </cell>
          <cell r="N99">
            <v>4636.9699999999984</v>
          </cell>
          <cell r="O99">
            <v>0</v>
          </cell>
          <cell r="P99">
            <v>669.21</v>
          </cell>
          <cell r="Q99">
            <v>0</v>
          </cell>
          <cell r="R99">
            <v>25161.049999999985</v>
          </cell>
          <cell r="S99">
            <v>0</v>
          </cell>
          <cell r="T99">
            <v>8260.4699999999975</v>
          </cell>
          <cell r="U99">
            <v>0</v>
          </cell>
          <cell r="V99">
            <v>12280</v>
          </cell>
          <cell r="W99">
            <v>0</v>
          </cell>
          <cell r="X99">
            <v>2457</v>
          </cell>
          <cell r="Y99">
            <v>0</v>
          </cell>
          <cell r="Z99">
            <v>106828.40000000002</v>
          </cell>
          <cell r="AA99">
            <v>0</v>
          </cell>
          <cell r="AB99">
            <v>9312.5799999999981</v>
          </cell>
          <cell r="AC99">
            <v>0</v>
          </cell>
          <cell r="AD99">
            <v>122674.11000000004</v>
          </cell>
          <cell r="AE99">
            <v>0</v>
          </cell>
          <cell r="AF99">
            <v>2211.65</v>
          </cell>
          <cell r="AG99">
            <v>0</v>
          </cell>
        </row>
        <row r="100">
          <cell r="C100" t="str">
            <v>Santa Clarita</v>
          </cell>
          <cell r="D100"/>
          <cell r="E100">
            <v>0</v>
          </cell>
          <cell r="F100">
            <v>1818345.96</v>
          </cell>
          <cell r="G100">
            <v>0</v>
          </cell>
          <cell r="H100">
            <v>76493.720000000409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</row>
        <row r="101">
          <cell r="C101" t="str">
            <v>Santa Fe Springs</v>
          </cell>
          <cell r="D101"/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C102" t="str">
            <v>Santa Monica</v>
          </cell>
          <cell r="D102"/>
          <cell r="E102">
            <v>0</v>
          </cell>
          <cell r="F102">
            <v>1655903.9500000002</v>
          </cell>
          <cell r="G102">
            <v>0</v>
          </cell>
          <cell r="H102">
            <v>848495.53</v>
          </cell>
          <cell r="I102">
            <v>0</v>
          </cell>
          <cell r="J102">
            <v>35037.66999999986</v>
          </cell>
          <cell r="K102">
            <v>0</v>
          </cell>
          <cell r="L102">
            <v>70230.210000000006</v>
          </cell>
          <cell r="M102">
            <v>0</v>
          </cell>
          <cell r="N102">
            <v>7544.0599999999995</v>
          </cell>
          <cell r="O102">
            <v>0</v>
          </cell>
          <cell r="P102">
            <v>4767672.1299999757</v>
          </cell>
          <cell r="Q102">
            <v>0</v>
          </cell>
          <cell r="R102">
            <v>865096.40000000142</v>
          </cell>
          <cell r="S102">
            <v>5947824</v>
          </cell>
          <cell r="T102">
            <v>51390.280000000021</v>
          </cell>
          <cell r="U102">
            <v>0</v>
          </cell>
          <cell r="V102">
            <v>139791.88999999996</v>
          </cell>
          <cell r="W102">
            <v>0</v>
          </cell>
          <cell r="X102">
            <v>481459.07000000012</v>
          </cell>
          <cell r="Y102">
            <v>0</v>
          </cell>
          <cell r="Z102">
            <v>1704855.9100000001</v>
          </cell>
          <cell r="AA102">
            <v>2362639</v>
          </cell>
          <cell r="AB102">
            <v>66880.06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</row>
        <row r="103">
          <cell r="C103" t="str">
            <v>Sierra Madre</v>
          </cell>
          <cell r="D103"/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</row>
        <row r="104">
          <cell r="C104" t="str">
            <v>Signal Hill</v>
          </cell>
          <cell r="D104"/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</row>
        <row r="105">
          <cell r="C105" t="str">
            <v>South El Monte</v>
          </cell>
          <cell r="D105"/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32908.230000000003</v>
          </cell>
          <cell r="M105">
            <v>0</v>
          </cell>
          <cell r="N105">
            <v>2905.7000000000003</v>
          </cell>
          <cell r="O105">
            <v>0</v>
          </cell>
          <cell r="P105">
            <v>9182.4499999999971</v>
          </cell>
          <cell r="Q105">
            <v>0</v>
          </cell>
          <cell r="R105">
            <v>34062.489999999969</v>
          </cell>
          <cell r="S105">
            <v>0</v>
          </cell>
          <cell r="T105">
            <v>12332.940000000008</v>
          </cell>
          <cell r="U105">
            <v>0</v>
          </cell>
          <cell r="V105">
            <v>10873.38</v>
          </cell>
          <cell r="W105">
            <v>0</v>
          </cell>
          <cell r="X105">
            <v>4126.5300000000007</v>
          </cell>
          <cell r="Y105">
            <v>0</v>
          </cell>
          <cell r="Z105">
            <v>-13459.160000000007</v>
          </cell>
          <cell r="AA105">
            <v>0</v>
          </cell>
          <cell r="AB105">
            <v>766.01</v>
          </cell>
          <cell r="AC105">
            <v>0</v>
          </cell>
          <cell r="AD105">
            <v>119.62</v>
          </cell>
          <cell r="AE105">
            <v>0</v>
          </cell>
          <cell r="AF105">
            <v>755.39</v>
          </cell>
          <cell r="AG105">
            <v>0</v>
          </cell>
        </row>
        <row r="106">
          <cell r="C106" t="str">
            <v>South Gate</v>
          </cell>
          <cell r="D106"/>
          <cell r="E106">
            <v>0</v>
          </cell>
          <cell r="F106">
            <v>79240.070000000007</v>
          </cell>
          <cell r="G106">
            <v>0</v>
          </cell>
          <cell r="H106">
            <v>46870.310000000005</v>
          </cell>
          <cell r="I106">
            <v>0</v>
          </cell>
          <cell r="J106">
            <v>14769.560000000005</v>
          </cell>
          <cell r="K106">
            <v>0</v>
          </cell>
          <cell r="L106">
            <v>39956.35</v>
          </cell>
          <cell r="M106">
            <v>0</v>
          </cell>
          <cell r="N106">
            <v>1405205.4499999997</v>
          </cell>
          <cell r="O106">
            <v>1577649</v>
          </cell>
          <cell r="P106">
            <v>234451.42999999991</v>
          </cell>
          <cell r="Q106">
            <v>0</v>
          </cell>
          <cell r="R106">
            <v>-148547.80999999997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</row>
        <row r="107">
          <cell r="C107" t="str">
            <v>South Pasadena</v>
          </cell>
          <cell r="D107"/>
          <cell r="E107">
            <v>0</v>
          </cell>
          <cell r="F107">
            <v>918288.54999999993</v>
          </cell>
          <cell r="G107">
            <v>1075430</v>
          </cell>
          <cell r="H107">
            <v>2042.26</v>
          </cell>
          <cell r="I107">
            <v>0</v>
          </cell>
          <cell r="J107">
            <v>-1149.3800000000001</v>
          </cell>
          <cell r="K107">
            <v>0</v>
          </cell>
          <cell r="L107">
            <v>2811.17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-3100.85</v>
          </cell>
          <cell r="S107">
            <v>0</v>
          </cell>
          <cell r="T107">
            <v>-1237.07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702795.79</v>
          </cell>
          <cell r="AA107">
            <v>0</v>
          </cell>
          <cell r="AB107">
            <v>197909.3</v>
          </cell>
          <cell r="AC107">
            <v>0</v>
          </cell>
          <cell r="AD107">
            <v>40270.879999999997</v>
          </cell>
          <cell r="AE107">
            <v>0</v>
          </cell>
          <cell r="AF107">
            <v>7957.03</v>
          </cell>
          <cell r="AG107">
            <v>0</v>
          </cell>
        </row>
        <row r="108">
          <cell r="C108" t="str">
            <v>Temple City</v>
          </cell>
          <cell r="D108"/>
          <cell r="E108">
            <v>0</v>
          </cell>
          <cell r="F108">
            <v>4205415.66</v>
          </cell>
          <cell r="G108">
            <v>6081727.0899999999</v>
          </cell>
          <cell r="H108">
            <v>364043.68</v>
          </cell>
          <cell r="I108">
            <v>0</v>
          </cell>
          <cell r="J108">
            <v>6698.1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C109" t="str">
            <v>Torrance</v>
          </cell>
          <cell r="D109"/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90685.150000000023</v>
          </cell>
          <cell r="Q109">
            <v>0</v>
          </cell>
          <cell r="R109">
            <v>38084.57</v>
          </cell>
          <cell r="S109">
            <v>0</v>
          </cell>
          <cell r="T109">
            <v>29981.85</v>
          </cell>
          <cell r="U109">
            <v>0</v>
          </cell>
          <cell r="V109">
            <v>36653.540000000023</v>
          </cell>
          <cell r="W109">
            <v>0</v>
          </cell>
          <cell r="X109">
            <v>184568.78999999998</v>
          </cell>
          <cell r="Y109">
            <v>0</v>
          </cell>
          <cell r="Z109">
            <v>63327.959999999992</v>
          </cell>
          <cell r="AA109">
            <v>0</v>
          </cell>
          <cell r="AB109">
            <v>116848.25999999998</v>
          </cell>
          <cell r="AC109">
            <v>0</v>
          </cell>
          <cell r="AD109">
            <v>441980.41</v>
          </cell>
          <cell r="AE109">
            <v>0</v>
          </cell>
          <cell r="AF109">
            <v>1624942.13</v>
          </cell>
          <cell r="AG109">
            <v>0</v>
          </cell>
        </row>
        <row r="110">
          <cell r="C110" t="str">
            <v>Walnut</v>
          </cell>
          <cell r="D110"/>
          <cell r="E110">
            <v>0</v>
          </cell>
          <cell r="F110">
            <v>19025.52</v>
          </cell>
          <cell r="G110">
            <v>0</v>
          </cell>
          <cell r="H110">
            <v>668418.75000000012</v>
          </cell>
          <cell r="I110">
            <v>847461</v>
          </cell>
          <cell r="J110">
            <v>5868.949999999928</v>
          </cell>
          <cell r="K110">
            <v>0</v>
          </cell>
          <cell r="L110">
            <v>-1392.4</v>
          </cell>
          <cell r="M110">
            <v>0</v>
          </cell>
          <cell r="N110">
            <v>-12978.56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</row>
        <row r="111">
          <cell r="C111" t="str">
            <v>West Covina</v>
          </cell>
          <cell r="D111"/>
          <cell r="E111">
            <v>0</v>
          </cell>
          <cell r="F111">
            <v>312216.70000000007</v>
          </cell>
          <cell r="G111">
            <v>0</v>
          </cell>
          <cell r="H111">
            <v>20891.490000000002</v>
          </cell>
          <cell r="I111">
            <v>0</v>
          </cell>
          <cell r="J111">
            <v>298.54000000000002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</row>
        <row r="112">
          <cell r="C112" t="str">
            <v>West Hollywood</v>
          </cell>
          <cell r="D112"/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47611.039999999979</v>
          </cell>
          <cell r="S112">
            <v>0</v>
          </cell>
          <cell r="T112">
            <v>14255.210000000012</v>
          </cell>
          <cell r="U112">
            <v>0</v>
          </cell>
          <cell r="V112">
            <v>30838.149999999987</v>
          </cell>
          <cell r="W112">
            <v>0</v>
          </cell>
          <cell r="X112">
            <v>10047.839999999998</v>
          </cell>
          <cell r="Y112">
            <v>0</v>
          </cell>
          <cell r="Z112">
            <v>892326.03999999992</v>
          </cell>
          <cell r="AA112">
            <v>0</v>
          </cell>
          <cell r="AB112">
            <v>1223628.3700000001</v>
          </cell>
          <cell r="AC112">
            <v>0</v>
          </cell>
          <cell r="AD112">
            <v>195072.34</v>
          </cell>
          <cell r="AE112">
            <v>2323250.4299999983</v>
          </cell>
          <cell r="AF112">
            <v>99321.2</v>
          </cell>
          <cell r="AG112">
            <v>0</v>
          </cell>
        </row>
        <row r="113">
          <cell r="C113" t="str">
            <v>Westlake Village</v>
          </cell>
          <cell r="D113"/>
          <cell r="E113">
            <v>0</v>
          </cell>
          <cell r="F113">
            <v>299054.27</v>
          </cell>
          <cell r="G113">
            <v>0</v>
          </cell>
          <cell r="H113">
            <v>-187873.06</v>
          </cell>
          <cell r="I113">
            <v>0</v>
          </cell>
          <cell r="J113">
            <v>3646.3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/>
          <cell r="AG113">
            <v>0</v>
          </cell>
        </row>
        <row r="114">
          <cell r="C114" t="str">
            <v>Whittier</v>
          </cell>
          <cell r="D114"/>
          <cell r="E114">
            <v>0</v>
          </cell>
          <cell r="F114">
            <v>67536.11</v>
          </cell>
          <cell r="G114">
            <v>0</v>
          </cell>
          <cell r="H114">
            <v>130278.00000000001</v>
          </cell>
          <cell r="I114">
            <v>0</v>
          </cell>
          <cell r="J114">
            <v>103587.20000000003</v>
          </cell>
          <cell r="K114">
            <v>0</v>
          </cell>
          <cell r="L114">
            <v>1733361.06</v>
          </cell>
          <cell r="M114">
            <v>0</v>
          </cell>
          <cell r="N114">
            <v>400049.74</v>
          </cell>
          <cell r="O114">
            <v>2479259</v>
          </cell>
          <cell r="P114">
            <v>39178.450000000084</v>
          </cell>
          <cell r="Q114">
            <v>0</v>
          </cell>
          <cell r="R114">
            <v>28500.500000000018</v>
          </cell>
          <cell r="S114">
            <v>0</v>
          </cell>
          <cell r="T114">
            <v>-108316.86</v>
          </cell>
          <cell r="U114">
            <v>0</v>
          </cell>
          <cell r="V114">
            <v>30829.059999999998</v>
          </cell>
          <cell r="W114">
            <v>0</v>
          </cell>
          <cell r="X114">
            <v>16222.75</v>
          </cell>
          <cell r="Y114">
            <v>0</v>
          </cell>
          <cell r="Z114">
            <v>121505.34999999999</v>
          </cell>
          <cell r="AA114">
            <v>0</v>
          </cell>
          <cell r="AB114">
            <v>36208.86</v>
          </cell>
          <cell r="AC114">
            <v>0</v>
          </cell>
          <cell r="AD114">
            <v>52985.15</v>
          </cell>
          <cell r="AE114">
            <v>0</v>
          </cell>
          <cell r="AF114">
            <v>1720100.04</v>
          </cell>
          <cell r="AG114">
            <v>0</v>
          </cell>
        </row>
        <row r="115">
          <cell r="C115" t="str">
            <v>Unincorporated Los Angeles</v>
          </cell>
          <cell r="D115"/>
          <cell r="E115">
            <v>1226293</v>
          </cell>
          <cell r="F115">
            <v>1274696.21</v>
          </cell>
          <cell r="G115">
            <v>0</v>
          </cell>
          <cell r="H115">
            <v>1943188.77</v>
          </cell>
          <cell r="I115">
            <v>4507113</v>
          </cell>
          <cell r="J115">
            <v>6243623.0600000005</v>
          </cell>
          <cell r="K115">
            <v>3116086</v>
          </cell>
          <cell r="L115">
            <v>3598576.8699999996</v>
          </cell>
          <cell r="M115">
            <v>3116086</v>
          </cell>
          <cell r="N115">
            <v>928720.23</v>
          </cell>
          <cell r="O115">
            <v>0</v>
          </cell>
          <cell r="P115">
            <v>890881.85999999964</v>
          </cell>
          <cell r="Q115">
            <v>10757297</v>
          </cell>
          <cell r="R115">
            <v>158277.46999999991</v>
          </cell>
          <cell r="S115">
            <v>0</v>
          </cell>
          <cell r="T115">
            <v>340930.63000000018</v>
          </cell>
          <cell r="U115">
            <v>0</v>
          </cell>
          <cell r="V115">
            <v>233391.47999999992</v>
          </cell>
          <cell r="W115">
            <v>0</v>
          </cell>
          <cell r="X115">
            <v>1739283.2100000004</v>
          </cell>
          <cell r="Y115">
            <v>0</v>
          </cell>
          <cell r="Z115">
            <v>3194320.9399999995</v>
          </cell>
          <cell r="AA115">
            <v>3192566.41</v>
          </cell>
          <cell r="AB115">
            <v>1290332.8199999998</v>
          </cell>
          <cell r="AC115">
            <v>0</v>
          </cell>
          <cell r="AD115">
            <v>567739.94999999995</v>
          </cell>
          <cell r="AE115">
            <v>0</v>
          </cell>
          <cell r="AF115">
            <v>1403336.52</v>
          </cell>
          <cell r="AG115">
            <v>1494757</v>
          </cell>
        </row>
        <row r="116">
          <cell r="C116" t="str">
            <v>Los Angeles County Total</v>
          </cell>
          <cell r="D116"/>
          <cell r="E116"/>
          <cell r="F116">
            <v>23214585.889999997</v>
          </cell>
          <cell r="G116">
            <v>12746561.59</v>
          </cell>
          <cell r="H116">
            <v>21129346.869999997</v>
          </cell>
          <cell r="I116">
            <v>29998333.780000001</v>
          </cell>
          <cell r="J116">
            <v>11946296.98</v>
          </cell>
          <cell r="K116">
            <v>22967786</v>
          </cell>
          <cell r="L116">
            <v>14003393.880000001</v>
          </cell>
          <cell r="M116">
            <v>6217585</v>
          </cell>
          <cell r="N116">
            <v>9145180.4299999997</v>
          </cell>
          <cell r="O116">
            <v>10904653</v>
          </cell>
          <cell r="P116">
            <v>15185529.359999975</v>
          </cell>
          <cell r="Q116">
            <v>16591559</v>
          </cell>
          <cell r="R116">
            <v>7023070.2200000016</v>
          </cell>
          <cell r="S116">
            <v>14808078.27</v>
          </cell>
          <cell r="T116">
            <v>14189370.809999995</v>
          </cell>
          <cell r="U116">
            <v>6137850</v>
          </cell>
          <cell r="V116">
            <v>12104662.839999961</v>
          </cell>
          <cell r="W116">
            <v>12759755</v>
          </cell>
          <cell r="X116">
            <v>6471738.5000000019</v>
          </cell>
          <cell r="Y116">
            <v>9632001.2200000007</v>
          </cell>
          <cell r="Z116">
            <v>12538501.33</v>
          </cell>
          <cell r="AA116">
            <v>14142762.189999923</v>
          </cell>
          <cell r="AB116">
            <v>4389370.17</v>
          </cell>
          <cell r="AC116">
            <v>0</v>
          </cell>
          <cell r="AD116">
            <v>6669126.9300000006</v>
          </cell>
          <cell r="AE116">
            <v>2323250.4299999983</v>
          </cell>
          <cell r="AF116">
            <v>8202341.8099999987</v>
          </cell>
          <cell r="AG116">
            <v>6492611.29</v>
          </cell>
        </row>
        <row r="117">
          <cell r="C117" t="str">
            <v>MADERA County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</row>
        <row r="118">
          <cell r="C118" t="str">
            <v>Unincorporated Madera</v>
          </cell>
          <cell r="D118"/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</row>
        <row r="119">
          <cell r="C119" t="str">
            <v>MADERA County Total</v>
          </cell>
          <cell r="D119"/>
          <cell r="E119"/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C120" t="str">
            <v>MONO County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</row>
        <row r="121">
          <cell r="C121" t="str">
            <v>Mammoth Lakes</v>
          </cell>
          <cell r="D121"/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8617.1700000000019</v>
          </cell>
          <cell r="W121">
            <v>0</v>
          </cell>
          <cell r="X121">
            <v>220487.63999999998</v>
          </cell>
          <cell r="Y121">
            <v>0</v>
          </cell>
          <cell r="Z121">
            <v>360911.61000000004</v>
          </cell>
          <cell r="AA121">
            <v>473446.0400000005</v>
          </cell>
          <cell r="AB121">
            <v>-130452.98999999999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C122" t="str">
            <v>Unincorporated Mono</v>
          </cell>
          <cell r="D122"/>
          <cell r="E122">
            <v>518951</v>
          </cell>
          <cell r="F122">
            <v>-27225.47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C123" t="str">
            <v>Mono County Total</v>
          </cell>
          <cell r="D123"/>
          <cell r="E123"/>
          <cell r="F123">
            <v>-27225.47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8617.1700000000019</v>
          </cell>
          <cell r="W123">
            <v>0</v>
          </cell>
          <cell r="X123">
            <v>220487.63999999998</v>
          </cell>
          <cell r="Y123">
            <v>0</v>
          </cell>
          <cell r="Z123">
            <v>360911.61000000004</v>
          </cell>
          <cell r="AA123">
            <v>473446.0400000005</v>
          </cell>
          <cell r="AB123">
            <v>-130452.98999999999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C124" t="str">
            <v>ORANGE County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</row>
        <row r="125">
          <cell r="C125" t="str">
            <v>Aliso Viejo</v>
          </cell>
          <cell r="D125"/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C126" t="str">
            <v>Anaheim</v>
          </cell>
          <cell r="D126"/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C127" t="str">
            <v>Brea</v>
          </cell>
          <cell r="D127"/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65821.699999999983</v>
          </cell>
          <cell r="W127">
            <v>0</v>
          </cell>
          <cell r="X127">
            <v>38391.539999999994</v>
          </cell>
          <cell r="Y127">
            <v>0</v>
          </cell>
          <cell r="Z127">
            <v>66160.23</v>
          </cell>
          <cell r="AA127">
            <v>0</v>
          </cell>
          <cell r="AB127">
            <v>3063898.18</v>
          </cell>
          <cell r="AC127">
            <v>0</v>
          </cell>
          <cell r="AD127">
            <v>496614.83999999997</v>
          </cell>
          <cell r="AE127">
            <v>3738154.5699999589</v>
          </cell>
          <cell r="AF127">
            <v>-3158.2</v>
          </cell>
          <cell r="AG127">
            <v>0</v>
          </cell>
        </row>
        <row r="128">
          <cell r="C128" t="str">
            <v>Buena Park</v>
          </cell>
          <cell r="D128"/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51401.509999999995</v>
          </cell>
          <cell r="O128">
            <v>0</v>
          </cell>
          <cell r="P128">
            <v>47367.450000000004</v>
          </cell>
          <cell r="Q128">
            <v>0</v>
          </cell>
          <cell r="R128">
            <v>101531.07000000002</v>
          </cell>
          <cell r="S128">
            <v>0</v>
          </cell>
          <cell r="T128">
            <v>2175694.9799999972</v>
          </cell>
          <cell r="U128">
            <v>2646995</v>
          </cell>
          <cell r="V128">
            <v>193410.33999999997</v>
          </cell>
          <cell r="W128">
            <v>0</v>
          </cell>
          <cell r="X128">
            <v>6173.6500000000005</v>
          </cell>
          <cell r="Y128">
            <v>0</v>
          </cell>
          <cell r="Z128">
            <v>4193.07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C129" t="str">
            <v>Costa Mesa</v>
          </cell>
          <cell r="D129"/>
          <cell r="E129">
            <v>0</v>
          </cell>
          <cell r="F129">
            <v>162413.23000000001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</row>
        <row r="130">
          <cell r="C130" t="str">
            <v>Cypress</v>
          </cell>
          <cell r="D130"/>
          <cell r="E130">
            <v>0</v>
          </cell>
          <cell r="F130">
            <v>4877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</row>
        <row r="131">
          <cell r="C131" t="str">
            <v>Fountain Valley</v>
          </cell>
          <cell r="D131"/>
          <cell r="E131">
            <v>0</v>
          </cell>
          <cell r="F131">
            <v>75372.800000000003</v>
          </cell>
          <cell r="G131">
            <v>0</v>
          </cell>
          <cell r="H131">
            <v>52703.679999999993</v>
          </cell>
          <cell r="I131">
            <v>0</v>
          </cell>
          <cell r="J131">
            <v>130250.31999999995</v>
          </cell>
          <cell r="K131">
            <v>0</v>
          </cell>
          <cell r="L131">
            <v>654113.52</v>
          </cell>
          <cell r="M131">
            <v>1047062</v>
          </cell>
          <cell r="N131">
            <v>-39565.040000000001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C132" t="str">
            <v>Fullerton</v>
          </cell>
          <cell r="D132"/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13088.279999999999</v>
          </cell>
          <cell r="O132">
            <v>0</v>
          </cell>
          <cell r="P132">
            <v>178344.38999999996</v>
          </cell>
          <cell r="Q132">
            <v>0</v>
          </cell>
          <cell r="R132">
            <v>396346.62</v>
          </cell>
          <cell r="S132">
            <v>0</v>
          </cell>
          <cell r="T132">
            <v>179620.31000000003</v>
          </cell>
          <cell r="U132">
            <v>0</v>
          </cell>
          <cell r="V132">
            <v>866917.84000000008</v>
          </cell>
          <cell r="W132">
            <v>733204</v>
          </cell>
          <cell r="X132">
            <v>1888695.2300000002</v>
          </cell>
          <cell r="Y132">
            <v>2348409.4400000004</v>
          </cell>
          <cell r="Z132">
            <v>141750.01999999999</v>
          </cell>
          <cell r="AA132">
            <v>0</v>
          </cell>
          <cell r="AB132">
            <v>857388.16999999993</v>
          </cell>
          <cell r="AC132">
            <v>1386625.0299999998</v>
          </cell>
          <cell r="AD132">
            <v>-4806.54</v>
          </cell>
          <cell r="AE132">
            <v>0</v>
          </cell>
          <cell r="AF132">
            <v>-33318.78</v>
          </cell>
          <cell r="AG132">
            <v>0</v>
          </cell>
        </row>
        <row r="133">
          <cell r="C133" t="str">
            <v>Garden Grove</v>
          </cell>
          <cell r="D133"/>
          <cell r="E133">
            <v>0</v>
          </cell>
          <cell r="F133">
            <v>0</v>
          </cell>
          <cell r="G133">
            <v>0</v>
          </cell>
          <cell r="H133">
            <v>-4356</v>
          </cell>
          <cell r="I133">
            <v>0</v>
          </cell>
          <cell r="J133">
            <v>60852.28</v>
          </cell>
          <cell r="K133">
            <v>0</v>
          </cell>
          <cell r="L133">
            <v>315020.58999999997</v>
          </cell>
          <cell r="M133">
            <v>0</v>
          </cell>
          <cell r="N133">
            <v>438636.28</v>
          </cell>
          <cell r="O133">
            <v>814917</v>
          </cell>
          <cell r="P133">
            <v>170341.18000000002</v>
          </cell>
          <cell r="Q133">
            <v>0</v>
          </cell>
          <cell r="R133">
            <v>53822.01999999999</v>
          </cell>
          <cell r="S133">
            <v>0</v>
          </cell>
          <cell r="T133">
            <v>2711098.4399999985</v>
          </cell>
          <cell r="U133">
            <v>3552072</v>
          </cell>
          <cell r="V133">
            <v>569386.3899999992</v>
          </cell>
          <cell r="W133">
            <v>0</v>
          </cell>
          <cell r="X133">
            <v>1039.3900000000001</v>
          </cell>
          <cell r="Y133">
            <v>0</v>
          </cell>
          <cell r="Z133">
            <v>0</v>
          </cell>
          <cell r="AA133">
            <v>0</v>
          </cell>
          <cell r="AB133">
            <v>279918</v>
          </cell>
          <cell r="AC133">
            <v>0</v>
          </cell>
          <cell r="AD133">
            <v>47454.130000000005</v>
          </cell>
          <cell r="AE133">
            <v>0</v>
          </cell>
          <cell r="AF133">
            <v>38495.090000000004</v>
          </cell>
          <cell r="AG133">
            <v>0</v>
          </cell>
        </row>
        <row r="134">
          <cell r="C134" t="str">
            <v>Huntington Beach</v>
          </cell>
          <cell r="D134"/>
          <cell r="E134">
            <v>0</v>
          </cell>
          <cell r="F134">
            <v>88963.209999999992</v>
          </cell>
          <cell r="G134">
            <v>0</v>
          </cell>
          <cell r="H134">
            <v>105561.87999999996</v>
          </cell>
          <cell r="I134">
            <v>0</v>
          </cell>
          <cell r="J134">
            <v>679222.45</v>
          </cell>
          <cell r="K134">
            <v>0</v>
          </cell>
          <cell r="L134">
            <v>4981298.2</v>
          </cell>
          <cell r="M134">
            <v>0</v>
          </cell>
          <cell r="N134">
            <v>-82720.409999999974</v>
          </cell>
          <cell r="O134">
            <v>0</v>
          </cell>
          <cell r="P134">
            <v>55972.66</v>
          </cell>
          <cell r="Q134">
            <v>6224124</v>
          </cell>
          <cell r="R134">
            <v>98621.25</v>
          </cell>
          <cell r="S134">
            <v>0</v>
          </cell>
          <cell r="T134">
            <v>41997.36</v>
          </cell>
          <cell r="U134">
            <v>0</v>
          </cell>
          <cell r="V134">
            <v>253305.61000000004</v>
          </cell>
          <cell r="W134">
            <v>0</v>
          </cell>
          <cell r="X134">
            <v>239064.31999999998</v>
          </cell>
          <cell r="Y134">
            <v>0</v>
          </cell>
          <cell r="Z134">
            <v>3668432.11</v>
          </cell>
          <cell r="AA134">
            <v>0</v>
          </cell>
          <cell r="AB134">
            <v>3701959.1700000004</v>
          </cell>
          <cell r="AC134">
            <v>7576596.370000001</v>
          </cell>
          <cell r="AD134">
            <v>7919.86</v>
          </cell>
          <cell r="AE134">
            <v>0</v>
          </cell>
          <cell r="AF134">
            <v>2557.7799999999997</v>
          </cell>
          <cell r="AG134">
            <v>0</v>
          </cell>
        </row>
        <row r="135">
          <cell r="C135" t="str">
            <v>Irvine</v>
          </cell>
          <cell r="D135"/>
          <cell r="E135">
            <v>0</v>
          </cell>
          <cell r="F135">
            <v>9522.66</v>
          </cell>
          <cell r="G135">
            <v>0</v>
          </cell>
          <cell r="H135">
            <v>4037.42</v>
          </cell>
          <cell r="I135">
            <v>0</v>
          </cell>
          <cell r="J135">
            <v>7442.78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</row>
        <row r="136">
          <cell r="C136" t="str">
            <v>La Habra</v>
          </cell>
          <cell r="D136"/>
          <cell r="E136">
            <v>0</v>
          </cell>
          <cell r="F136">
            <v>131528.55000000002</v>
          </cell>
          <cell r="G136">
            <v>0</v>
          </cell>
          <cell r="H136">
            <v>761439.19000000006</v>
          </cell>
          <cell r="I136">
            <v>0</v>
          </cell>
          <cell r="J136">
            <v>569126.99</v>
          </cell>
          <cell r="K136">
            <v>0</v>
          </cell>
          <cell r="L136">
            <v>1023562.58</v>
          </cell>
          <cell r="M136">
            <v>0</v>
          </cell>
          <cell r="N136">
            <v>4410.87</v>
          </cell>
          <cell r="O136">
            <v>2725454</v>
          </cell>
          <cell r="P136">
            <v>1223.3000000000002</v>
          </cell>
          <cell r="Q136">
            <v>0</v>
          </cell>
          <cell r="R136">
            <v>120782.08999999985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</row>
        <row r="137">
          <cell r="C137" t="str">
            <v>La Palma</v>
          </cell>
          <cell r="D137"/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22932.3</v>
          </cell>
          <cell r="M137">
            <v>0</v>
          </cell>
          <cell r="N137">
            <v>199034.05</v>
          </cell>
          <cell r="O137">
            <v>0</v>
          </cell>
          <cell r="P137">
            <v>426166.3</v>
          </cell>
          <cell r="Q137">
            <v>655824</v>
          </cell>
          <cell r="R137">
            <v>365.93000000000006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</row>
        <row r="138">
          <cell r="C138" t="str">
            <v>Laguna Beach</v>
          </cell>
          <cell r="D138"/>
          <cell r="E138">
            <v>0</v>
          </cell>
          <cell r="F138">
            <v>0</v>
          </cell>
          <cell r="G138">
            <v>0</v>
          </cell>
          <cell r="H138">
            <v>-408558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45608.500000000022</v>
          </cell>
          <cell r="Q138">
            <v>0</v>
          </cell>
          <cell r="R138">
            <v>109642.45999999988</v>
          </cell>
          <cell r="S138">
            <v>0</v>
          </cell>
          <cell r="T138">
            <v>68755.960000000021</v>
          </cell>
          <cell r="U138">
            <v>0</v>
          </cell>
          <cell r="V138">
            <v>90457.03999999995</v>
          </cell>
          <cell r="W138">
            <v>0</v>
          </cell>
          <cell r="X138">
            <v>101476.83000000002</v>
          </cell>
          <cell r="Y138">
            <v>0</v>
          </cell>
          <cell r="Z138">
            <v>1417997.8900000001</v>
          </cell>
          <cell r="AA138">
            <v>1842408.17</v>
          </cell>
          <cell r="AB138">
            <v>8469.49</v>
          </cell>
          <cell r="AC138">
            <v>0</v>
          </cell>
          <cell r="AD138">
            <v>-26095.21999999999</v>
          </cell>
          <cell r="AE138">
            <v>0</v>
          </cell>
          <cell r="AF138">
            <v>213.37</v>
          </cell>
          <cell r="AG138">
            <v>0</v>
          </cell>
        </row>
        <row r="139">
          <cell r="C139" t="str">
            <v>Laguna Hills</v>
          </cell>
          <cell r="D139"/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</row>
        <row r="140">
          <cell r="C140" t="str">
            <v>Laguna Niguel</v>
          </cell>
          <cell r="D140"/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</row>
        <row r="141">
          <cell r="C141" t="str">
            <v>Laguna Woods</v>
          </cell>
          <cell r="D141"/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</row>
        <row r="142">
          <cell r="C142" t="str">
            <v>Lake Forest</v>
          </cell>
          <cell r="D142"/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C143" t="str">
            <v>Los Alamitos</v>
          </cell>
          <cell r="D143"/>
          <cell r="E143">
            <v>0</v>
          </cell>
          <cell r="F143">
            <v>8196.5300000000007</v>
          </cell>
          <cell r="G143">
            <v>0</v>
          </cell>
          <cell r="H143">
            <v>33088.729999999996</v>
          </cell>
          <cell r="I143">
            <v>0</v>
          </cell>
          <cell r="J143">
            <v>488678.18</v>
          </cell>
          <cell r="K143">
            <v>0</v>
          </cell>
          <cell r="L143">
            <v>825314.4</v>
          </cell>
          <cell r="M143">
            <v>0</v>
          </cell>
          <cell r="N143">
            <v>3798.2300000000009</v>
          </cell>
          <cell r="O143">
            <v>0</v>
          </cell>
          <cell r="P143">
            <v>-238.85</v>
          </cell>
          <cell r="Q143">
            <v>0</v>
          </cell>
          <cell r="R143">
            <v>-1412.5700000000004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1530842.87</v>
          </cell>
          <cell r="Z143">
            <v>1026.8699999999999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</row>
        <row r="144">
          <cell r="C144" t="str">
            <v>Mission Viejo</v>
          </cell>
          <cell r="D144"/>
          <cell r="E144">
            <v>0</v>
          </cell>
          <cell r="F144">
            <v>461593.99</v>
          </cell>
          <cell r="G144">
            <v>0</v>
          </cell>
          <cell r="H144">
            <v>352264.36</v>
          </cell>
          <cell r="I144">
            <v>0</v>
          </cell>
          <cell r="J144">
            <v>828040.86</v>
          </cell>
          <cell r="K144">
            <v>0</v>
          </cell>
          <cell r="L144">
            <v>-106501.31999999999</v>
          </cell>
          <cell r="M144">
            <v>0</v>
          </cell>
          <cell r="N144">
            <v>0</v>
          </cell>
          <cell r="O144">
            <v>0</v>
          </cell>
          <cell r="P144">
            <v>95145.72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</row>
        <row r="145">
          <cell r="C145" t="str">
            <v>Newport Beach</v>
          </cell>
          <cell r="D145"/>
          <cell r="E145">
            <v>0</v>
          </cell>
          <cell r="F145">
            <v>1210716.3300000003</v>
          </cell>
          <cell r="G145">
            <v>1339034</v>
          </cell>
          <cell r="H145">
            <v>29238.48</v>
          </cell>
          <cell r="I145">
            <v>0</v>
          </cell>
          <cell r="J145">
            <v>-2184.08</v>
          </cell>
          <cell r="K145">
            <v>0</v>
          </cell>
          <cell r="L145">
            <v>26.81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-0.14000000000000001</v>
          </cell>
          <cell r="S145">
            <v>0</v>
          </cell>
          <cell r="T145">
            <v>0</v>
          </cell>
          <cell r="U145">
            <v>0</v>
          </cell>
          <cell r="V145">
            <v>261417.93000000011</v>
          </cell>
          <cell r="W145">
            <v>0</v>
          </cell>
          <cell r="X145">
            <v>68506.459999999992</v>
          </cell>
          <cell r="Y145">
            <v>0</v>
          </cell>
          <cell r="Z145">
            <v>542262.78999999992</v>
          </cell>
          <cell r="AA145">
            <v>0</v>
          </cell>
          <cell r="AB145">
            <v>155429.19</v>
          </cell>
          <cell r="AC145">
            <v>0</v>
          </cell>
          <cell r="AD145">
            <v>133836.18999999997</v>
          </cell>
          <cell r="AE145">
            <v>0</v>
          </cell>
          <cell r="AF145">
            <v>409359.78</v>
          </cell>
          <cell r="AG145">
            <v>0</v>
          </cell>
        </row>
        <row r="146">
          <cell r="C146" t="str">
            <v>Orange</v>
          </cell>
          <cell r="D146"/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187168.74999999997</v>
          </cell>
          <cell r="Q146">
            <v>0</v>
          </cell>
          <cell r="R146">
            <v>299067.69000000012</v>
          </cell>
          <cell r="S146">
            <v>0</v>
          </cell>
          <cell r="T146">
            <v>1995279.87</v>
          </cell>
          <cell r="U146">
            <v>0</v>
          </cell>
          <cell r="V146">
            <v>2711039.4200000023</v>
          </cell>
          <cell r="W146">
            <v>5286650</v>
          </cell>
          <cell r="X146">
            <v>-35391.17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</row>
        <row r="147">
          <cell r="C147" t="str">
            <v>Placentia</v>
          </cell>
          <cell r="D147"/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31445.590000000004</v>
          </cell>
          <cell r="AE147">
            <v>0</v>
          </cell>
          <cell r="AF147">
            <v>32461.510000000002</v>
          </cell>
          <cell r="AG147">
            <v>0</v>
          </cell>
        </row>
        <row r="148">
          <cell r="C148" t="str">
            <v>Rancho Santa Margarita</v>
          </cell>
          <cell r="D148"/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</row>
        <row r="149">
          <cell r="C149" t="str">
            <v>Santa Ana</v>
          </cell>
          <cell r="D149"/>
          <cell r="E149">
            <v>0</v>
          </cell>
          <cell r="F149">
            <v>1257082.3899999999</v>
          </cell>
          <cell r="G149">
            <v>0</v>
          </cell>
          <cell r="H149">
            <v>1369068</v>
          </cell>
          <cell r="I149">
            <v>0</v>
          </cell>
          <cell r="J149">
            <v>953889.54999999993</v>
          </cell>
          <cell r="K149">
            <v>2428301</v>
          </cell>
          <cell r="L149">
            <v>1284119.7000000002</v>
          </cell>
          <cell r="M149">
            <v>2428301</v>
          </cell>
          <cell r="N149">
            <v>166205.25</v>
          </cell>
          <cell r="O149">
            <v>2498464</v>
          </cell>
          <cell r="P149">
            <v>32188.510000000017</v>
          </cell>
          <cell r="Q149">
            <v>0</v>
          </cell>
          <cell r="R149">
            <v>-14256.51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44394.94</v>
          </cell>
          <cell r="AG149">
            <v>0</v>
          </cell>
        </row>
        <row r="150">
          <cell r="C150" t="str">
            <v>Seal Beach</v>
          </cell>
          <cell r="D150"/>
          <cell r="E150">
            <v>0</v>
          </cell>
          <cell r="F150">
            <v>422.79</v>
          </cell>
          <cell r="G150">
            <v>0</v>
          </cell>
          <cell r="H150">
            <v>178061.96</v>
          </cell>
          <cell r="I150">
            <v>0</v>
          </cell>
          <cell r="J150">
            <v>24058.310000000019</v>
          </cell>
          <cell r="K150">
            <v>0</v>
          </cell>
          <cell r="L150">
            <v>62227.44000000001</v>
          </cell>
          <cell r="M150">
            <v>0</v>
          </cell>
          <cell r="N150">
            <v>1238376.5799999998</v>
          </cell>
          <cell r="O150">
            <v>959707.61</v>
          </cell>
          <cell r="P150">
            <v>-139775.37999999998</v>
          </cell>
          <cell r="Q150">
            <v>0</v>
          </cell>
          <cell r="R150">
            <v>-416.40999999999968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51519.98</v>
          </cell>
          <cell r="Y150">
            <v>0</v>
          </cell>
          <cell r="Z150">
            <v>53862.11</v>
          </cell>
          <cell r="AA150">
            <v>0</v>
          </cell>
          <cell r="AB150">
            <v>749724.77</v>
          </cell>
          <cell r="AC150">
            <v>0</v>
          </cell>
          <cell r="AD150">
            <v>480554.57000000012</v>
          </cell>
          <cell r="AE150">
            <v>1338551.6099999964</v>
          </cell>
          <cell r="AF150">
            <v>360.95000000000005</v>
          </cell>
          <cell r="AG150">
            <v>0</v>
          </cell>
        </row>
        <row r="151">
          <cell r="C151" t="str">
            <v>Stanton</v>
          </cell>
          <cell r="D151"/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33055.550000000003</v>
          </cell>
          <cell r="Y151">
            <v>0</v>
          </cell>
          <cell r="Z151">
            <v>279112.92</v>
          </cell>
          <cell r="AA151">
            <v>0</v>
          </cell>
          <cell r="AB151">
            <v>43208.590000000004</v>
          </cell>
          <cell r="AC151">
            <v>0</v>
          </cell>
          <cell r="AD151">
            <v>31819.42</v>
          </cell>
          <cell r="AE151">
            <v>0</v>
          </cell>
          <cell r="AF151">
            <v>21017.45</v>
          </cell>
          <cell r="AG151">
            <v>0</v>
          </cell>
        </row>
        <row r="152">
          <cell r="C152" t="str">
            <v>Tustin</v>
          </cell>
          <cell r="D152"/>
          <cell r="E152">
            <v>0</v>
          </cell>
          <cell r="F152">
            <v>789030.64</v>
          </cell>
          <cell r="G152">
            <v>0</v>
          </cell>
          <cell r="H152">
            <v>92295.320000000065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C153" t="str">
            <v>Villa Park</v>
          </cell>
          <cell r="D153"/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53651.56</v>
          </cell>
          <cell r="O153">
            <v>0</v>
          </cell>
          <cell r="P153">
            <v>340103.54000000161</v>
          </cell>
          <cell r="Q153">
            <v>395357</v>
          </cell>
          <cell r="R153">
            <v>4554.9100000000017</v>
          </cell>
          <cell r="S153">
            <v>0</v>
          </cell>
          <cell r="T153">
            <v>0</v>
          </cell>
          <cell r="U153">
            <v>0</v>
          </cell>
          <cell r="V153">
            <v>-2175.9899999999998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C154" t="str">
            <v>Westminster</v>
          </cell>
          <cell r="D154"/>
          <cell r="E154">
            <v>0</v>
          </cell>
          <cell r="F154">
            <v>56185.3</v>
          </cell>
          <cell r="G154">
            <v>0</v>
          </cell>
          <cell r="H154">
            <v>28373.089999999989</v>
          </cell>
          <cell r="I154">
            <v>0</v>
          </cell>
          <cell r="J154">
            <v>91120.66</v>
          </cell>
          <cell r="K154">
            <v>0</v>
          </cell>
          <cell r="L154">
            <v>369567.98</v>
          </cell>
          <cell r="M154">
            <v>0</v>
          </cell>
          <cell r="N154">
            <v>470959.51</v>
          </cell>
          <cell r="O154">
            <v>0</v>
          </cell>
          <cell r="P154">
            <v>3471902.3699999992</v>
          </cell>
          <cell r="Q154">
            <v>4730150</v>
          </cell>
          <cell r="R154">
            <v>3129.0099999999952</v>
          </cell>
          <cell r="S154">
            <v>0</v>
          </cell>
          <cell r="T154">
            <v>-8561.159999999998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88433.67</v>
          </cell>
          <cell r="AG154">
            <v>0</v>
          </cell>
        </row>
        <row r="155">
          <cell r="C155" t="str">
            <v>Yorba Linda</v>
          </cell>
          <cell r="D155"/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107220.23999999999</v>
          </cell>
          <cell r="AE155">
            <v>0</v>
          </cell>
          <cell r="AF155">
            <v>760453.57000000007</v>
          </cell>
          <cell r="AG155">
            <v>0</v>
          </cell>
        </row>
        <row r="156">
          <cell r="C156" t="str">
            <v>Unincorporated Orange</v>
          </cell>
          <cell r="D156"/>
          <cell r="E156">
            <v>0</v>
          </cell>
          <cell r="F156">
            <v>34851.83</v>
          </cell>
          <cell r="G156">
            <v>0</v>
          </cell>
          <cell r="H156">
            <v>167863.69999999998</v>
          </cell>
          <cell r="I156">
            <v>0</v>
          </cell>
          <cell r="J156">
            <v>149435.83000000002</v>
          </cell>
          <cell r="K156">
            <v>0</v>
          </cell>
          <cell r="L156">
            <v>40411.590000000004</v>
          </cell>
          <cell r="M156">
            <v>0</v>
          </cell>
          <cell r="N156">
            <v>203273.58999999997</v>
          </cell>
          <cell r="O156">
            <v>0</v>
          </cell>
          <cell r="P156">
            <v>142299.72999999998</v>
          </cell>
          <cell r="Q156">
            <v>0</v>
          </cell>
          <cell r="R156">
            <v>169401.37</v>
          </cell>
          <cell r="S156">
            <v>0</v>
          </cell>
          <cell r="T156">
            <v>2978982.0599999977</v>
          </cell>
          <cell r="U156">
            <v>0</v>
          </cell>
          <cell r="V156">
            <v>171354.84999999995</v>
          </cell>
          <cell r="W156">
            <v>3692398</v>
          </cell>
          <cell r="X156">
            <v>53342.710000000006</v>
          </cell>
          <cell r="Y156">
            <v>0</v>
          </cell>
          <cell r="Z156">
            <v>30823.43</v>
          </cell>
          <cell r="AA156">
            <v>0</v>
          </cell>
          <cell r="AB156">
            <v>19207.349999999999</v>
          </cell>
          <cell r="AC156">
            <v>0</v>
          </cell>
          <cell r="AD156">
            <v>16383.22</v>
          </cell>
          <cell r="AE156">
            <v>0</v>
          </cell>
          <cell r="AF156">
            <v>26406.21</v>
          </cell>
          <cell r="AG156">
            <v>0</v>
          </cell>
        </row>
        <row r="157">
          <cell r="C157" t="str">
            <v>Orange County Total</v>
          </cell>
          <cell r="D157"/>
          <cell r="E157"/>
          <cell r="F157">
            <v>4290757.25</v>
          </cell>
          <cell r="G157">
            <v>1339034</v>
          </cell>
          <cell r="H157">
            <v>2761081.8100000005</v>
          </cell>
          <cell r="I157">
            <v>0</v>
          </cell>
          <cell r="J157">
            <v>3979934.13</v>
          </cell>
          <cell r="K157">
            <v>2428301</v>
          </cell>
          <cell r="L157">
            <v>9472093.790000001</v>
          </cell>
          <cell r="M157">
            <v>3475363</v>
          </cell>
          <cell r="N157">
            <v>2720550.26</v>
          </cell>
          <cell r="O157">
            <v>6998542.6100000003</v>
          </cell>
          <cell r="P157">
            <v>5053818.1700000018</v>
          </cell>
          <cell r="Q157">
            <v>12005455</v>
          </cell>
          <cell r="R157">
            <v>1341178.79</v>
          </cell>
          <cell r="S157">
            <v>0</v>
          </cell>
          <cell r="T157">
            <v>10142867.819999993</v>
          </cell>
          <cell r="U157">
            <v>6199067</v>
          </cell>
          <cell r="V157">
            <v>5180935.1300000008</v>
          </cell>
          <cell r="W157">
            <v>9712252</v>
          </cell>
          <cell r="X157">
            <v>2445874.4899999998</v>
          </cell>
          <cell r="Y157">
            <v>3879252.3100000005</v>
          </cell>
          <cell r="Z157">
            <v>6205621.4400000004</v>
          </cell>
          <cell r="AA157">
            <v>1842408.17</v>
          </cell>
          <cell r="AB157">
            <v>8879202.9100000001</v>
          </cell>
          <cell r="AC157">
            <v>8963221.4000000004</v>
          </cell>
          <cell r="AD157">
            <v>1322346.2999999998</v>
          </cell>
          <cell r="AE157">
            <v>5076706.179999955</v>
          </cell>
          <cell r="AF157">
            <v>1387677.34</v>
          </cell>
          <cell r="AG157">
            <v>0</v>
          </cell>
        </row>
        <row r="158">
          <cell r="C158" t="str">
            <v>RIVERSIDE County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</row>
        <row r="159">
          <cell r="C159" t="str">
            <v>Beaumont</v>
          </cell>
          <cell r="D159"/>
          <cell r="E159">
            <v>0</v>
          </cell>
          <cell r="F159">
            <v>55331.67</v>
          </cell>
          <cell r="G159">
            <v>0</v>
          </cell>
          <cell r="H159">
            <v>907.3</v>
          </cell>
          <cell r="I159">
            <v>0</v>
          </cell>
          <cell r="J159">
            <v>4770</v>
          </cell>
          <cell r="K159">
            <v>0</v>
          </cell>
          <cell r="L159">
            <v>25489.709999999995</v>
          </cell>
          <cell r="M159">
            <v>0</v>
          </cell>
          <cell r="N159">
            <v>11799.19</v>
          </cell>
          <cell r="O159">
            <v>0</v>
          </cell>
          <cell r="P159">
            <v>499017.62000000034</v>
          </cell>
          <cell r="Q159">
            <v>605874</v>
          </cell>
          <cell r="R159">
            <v>-22511.370000000003</v>
          </cell>
          <cell r="S159">
            <v>0</v>
          </cell>
          <cell r="T159">
            <v>-1623.5799999999981</v>
          </cell>
          <cell r="U159">
            <v>0</v>
          </cell>
          <cell r="V159">
            <v>-147.88999999999999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</row>
        <row r="160">
          <cell r="C160" t="str">
            <v>Blythe</v>
          </cell>
          <cell r="D160"/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</row>
        <row r="161">
          <cell r="C161" t="str">
            <v>Calimesa</v>
          </cell>
          <cell r="D161"/>
          <cell r="E161">
            <v>0</v>
          </cell>
          <cell r="F161">
            <v>0</v>
          </cell>
          <cell r="G161">
            <v>0</v>
          </cell>
          <cell r="H161">
            <v>-1806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</row>
        <row r="162">
          <cell r="C162" t="str">
            <v>Canyon Lake</v>
          </cell>
          <cell r="D162"/>
          <cell r="E162">
            <v>0</v>
          </cell>
          <cell r="F162">
            <v>237.43</v>
          </cell>
          <cell r="G162">
            <v>0</v>
          </cell>
          <cell r="H162">
            <v>63310.65</v>
          </cell>
          <cell r="I162">
            <v>0</v>
          </cell>
          <cell r="J162">
            <v>28148</v>
          </cell>
          <cell r="K162">
            <v>0</v>
          </cell>
          <cell r="L162">
            <v>32124.35</v>
          </cell>
          <cell r="M162">
            <v>0</v>
          </cell>
          <cell r="N162">
            <v>9805.73</v>
          </cell>
          <cell r="O162">
            <v>0</v>
          </cell>
          <cell r="P162">
            <v>352391.87000000058</v>
          </cell>
          <cell r="Q162">
            <v>478821</v>
          </cell>
          <cell r="R162">
            <v>10539.360000000002</v>
          </cell>
          <cell r="S162">
            <v>0</v>
          </cell>
          <cell r="T162">
            <v>464.31999999999556</v>
          </cell>
          <cell r="U162">
            <v>0</v>
          </cell>
          <cell r="V162">
            <v>-968.73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C163" t="str">
            <v>Cathedral City</v>
          </cell>
          <cell r="D163"/>
          <cell r="E163">
            <v>0</v>
          </cell>
          <cell r="F163">
            <v>1265210.1300000001</v>
          </cell>
          <cell r="G163">
            <v>2357476</v>
          </cell>
          <cell r="H163">
            <v>86396.45</v>
          </cell>
          <cell r="I163">
            <v>0</v>
          </cell>
          <cell r="J163">
            <v>121515</v>
          </cell>
          <cell r="K163">
            <v>0</v>
          </cell>
          <cell r="L163">
            <v>721.9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9896.2099999999991</v>
          </cell>
          <cell r="AC163">
            <v>0</v>
          </cell>
          <cell r="AD163">
            <v>253832.10000000003</v>
          </cell>
          <cell r="AE163">
            <v>0</v>
          </cell>
          <cell r="AF163">
            <v>335843.49</v>
          </cell>
          <cell r="AG163">
            <v>616808.95999999996</v>
          </cell>
        </row>
        <row r="164">
          <cell r="C164" t="str">
            <v>Corona</v>
          </cell>
          <cell r="D164"/>
          <cell r="E164">
            <v>0</v>
          </cell>
          <cell r="F164">
            <v>7889.8</v>
          </cell>
          <cell r="G164">
            <v>0</v>
          </cell>
          <cell r="H164">
            <v>643.53</v>
          </cell>
          <cell r="I164">
            <v>0</v>
          </cell>
          <cell r="J164">
            <v>12431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156.82000000000002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-18742.190000000002</v>
          </cell>
          <cell r="AG164">
            <v>0</v>
          </cell>
        </row>
        <row r="165">
          <cell r="C165" t="str">
            <v>Desert Hot Springs</v>
          </cell>
          <cell r="D165"/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34976.93</v>
          </cell>
          <cell r="S165">
            <v>0</v>
          </cell>
          <cell r="T165">
            <v>15562.290000000005</v>
          </cell>
          <cell r="U165">
            <v>0</v>
          </cell>
          <cell r="V165">
            <v>43252.790000000008</v>
          </cell>
          <cell r="W165">
            <v>0</v>
          </cell>
          <cell r="X165">
            <v>848614.46</v>
          </cell>
          <cell r="Y165">
            <v>805929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</row>
        <row r="166">
          <cell r="C166" t="str">
            <v>Eastvale</v>
          </cell>
          <cell r="D166"/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</row>
        <row r="167">
          <cell r="C167" t="str">
            <v>Hemet</v>
          </cell>
          <cell r="D167"/>
          <cell r="E167">
            <v>0</v>
          </cell>
          <cell r="F167">
            <v>1620765.1800000002</v>
          </cell>
          <cell r="G167">
            <v>0</v>
          </cell>
          <cell r="H167">
            <v>181979.56</v>
          </cell>
          <cell r="I167">
            <v>0</v>
          </cell>
          <cell r="J167">
            <v>44409.590000000004</v>
          </cell>
          <cell r="K167">
            <v>0</v>
          </cell>
          <cell r="L167">
            <v>4225.7300000000005</v>
          </cell>
          <cell r="M167">
            <v>0</v>
          </cell>
          <cell r="N167">
            <v>-109437.31</v>
          </cell>
          <cell r="O167">
            <v>0</v>
          </cell>
          <cell r="P167">
            <v>14467.11</v>
          </cell>
          <cell r="Q167">
            <v>0</v>
          </cell>
          <cell r="R167">
            <v>956.40000000000055</v>
          </cell>
          <cell r="S167">
            <v>0</v>
          </cell>
          <cell r="T167">
            <v>1458.8500000000022</v>
          </cell>
          <cell r="U167">
            <v>0</v>
          </cell>
          <cell r="V167">
            <v>-39253.760000000002</v>
          </cell>
          <cell r="W167">
            <v>0</v>
          </cell>
          <cell r="X167">
            <v>0</v>
          </cell>
          <cell r="Y167">
            <v>0</v>
          </cell>
          <cell r="Z167">
            <v>-67.31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</row>
        <row r="168">
          <cell r="C168" t="str">
            <v>Indian Wells</v>
          </cell>
          <cell r="D168"/>
          <cell r="E168">
            <v>0</v>
          </cell>
          <cell r="F168">
            <v>7.23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1133.8499999999999</v>
          </cell>
          <cell r="O168">
            <v>0</v>
          </cell>
          <cell r="P168">
            <v>105909.97000000013</v>
          </cell>
          <cell r="Q168">
            <v>0</v>
          </cell>
          <cell r="R168">
            <v>32151.629999999994</v>
          </cell>
          <cell r="S168">
            <v>0</v>
          </cell>
          <cell r="T168">
            <v>1480580.0900000005</v>
          </cell>
          <cell r="U168">
            <v>1824468</v>
          </cell>
          <cell r="V168">
            <v>203295.96000000008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C169" t="str">
            <v>Jurupa Valley</v>
          </cell>
          <cell r="D169"/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C170" t="str">
            <v>Elsinore, Lake</v>
          </cell>
          <cell r="D170"/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26699.719999999994</v>
          </cell>
          <cell r="U170">
            <v>0</v>
          </cell>
          <cell r="V170">
            <v>58840.039999999986</v>
          </cell>
          <cell r="W170">
            <v>0</v>
          </cell>
          <cell r="X170">
            <v>45982.520000000011</v>
          </cell>
          <cell r="Y170">
            <v>0</v>
          </cell>
          <cell r="Z170">
            <v>1102322.0899999999</v>
          </cell>
          <cell r="AA170">
            <v>1267249.8199999998</v>
          </cell>
          <cell r="AB170">
            <v>-0.02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C171" t="str">
            <v>Menifee</v>
          </cell>
          <cell r="D171"/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C172" t="str">
            <v>Moreno Valley</v>
          </cell>
          <cell r="D172"/>
          <cell r="E172">
            <v>0</v>
          </cell>
          <cell r="F172">
            <v>36098.410000000003</v>
          </cell>
          <cell r="G172">
            <v>0</v>
          </cell>
          <cell r="H172">
            <v>-8964</v>
          </cell>
          <cell r="I172">
            <v>0</v>
          </cell>
          <cell r="J172">
            <v>1019.11</v>
          </cell>
          <cell r="K172">
            <v>0</v>
          </cell>
          <cell r="L172">
            <v>40455.19</v>
          </cell>
          <cell r="M172">
            <v>0</v>
          </cell>
          <cell r="N172">
            <v>1005222.55</v>
          </cell>
          <cell r="O172">
            <v>990929</v>
          </cell>
          <cell r="P172">
            <v>-30284.16</v>
          </cell>
          <cell r="Q172">
            <v>0</v>
          </cell>
          <cell r="R172">
            <v>33988.37000000001</v>
          </cell>
          <cell r="S172">
            <v>0</v>
          </cell>
          <cell r="T172">
            <v>42842.069999999956</v>
          </cell>
          <cell r="U172">
            <v>0</v>
          </cell>
          <cell r="V172">
            <v>818328.15000000037</v>
          </cell>
          <cell r="W172">
            <v>890159</v>
          </cell>
          <cell r="X172">
            <v>684.49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C173" t="str">
            <v>Murrieta</v>
          </cell>
          <cell r="D173"/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7914.9700000000021</v>
          </cell>
          <cell r="W173">
            <v>0</v>
          </cell>
          <cell r="X173">
            <v>22326.670000000002</v>
          </cell>
          <cell r="Y173">
            <v>0</v>
          </cell>
          <cell r="Z173">
            <v>355375.88</v>
          </cell>
          <cell r="AA173">
            <v>0</v>
          </cell>
          <cell r="AB173">
            <v>481856.72000000003</v>
          </cell>
          <cell r="AC173">
            <v>867757</v>
          </cell>
          <cell r="AD173">
            <v>3677.04</v>
          </cell>
          <cell r="AE173">
            <v>0</v>
          </cell>
          <cell r="AF173">
            <v>0</v>
          </cell>
          <cell r="AG173">
            <v>0</v>
          </cell>
        </row>
        <row r="174">
          <cell r="C174" t="str">
            <v>Norco</v>
          </cell>
          <cell r="D174"/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</row>
        <row r="175">
          <cell r="C175" t="str">
            <v>Palm Desert</v>
          </cell>
          <cell r="D175"/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</row>
        <row r="176">
          <cell r="C176" t="str">
            <v>Palm Springs</v>
          </cell>
          <cell r="D176"/>
          <cell r="E176">
            <v>0</v>
          </cell>
          <cell r="F176">
            <v>16128.339999999998</v>
          </cell>
          <cell r="G176">
            <v>0</v>
          </cell>
          <cell r="H176">
            <v>376372.43000000005</v>
          </cell>
          <cell r="I176">
            <v>0</v>
          </cell>
          <cell r="J176">
            <v>2166911.9899999998</v>
          </cell>
          <cell r="K176">
            <v>2410299</v>
          </cell>
          <cell r="L176">
            <v>-48483.919999999991</v>
          </cell>
          <cell r="M176">
            <v>0</v>
          </cell>
          <cell r="N176">
            <v>3710.6200000000072</v>
          </cell>
          <cell r="O176">
            <v>0</v>
          </cell>
          <cell r="P176">
            <v>-811.2800000000002</v>
          </cell>
          <cell r="Q176">
            <v>0</v>
          </cell>
          <cell r="R176">
            <v>5062.1500000000005</v>
          </cell>
          <cell r="S176">
            <v>0</v>
          </cell>
          <cell r="T176">
            <v>14104.189999999995</v>
          </cell>
          <cell r="U176">
            <v>0</v>
          </cell>
          <cell r="V176">
            <v>13664.280000000008</v>
          </cell>
          <cell r="W176">
            <v>0</v>
          </cell>
          <cell r="X176">
            <v>4761.3600000000006</v>
          </cell>
          <cell r="Y176">
            <v>0</v>
          </cell>
          <cell r="Z176">
            <v>6049.0599999999995</v>
          </cell>
          <cell r="AA176">
            <v>0</v>
          </cell>
          <cell r="AB176">
            <v>1038.58</v>
          </cell>
          <cell r="AC176">
            <v>0</v>
          </cell>
          <cell r="AD176">
            <v>880.82999999999993</v>
          </cell>
          <cell r="AE176">
            <v>0</v>
          </cell>
          <cell r="AF176">
            <v>1024.2</v>
          </cell>
          <cell r="AG176">
            <v>0</v>
          </cell>
        </row>
        <row r="177">
          <cell r="C177" t="str">
            <v>Perris</v>
          </cell>
          <cell r="D177"/>
          <cell r="E177">
            <v>0</v>
          </cell>
          <cell r="F177">
            <v>60429.79</v>
          </cell>
          <cell r="G177">
            <v>0</v>
          </cell>
          <cell r="H177">
            <v>54274.7</v>
          </cell>
          <cell r="I177">
            <v>0</v>
          </cell>
          <cell r="J177">
            <v>55205.100000000013</v>
          </cell>
          <cell r="K177">
            <v>0</v>
          </cell>
          <cell r="L177">
            <v>1442648.4100000001</v>
          </cell>
          <cell r="M177">
            <v>1642029</v>
          </cell>
          <cell r="N177">
            <v>1238.21</v>
          </cell>
          <cell r="O177">
            <v>0</v>
          </cell>
          <cell r="P177">
            <v>-998.09000000000015</v>
          </cell>
          <cell r="Q177">
            <v>0</v>
          </cell>
          <cell r="R177">
            <v>-2.2737367544323206E-13</v>
          </cell>
          <cell r="S177">
            <v>0</v>
          </cell>
          <cell r="T177">
            <v>-925.22999999999956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C178" t="str">
            <v>Rancho Mirage</v>
          </cell>
          <cell r="D178"/>
          <cell r="E178">
            <v>0</v>
          </cell>
          <cell r="F178">
            <v>7886.12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C179" t="str">
            <v>Riverside, City of</v>
          </cell>
          <cell r="D179"/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</row>
        <row r="180">
          <cell r="C180" t="str">
            <v>San Jacinto</v>
          </cell>
          <cell r="D180"/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256712.39</v>
          </cell>
          <cell r="M180">
            <v>0</v>
          </cell>
          <cell r="N180">
            <v>59267.94</v>
          </cell>
          <cell r="O180">
            <v>0</v>
          </cell>
          <cell r="P180">
            <v>77308</v>
          </cell>
          <cell r="Q180">
            <v>0</v>
          </cell>
          <cell r="R180">
            <v>840617.14999999991</v>
          </cell>
          <cell r="S180">
            <v>1237193</v>
          </cell>
          <cell r="T180">
            <v>9447.8300000000017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</row>
        <row r="181">
          <cell r="C181" t="str">
            <v>Temecula</v>
          </cell>
          <cell r="D181"/>
          <cell r="E181">
            <v>0</v>
          </cell>
          <cell r="F181">
            <v>0</v>
          </cell>
          <cell r="G181">
            <v>0</v>
          </cell>
          <cell r="H181">
            <v>131180.47</v>
          </cell>
          <cell r="I181">
            <v>0</v>
          </cell>
          <cell r="J181">
            <v>1100504.8800000001</v>
          </cell>
          <cell r="K181">
            <v>0</v>
          </cell>
          <cell r="L181">
            <v>15478.51</v>
          </cell>
          <cell r="M181">
            <v>0</v>
          </cell>
          <cell r="N181">
            <v>-5634.7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C182" t="str">
            <v>Wildomar</v>
          </cell>
          <cell r="D182"/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</row>
        <row r="183">
          <cell r="C183" t="str">
            <v>Unincorporated Riverside</v>
          </cell>
          <cell r="D183"/>
          <cell r="E183">
            <v>0</v>
          </cell>
          <cell r="F183">
            <v>416204.14</v>
          </cell>
          <cell r="G183">
            <v>0</v>
          </cell>
          <cell r="H183">
            <v>2621234.0300000003</v>
          </cell>
          <cell r="I183">
            <v>0</v>
          </cell>
          <cell r="J183">
            <v>925657.0399999998</v>
          </cell>
          <cell r="K183">
            <v>1100691</v>
          </cell>
          <cell r="L183">
            <v>1404192.47</v>
          </cell>
          <cell r="M183">
            <v>1100691</v>
          </cell>
          <cell r="N183">
            <v>75352.650000000081</v>
          </cell>
          <cell r="O183">
            <v>0</v>
          </cell>
          <cell r="P183">
            <v>372780.14999999997</v>
          </cell>
          <cell r="Q183">
            <v>0</v>
          </cell>
          <cell r="R183">
            <v>2904119.4599999981</v>
          </cell>
          <cell r="S183">
            <v>0</v>
          </cell>
          <cell r="T183">
            <v>2768685.7999999984</v>
          </cell>
          <cell r="U183">
            <v>6177222</v>
          </cell>
          <cell r="V183">
            <v>504136.75000000052</v>
          </cell>
          <cell r="W183">
            <v>1309414.82</v>
          </cell>
          <cell r="X183">
            <v>11197.16</v>
          </cell>
          <cell r="Y183">
            <v>0</v>
          </cell>
          <cell r="Z183">
            <v>336.07</v>
          </cell>
          <cell r="AA183">
            <v>0</v>
          </cell>
          <cell r="AB183">
            <v>-397.29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</row>
        <row r="184">
          <cell r="C184" t="str">
            <v>Riverside County Total</v>
          </cell>
          <cell r="D184"/>
          <cell r="E184"/>
          <cell r="F184">
            <v>3486188.2400000007</v>
          </cell>
          <cell r="G184">
            <v>2357476</v>
          </cell>
          <cell r="H184">
            <v>3505529.12</v>
          </cell>
          <cell r="I184">
            <v>0</v>
          </cell>
          <cell r="J184">
            <v>4460571.71</v>
          </cell>
          <cell r="K184">
            <v>3510990</v>
          </cell>
          <cell r="L184">
            <v>3173564.74</v>
          </cell>
          <cell r="M184">
            <v>2742720</v>
          </cell>
          <cell r="N184">
            <v>1052458.7300000002</v>
          </cell>
          <cell r="O184">
            <v>990929</v>
          </cell>
          <cell r="P184">
            <v>1389938.0100000009</v>
          </cell>
          <cell r="Q184">
            <v>1084695</v>
          </cell>
          <cell r="R184">
            <v>3839900.0799999982</v>
          </cell>
          <cell r="S184">
            <v>1237193</v>
          </cell>
          <cell r="T184">
            <v>4357296.3499999996</v>
          </cell>
          <cell r="U184">
            <v>8001690</v>
          </cell>
          <cell r="V184">
            <v>1609062.560000001</v>
          </cell>
          <cell r="W184">
            <v>2199573.8200000003</v>
          </cell>
          <cell r="X184">
            <v>933566.66</v>
          </cell>
          <cell r="Y184">
            <v>805929</v>
          </cell>
          <cell r="Z184">
            <v>1464015.7899999998</v>
          </cell>
          <cell r="AA184">
            <v>1267249.8199999998</v>
          </cell>
          <cell r="AB184">
            <v>492394.20000000007</v>
          </cell>
          <cell r="AC184">
            <v>867757</v>
          </cell>
          <cell r="AD184">
            <v>258389.97000000003</v>
          </cell>
          <cell r="AE184">
            <v>0</v>
          </cell>
          <cell r="AF184">
            <v>318125.5</v>
          </cell>
          <cell r="AG184">
            <v>616808.95999999996</v>
          </cell>
        </row>
        <row r="185">
          <cell r="C185" t="str">
            <v>SAN BERNARDINO County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</row>
        <row r="186">
          <cell r="C186" t="str">
            <v>Adelanto</v>
          </cell>
          <cell r="D186"/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28972.65</v>
          </cell>
          <cell r="M186">
            <v>0</v>
          </cell>
          <cell r="N186">
            <v>12713.57</v>
          </cell>
          <cell r="O186">
            <v>0</v>
          </cell>
          <cell r="P186">
            <v>508096.54000000132</v>
          </cell>
          <cell r="Q186">
            <v>575354</v>
          </cell>
          <cell r="R186">
            <v>25161.379999999994</v>
          </cell>
          <cell r="S186">
            <v>0</v>
          </cell>
          <cell r="T186">
            <v>-5840.54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</row>
        <row r="187">
          <cell r="C187" t="str">
            <v>Apple Valley</v>
          </cell>
          <cell r="D187"/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28649.89</v>
          </cell>
          <cell r="Q187">
            <v>0</v>
          </cell>
          <cell r="R187">
            <v>83708.600000000006</v>
          </cell>
          <cell r="S187">
            <v>0</v>
          </cell>
          <cell r="T187">
            <v>1846100.2100000035</v>
          </cell>
          <cell r="U187">
            <v>1937644.46</v>
          </cell>
          <cell r="V187">
            <v>476657.39000000025</v>
          </cell>
          <cell r="W187">
            <v>614563.76000000024</v>
          </cell>
          <cell r="X187">
            <v>44918.86</v>
          </cell>
          <cell r="Y187">
            <v>0</v>
          </cell>
          <cell r="Z187">
            <v>9300.17</v>
          </cell>
          <cell r="AA187">
            <v>0</v>
          </cell>
          <cell r="AB187">
            <v>66100.789999999994</v>
          </cell>
          <cell r="AC187">
            <v>0</v>
          </cell>
          <cell r="AD187">
            <v>444.94</v>
          </cell>
          <cell r="AE187">
            <v>0</v>
          </cell>
          <cell r="AF187">
            <v>0</v>
          </cell>
          <cell r="AG187">
            <v>0</v>
          </cell>
        </row>
        <row r="188">
          <cell r="C188" t="str">
            <v>Banning</v>
          </cell>
          <cell r="D188"/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</row>
        <row r="189">
          <cell r="C189" t="str">
            <v>Barstow</v>
          </cell>
          <cell r="D189"/>
          <cell r="E189">
            <v>0</v>
          </cell>
          <cell r="F189">
            <v>7840.6699999999992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38648.380000000012</v>
          </cell>
          <cell r="W189">
            <v>0</v>
          </cell>
          <cell r="X189">
            <v>24514.77</v>
          </cell>
          <cell r="Y189">
            <v>0</v>
          </cell>
          <cell r="Z189">
            <v>4071.12</v>
          </cell>
          <cell r="AA189">
            <v>0</v>
          </cell>
          <cell r="AB189">
            <v>-9185.4300000000112</v>
          </cell>
          <cell r="AC189">
            <v>0</v>
          </cell>
          <cell r="AD189">
            <v>189728.21</v>
          </cell>
          <cell r="AE189">
            <v>0</v>
          </cell>
          <cell r="AF189">
            <v>13486.050000000001</v>
          </cell>
          <cell r="AG189">
            <v>0</v>
          </cell>
        </row>
        <row r="190">
          <cell r="C190" t="str">
            <v>Chino</v>
          </cell>
          <cell r="D190"/>
          <cell r="E190">
            <v>0</v>
          </cell>
          <cell r="F190">
            <v>0</v>
          </cell>
          <cell r="G190">
            <v>0</v>
          </cell>
          <cell r="H190">
            <v>63564.5</v>
          </cell>
          <cell r="I190">
            <v>0</v>
          </cell>
          <cell r="J190">
            <v>140209.98000000001</v>
          </cell>
          <cell r="K190">
            <v>0</v>
          </cell>
          <cell r="L190">
            <v>16035.28</v>
          </cell>
          <cell r="M190">
            <v>0</v>
          </cell>
          <cell r="N190">
            <v>4638.4799999999814</v>
          </cell>
          <cell r="O190">
            <v>0</v>
          </cell>
          <cell r="P190">
            <v>782370.94000000064</v>
          </cell>
          <cell r="Q190">
            <v>690676</v>
          </cell>
          <cell r="R190">
            <v>157801.21999999997</v>
          </cell>
          <cell r="S190">
            <v>474455</v>
          </cell>
          <cell r="T190">
            <v>0</v>
          </cell>
          <cell r="U190">
            <v>0</v>
          </cell>
          <cell r="V190">
            <v>-719.56999999999994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2937.15</v>
          </cell>
          <cell r="AE190">
            <v>0</v>
          </cell>
          <cell r="AF190">
            <v>0</v>
          </cell>
          <cell r="AG190">
            <v>0</v>
          </cell>
        </row>
        <row r="191">
          <cell r="C191" t="str">
            <v>Chino Hills</v>
          </cell>
          <cell r="D191"/>
          <cell r="E191">
            <v>0</v>
          </cell>
          <cell r="F191">
            <v>878489.27</v>
          </cell>
          <cell r="G191">
            <v>0</v>
          </cell>
          <cell r="H191">
            <v>1449361.33</v>
          </cell>
          <cell r="I191">
            <v>388652</v>
          </cell>
          <cell r="J191">
            <v>44292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</row>
        <row r="192">
          <cell r="C192" t="str">
            <v>Colton</v>
          </cell>
          <cell r="D192"/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</row>
        <row r="193">
          <cell r="C193" t="str">
            <v>Fontana</v>
          </cell>
          <cell r="D193"/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110740</v>
          </cell>
          <cell r="K193">
            <v>0</v>
          </cell>
          <cell r="L193">
            <v>93569.87999999999</v>
          </cell>
          <cell r="M193">
            <v>0</v>
          </cell>
          <cell r="N193">
            <v>1060328.1000000001</v>
          </cell>
          <cell r="O193">
            <v>0</v>
          </cell>
          <cell r="P193">
            <v>387047.10000000044</v>
          </cell>
          <cell r="Q193">
            <v>1652316</v>
          </cell>
          <cell r="R193">
            <v>12.559999999999995</v>
          </cell>
          <cell r="S193">
            <v>0</v>
          </cell>
          <cell r="T193">
            <v>0</v>
          </cell>
          <cell r="U193">
            <v>0</v>
          </cell>
          <cell r="V193">
            <v>-3207.92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4838.04</v>
          </cell>
          <cell r="AG193">
            <v>0</v>
          </cell>
        </row>
        <row r="194">
          <cell r="C194" t="str">
            <v>Grand Terrace</v>
          </cell>
          <cell r="D194"/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</row>
        <row r="195">
          <cell r="C195" t="str">
            <v>Hesperia</v>
          </cell>
          <cell r="D195"/>
          <cell r="E195">
            <v>0</v>
          </cell>
          <cell r="F195">
            <v>59767.67</v>
          </cell>
          <cell r="G195">
            <v>0</v>
          </cell>
          <cell r="H195">
            <v>282657.71999999997</v>
          </cell>
          <cell r="I195">
            <v>0</v>
          </cell>
          <cell r="J195">
            <v>1583720.68</v>
          </cell>
          <cell r="K195">
            <v>1887247.5999999996</v>
          </cell>
          <cell r="L195">
            <v>-41788.190000000541</v>
          </cell>
          <cell r="M195">
            <v>0</v>
          </cell>
          <cell r="N195">
            <v>26606.75</v>
          </cell>
          <cell r="O195">
            <v>0</v>
          </cell>
          <cell r="P195">
            <v>959429.79999999935</v>
          </cell>
          <cell r="Q195">
            <v>0</v>
          </cell>
          <cell r="R195">
            <v>331986.5900000002</v>
          </cell>
          <cell r="S195">
            <v>1334145</v>
          </cell>
          <cell r="T195">
            <v>5446.510000000002</v>
          </cell>
          <cell r="U195">
            <v>0</v>
          </cell>
          <cell r="V195">
            <v>-1741.29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</row>
        <row r="196">
          <cell r="C196" t="str">
            <v>Highland</v>
          </cell>
          <cell r="D196"/>
          <cell r="E196">
            <v>0</v>
          </cell>
          <cell r="F196">
            <v>160929.4</v>
          </cell>
          <cell r="G196">
            <v>0</v>
          </cell>
          <cell r="H196">
            <v>726242.89</v>
          </cell>
          <cell r="I196">
            <v>0</v>
          </cell>
          <cell r="J196">
            <v>77700.59</v>
          </cell>
          <cell r="K196">
            <v>1034793</v>
          </cell>
          <cell r="L196">
            <v>-13428.63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</row>
        <row r="197">
          <cell r="C197" t="str">
            <v>Loma Linda</v>
          </cell>
          <cell r="D197"/>
          <cell r="E197">
            <v>0</v>
          </cell>
          <cell r="F197">
            <v>89832.313999999998</v>
          </cell>
          <cell r="G197">
            <v>0</v>
          </cell>
          <cell r="H197">
            <v>68523.439999999988</v>
          </cell>
          <cell r="I197">
            <v>0</v>
          </cell>
          <cell r="J197">
            <v>783081.01</v>
          </cell>
          <cell r="K197">
            <v>962235</v>
          </cell>
          <cell r="L197">
            <v>142199.29</v>
          </cell>
          <cell r="M197">
            <v>0</v>
          </cell>
          <cell r="N197">
            <v>462.61</v>
          </cell>
          <cell r="O197">
            <v>0</v>
          </cell>
          <cell r="P197">
            <v>-139671.33000000002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</row>
        <row r="198">
          <cell r="C198" t="str">
            <v>Montclair</v>
          </cell>
          <cell r="D198"/>
          <cell r="E198">
            <v>0</v>
          </cell>
          <cell r="F198">
            <v>65314.75</v>
          </cell>
          <cell r="G198">
            <v>0</v>
          </cell>
          <cell r="H198">
            <v>69452.319999999992</v>
          </cell>
          <cell r="I198">
            <v>0</v>
          </cell>
          <cell r="J198">
            <v>422448</v>
          </cell>
          <cell r="K198">
            <v>0</v>
          </cell>
          <cell r="L198">
            <v>728303.08</v>
          </cell>
          <cell r="M198">
            <v>970870</v>
          </cell>
          <cell r="N198">
            <v>731126.39000000013</v>
          </cell>
          <cell r="O198">
            <v>1018040</v>
          </cell>
          <cell r="P198">
            <v>-19625.28</v>
          </cell>
          <cell r="Q198">
            <v>0</v>
          </cell>
          <cell r="R198">
            <v>-711.54000000000087</v>
          </cell>
          <cell r="S198">
            <v>0</v>
          </cell>
          <cell r="T198">
            <v>-2180.9499999999998</v>
          </cell>
          <cell r="U198">
            <v>0</v>
          </cell>
          <cell r="V198">
            <v>0</v>
          </cell>
          <cell r="W198">
            <v>0</v>
          </cell>
          <cell r="X198">
            <v>3063.85</v>
          </cell>
          <cell r="Y198">
            <v>0</v>
          </cell>
          <cell r="Z198">
            <v>55133.259999999995</v>
          </cell>
          <cell r="AA198">
            <v>0</v>
          </cell>
          <cell r="AB198">
            <v>-1490.7500000000018</v>
          </cell>
          <cell r="AC198">
            <v>0</v>
          </cell>
          <cell r="AD198">
            <v>467185.3</v>
          </cell>
          <cell r="AE198">
            <v>0</v>
          </cell>
          <cell r="AF198">
            <v>222993.17000000004</v>
          </cell>
          <cell r="AG198">
            <v>0</v>
          </cell>
        </row>
        <row r="199">
          <cell r="C199" t="str">
            <v>Ontario</v>
          </cell>
          <cell r="D199"/>
          <cell r="E199">
            <v>0</v>
          </cell>
          <cell r="F199">
            <v>198257.24</v>
          </cell>
          <cell r="G199">
            <v>0</v>
          </cell>
          <cell r="H199">
            <v>71591.88</v>
          </cell>
          <cell r="I199">
            <v>0</v>
          </cell>
          <cell r="J199">
            <v>89626.089999999982</v>
          </cell>
          <cell r="K199">
            <v>0</v>
          </cell>
          <cell r="L199">
            <v>570640.20000000007</v>
          </cell>
          <cell r="M199">
            <v>0</v>
          </cell>
          <cell r="N199">
            <v>1099955.72</v>
          </cell>
          <cell r="O199">
            <v>0</v>
          </cell>
          <cell r="P199">
            <v>1479190.46</v>
          </cell>
          <cell r="Q199">
            <v>0</v>
          </cell>
          <cell r="R199">
            <v>1124316.1800000006</v>
          </cell>
          <cell r="S199">
            <v>3460992.91</v>
          </cell>
          <cell r="T199">
            <v>-104.00000000000007</v>
          </cell>
          <cell r="U199">
            <v>0</v>
          </cell>
          <cell r="V199">
            <v>0</v>
          </cell>
          <cell r="W199">
            <v>0</v>
          </cell>
          <cell r="X199">
            <v>-1463.09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</row>
        <row r="200">
          <cell r="C200" t="str">
            <v>Rancho Cucamonga</v>
          </cell>
          <cell r="D200"/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87751.51</v>
          </cell>
          <cell r="Y200">
            <v>0</v>
          </cell>
          <cell r="Z200">
            <v>138987.29999999999</v>
          </cell>
          <cell r="AA200">
            <v>0</v>
          </cell>
          <cell r="AB200">
            <v>21850.010000000002</v>
          </cell>
          <cell r="AC200">
            <v>0</v>
          </cell>
          <cell r="AD200">
            <v>35798.839999999997</v>
          </cell>
          <cell r="AE200">
            <v>0</v>
          </cell>
          <cell r="AF200">
            <v>1744555.5</v>
          </cell>
          <cell r="AG200">
            <v>0</v>
          </cell>
        </row>
        <row r="201">
          <cell r="C201" t="str">
            <v>Redlands</v>
          </cell>
          <cell r="D201"/>
          <cell r="E201">
            <v>0</v>
          </cell>
          <cell r="F201">
            <v>652127.85000000009</v>
          </cell>
          <cell r="G201">
            <v>0</v>
          </cell>
          <cell r="H201">
            <v>62262.390000000021</v>
          </cell>
          <cell r="I201">
            <v>0</v>
          </cell>
          <cell r="J201">
            <v>3150.8800000000047</v>
          </cell>
          <cell r="K201">
            <v>0</v>
          </cell>
          <cell r="L201">
            <v>663208.23999999987</v>
          </cell>
          <cell r="M201">
            <v>747296</v>
          </cell>
          <cell r="N201">
            <v>-27669.969999999994</v>
          </cell>
          <cell r="O201">
            <v>0</v>
          </cell>
          <cell r="P201">
            <v>30.650000000000034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64308.520000000004</v>
          </cell>
          <cell r="AG201">
            <v>0</v>
          </cell>
        </row>
        <row r="202">
          <cell r="C202" t="str">
            <v>Rialto</v>
          </cell>
          <cell r="D202"/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179862.43</v>
          </cell>
          <cell r="M202">
            <v>0</v>
          </cell>
          <cell r="N202">
            <v>1533814.57</v>
          </cell>
          <cell r="O202">
            <v>0</v>
          </cell>
          <cell r="P202">
            <v>206174.72999999998</v>
          </cell>
          <cell r="Q202">
            <v>1732160</v>
          </cell>
          <cell r="R202">
            <v>-216951.18</v>
          </cell>
          <cell r="S202">
            <v>0</v>
          </cell>
          <cell r="T202">
            <v>2044.73</v>
          </cell>
          <cell r="U202">
            <v>0</v>
          </cell>
          <cell r="V202">
            <v>1716.08</v>
          </cell>
          <cell r="W202">
            <v>0</v>
          </cell>
          <cell r="X202">
            <v>34517.090000000004</v>
          </cell>
          <cell r="Y202">
            <v>0</v>
          </cell>
          <cell r="Z202">
            <v>7951.84</v>
          </cell>
          <cell r="AA202">
            <v>0</v>
          </cell>
          <cell r="AB202">
            <v>29409.71</v>
          </cell>
          <cell r="AC202">
            <v>0</v>
          </cell>
          <cell r="AD202">
            <v>2358.3599999999997</v>
          </cell>
          <cell r="AE202">
            <v>0</v>
          </cell>
          <cell r="AF202">
            <v>578.94000000000005</v>
          </cell>
          <cell r="AG202">
            <v>0</v>
          </cell>
        </row>
        <row r="203">
          <cell r="C203" t="str">
            <v>San Bernardino</v>
          </cell>
          <cell r="D203"/>
          <cell r="E203">
            <v>0</v>
          </cell>
          <cell r="F203">
            <v>854086.85000000009</v>
          </cell>
          <cell r="G203">
            <v>0</v>
          </cell>
          <cell r="H203">
            <v>442186.81</v>
          </cell>
          <cell r="I203">
            <v>0</v>
          </cell>
          <cell r="J203">
            <v>312385.86</v>
          </cell>
          <cell r="K203">
            <v>1274526</v>
          </cell>
          <cell r="L203">
            <v>928790.82000000007</v>
          </cell>
          <cell r="M203">
            <v>1274526</v>
          </cell>
          <cell r="N203">
            <v>20493.540000000005</v>
          </cell>
          <cell r="O203">
            <v>0</v>
          </cell>
          <cell r="P203">
            <v>120225.86999999998</v>
          </cell>
          <cell r="Q203">
            <v>0</v>
          </cell>
          <cell r="R203">
            <v>1010213.4999999994</v>
          </cell>
          <cell r="S203">
            <v>1198257</v>
          </cell>
          <cell r="T203">
            <v>124376.51000000015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54812.68</v>
          </cell>
          <cell r="AG203">
            <v>0</v>
          </cell>
        </row>
        <row r="204">
          <cell r="C204" t="str">
            <v>Twentynine Palms</v>
          </cell>
          <cell r="D204"/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39964.75</v>
          </cell>
          <cell r="Y204">
            <v>0</v>
          </cell>
          <cell r="Z204">
            <v>10771.84</v>
          </cell>
          <cell r="AA204">
            <v>0</v>
          </cell>
          <cell r="AB204">
            <v>0</v>
          </cell>
          <cell r="AC204">
            <v>0</v>
          </cell>
          <cell r="AD204">
            <v>-46757.640000000007</v>
          </cell>
          <cell r="AE204">
            <v>0</v>
          </cell>
          <cell r="AF204">
            <v>5882.4500000000007</v>
          </cell>
          <cell r="AG204">
            <v>0</v>
          </cell>
        </row>
        <row r="205">
          <cell r="C205" t="str">
            <v>Upland</v>
          </cell>
          <cell r="D205"/>
          <cell r="E205">
            <v>0</v>
          </cell>
          <cell r="F205">
            <v>0</v>
          </cell>
          <cell r="G205">
            <v>0</v>
          </cell>
          <cell r="H205">
            <v>285.51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</row>
        <row r="206">
          <cell r="C206" t="str">
            <v>Victorville</v>
          </cell>
          <cell r="D206"/>
          <cell r="E206">
            <v>0</v>
          </cell>
          <cell r="F206">
            <v>16678.39</v>
          </cell>
          <cell r="G206">
            <v>0</v>
          </cell>
          <cell r="H206">
            <v>27326.579999999991</v>
          </cell>
          <cell r="I206">
            <v>0</v>
          </cell>
          <cell r="J206">
            <v>292106.5</v>
          </cell>
          <cell r="K206">
            <v>1300537</v>
          </cell>
          <cell r="L206">
            <v>1011990.5999999999</v>
          </cell>
          <cell r="M206">
            <v>1300537</v>
          </cell>
          <cell r="N206">
            <v>-79700.959999999992</v>
          </cell>
          <cell r="O206">
            <v>0</v>
          </cell>
          <cell r="P206">
            <v>0</v>
          </cell>
          <cell r="Q206">
            <v>0</v>
          </cell>
          <cell r="R206">
            <v>65.190000000000055</v>
          </cell>
          <cell r="S206">
            <v>0</v>
          </cell>
          <cell r="T206">
            <v>3407.0900000000011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</row>
        <row r="207">
          <cell r="C207" t="str">
            <v>Yucaipa</v>
          </cell>
          <cell r="D207"/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</row>
        <row r="208">
          <cell r="C208" t="str">
            <v>Yucca Valley</v>
          </cell>
          <cell r="D208"/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</row>
        <row r="209">
          <cell r="C209" t="str">
            <v>Unincorporated San Bernardino</v>
          </cell>
          <cell r="D209"/>
          <cell r="E209">
            <v>0</v>
          </cell>
          <cell r="F209">
            <v>1424903.6099999996</v>
          </cell>
          <cell r="G209">
            <v>0</v>
          </cell>
          <cell r="H209">
            <v>325261.12</v>
          </cell>
          <cell r="I209">
            <v>0</v>
          </cell>
          <cell r="J209">
            <v>120903.11999999998</v>
          </cell>
          <cell r="K209">
            <v>0</v>
          </cell>
          <cell r="L209">
            <v>244772</v>
          </cell>
          <cell r="M209">
            <v>0</v>
          </cell>
          <cell r="N209">
            <v>13693.199999999968</v>
          </cell>
          <cell r="O209">
            <v>0</v>
          </cell>
          <cell r="P209">
            <v>176691.02000000008</v>
          </cell>
          <cell r="Q209">
            <v>0</v>
          </cell>
          <cell r="R209">
            <v>2837177.6799999978</v>
          </cell>
          <cell r="S209">
            <v>0</v>
          </cell>
          <cell r="T209">
            <v>2648552.5700000008</v>
          </cell>
          <cell r="U209">
            <v>5428307</v>
          </cell>
          <cell r="V209">
            <v>-18353.490000000085</v>
          </cell>
          <cell r="W209">
            <v>0</v>
          </cell>
          <cell r="X209">
            <v>29868.81</v>
          </cell>
          <cell r="Y209">
            <v>0</v>
          </cell>
          <cell r="Z209">
            <v>35251.64</v>
          </cell>
          <cell r="AA209">
            <v>0</v>
          </cell>
          <cell r="AB209">
            <v>46035.16</v>
          </cell>
          <cell r="AC209">
            <v>0</v>
          </cell>
          <cell r="AD209">
            <v>54777.27</v>
          </cell>
          <cell r="AE209">
            <v>0</v>
          </cell>
          <cell r="AF209">
            <v>1857877.9</v>
          </cell>
          <cell r="AG209">
            <v>2002885.6300000001</v>
          </cell>
        </row>
        <row r="210">
          <cell r="C210" t="str">
            <v>San Bernardino County Total</v>
          </cell>
          <cell r="D210"/>
          <cell r="E210"/>
          <cell r="F210">
            <v>4408228.0139999995</v>
          </cell>
          <cell r="G210">
            <v>0</v>
          </cell>
          <cell r="H210">
            <v>3588716.4899999998</v>
          </cell>
          <cell r="I210">
            <v>388652</v>
          </cell>
          <cell r="J210">
            <v>3980364.7099999995</v>
          </cell>
          <cell r="K210">
            <v>6459338.5999999996</v>
          </cell>
          <cell r="L210">
            <v>4553127.6499999994</v>
          </cell>
          <cell r="M210">
            <v>4293229</v>
          </cell>
          <cell r="N210">
            <v>4396462</v>
          </cell>
          <cell r="O210">
            <v>1018040</v>
          </cell>
          <cell r="P210">
            <v>4488610.3900000025</v>
          </cell>
          <cell r="Q210">
            <v>4650506</v>
          </cell>
          <cell r="R210">
            <v>5352780.1799999978</v>
          </cell>
          <cell r="S210">
            <v>6467849.9100000001</v>
          </cell>
          <cell r="T210">
            <v>4621802.1300000045</v>
          </cell>
          <cell r="U210">
            <v>7365951.46</v>
          </cell>
          <cell r="V210">
            <v>492999.58000000019</v>
          </cell>
          <cell r="W210">
            <v>614563.76000000024</v>
          </cell>
          <cell r="X210">
            <v>263136.55000000005</v>
          </cell>
          <cell r="Y210">
            <v>0</v>
          </cell>
          <cell r="Z210">
            <v>261467.16999999998</v>
          </cell>
          <cell r="AA210">
            <v>0</v>
          </cell>
          <cell r="AB210">
            <v>152719.49</v>
          </cell>
          <cell r="AC210">
            <v>0</v>
          </cell>
          <cell r="AD210">
            <v>706472.42999999993</v>
          </cell>
          <cell r="AE210">
            <v>0</v>
          </cell>
          <cell r="AF210">
            <v>3969333.25</v>
          </cell>
          <cell r="AG210">
            <v>2002885.6300000001</v>
          </cell>
        </row>
        <row r="211">
          <cell r="C211" t="str">
            <v>SAN DIEGO County</v>
          </cell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</row>
        <row r="212">
          <cell r="C212" t="str">
            <v>Unincorporated San Diego</v>
          </cell>
          <cell r="D212"/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</row>
        <row r="213">
          <cell r="C213" t="str">
            <v>San Diego County Total</v>
          </cell>
          <cell r="D213"/>
          <cell r="E213"/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</row>
        <row r="214">
          <cell r="C214" t="str">
            <v>SANTA BARBARA County</v>
          </cell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</row>
        <row r="215">
          <cell r="C215" t="str">
            <v>Carpinteria</v>
          </cell>
          <cell r="D215"/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</row>
        <row r="216">
          <cell r="C216" t="str">
            <v>Goleta</v>
          </cell>
          <cell r="D216"/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</row>
        <row r="217">
          <cell r="C217" t="str">
            <v>Santa Barbara</v>
          </cell>
          <cell r="D217"/>
          <cell r="E217">
            <v>0</v>
          </cell>
          <cell r="F217">
            <v>61966.18</v>
          </cell>
          <cell r="G217">
            <v>0</v>
          </cell>
          <cell r="H217">
            <v>233669.47</v>
          </cell>
          <cell r="I217">
            <v>0</v>
          </cell>
          <cell r="J217">
            <v>313390.77999999997</v>
          </cell>
          <cell r="K217">
            <v>0</v>
          </cell>
          <cell r="L217">
            <v>1089399.77</v>
          </cell>
          <cell r="M217">
            <v>0</v>
          </cell>
          <cell r="N217">
            <v>3602878.3100000005</v>
          </cell>
          <cell r="O217">
            <v>5188642</v>
          </cell>
          <cell r="P217">
            <v>-47608.95</v>
          </cell>
          <cell r="Q217">
            <v>0</v>
          </cell>
          <cell r="R217">
            <v>4830.17</v>
          </cell>
          <cell r="S217">
            <v>0</v>
          </cell>
          <cell r="T217">
            <v>-39055.279999999999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</row>
        <row r="218">
          <cell r="C218" t="str">
            <v>Unincorporated Santa Barbara</v>
          </cell>
          <cell r="D218"/>
          <cell r="E218">
            <v>0</v>
          </cell>
          <cell r="F218">
            <v>565535.90999999992</v>
          </cell>
          <cell r="G218">
            <v>0</v>
          </cell>
          <cell r="H218">
            <v>1916405.1599999997</v>
          </cell>
          <cell r="I218">
            <v>0</v>
          </cell>
          <cell r="J218">
            <v>1871390.6099999999</v>
          </cell>
          <cell r="K218">
            <v>0</v>
          </cell>
          <cell r="L218">
            <v>-595627.64</v>
          </cell>
          <cell r="M218">
            <v>0</v>
          </cell>
          <cell r="N218">
            <v>46632.68</v>
          </cell>
          <cell r="O218">
            <v>0</v>
          </cell>
          <cell r="P218">
            <v>-18365.740000000005</v>
          </cell>
          <cell r="Q218">
            <v>0</v>
          </cell>
          <cell r="R218">
            <v>3424.3700000000003</v>
          </cell>
          <cell r="S218">
            <v>0</v>
          </cell>
          <cell r="T218">
            <v>19507.690000000002</v>
          </cell>
          <cell r="U218">
            <v>0</v>
          </cell>
          <cell r="V218">
            <v>27581.77</v>
          </cell>
          <cell r="W218">
            <v>0</v>
          </cell>
          <cell r="X218">
            <v>14472.22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62036.5</v>
          </cell>
          <cell r="AG218">
            <v>0</v>
          </cell>
        </row>
        <row r="219">
          <cell r="C219" t="str">
            <v>Santa Barbara County Total</v>
          </cell>
          <cell r="D219"/>
          <cell r="E219"/>
          <cell r="F219">
            <v>627502.09</v>
          </cell>
          <cell r="G219">
            <v>0</v>
          </cell>
          <cell r="H219">
            <v>2150074.63</v>
          </cell>
          <cell r="I219">
            <v>0</v>
          </cell>
          <cell r="J219">
            <v>2184781.3899999997</v>
          </cell>
          <cell r="K219">
            <v>0</v>
          </cell>
          <cell r="L219">
            <v>493772.13</v>
          </cell>
          <cell r="M219">
            <v>0</v>
          </cell>
          <cell r="N219">
            <v>3649510.9900000007</v>
          </cell>
          <cell r="O219">
            <v>5188642</v>
          </cell>
          <cell r="P219">
            <v>-65974.69</v>
          </cell>
          <cell r="Q219">
            <v>0</v>
          </cell>
          <cell r="R219">
            <v>8254.5400000000009</v>
          </cell>
          <cell r="S219">
            <v>0</v>
          </cell>
          <cell r="T219">
            <v>-19547.589999999997</v>
          </cell>
          <cell r="U219">
            <v>0</v>
          </cell>
          <cell r="V219">
            <v>27581.77</v>
          </cell>
          <cell r="W219">
            <v>0</v>
          </cell>
          <cell r="X219">
            <v>14472.22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62036.5</v>
          </cell>
          <cell r="AG219">
            <v>0</v>
          </cell>
        </row>
        <row r="220">
          <cell r="C220" t="str">
            <v>TULARE County</v>
          </cell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</row>
        <row r="221">
          <cell r="C221" t="str">
            <v>Exeter</v>
          </cell>
          <cell r="D221"/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80214.700000000012</v>
          </cell>
          <cell r="M221">
            <v>0</v>
          </cell>
          <cell r="N221">
            <v>32640.58</v>
          </cell>
          <cell r="O221">
            <v>0</v>
          </cell>
          <cell r="P221">
            <v>817211.09000000008</v>
          </cell>
          <cell r="Q221">
            <v>936103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</row>
        <row r="222">
          <cell r="C222" t="str">
            <v>Farmersville</v>
          </cell>
          <cell r="D222"/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</row>
        <row r="223">
          <cell r="C223" t="str">
            <v>Lindsay</v>
          </cell>
          <cell r="D223"/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</row>
        <row r="224">
          <cell r="C224" t="str">
            <v>Porterville</v>
          </cell>
          <cell r="D224"/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</row>
        <row r="225">
          <cell r="C225" t="str">
            <v>Tulare</v>
          </cell>
          <cell r="D225"/>
          <cell r="E225">
            <v>0</v>
          </cell>
          <cell r="F225">
            <v>766843.65</v>
          </cell>
          <cell r="G225">
            <v>0</v>
          </cell>
          <cell r="H225">
            <v>38347.43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</row>
        <row r="226">
          <cell r="C226" t="str">
            <v>Visalia</v>
          </cell>
          <cell r="D226"/>
          <cell r="E226">
            <v>0</v>
          </cell>
          <cell r="F226">
            <v>70075.070000000007</v>
          </cell>
          <cell r="G226">
            <v>0</v>
          </cell>
          <cell r="H226">
            <v>8223.0299999999934</v>
          </cell>
          <cell r="I226">
            <v>0</v>
          </cell>
          <cell r="J226">
            <v>173183.07</v>
          </cell>
          <cell r="K226">
            <v>0</v>
          </cell>
          <cell r="L226">
            <v>30993.879999999994</v>
          </cell>
          <cell r="M226">
            <v>0</v>
          </cell>
          <cell r="N226">
            <v>75127.859999999986</v>
          </cell>
          <cell r="O226">
            <v>0</v>
          </cell>
          <cell r="P226">
            <v>1238125.0100000009</v>
          </cell>
          <cell r="Q226">
            <v>0</v>
          </cell>
          <cell r="R226">
            <v>56376.33</v>
          </cell>
          <cell r="S226">
            <v>1679730</v>
          </cell>
          <cell r="T226">
            <v>2290.0299999999997</v>
          </cell>
          <cell r="U226">
            <v>0</v>
          </cell>
          <cell r="V226">
            <v>121431.77000000006</v>
          </cell>
          <cell r="W226">
            <v>0</v>
          </cell>
          <cell r="X226">
            <v>11365.499999999998</v>
          </cell>
          <cell r="Y226">
            <v>0</v>
          </cell>
          <cell r="Z226">
            <v>9469.42</v>
          </cell>
          <cell r="AA226">
            <v>0</v>
          </cell>
          <cell r="AB226">
            <v>2814679.7699999996</v>
          </cell>
          <cell r="AC226">
            <v>2999304.34</v>
          </cell>
          <cell r="AD226">
            <v>-15126.169999999995</v>
          </cell>
          <cell r="AE226">
            <v>0</v>
          </cell>
          <cell r="AF226">
            <v>0</v>
          </cell>
          <cell r="AG226">
            <v>0</v>
          </cell>
        </row>
        <row r="227">
          <cell r="C227" t="str">
            <v>Woodlake</v>
          </cell>
          <cell r="D227"/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</row>
        <row r="228">
          <cell r="C228" t="str">
            <v>Unincorporated Tulare</v>
          </cell>
          <cell r="D228"/>
          <cell r="E228">
            <v>3584834</v>
          </cell>
          <cell r="F228">
            <v>40664.22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</row>
        <row r="229">
          <cell r="C229" t="str">
            <v>Tulare County Total</v>
          </cell>
          <cell r="D229"/>
          <cell r="E229"/>
          <cell r="F229">
            <v>877582.94</v>
          </cell>
          <cell r="G229">
            <v>0</v>
          </cell>
          <cell r="H229">
            <v>46570.459999999992</v>
          </cell>
          <cell r="I229">
            <v>0</v>
          </cell>
          <cell r="J229">
            <v>173183.07</v>
          </cell>
          <cell r="K229">
            <v>0</v>
          </cell>
          <cell r="L229">
            <v>111208.58</v>
          </cell>
          <cell r="M229">
            <v>0</v>
          </cell>
          <cell r="N229">
            <v>107768.43999999999</v>
          </cell>
          <cell r="O229">
            <v>0</v>
          </cell>
          <cell r="P229">
            <v>2055336.100000001</v>
          </cell>
          <cell r="Q229">
            <v>936103</v>
          </cell>
          <cell r="R229">
            <v>56376.33</v>
          </cell>
          <cell r="S229">
            <v>1679730</v>
          </cell>
          <cell r="T229">
            <v>2290.0299999999997</v>
          </cell>
          <cell r="U229">
            <v>0</v>
          </cell>
          <cell r="V229">
            <v>121431.77000000006</v>
          </cell>
          <cell r="W229">
            <v>0</v>
          </cell>
          <cell r="X229">
            <v>11365.499999999998</v>
          </cell>
          <cell r="Y229">
            <v>0</v>
          </cell>
          <cell r="Z229">
            <v>9469.42</v>
          </cell>
          <cell r="AA229">
            <v>0</v>
          </cell>
          <cell r="AB229">
            <v>2814679.7699999996</v>
          </cell>
          <cell r="AC229">
            <v>2999304.34</v>
          </cell>
          <cell r="AD229">
            <v>-15126.169999999995</v>
          </cell>
          <cell r="AE229">
            <v>0</v>
          </cell>
          <cell r="AF229">
            <v>0</v>
          </cell>
          <cell r="AG229">
            <v>0</v>
          </cell>
        </row>
        <row r="230">
          <cell r="C230" t="str">
            <v>TUOLUMNE County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</row>
        <row r="231">
          <cell r="C231" t="str">
            <v>Unincorporated Tuolomne</v>
          </cell>
          <cell r="D231"/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</row>
        <row r="232">
          <cell r="C232" t="str">
            <v>Tuolumne County Total</v>
          </cell>
          <cell r="D232"/>
          <cell r="E232"/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</row>
        <row r="233">
          <cell r="C233" t="str">
            <v>VENTURA County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</row>
        <row r="234">
          <cell r="C234" t="str">
            <v>Camarillo</v>
          </cell>
          <cell r="D234"/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94468.01999999999</v>
          </cell>
          <cell r="AA234">
            <v>0</v>
          </cell>
          <cell r="AB234">
            <v>7745.6500000000005</v>
          </cell>
          <cell r="AC234">
            <v>0</v>
          </cell>
          <cell r="AD234">
            <v>84607.33</v>
          </cell>
          <cell r="AE234">
            <v>0</v>
          </cell>
          <cell r="AF234">
            <v>6982.95</v>
          </cell>
          <cell r="AG234">
            <v>0</v>
          </cell>
        </row>
        <row r="235">
          <cell r="C235" t="str">
            <v>Fillmore</v>
          </cell>
          <cell r="D235"/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</row>
        <row r="236">
          <cell r="C236" t="str">
            <v>Moorpark</v>
          </cell>
          <cell r="D236"/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</row>
        <row r="237">
          <cell r="C237" t="str">
            <v>Ojai</v>
          </cell>
          <cell r="D237"/>
          <cell r="E237">
            <v>1012090</v>
          </cell>
          <cell r="F237">
            <v>45332.960000000006</v>
          </cell>
          <cell r="G237">
            <v>0</v>
          </cell>
          <cell r="H237">
            <v>991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</row>
        <row r="238">
          <cell r="C238" t="str">
            <v>Oxnard</v>
          </cell>
          <cell r="D238"/>
          <cell r="E238">
            <v>0</v>
          </cell>
          <cell r="F238">
            <v>794684.5</v>
          </cell>
          <cell r="G238">
            <v>0</v>
          </cell>
          <cell r="H238">
            <v>583454.95000000007</v>
          </cell>
          <cell r="I238">
            <v>0</v>
          </cell>
          <cell r="J238">
            <v>11986.230000000014</v>
          </cell>
          <cell r="K238">
            <v>1644152.4</v>
          </cell>
          <cell r="L238">
            <v>-4598.93</v>
          </cell>
          <cell r="M238">
            <v>0</v>
          </cell>
          <cell r="N238">
            <v>0</v>
          </cell>
          <cell r="O238">
            <v>0</v>
          </cell>
          <cell r="P238">
            <v>87075.44</v>
          </cell>
          <cell r="Q238">
            <v>0</v>
          </cell>
          <cell r="R238">
            <v>101234.06999999992</v>
          </cell>
          <cell r="S238">
            <v>0</v>
          </cell>
          <cell r="T238">
            <v>927267.66999999981</v>
          </cell>
          <cell r="U238">
            <v>0</v>
          </cell>
          <cell r="V238">
            <v>758894.92999999877</v>
          </cell>
          <cell r="W238">
            <v>0</v>
          </cell>
          <cell r="X238">
            <v>166278.34999999998</v>
          </cell>
          <cell r="Y238">
            <v>1924621.95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</row>
        <row r="239">
          <cell r="C239" t="str">
            <v>Port Hueneme</v>
          </cell>
          <cell r="D239"/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44155.98000000001</v>
          </cell>
          <cell r="S239">
            <v>0</v>
          </cell>
          <cell r="T239">
            <v>49500.439999999937</v>
          </cell>
          <cell r="U239">
            <v>0</v>
          </cell>
          <cell r="V239">
            <v>240534.35000000006</v>
          </cell>
          <cell r="W239">
            <v>0</v>
          </cell>
          <cell r="X239">
            <v>943719.19000000006</v>
          </cell>
          <cell r="Y239">
            <v>1093393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</row>
        <row r="240">
          <cell r="C240" t="str">
            <v>Santa Paula</v>
          </cell>
          <cell r="D240"/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7899.55</v>
          </cell>
          <cell r="K240">
            <v>0</v>
          </cell>
          <cell r="L240">
            <v>49392.93</v>
          </cell>
          <cell r="M240">
            <v>0</v>
          </cell>
          <cell r="N240">
            <v>26296.34</v>
          </cell>
          <cell r="O240">
            <v>0</v>
          </cell>
          <cell r="P240">
            <v>32003.499999999996</v>
          </cell>
          <cell r="Q240">
            <v>0</v>
          </cell>
          <cell r="R240">
            <v>39692.139999999992</v>
          </cell>
          <cell r="S240">
            <v>0</v>
          </cell>
          <cell r="T240">
            <v>619836.0999999987</v>
          </cell>
          <cell r="U240">
            <v>0</v>
          </cell>
          <cell r="V240">
            <v>406739.30000000005</v>
          </cell>
          <cell r="W240">
            <v>1156796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</row>
        <row r="241">
          <cell r="C241" t="str">
            <v>Simi Valley</v>
          </cell>
          <cell r="D241"/>
          <cell r="E241">
            <v>1248941</v>
          </cell>
          <cell r="F241">
            <v>2103358.41</v>
          </cell>
          <cell r="G241">
            <v>0</v>
          </cell>
          <cell r="H241">
            <v>1671861.94</v>
          </cell>
          <cell r="I241">
            <v>1082713</v>
          </cell>
          <cell r="J241">
            <v>1032747</v>
          </cell>
          <cell r="K241">
            <v>0</v>
          </cell>
          <cell r="L241">
            <v>687.45000000000073</v>
          </cell>
          <cell r="M241">
            <v>0</v>
          </cell>
          <cell r="N241">
            <v>2226.8599999999997</v>
          </cell>
          <cell r="O241">
            <v>0</v>
          </cell>
          <cell r="P241">
            <v>2189.5000000000005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</row>
        <row r="242">
          <cell r="C242" t="str">
            <v>Thousand Oaks</v>
          </cell>
          <cell r="D242"/>
          <cell r="E242">
            <v>5138153</v>
          </cell>
          <cell r="F242">
            <v>3636.01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</row>
        <row r="243">
          <cell r="C243" t="str">
            <v>Ventura</v>
          </cell>
          <cell r="D243"/>
          <cell r="E243">
            <v>0</v>
          </cell>
          <cell r="F243">
            <v>203.49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</row>
        <row r="244">
          <cell r="C244" t="str">
            <v>Unincorporated Ventura</v>
          </cell>
          <cell r="D244"/>
          <cell r="E244">
            <v>892333</v>
          </cell>
          <cell r="F244">
            <v>80693.13</v>
          </cell>
          <cell r="G244">
            <v>0</v>
          </cell>
          <cell r="H244">
            <v>483238.78999999992</v>
          </cell>
          <cell r="I244">
            <v>0</v>
          </cell>
          <cell r="J244">
            <v>294689.37</v>
          </cell>
          <cell r="K244">
            <v>0</v>
          </cell>
          <cell r="L244">
            <v>724092.68</v>
          </cell>
          <cell r="M244">
            <v>0</v>
          </cell>
          <cell r="N244">
            <v>2748199.87</v>
          </cell>
          <cell r="O244">
            <v>4503016</v>
          </cell>
          <cell r="P244">
            <v>18277.39000000001</v>
          </cell>
          <cell r="Q244">
            <v>0</v>
          </cell>
          <cell r="R244">
            <v>881.99999999999989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</row>
        <row r="245">
          <cell r="C245" t="str">
            <v>Ventura County Total</v>
          </cell>
          <cell r="D245"/>
          <cell r="E245"/>
          <cell r="F245">
            <v>3027908.5</v>
          </cell>
          <cell r="G245">
            <v>0</v>
          </cell>
          <cell r="H245">
            <v>2739546.68</v>
          </cell>
          <cell r="I245">
            <v>1082713</v>
          </cell>
          <cell r="J245">
            <v>1347322.15</v>
          </cell>
          <cell r="K245">
            <v>1644152.4</v>
          </cell>
          <cell r="L245">
            <v>769574.13</v>
          </cell>
          <cell r="M245">
            <v>0</v>
          </cell>
          <cell r="N245">
            <v>2776723.0700000003</v>
          </cell>
          <cell r="O245">
            <v>4503016</v>
          </cell>
          <cell r="P245">
            <v>139545.83000000002</v>
          </cell>
          <cell r="Q245">
            <v>0</v>
          </cell>
          <cell r="R245">
            <v>185964.18999999992</v>
          </cell>
          <cell r="S245">
            <v>0</v>
          </cell>
          <cell r="T245">
            <v>1596604.2099999986</v>
          </cell>
          <cell r="U245">
            <v>0</v>
          </cell>
          <cell r="V245">
            <v>1406168.5799999989</v>
          </cell>
          <cell r="W245">
            <v>1156796</v>
          </cell>
          <cell r="X245">
            <v>1109997.54</v>
          </cell>
          <cell r="Y245">
            <v>3018014.95</v>
          </cell>
          <cell r="Z245">
            <v>94468.01999999999</v>
          </cell>
          <cell r="AA245">
            <v>0</v>
          </cell>
          <cell r="AB245">
            <v>7745.6500000000005</v>
          </cell>
          <cell r="AC245">
            <v>0</v>
          </cell>
          <cell r="AD245">
            <v>84607.33</v>
          </cell>
          <cell r="AE245">
            <v>0</v>
          </cell>
          <cell r="AF245">
            <v>6982.95</v>
          </cell>
          <cell r="AG245">
            <v>0</v>
          </cell>
        </row>
        <row r="246"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>
            <v>0</v>
          </cell>
          <cell r="Z246"/>
          <cell r="AA246"/>
          <cell r="AB246"/>
          <cell r="AC246"/>
          <cell r="AD246"/>
          <cell r="AE246"/>
          <cell r="AF246"/>
          <cell r="AG246"/>
        </row>
        <row r="247">
          <cell r="R247"/>
          <cell r="S247"/>
          <cell r="U247"/>
        </row>
        <row r="248">
          <cell r="R248"/>
          <cell r="S248"/>
          <cell r="U248"/>
        </row>
        <row r="249">
          <cell r="R249"/>
          <cell r="S249"/>
          <cell r="U249"/>
        </row>
        <row r="250">
          <cell r="C250" t="str">
            <v xml:space="preserve">SCE Totals </v>
          </cell>
          <cell r="D250"/>
          <cell r="E250"/>
          <cell r="F250">
            <v>40006620.693999991</v>
          </cell>
          <cell r="G250">
            <v>16443071.59</v>
          </cell>
          <cell r="H250">
            <v>35967282.870000012</v>
          </cell>
          <cell r="I250">
            <v>31469698.780000001</v>
          </cell>
          <cell r="J250">
            <v>28221762.719999999</v>
          </cell>
          <cell r="K250">
            <v>38533892</v>
          </cell>
          <cell r="L250">
            <v>33711305.300000004</v>
          </cell>
          <cell r="M250">
            <v>18252221</v>
          </cell>
          <cell r="N250">
            <v>23694281.250000007</v>
          </cell>
          <cell r="O250">
            <v>29603822.609999999</v>
          </cell>
          <cell r="P250">
            <v>28246803.169999965</v>
          </cell>
          <cell r="Q250">
            <v>35268318</v>
          </cell>
          <cell r="R250">
            <v>17807524.329999991</v>
          </cell>
          <cell r="S250">
            <v>24192851.18</v>
          </cell>
          <cell r="T250">
            <v>34890683.759999976</v>
          </cell>
          <cell r="U250">
            <v>27704558.460000001</v>
          </cell>
          <cell r="V250">
            <v>20951459.399999969</v>
          </cell>
          <cell r="W250">
            <v>26442940.579999998</v>
          </cell>
          <cell r="X250">
            <v>11472766.060000004</v>
          </cell>
          <cell r="Y250">
            <v>17335197.48</v>
          </cell>
          <cell r="Z250">
            <v>20936003.660000008</v>
          </cell>
          <cell r="AA250">
            <v>17725866.219999924</v>
          </cell>
          <cell r="AB250">
            <v>17869801.169999998</v>
          </cell>
          <cell r="AC250">
            <v>14098100.550000001</v>
          </cell>
          <cell r="AD250">
            <v>9117426.3499999959</v>
          </cell>
          <cell r="AE250">
            <v>7399956.6099999528</v>
          </cell>
          <cell r="AF250">
            <v>13946497.349999998</v>
          </cell>
          <cell r="AG250">
            <v>9112305.8800000008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Allocations and Borrow"/>
      <sheetName val="2020 Annual Allocation"/>
      <sheetName val="2019 Alloc_Expend Sum"/>
    </sheetNames>
    <sheetDataSet>
      <sheetData sheetId="0"/>
      <sheetData sheetId="1">
        <row r="4">
          <cell r="A4" t="str">
            <v>Adelanto</v>
          </cell>
          <cell r="B4">
            <v>963.07738680490729</v>
          </cell>
        </row>
        <row r="5">
          <cell r="A5" t="str">
            <v>Agoura Hills</v>
          </cell>
          <cell r="B5">
            <v>23592.462730351363</v>
          </cell>
        </row>
        <row r="6">
          <cell r="A6" t="str">
            <v>Alhambra</v>
          </cell>
          <cell r="B6">
            <v>251196.48368771555</v>
          </cell>
        </row>
        <row r="7">
          <cell r="A7" t="str">
            <v>Aliso Viejo</v>
          </cell>
          <cell r="B7">
            <v>31094.257307994456</v>
          </cell>
        </row>
        <row r="8">
          <cell r="A8" t="str">
            <v>Anaheim</v>
          </cell>
          <cell r="B8">
            <v>7.0691136726419757</v>
          </cell>
        </row>
        <row r="9">
          <cell r="A9" t="str">
            <v>Apple Valley</v>
          </cell>
          <cell r="B9">
            <v>87907.176862449793</v>
          </cell>
        </row>
        <row r="10">
          <cell r="A10" t="str">
            <v>Arcadia</v>
          </cell>
          <cell r="B10">
            <v>159978.27764345799</v>
          </cell>
        </row>
        <row r="11">
          <cell r="A11" t="str">
            <v>Artesia</v>
          </cell>
          <cell r="B11">
            <v>35563.438198989781</v>
          </cell>
        </row>
        <row r="12">
          <cell r="A12" t="str">
            <v>Avalon</v>
          </cell>
          <cell r="B12">
            <v>11600.322447653562</v>
          </cell>
        </row>
        <row r="13">
          <cell r="A13" t="str">
            <v>Azusa</v>
          </cell>
          <cell r="B13">
            <v>5775.8296415378945</v>
          </cell>
        </row>
        <row r="14">
          <cell r="A14" t="str">
            <v>Baldwin Park</v>
          </cell>
          <cell r="B14">
            <v>117891.09669265286</v>
          </cell>
        </row>
        <row r="15">
          <cell r="A15" t="str">
            <v>Banning</v>
          </cell>
          <cell r="B15">
            <v>226.60883221079811</v>
          </cell>
        </row>
        <row r="16">
          <cell r="A16" t="str">
            <v>Barstow</v>
          </cell>
          <cell r="B16">
            <v>41461.358867862946</v>
          </cell>
        </row>
        <row r="17">
          <cell r="A17" t="str">
            <v>Beaumont</v>
          </cell>
          <cell r="B17">
            <v>194.44740906113293</v>
          </cell>
        </row>
        <row r="18">
          <cell r="A18" t="str">
            <v>Bell</v>
          </cell>
          <cell r="B18">
            <v>77543.135596649779</v>
          </cell>
        </row>
        <row r="19">
          <cell r="A19" t="str">
            <v>Bell Gardens</v>
          </cell>
          <cell r="B19">
            <v>78722.961409252108</v>
          </cell>
        </row>
        <row r="20">
          <cell r="A20" t="str">
            <v>Bellflower</v>
          </cell>
          <cell r="B20">
            <v>170657.30440082334</v>
          </cell>
        </row>
        <row r="21">
          <cell r="A21" t="str">
            <v>Beverly Hills</v>
          </cell>
          <cell r="B21">
            <v>114409.90248031489</v>
          </cell>
        </row>
        <row r="22">
          <cell r="A22" t="str">
            <v>Bishop</v>
          </cell>
          <cell r="B22">
            <v>2251.7899727597469</v>
          </cell>
        </row>
        <row r="23">
          <cell r="A23" t="str">
            <v>Blythe</v>
          </cell>
          <cell r="B23">
            <v>13278.594706539443</v>
          </cell>
        </row>
        <row r="24">
          <cell r="A24" t="str">
            <v>Bradbury</v>
          </cell>
          <cell r="B24">
            <v>3044.8896230336291</v>
          </cell>
        </row>
        <row r="25">
          <cell r="A25" t="str">
            <v>Brea</v>
          </cell>
          <cell r="B25">
            <v>49285.231447897982</v>
          </cell>
        </row>
        <row r="26">
          <cell r="A26" t="str">
            <v>Buena Park</v>
          </cell>
          <cell r="B26">
            <v>155101.16846783122</v>
          </cell>
        </row>
        <row r="27">
          <cell r="A27" t="str">
            <v>Calabasas</v>
          </cell>
          <cell r="B27">
            <v>15183.634062395053</v>
          </cell>
        </row>
        <row r="28">
          <cell r="A28" t="str">
            <v>California City</v>
          </cell>
          <cell r="B28">
            <v>10482.321112854474</v>
          </cell>
        </row>
        <row r="29">
          <cell r="A29" t="str">
            <v>Calimesa</v>
          </cell>
          <cell r="B29">
            <v>8921.9800832735855</v>
          </cell>
        </row>
        <row r="30">
          <cell r="A30" t="str">
            <v>Camarillo</v>
          </cell>
          <cell r="B30">
            <v>51295.255324273938</v>
          </cell>
        </row>
        <row r="31">
          <cell r="A31" t="str">
            <v>Canyon Lake</v>
          </cell>
          <cell r="B31">
            <v>5118.2879491516887</v>
          </cell>
        </row>
        <row r="32">
          <cell r="A32" t="str">
            <v>Carpinteria</v>
          </cell>
          <cell r="B32">
            <v>2860.5061740366364</v>
          </cell>
        </row>
        <row r="33">
          <cell r="A33" t="str">
            <v>Carson</v>
          </cell>
          <cell r="B33">
            <v>157146.59527679248</v>
          </cell>
        </row>
        <row r="34">
          <cell r="A34" t="str">
            <v>Cathedral City</v>
          </cell>
          <cell r="B34">
            <v>63445.246086521314</v>
          </cell>
        </row>
        <row r="35">
          <cell r="A35" t="str">
            <v>Cerritos</v>
          </cell>
          <cell r="B35">
            <v>45562.693865192836</v>
          </cell>
        </row>
        <row r="36">
          <cell r="A36" t="str">
            <v>Chino</v>
          </cell>
          <cell r="B36">
            <v>50575.208176056753</v>
          </cell>
        </row>
        <row r="37">
          <cell r="A37" t="str">
            <v>Chino Hills</v>
          </cell>
          <cell r="B37">
            <v>0</v>
          </cell>
        </row>
        <row r="38">
          <cell r="A38" t="str">
            <v>Claremont</v>
          </cell>
          <cell r="B38">
            <v>61820.207140245766</v>
          </cell>
        </row>
        <row r="39">
          <cell r="A39" t="str">
            <v>Colton</v>
          </cell>
          <cell r="B39">
            <v>434.46693936692645</v>
          </cell>
        </row>
        <row r="40">
          <cell r="A40" t="str">
            <v>Commerce</v>
          </cell>
          <cell r="B40">
            <v>40668.987383012514</v>
          </cell>
        </row>
        <row r="41">
          <cell r="A41" t="str">
            <v>Compton</v>
          </cell>
          <cell r="B41">
            <v>192773.7636530376</v>
          </cell>
        </row>
        <row r="42">
          <cell r="A42" t="str">
            <v>Corona</v>
          </cell>
          <cell r="B42">
            <v>72018.710626214568</v>
          </cell>
        </row>
        <row r="43">
          <cell r="A43" t="str">
            <v>Costa Mesa</v>
          </cell>
          <cell r="B43">
            <v>208285.81879278336</v>
          </cell>
        </row>
        <row r="44">
          <cell r="A44" t="str">
            <v>Covina</v>
          </cell>
          <cell r="B44">
            <v>114248.54047537637</v>
          </cell>
        </row>
        <row r="45">
          <cell r="A45" t="str">
            <v>Cudahy</v>
          </cell>
          <cell r="B45">
            <v>40888.587159052942</v>
          </cell>
        </row>
        <row r="46">
          <cell r="A46" t="str">
            <v>Culver City</v>
          </cell>
          <cell r="B46">
            <v>110990.034624105</v>
          </cell>
        </row>
        <row r="47">
          <cell r="A47" t="str">
            <v>Cypress</v>
          </cell>
          <cell r="B47">
            <v>60305.532638717879</v>
          </cell>
        </row>
        <row r="48">
          <cell r="A48" t="str">
            <v>Delano</v>
          </cell>
          <cell r="B48">
            <v>30382.013322639454</v>
          </cell>
        </row>
        <row r="49">
          <cell r="A49" t="str">
            <v>Desert Hot Springs</v>
          </cell>
          <cell r="B49">
            <v>34531.9432840109</v>
          </cell>
        </row>
        <row r="50">
          <cell r="A50" t="str">
            <v>Diamond Bar</v>
          </cell>
          <cell r="B50">
            <v>57350.598997975525</v>
          </cell>
        </row>
        <row r="51">
          <cell r="A51" t="str">
            <v>Downey</v>
          </cell>
          <cell r="B51">
            <v>283704.80060867575</v>
          </cell>
        </row>
        <row r="52">
          <cell r="A52" t="str">
            <v>Duarte</v>
          </cell>
          <cell r="B52">
            <v>33196.165684878928</v>
          </cell>
        </row>
        <row r="53">
          <cell r="A53" t="str">
            <v>Eastvale</v>
          </cell>
          <cell r="B53">
            <v>27581.470539557151</v>
          </cell>
        </row>
        <row r="54">
          <cell r="A54" t="str">
            <v>El Monte</v>
          </cell>
          <cell r="B54">
            <v>215979.75865191905</v>
          </cell>
        </row>
        <row r="55">
          <cell r="A55" t="str">
            <v>El Segundo</v>
          </cell>
          <cell r="B55">
            <v>65922.167087157708</v>
          </cell>
        </row>
        <row r="56">
          <cell r="A56" t="str">
            <v>Elsinore, Lake</v>
          </cell>
          <cell r="B56">
            <v>0</v>
          </cell>
        </row>
        <row r="57">
          <cell r="A57" t="str">
            <v>Exeter</v>
          </cell>
          <cell r="B57">
            <v>16287.509181893867</v>
          </cell>
        </row>
        <row r="58">
          <cell r="A58" t="str">
            <v>Farmersville</v>
          </cell>
          <cell r="B58">
            <v>8716.4562854792766</v>
          </cell>
        </row>
        <row r="59">
          <cell r="A59" t="str">
            <v>Fillmore</v>
          </cell>
          <cell r="B59">
            <v>14884.55742750822</v>
          </cell>
        </row>
        <row r="60">
          <cell r="A60" t="str">
            <v>Fontana</v>
          </cell>
          <cell r="B60">
            <v>65264.773877909465</v>
          </cell>
        </row>
        <row r="61">
          <cell r="A61" t="str">
            <v>Fountain Valley</v>
          </cell>
          <cell r="B61">
            <v>68978.464190096391</v>
          </cell>
        </row>
        <row r="62">
          <cell r="A62" t="str">
            <v>Fullerton</v>
          </cell>
          <cell r="B62">
            <v>201874.03290565376</v>
          </cell>
        </row>
        <row r="63">
          <cell r="A63" t="str">
            <v>Garden Grove</v>
          </cell>
          <cell r="B63">
            <v>316496.87795291067</v>
          </cell>
        </row>
        <row r="64">
          <cell r="A64" t="str">
            <v>Gardena</v>
          </cell>
          <cell r="B64">
            <v>154741.82489745639</v>
          </cell>
        </row>
        <row r="65">
          <cell r="A65" t="str">
            <v>Glendale</v>
          </cell>
          <cell r="B65">
            <v>3820.2505854834089</v>
          </cell>
        </row>
        <row r="66">
          <cell r="A66" t="str">
            <v>Glendora</v>
          </cell>
          <cell r="B66">
            <v>105138.38426240723</v>
          </cell>
        </row>
        <row r="67">
          <cell r="A67" t="str">
            <v>Goleta</v>
          </cell>
          <cell r="B67">
            <v>42113.690044594361</v>
          </cell>
        </row>
        <row r="68">
          <cell r="A68" t="str">
            <v>Grand Terrace</v>
          </cell>
          <cell r="B68">
            <v>9337.5366173027014</v>
          </cell>
        </row>
        <row r="69">
          <cell r="A69" t="str">
            <v>Hanford</v>
          </cell>
          <cell r="B69">
            <v>47183.025845663942</v>
          </cell>
        </row>
        <row r="70">
          <cell r="A70" t="str">
            <v>Hawaiian Gardens</v>
          </cell>
          <cell r="B70">
            <v>23517.236177476327</v>
          </cell>
        </row>
        <row r="71">
          <cell r="A71" t="str">
            <v>Hawthorne</v>
          </cell>
          <cell r="B71">
            <v>185616.52289026824</v>
          </cell>
        </row>
        <row r="72">
          <cell r="A72" t="str">
            <v>Hemet</v>
          </cell>
          <cell r="B72">
            <v>35256.889996595899</v>
          </cell>
        </row>
        <row r="73">
          <cell r="A73" t="str">
            <v>Hermosa Beach</v>
          </cell>
          <cell r="B73">
            <v>82669.527604724775</v>
          </cell>
        </row>
        <row r="74">
          <cell r="A74" t="str">
            <v>Hesperia</v>
          </cell>
          <cell r="B74">
            <v>83726.199560546753</v>
          </cell>
        </row>
        <row r="75">
          <cell r="A75" t="str">
            <v>Hidden Hills</v>
          </cell>
          <cell r="B75">
            <v>4012.5946248855271</v>
          </cell>
        </row>
        <row r="76">
          <cell r="A76" t="str">
            <v>Highland</v>
          </cell>
          <cell r="B76">
            <v>47416.682260896356</v>
          </cell>
        </row>
        <row r="77">
          <cell r="A77" t="str">
            <v>Huntington Beach</v>
          </cell>
          <cell r="B77">
            <v>297005.7514208756</v>
          </cell>
        </row>
        <row r="78">
          <cell r="A78" t="str">
            <v>Huntington Park</v>
          </cell>
          <cell r="B78">
            <v>120787.37601229401</v>
          </cell>
        </row>
        <row r="79">
          <cell r="A79" t="str">
            <v>Indian Wells</v>
          </cell>
          <cell r="B79">
            <v>5653.7524510790554</v>
          </cell>
        </row>
        <row r="80">
          <cell r="A80" t="str">
            <v>Industry</v>
          </cell>
          <cell r="B80">
            <v>9946.9372388606644</v>
          </cell>
        </row>
        <row r="81">
          <cell r="A81" t="str">
            <v>Inglewood</v>
          </cell>
          <cell r="B81">
            <v>325361.43535684905</v>
          </cell>
        </row>
        <row r="82">
          <cell r="A82" t="str">
            <v>Irvine</v>
          </cell>
          <cell r="B82">
            <v>0</v>
          </cell>
        </row>
        <row r="83">
          <cell r="A83" t="str">
            <v>Irwindale</v>
          </cell>
          <cell r="B83">
            <v>7154.2077556142376</v>
          </cell>
        </row>
        <row r="84">
          <cell r="A84" t="str">
            <v>Jurupa Valley</v>
          </cell>
          <cell r="B84">
            <v>0</v>
          </cell>
        </row>
        <row r="85">
          <cell r="A85" t="str">
            <v>La Canada-Flintridge</v>
          </cell>
          <cell r="B85">
            <v>56866.132251630232</v>
          </cell>
        </row>
        <row r="86">
          <cell r="A86" t="str">
            <v>La Habra</v>
          </cell>
          <cell r="B86">
            <v>103127.42960702081</v>
          </cell>
        </row>
        <row r="87">
          <cell r="A87" t="str">
            <v>La Habra Heights</v>
          </cell>
          <cell r="B87">
            <v>13471.110971924223</v>
          </cell>
        </row>
        <row r="88">
          <cell r="A88" t="str">
            <v>La Mirada</v>
          </cell>
          <cell r="B88">
            <v>89082.447325716639</v>
          </cell>
        </row>
        <row r="89">
          <cell r="A89" t="str">
            <v>La Palma</v>
          </cell>
          <cell r="B89">
            <v>14421.707161486054</v>
          </cell>
        </row>
        <row r="90">
          <cell r="A90" t="str">
            <v>La Puente</v>
          </cell>
          <cell r="B90">
            <v>67328.977923879793</v>
          </cell>
        </row>
        <row r="91">
          <cell r="A91" t="str">
            <v>La Verne</v>
          </cell>
          <cell r="B91">
            <v>38290.285198556783</v>
          </cell>
        </row>
        <row r="92">
          <cell r="A92" t="str">
            <v>Laguna Beach</v>
          </cell>
          <cell r="B92">
            <v>67874.246274820121</v>
          </cell>
        </row>
        <row r="93">
          <cell r="A93" t="str">
            <v>Laguna Hills</v>
          </cell>
          <cell r="B93">
            <v>0</v>
          </cell>
        </row>
        <row r="94">
          <cell r="A94" t="str">
            <v>Laguna Niguel</v>
          </cell>
          <cell r="B94">
            <v>5258.8458450991448</v>
          </cell>
        </row>
        <row r="95">
          <cell r="A95" t="str">
            <v>Laguna Woods</v>
          </cell>
          <cell r="B95">
            <v>11748.5937618959</v>
          </cell>
        </row>
        <row r="96">
          <cell r="A96" t="str">
            <v>Lake Forest</v>
          </cell>
          <cell r="B96">
            <v>0</v>
          </cell>
        </row>
        <row r="97">
          <cell r="A97" t="str">
            <v>Lakewood</v>
          </cell>
          <cell r="B97">
            <v>202159.58182157352</v>
          </cell>
        </row>
        <row r="98">
          <cell r="A98" t="str">
            <v>Lancaster</v>
          </cell>
          <cell r="B98">
            <v>117758.01506305445</v>
          </cell>
        </row>
        <row r="99">
          <cell r="A99" t="str">
            <v>Lawndale</v>
          </cell>
          <cell r="B99">
            <v>78225.06501149504</v>
          </cell>
        </row>
        <row r="100">
          <cell r="A100" t="str">
            <v>Lindsay</v>
          </cell>
          <cell r="B100">
            <v>15322.155715846486</v>
          </cell>
        </row>
        <row r="101">
          <cell r="A101" t="str">
            <v>Loma Linda</v>
          </cell>
          <cell r="B101">
            <v>21044.753633740162</v>
          </cell>
        </row>
        <row r="102">
          <cell r="A102" t="str">
            <v>Lomita</v>
          </cell>
          <cell r="B102">
            <v>58904.060027425941</v>
          </cell>
        </row>
        <row r="103">
          <cell r="A103" t="str">
            <v>Long Beach</v>
          </cell>
          <cell r="B103">
            <v>1185280.286574044</v>
          </cell>
        </row>
        <row r="104">
          <cell r="A104" t="str">
            <v>Los Alamitos</v>
          </cell>
          <cell r="B104">
            <v>33135.468545555268</v>
          </cell>
        </row>
        <row r="105">
          <cell r="A105" t="str">
            <v>Los Angeles, City of</v>
          </cell>
          <cell r="B105">
            <v>2149.8139040223232</v>
          </cell>
        </row>
        <row r="106">
          <cell r="A106" t="str">
            <v>Lynwood</v>
          </cell>
          <cell r="B106">
            <v>130460.92782264046</v>
          </cell>
        </row>
        <row r="107">
          <cell r="A107" t="str">
            <v>Malibu</v>
          </cell>
          <cell r="B107">
            <v>27814.52569766892</v>
          </cell>
        </row>
        <row r="108">
          <cell r="A108" t="str">
            <v>Mammoth Lakes</v>
          </cell>
          <cell r="B108">
            <v>25386.286281487806</v>
          </cell>
        </row>
        <row r="109">
          <cell r="A109" t="str">
            <v>Manhattan Beach</v>
          </cell>
          <cell r="B109">
            <v>130356.10020618142</v>
          </cell>
        </row>
        <row r="110">
          <cell r="A110" t="str">
            <v>Maywood</v>
          </cell>
          <cell r="B110">
            <v>58238.079371731888</v>
          </cell>
        </row>
        <row r="111">
          <cell r="A111" t="str">
            <v>McFarland</v>
          </cell>
          <cell r="B111">
            <v>5055.2812171392034</v>
          </cell>
        </row>
        <row r="112">
          <cell r="A112" t="str">
            <v>Menifee</v>
          </cell>
          <cell r="B112">
            <v>24384.031520159529</v>
          </cell>
        </row>
        <row r="113">
          <cell r="A113" t="str">
            <v>Mission Viejo</v>
          </cell>
          <cell r="B113">
            <v>47765.740168208889</v>
          </cell>
        </row>
        <row r="114">
          <cell r="A114" t="str">
            <v>Monrovia</v>
          </cell>
          <cell r="B114">
            <v>106840.39896644259</v>
          </cell>
        </row>
        <row r="115">
          <cell r="A115" t="str">
            <v>Montclair</v>
          </cell>
          <cell r="B115">
            <v>56126.668754495404</v>
          </cell>
        </row>
        <row r="116">
          <cell r="A116" t="str">
            <v>Montebello</v>
          </cell>
          <cell r="B116">
            <v>140519.31694369492</v>
          </cell>
        </row>
        <row r="117">
          <cell r="A117" t="str">
            <v>Monterey Park</v>
          </cell>
          <cell r="B117">
            <v>158625.41311657228</v>
          </cell>
        </row>
        <row r="118">
          <cell r="A118" t="str">
            <v>Moorpark</v>
          </cell>
          <cell r="B118">
            <v>20542.477583267209</v>
          </cell>
        </row>
        <row r="119">
          <cell r="A119" t="str">
            <v>Moreno Valley</v>
          </cell>
          <cell r="B119">
            <v>100488.31863179906</v>
          </cell>
        </row>
        <row r="120">
          <cell r="A120" t="str">
            <v>Murrieta</v>
          </cell>
          <cell r="B120">
            <v>0</v>
          </cell>
        </row>
        <row r="121">
          <cell r="A121" t="str">
            <v>Newport Beach</v>
          </cell>
          <cell r="B121">
            <v>160241.35778463783</v>
          </cell>
        </row>
        <row r="122">
          <cell r="A122" t="str">
            <v>Norco</v>
          </cell>
          <cell r="B122">
            <v>31068.936055662089</v>
          </cell>
        </row>
        <row r="123">
          <cell r="A123" t="str">
            <v>Norwalk</v>
          </cell>
          <cell r="B123">
            <v>201546.45339265096</v>
          </cell>
        </row>
        <row r="124">
          <cell r="A124" t="str">
            <v>Ojai</v>
          </cell>
          <cell r="B124">
            <v>22339.906459093727</v>
          </cell>
        </row>
        <row r="125">
          <cell r="A125" t="str">
            <v>Ontario</v>
          </cell>
          <cell r="B125">
            <v>182291.90333796019</v>
          </cell>
        </row>
        <row r="126">
          <cell r="A126" t="str">
            <v>Orange</v>
          </cell>
          <cell r="B126">
            <v>188551.18576712662</v>
          </cell>
        </row>
        <row r="127">
          <cell r="A127" t="str">
            <v>Oxnard</v>
          </cell>
          <cell r="B127">
            <v>155599.67878701584</v>
          </cell>
        </row>
        <row r="128">
          <cell r="A128" t="str">
            <v>Palm Desert</v>
          </cell>
          <cell r="B128">
            <v>43509.188442817482</v>
          </cell>
        </row>
        <row r="129">
          <cell r="A129" t="str">
            <v>Palm Springs</v>
          </cell>
          <cell r="B129">
            <v>118004.45829042395</v>
          </cell>
        </row>
        <row r="130">
          <cell r="A130" t="str">
            <v>Palmdale</v>
          </cell>
          <cell r="B130">
            <v>38070.372503810795</v>
          </cell>
        </row>
        <row r="131">
          <cell r="A131" t="str">
            <v>Palos Verdes Estates</v>
          </cell>
          <cell r="B131">
            <v>24521.510365045142</v>
          </cell>
        </row>
        <row r="132">
          <cell r="A132" t="str">
            <v>Paramount</v>
          </cell>
          <cell r="B132">
            <v>89381.178269993106</v>
          </cell>
        </row>
        <row r="133">
          <cell r="A133" t="str">
            <v>Pasadena</v>
          </cell>
          <cell r="B133">
            <v>410.66176181307696</v>
          </cell>
        </row>
        <row r="134">
          <cell r="A134" t="str">
            <v>Perris</v>
          </cell>
          <cell r="B134">
            <v>11204.652892718637</v>
          </cell>
        </row>
        <row r="135">
          <cell r="A135" t="str">
            <v>Pico Rivera</v>
          </cell>
          <cell r="B135">
            <v>125464.62402443271</v>
          </cell>
        </row>
        <row r="136">
          <cell r="A136" t="str">
            <v>Placentia</v>
          </cell>
          <cell r="B136">
            <v>50387.191247180454</v>
          </cell>
        </row>
        <row r="137">
          <cell r="A137" t="str">
            <v>Pomona</v>
          </cell>
          <cell r="B137">
            <v>229893.35635453986</v>
          </cell>
        </row>
        <row r="138">
          <cell r="A138" t="str">
            <v>Port Hueneme</v>
          </cell>
          <cell r="B138">
            <v>27617.112895312312</v>
          </cell>
        </row>
        <row r="139">
          <cell r="A139" t="str">
            <v>Porterville</v>
          </cell>
          <cell r="B139">
            <v>33980.093857886524</v>
          </cell>
        </row>
        <row r="140">
          <cell r="A140" t="str">
            <v>Rancho Cucamonga</v>
          </cell>
          <cell r="B140">
            <v>85087.608243913623</v>
          </cell>
        </row>
        <row r="141">
          <cell r="A141" t="str">
            <v>Rancho Mirage</v>
          </cell>
          <cell r="B141">
            <v>26593.305035774545</v>
          </cell>
        </row>
        <row r="142">
          <cell r="A142" t="str">
            <v>Rancho Palos Verdes</v>
          </cell>
          <cell r="B142">
            <v>71098.414567052358</v>
          </cell>
        </row>
        <row r="143">
          <cell r="A143" t="str">
            <v>Rancho Santa Margarita</v>
          </cell>
          <cell r="B143">
            <v>36334.273256231318</v>
          </cell>
        </row>
        <row r="144">
          <cell r="A144" t="str">
            <v>Redlands</v>
          </cell>
          <cell r="B144">
            <v>94567.755261262733</v>
          </cell>
        </row>
        <row r="145">
          <cell r="A145" t="str">
            <v>Redondo Beach</v>
          </cell>
          <cell r="B145">
            <v>226359.17196080243</v>
          </cell>
        </row>
        <row r="146">
          <cell r="A146" t="str">
            <v>Rialto</v>
          </cell>
          <cell r="B146">
            <v>84795.035188218695</v>
          </cell>
        </row>
        <row r="147">
          <cell r="A147" t="str">
            <v>Ridgecrest</v>
          </cell>
          <cell r="B147">
            <v>46214.50522318219</v>
          </cell>
        </row>
        <row r="148">
          <cell r="A148" t="str">
            <v>Riverside, City of</v>
          </cell>
          <cell r="B148">
            <v>0</v>
          </cell>
        </row>
        <row r="149">
          <cell r="A149" t="str">
            <v>Rolling Hills</v>
          </cell>
          <cell r="B149">
            <v>5307.9255547333105</v>
          </cell>
        </row>
        <row r="150">
          <cell r="A150" t="str">
            <v>Rolling Hills Estates</v>
          </cell>
          <cell r="B150">
            <v>15476.227847450395</v>
          </cell>
        </row>
        <row r="151">
          <cell r="A151" t="str">
            <v>Rosemead</v>
          </cell>
          <cell r="B151">
            <v>112500.9146646502</v>
          </cell>
        </row>
        <row r="152">
          <cell r="A152" t="str">
            <v>San Bernardino</v>
          </cell>
          <cell r="B152">
            <v>323502.25658685016</v>
          </cell>
        </row>
        <row r="153">
          <cell r="A153" t="str">
            <v>San Dimas</v>
          </cell>
          <cell r="B153">
            <v>43452.325816698554</v>
          </cell>
        </row>
        <row r="154">
          <cell r="A154" t="str">
            <v>San Fernando</v>
          </cell>
          <cell r="B154">
            <v>52330.43589008438</v>
          </cell>
        </row>
        <row r="155">
          <cell r="A155" t="str">
            <v>San Gabriel</v>
          </cell>
          <cell r="B155">
            <v>116600.72357649339</v>
          </cell>
        </row>
        <row r="156">
          <cell r="A156" t="str">
            <v>San Jacinto</v>
          </cell>
          <cell r="B156">
            <v>6047.5268267199135</v>
          </cell>
        </row>
        <row r="157">
          <cell r="A157" t="str">
            <v>San Marino</v>
          </cell>
          <cell r="B157">
            <v>36467.828844178846</v>
          </cell>
        </row>
        <row r="158">
          <cell r="A158" t="str">
            <v>Santa Ana</v>
          </cell>
          <cell r="B158">
            <v>399826.2683069373</v>
          </cell>
        </row>
        <row r="159">
          <cell r="A159" t="str">
            <v>Santa Barbara</v>
          </cell>
          <cell r="B159">
            <v>260165.64554735654</v>
          </cell>
        </row>
        <row r="160">
          <cell r="A160" t="str">
            <v>Santa Clarita</v>
          </cell>
          <cell r="B160">
            <v>78462.270130858175</v>
          </cell>
        </row>
        <row r="161">
          <cell r="A161" t="str">
            <v>Santa Fe Springs</v>
          </cell>
          <cell r="B161">
            <v>45503.884360922064</v>
          </cell>
        </row>
        <row r="162">
          <cell r="A162" t="str">
            <v>Santa Monica</v>
          </cell>
          <cell r="B162">
            <v>403302.936780416</v>
          </cell>
        </row>
        <row r="163">
          <cell r="A163" t="str">
            <v>Santa Paula</v>
          </cell>
          <cell r="B163">
            <v>45349.247221209109</v>
          </cell>
        </row>
        <row r="164">
          <cell r="A164" t="str">
            <v>Seal Beach</v>
          </cell>
          <cell r="B164">
            <v>55980.358730914093</v>
          </cell>
        </row>
        <row r="165">
          <cell r="A165" t="str">
            <v>Sierra Madre</v>
          </cell>
          <cell r="B165">
            <v>40535.989227462465</v>
          </cell>
        </row>
        <row r="166">
          <cell r="A166" t="str">
            <v>Signal Hill</v>
          </cell>
          <cell r="B166">
            <v>27272.697676054973</v>
          </cell>
        </row>
        <row r="167">
          <cell r="A167" t="str">
            <v>Simi Valley</v>
          </cell>
          <cell r="B167">
            <v>125166.67507648552</v>
          </cell>
        </row>
        <row r="168">
          <cell r="A168" t="str">
            <v>South El Monte</v>
          </cell>
          <cell r="B168">
            <v>60262.224552306048</v>
          </cell>
        </row>
        <row r="169">
          <cell r="A169" t="str">
            <v>South Gate</v>
          </cell>
          <cell r="B169">
            <v>201519.4732041239</v>
          </cell>
        </row>
        <row r="170">
          <cell r="A170" t="str">
            <v>South Pasadena</v>
          </cell>
          <cell r="B170">
            <v>83428.728452309791</v>
          </cell>
        </row>
        <row r="171">
          <cell r="A171" t="str">
            <v>Stanton</v>
          </cell>
          <cell r="B171">
            <v>47680.533563721081</v>
          </cell>
        </row>
        <row r="172">
          <cell r="A172" t="str">
            <v>Tehachapi</v>
          </cell>
          <cell r="B172">
            <v>8500.8226665021721</v>
          </cell>
        </row>
        <row r="173">
          <cell r="A173" t="str">
            <v>Temecula</v>
          </cell>
          <cell r="B173">
            <v>0</v>
          </cell>
        </row>
        <row r="174">
          <cell r="A174" t="str">
            <v>Temple City</v>
          </cell>
          <cell r="B174">
            <v>101777.5039102921</v>
          </cell>
        </row>
        <row r="175">
          <cell r="A175" t="str">
            <v>Thousand Oaks</v>
          </cell>
          <cell r="B175">
            <v>124944.99923428836</v>
          </cell>
        </row>
        <row r="176">
          <cell r="A176" t="str">
            <v>Torrance</v>
          </cell>
          <cell r="B176">
            <v>389454.26529688272</v>
          </cell>
        </row>
        <row r="177">
          <cell r="A177" t="str">
            <v>Tulare</v>
          </cell>
          <cell r="B177">
            <v>40207.07766860316</v>
          </cell>
        </row>
        <row r="178">
          <cell r="A178" t="str">
            <v>Tustin</v>
          </cell>
          <cell r="B178">
            <v>73981.601148149784</v>
          </cell>
        </row>
        <row r="179">
          <cell r="A179" t="str">
            <v>Twentynine Palms</v>
          </cell>
          <cell r="B179">
            <v>41018.146364717591</v>
          </cell>
        </row>
        <row r="180">
          <cell r="A180" t="str">
            <v>Unincorporated Fresno</v>
          </cell>
          <cell r="B180">
            <v>15285.487384302049</v>
          </cell>
        </row>
        <row r="181">
          <cell r="A181" t="str">
            <v>Unincorporated Imperial</v>
          </cell>
          <cell r="B181">
            <v>3173.7564101560024</v>
          </cell>
        </row>
        <row r="182">
          <cell r="A182" t="str">
            <v>Unincorporated Inyo</v>
          </cell>
          <cell r="B182">
            <v>22585.354048872603</v>
          </cell>
        </row>
        <row r="183">
          <cell r="A183" t="str">
            <v>Unincorporated Kern</v>
          </cell>
          <cell r="B183">
            <v>233673.15028533287</v>
          </cell>
        </row>
        <row r="184">
          <cell r="A184" t="str">
            <v>Unincorporated Kings</v>
          </cell>
          <cell r="B184">
            <v>40610.18152712327</v>
          </cell>
        </row>
        <row r="185">
          <cell r="A185" t="str">
            <v>Unincorporated Los Angeles</v>
          </cell>
          <cell r="B185">
            <v>1882881.9569060539</v>
          </cell>
        </row>
        <row r="186">
          <cell r="A186" t="str">
            <v>Unincorporated Madera</v>
          </cell>
          <cell r="B186">
            <v>73.610843742306173</v>
          </cell>
        </row>
        <row r="187">
          <cell r="A187" t="str">
            <v>Unincorporated Mono</v>
          </cell>
          <cell r="B187">
            <v>20802.066121631418</v>
          </cell>
        </row>
        <row r="188">
          <cell r="A188" t="str">
            <v>Unincorporated Orange</v>
          </cell>
          <cell r="B188">
            <v>235966.8280765863</v>
          </cell>
        </row>
        <row r="189">
          <cell r="A189" t="str">
            <v>Unincorporated Riverside</v>
          </cell>
          <cell r="B189">
            <v>390097.68794355006</v>
          </cell>
        </row>
        <row r="190">
          <cell r="A190" t="str">
            <v>Unincorporated San Bernardino</v>
          </cell>
          <cell r="B190">
            <v>850527.78854898165</v>
          </cell>
        </row>
        <row r="191">
          <cell r="A191" t="str">
            <v>Unincorporated San Diego</v>
          </cell>
          <cell r="B191">
            <v>73.248448576394892</v>
          </cell>
        </row>
        <row r="192">
          <cell r="A192" t="str">
            <v>Unincorporated Santa Barbara</v>
          </cell>
          <cell r="B192">
            <v>148924.58519441501</v>
          </cell>
        </row>
        <row r="193">
          <cell r="A193" t="str">
            <v>Unincorporated Tulare</v>
          </cell>
          <cell r="B193">
            <v>447227.68724168278</v>
          </cell>
        </row>
        <row r="194">
          <cell r="A194" t="str">
            <v>Unincorporated Tuolumne</v>
          </cell>
          <cell r="B194">
            <v>0</v>
          </cell>
        </row>
        <row r="195">
          <cell r="A195" t="str">
            <v>Unincorporated Ventura</v>
          </cell>
          <cell r="B195">
            <v>213517.35179825342</v>
          </cell>
        </row>
        <row r="196">
          <cell r="A196" t="str">
            <v>Upland</v>
          </cell>
          <cell r="B196">
            <v>101865.19045751038</v>
          </cell>
        </row>
        <row r="197">
          <cell r="A197" t="str">
            <v>Ventura</v>
          </cell>
          <cell r="B197">
            <v>159027.08823159614</v>
          </cell>
        </row>
        <row r="198">
          <cell r="A198" t="str">
            <v>Victorville</v>
          </cell>
          <cell r="B198">
            <v>17471.226263384684</v>
          </cell>
        </row>
        <row r="199">
          <cell r="A199" t="str">
            <v>Villa Park</v>
          </cell>
          <cell r="B199">
            <v>7571.9519942720408</v>
          </cell>
        </row>
        <row r="200">
          <cell r="A200" t="str">
            <v>Visalia</v>
          </cell>
          <cell r="B200">
            <v>96425.814209919947</v>
          </cell>
        </row>
        <row r="201">
          <cell r="A201" t="str">
            <v>Walnut</v>
          </cell>
          <cell r="B201">
            <v>28084.067729161128</v>
          </cell>
        </row>
        <row r="202">
          <cell r="A202" t="str">
            <v>West Covina</v>
          </cell>
          <cell r="B202">
            <v>149341.36990125914</v>
          </cell>
        </row>
        <row r="203">
          <cell r="A203" t="str">
            <v>West Hollywood</v>
          </cell>
          <cell r="B203">
            <v>196342.58706161665</v>
          </cell>
        </row>
        <row r="204">
          <cell r="A204" t="str">
            <v>Westlake Village</v>
          </cell>
          <cell r="B204">
            <v>8960.3832187981261</v>
          </cell>
        </row>
        <row r="205">
          <cell r="A205" t="str">
            <v>Westminster</v>
          </cell>
          <cell r="B205">
            <v>120268.51329327638</v>
          </cell>
        </row>
        <row r="206">
          <cell r="A206" t="str">
            <v>Whittier</v>
          </cell>
          <cell r="B206">
            <v>224363.15539062943</v>
          </cell>
        </row>
        <row r="207">
          <cell r="A207" t="str">
            <v>Wildomar</v>
          </cell>
          <cell r="B207">
            <v>13177.188845765006</v>
          </cell>
        </row>
        <row r="208">
          <cell r="A208" t="str">
            <v>Woodlake</v>
          </cell>
          <cell r="B208">
            <v>9439.4044508199986</v>
          </cell>
        </row>
        <row r="209">
          <cell r="A209" t="str">
            <v>Yorba Linda</v>
          </cell>
          <cell r="B209">
            <v>50584.559192953006</v>
          </cell>
        </row>
        <row r="210">
          <cell r="A210" t="str">
            <v>Yucaipa</v>
          </cell>
          <cell r="B210">
            <v>51867.489462479614</v>
          </cell>
        </row>
        <row r="211">
          <cell r="A211" t="str">
            <v>Yucca Valley</v>
          </cell>
          <cell r="B211">
            <v>0</v>
          </cell>
        </row>
      </sheetData>
      <sheetData sheetId="2">
        <row r="4">
          <cell r="A4" t="str">
            <v>Government Agency</v>
          </cell>
          <cell r="B4" t="str">
            <v>Historical Allocation</v>
          </cell>
          <cell r="C4" t="str">
            <v>Annual Allocation</v>
          </cell>
          <cell r="D4" t="str">
            <v>Total Allocation (b) + (c)</v>
          </cell>
          <cell r="E4" t="str">
            <v xml:space="preserve">Historical Transfer </v>
          </cell>
          <cell r="F4" t="str">
            <v>Annual Transfer</v>
          </cell>
          <cell r="G4" t="str">
            <v>Total Transfer (e) + (f)</v>
          </cell>
          <cell r="H4" t="str">
            <v>Adjusted Allocation Total             (d) + (g)</v>
          </cell>
          <cell r="I4" t="str">
            <v>Historical Approved Funds to Subsidize R20B Engin. Fees</v>
          </cell>
          <cell r="J4" t="str">
            <v>Historical Complete</v>
          </cell>
          <cell r="K4" t="str">
            <v>ANNUAL Approved Funds to Subsidize R20B Engin. Fees</v>
          </cell>
          <cell r="L4" t="str">
            <v>Annual 20A Complete</v>
          </cell>
          <cell r="M4" t="str">
            <v>R20B Total Complete         (i) + (k)</v>
          </cell>
          <cell r="N4" t="str">
            <v>R20A Total Complete                  (j) + (l)</v>
          </cell>
          <cell r="O4" t="str">
            <v>Total Complete      (m) +(n)</v>
          </cell>
          <cell r="P4" t="str">
            <v>Incomplete</v>
          </cell>
          <cell r="Q4" t="str">
            <v>Total Expend       (m) + (n)</v>
          </cell>
          <cell r="R4" t="str">
            <v>Over Expend neg. value    (h) - (o)</v>
          </cell>
          <cell r="S4" t="str">
            <v>Under Expend     pos. value      (h) - (o)</v>
          </cell>
          <cell r="T4" t="str">
            <v>The "GAP" Total (p) + (q)</v>
          </cell>
          <cell r="U4" t="str">
            <v>Committed Incomplete</v>
          </cell>
          <cell r="V4" t="str">
            <v>Committed Pending</v>
          </cell>
          <cell r="W4" t="str">
            <v>Total Committed       (s) + (t)</v>
          </cell>
          <cell r="X4" t="str">
            <v>Reserve Amount     pos. value     (r) - (u) &gt; (0)</v>
          </cell>
          <cell r="Y4" t="str">
            <v>Mortgage Amount       neg. value       (r) - (u) &lt; (0)</v>
          </cell>
          <cell r="Z4" t="str">
            <v>Future Project</v>
          </cell>
          <cell r="AA4" t="str">
            <v>Case 9365</v>
          </cell>
          <cell r="AB4" t="str">
            <v xml:space="preserve">Years Mortgaged </v>
          </cell>
          <cell r="AC4" t="str">
            <v xml:space="preserve">2020 Annual Alllocation </v>
          </cell>
          <cell r="AD4" t="str">
            <v>2020 Allocation Balance</v>
          </cell>
        </row>
        <row r="5">
          <cell r="A5" t="str">
            <v>Adelanto</v>
          </cell>
          <cell r="B5">
            <v>822147.85581168754</v>
          </cell>
          <cell r="C5">
            <v>12868.608449029889</v>
          </cell>
          <cell r="D5">
            <v>835016.46426071739</v>
          </cell>
          <cell r="E5">
            <v>0</v>
          </cell>
          <cell r="F5">
            <v>0</v>
          </cell>
          <cell r="G5">
            <v>0</v>
          </cell>
          <cell r="H5">
            <v>835016.46426071739</v>
          </cell>
          <cell r="I5">
            <v>0</v>
          </cell>
          <cell r="J5">
            <v>862992.11</v>
          </cell>
          <cell r="K5">
            <v>0</v>
          </cell>
          <cell r="L5">
            <v>0</v>
          </cell>
          <cell r="M5">
            <v>0</v>
          </cell>
          <cell r="N5">
            <v>862992.11</v>
          </cell>
          <cell r="O5">
            <v>862992.11</v>
          </cell>
          <cell r="P5"/>
          <cell r="Q5">
            <v>862992.11</v>
          </cell>
          <cell r="R5">
            <v>-27975.645739282598</v>
          </cell>
          <cell r="S5">
            <v>0</v>
          </cell>
          <cell r="T5">
            <v>-27975.645739282598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-27975.645739282598</v>
          </cell>
          <cell r="Z5">
            <v>0</v>
          </cell>
          <cell r="AA5">
            <v>0</v>
          </cell>
          <cell r="AB5">
            <v>-2.1739449024413799</v>
          </cell>
          <cell r="AC5">
            <v>963.07738680490729</v>
          </cell>
          <cell r="AD5">
            <v>-27012.56835247769</v>
          </cell>
        </row>
        <row r="6">
          <cell r="A6" t="str">
            <v>Agoura Hills</v>
          </cell>
          <cell r="B6">
            <v>1326187.7063350533</v>
          </cell>
          <cell r="C6">
            <v>33081.285999497646</v>
          </cell>
          <cell r="D6">
            <v>1359268.9923345509</v>
          </cell>
          <cell r="E6">
            <v>294000</v>
          </cell>
          <cell r="F6">
            <v>0</v>
          </cell>
          <cell r="G6">
            <v>294000</v>
          </cell>
          <cell r="H6">
            <v>1653268.9923345509</v>
          </cell>
          <cell r="I6">
            <v>0</v>
          </cell>
          <cell r="J6">
            <v>383110</v>
          </cell>
          <cell r="K6">
            <v>0</v>
          </cell>
          <cell r="L6">
            <v>0</v>
          </cell>
          <cell r="M6">
            <v>0</v>
          </cell>
          <cell r="N6">
            <v>383110</v>
          </cell>
          <cell r="O6">
            <v>383110</v>
          </cell>
          <cell r="P6">
            <v>0</v>
          </cell>
          <cell r="Q6">
            <v>383110</v>
          </cell>
          <cell r="R6">
            <v>0</v>
          </cell>
          <cell r="S6">
            <v>1270158.9923345509</v>
          </cell>
          <cell r="T6">
            <v>1270158.9923345509</v>
          </cell>
          <cell r="U6">
            <v>0</v>
          </cell>
          <cell r="V6">
            <v>0</v>
          </cell>
          <cell r="W6">
            <v>0</v>
          </cell>
          <cell r="X6">
            <v>1270158.9923345509</v>
          </cell>
          <cell r="Y6">
            <v>0</v>
          </cell>
          <cell r="Z6">
            <v>900000</v>
          </cell>
          <cell r="AA6">
            <v>0</v>
          </cell>
          <cell r="AB6">
            <v>0</v>
          </cell>
          <cell r="AC6">
            <v>23592.462730351363</v>
          </cell>
          <cell r="AD6">
            <v>1293751.4550649023</v>
          </cell>
        </row>
        <row r="7">
          <cell r="A7" t="str">
            <v>Alhambra</v>
          </cell>
          <cell r="B7">
            <v>16613480.286985917</v>
          </cell>
          <cell r="C7">
            <v>341812.84093305899</v>
          </cell>
          <cell r="D7">
            <v>16955293.127918977</v>
          </cell>
          <cell r="E7">
            <v>0</v>
          </cell>
          <cell r="F7">
            <v>0</v>
          </cell>
          <cell r="G7">
            <v>0</v>
          </cell>
          <cell r="H7">
            <v>16955293.127918977</v>
          </cell>
          <cell r="I7">
            <v>0</v>
          </cell>
          <cell r="J7">
            <v>10095933.52</v>
          </cell>
          <cell r="K7">
            <v>0</v>
          </cell>
          <cell r="L7">
            <v>0</v>
          </cell>
          <cell r="M7">
            <v>0</v>
          </cell>
          <cell r="N7">
            <v>10095933.52</v>
          </cell>
          <cell r="O7">
            <v>10095933.52</v>
          </cell>
          <cell r="P7">
            <v>0</v>
          </cell>
          <cell r="Q7">
            <v>10095933.52</v>
          </cell>
          <cell r="R7">
            <v>0</v>
          </cell>
          <cell r="S7">
            <v>6859359.6079189777</v>
          </cell>
          <cell r="T7">
            <v>6859359.6079189777</v>
          </cell>
          <cell r="U7">
            <v>0</v>
          </cell>
          <cell r="V7">
            <v>0</v>
          </cell>
          <cell r="W7">
            <v>0</v>
          </cell>
          <cell r="X7">
            <v>6859359.6079189777</v>
          </cell>
          <cell r="Y7">
            <v>0</v>
          </cell>
          <cell r="Z7">
            <v>0</v>
          </cell>
          <cell r="AA7">
            <v>3384116.41</v>
          </cell>
          <cell r="AB7">
            <v>0</v>
          </cell>
          <cell r="AC7">
            <v>251196.48368771555</v>
          </cell>
          <cell r="AD7">
            <v>7110556.0916066933</v>
          </cell>
        </row>
        <row r="8">
          <cell r="A8" t="str">
            <v>Aliso Viejo</v>
          </cell>
          <cell r="B8">
            <v>1131001.6412428035</v>
          </cell>
          <cell r="C8">
            <v>50000.070468903963</v>
          </cell>
          <cell r="D8">
            <v>1181001.7117117075</v>
          </cell>
          <cell r="E8">
            <v>-1085040.7739668682</v>
          </cell>
          <cell r="F8">
            <v>-95961</v>
          </cell>
          <cell r="G8">
            <v>-1181001.7739668682</v>
          </cell>
          <cell r="H8">
            <v>-6.2255160650238395E-2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-6.2255160650238395E-2</v>
          </cell>
          <cell r="S8">
            <v>0</v>
          </cell>
          <cell r="T8">
            <v>-6.2255160650238395E-2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-6.2255160650238395E-2</v>
          </cell>
          <cell r="Z8">
            <v>0</v>
          </cell>
          <cell r="AA8">
            <v>0</v>
          </cell>
          <cell r="AB8">
            <v>-1.2451014581860662E-6</v>
          </cell>
          <cell r="AC8">
            <v>31094.257307994456</v>
          </cell>
          <cell r="AD8">
            <v>31094.257307994456</v>
          </cell>
        </row>
        <row r="9">
          <cell r="A9" t="str">
            <v>Anaheim</v>
          </cell>
          <cell r="B9">
            <v>2648.2070043492813</v>
          </cell>
          <cell r="C9">
            <v>168.92059888108443</v>
          </cell>
          <cell r="D9">
            <v>2817.1276032303658</v>
          </cell>
          <cell r="E9">
            <v>0</v>
          </cell>
          <cell r="F9">
            <v>0</v>
          </cell>
          <cell r="G9">
            <v>0</v>
          </cell>
          <cell r="H9">
            <v>2817.1276032303658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2817.1276032303658</v>
          </cell>
          <cell r="T9">
            <v>2817.1276032303658</v>
          </cell>
          <cell r="U9">
            <v>0</v>
          </cell>
          <cell r="V9">
            <v>0</v>
          </cell>
          <cell r="W9">
            <v>0</v>
          </cell>
          <cell r="X9">
            <v>2817.1276032303658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7.0691136726419757</v>
          </cell>
          <cell r="AD9">
            <v>2824.1967169030077</v>
          </cell>
        </row>
        <row r="10">
          <cell r="A10" t="str">
            <v>Apple Valley</v>
          </cell>
          <cell r="B10">
            <v>5944282.9070726661</v>
          </cell>
          <cell r="C10">
            <v>142383.73168475076</v>
          </cell>
          <cell r="D10">
            <v>6086666.638757417</v>
          </cell>
          <cell r="E10">
            <v>0</v>
          </cell>
          <cell r="F10">
            <v>0</v>
          </cell>
          <cell r="G10">
            <v>0</v>
          </cell>
          <cell r="H10">
            <v>6086666.638757417</v>
          </cell>
          <cell r="I10">
            <v>0</v>
          </cell>
          <cell r="J10">
            <v>5425555.9800000004</v>
          </cell>
          <cell r="K10">
            <v>0</v>
          </cell>
          <cell r="L10">
            <v>0</v>
          </cell>
          <cell r="M10">
            <v>0</v>
          </cell>
          <cell r="N10">
            <v>5425555.9800000004</v>
          </cell>
          <cell r="O10">
            <v>5425555.9800000004</v>
          </cell>
          <cell r="P10">
            <v>0</v>
          </cell>
          <cell r="Q10">
            <v>5425555.9800000004</v>
          </cell>
          <cell r="R10">
            <v>0</v>
          </cell>
          <cell r="S10">
            <v>661110.65875741653</v>
          </cell>
          <cell r="T10">
            <v>661110.65875741653</v>
          </cell>
          <cell r="U10">
            <v>0</v>
          </cell>
          <cell r="V10"/>
          <cell r="W10">
            <v>0</v>
          </cell>
          <cell r="X10">
            <v>661110.65875741653</v>
          </cell>
          <cell r="Y10">
            <v>0</v>
          </cell>
          <cell r="Z10">
            <v>900000</v>
          </cell>
          <cell r="AA10">
            <v>0</v>
          </cell>
          <cell r="AB10">
            <v>0</v>
          </cell>
          <cell r="AC10">
            <v>87907.176862449793</v>
          </cell>
          <cell r="AD10">
            <v>749017.83561986638</v>
          </cell>
        </row>
        <row r="11">
          <cell r="A11" t="str">
            <v>Arcadia</v>
          </cell>
          <cell r="B11">
            <v>10569506.11170592</v>
          </cell>
          <cell r="C11">
            <v>215759.75579058175</v>
          </cell>
          <cell r="D11">
            <v>10785265.867496502</v>
          </cell>
          <cell r="E11">
            <v>100000</v>
          </cell>
          <cell r="F11">
            <v>0</v>
          </cell>
          <cell r="G11">
            <v>100000</v>
          </cell>
          <cell r="H11">
            <v>10885265.867496502</v>
          </cell>
          <cell r="I11">
            <v>0</v>
          </cell>
          <cell r="J11">
            <v>11246018.610000001</v>
          </cell>
          <cell r="K11">
            <v>0</v>
          </cell>
          <cell r="L11">
            <v>0</v>
          </cell>
          <cell r="M11">
            <v>0</v>
          </cell>
          <cell r="N11">
            <v>11246018.610000001</v>
          </cell>
          <cell r="O11">
            <v>11246018.610000001</v>
          </cell>
          <cell r="P11">
            <v>0</v>
          </cell>
          <cell r="Q11">
            <v>11246018.610000001</v>
          </cell>
          <cell r="R11">
            <v>-360752.74250349961</v>
          </cell>
          <cell r="S11">
            <v>0</v>
          </cell>
          <cell r="T11">
            <v>-360752.74250349961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-360752.74250349961</v>
          </cell>
          <cell r="Z11">
            <v>0</v>
          </cell>
          <cell r="AA11">
            <v>0</v>
          </cell>
          <cell r="AB11">
            <v>-1.6720112663348083</v>
          </cell>
          <cell r="AC11">
            <v>159978.27764345799</v>
          </cell>
          <cell r="AD11">
            <v>-200774.46486004163</v>
          </cell>
        </row>
        <row r="12">
          <cell r="A12" t="str">
            <v>Artesia</v>
          </cell>
          <cell r="B12">
            <v>2461744.9787548478</v>
          </cell>
          <cell r="C12">
            <v>49590.29839213597</v>
          </cell>
          <cell r="D12">
            <v>2511335.2771469839</v>
          </cell>
          <cell r="E12">
            <v>0</v>
          </cell>
          <cell r="F12">
            <v>0</v>
          </cell>
          <cell r="G12">
            <v>0</v>
          </cell>
          <cell r="H12">
            <v>2511335.2771469839</v>
          </cell>
          <cell r="I12">
            <v>0</v>
          </cell>
          <cell r="J12">
            <v>1334807.75</v>
          </cell>
          <cell r="K12">
            <v>0</v>
          </cell>
          <cell r="L12">
            <v>0</v>
          </cell>
          <cell r="M12">
            <v>0</v>
          </cell>
          <cell r="N12">
            <v>1334807.75</v>
          </cell>
          <cell r="O12">
            <v>1334807.75</v>
          </cell>
          <cell r="P12">
            <v>0</v>
          </cell>
          <cell r="Q12">
            <v>1334807.75</v>
          </cell>
          <cell r="R12">
            <v>0</v>
          </cell>
          <cell r="S12">
            <v>1176527.5271469839</v>
          </cell>
          <cell r="T12">
            <v>1176527.5271469839</v>
          </cell>
          <cell r="U12">
            <v>0</v>
          </cell>
          <cell r="V12">
            <v>0</v>
          </cell>
          <cell r="W12">
            <v>0</v>
          </cell>
          <cell r="X12">
            <v>1176527.5271469839</v>
          </cell>
          <cell r="Y12">
            <v>0</v>
          </cell>
          <cell r="Z12">
            <v>1740000</v>
          </cell>
          <cell r="AA12">
            <v>0</v>
          </cell>
          <cell r="AB12">
            <v>0</v>
          </cell>
          <cell r="AC12">
            <v>35563.438198989781</v>
          </cell>
          <cell r="AD12">
            <v>1212090.9653459736</v>
          </cell>
        </row>
        <row r="13">
          <cell r="A13" t="str">
            <v>Avalon</v>
          </cell>
          <cell r="B13">
            <v>831255.64885376161</v>
          </cell>
          <cell r="C13">
            <v>16678.258906229086</v>
          </cell>
          <cell r="D13">
            <v>847933.90775999066</v>
          </cell>
          <cell r="E13">
            <v>0</v>
          </cell>
          <cell r="F13">
            <v>0</v>
          </cell>
          <cell r="G13">
            <v>0</v>
          </cell>
          <cell r="H13">
            <v>847933.90775999066</v>
          </cell>
          <cell r="I13">
            <v>0</v>
          </cell>
          <cell r="J13">
            <v>600299.66</v>
          </cell>
          <cell r="K13">
            <v>0</v>
          </cell>
          <cell r="L13">
            <v>0</v>
          </cell>
          <cell r="M13">
            <v>0</v>
          </cell>
          <cell r="N13">
            <v>600299.66</v>
          </cell>
          <cell r="O13">
            <v>600299.66</v>
          </cell>
          <cell r="P13">
            <v>0</v>
          </cell>
          <cell r="Q13">
            <v>600299.66</v>
          </cell>
          <cell r="R13">
            <v>0</v>
          </cell>
          <cell r="S13">
            <v>247634.24775999063</v>
          </cell>
          <cell r="T13">
            <v>247634.24775999063</v>
          </cell>
          <cell r="U13">
            <v>0</v>
          </cell>
          <cell r="V13">
            <v>0</v>
          </cell>
          <cell r="W13">
            <v>0</v>
          </cell>
          <cell r="X13">
            <v>247634.24775999063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11600.322447653562</v>
          </cell>
          <cell r="AD13">
            <v>259234.5702076442</v>
          </cell>
        </row>
        <row r="14">
          <cell r="A14" t="str">
            <v>Azusa</v>
          </cell>
          <cell r="B14">
            <v>307558.03070367448</v>
          </cell>
          <cell r="C14">
            <v>6876.7499093532024</v>
          </cell>
          <cell r="D14">
            <v>314434.78061302769</v>
          </cell>
          <cell r="E14">
            <v>-180000</v>
          </cell>
          <cell r="F14">
            <v>0</v>
          </cell>
          <cell r="G14">
            <v>-180000</v>
          </cell>
          <cell r="H14">
            <v>134434.78061302769</v>
          </cell>
          <cell r="I14">
            <v>0</v>
          </cell>
          <cell r="J14">
            <v>36873</v>
          </cell>
          <cell r="K14">
            <v>0</v>
          </cell>
          <cell r="L14">
            <v>0</v>
          </cell>
          <cell r="M14">
            <v>0</v>
          </cell>
          <cell r="N14">
            <v>36873</v>
          </cell>
          <cell r="O14">
            <v>36873</v>
          </cell>
          <cell r="P14">
            <v>0</v>
          </cell>
          <cell r="Q14">
            <v>36873</v>
          </cell>
          <cell r="R14">
            <v>0</v>
          </cell>
          <cell r="S14">
            <v>97561.780613027688</v>
          </cell>
          <cell r="T14">
            <v>97561.780613027688</v>
          </cell>
          <cell r="U14">
            <v>0</v>
          </cell>
          <cell r="V14">
            <v>0</v>
          </cell>
          <cell r="W14">
            <v>0</v>
          </cell>
          <cell r="X14">
            <v>97561.780613027688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5775.8296415378945</v>
          </cell>
          <cell r="AD14">
            <v>103337.61025456559</v>
          </cell>
        </row>
        <row r="15">
          <cell r="A15" t="str">
            <v>Baldwin Park</v>
          </cell>
          <cell r="B15">
            <v>8273925.092000247</v>
          </cell>
          <cell r="C15">
            <v>166501.99197842204</v>
          </cell>
          <cell r="D15">
            <v>8440427.0839786697</v>
          </cell>
          <cell r="E15">
            <v>0</v>
          </cell>
          <cell r="F15">
            <v>0</v>
          </cell>
          <cell r="G15">
            <v>0</v>
          </cell>
          <cell r="H15">
            <v>8440427.0839786697</v>
          </cell>
          <cell r="I15">
            <v>0</v>
          </cell>
          <cell r="J15">
            <v>5384595.3399999999</v>
          </cell>
          <cell r="K15">
            <v>0</v>
          </cell>
          <cell r="L15">
            <v>0</v>
          </cell>
          <cell r="M15">
            <v>0</v>
          </cell>
          <cell r="N15">
            <v>5384595.3399999999</v>
          </cell>
          <cell r="O15">
            <v>5384595.3399999999</v>
          </cell>
          <cell r="P15">
            <v>55664.89</v>
          </cell>
          <cell r="Q15">
            <v>5440260.2299999995</v>
          </cell>
          <cell r="R15">
            <v>0</v>
          </cell>
          <cell r="S15">
            <v>3000166.8539786702</v>
          </cell>
          <cell r="T15">
            <v>3000166.8539786702</v>
          </cell>
          <cell r="U15">
            <v>2944335.11</v>
          </cell>
          <cell r="V15">
            <v>0</v>
          </cell>
          <cell r="W15">
            <v>2944335.11</v>
          </cell>
          <cell r="X15">
            <v>55831.743978670333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117891.09669265286</v>
          </cell>
          <cell r="AD15">
            <v>173722.84067132318</v>
          </cell>
        </row>
        <row r="16">
          <cell r="A16" t="str">
            <v>Banning</v>
          </cell>
          <cell r="B16">
            <v>5064.3601004832963</v>
          </cell>
          <cell r="C16">
            <v>365.39568816937606</v>
          </cell>
          <cell r="D16">
            <v>5429.755788652672</v>
          </cell>
          <cell r="E16">
            <v>0</v>
          </cell>
          <cell r="F16">
            <v>0</v>
          </cell>
          <cell r="G16">
            <v>0</v>
          </cell>
          <cell r="H16">
            <v>5429.755788652672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5429.755788652672</v>
          </cell>
          <cell r="T16">
            <v>5429.755788652672</v>
          </cell>
          <cell r="U16">
            <v>0</v>
          </cell>
          <cell r="V16">
            <v>0</v>
          </cell>
          <cell r="W16">
            <v>0</v>
          </cell>
          <cell r="X16">
            <v>5429.755788652672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226.60883221079811</v>
          </cell>
          <cell r="AD16">
            <v>5656.36462086347</v>
          </cell>
        </row>
        <row r="17">
          <cell r="A17" t="str">
            <v>Barstow</v>
          </cell>
          <cell r="B17">
            <v>3314693.1353204353</v>
          </cell>
          <cell r="C17">
            <v>64081.407694446265</v>
          </cell>
          <cell r="D17">
            <v>3378774.5430148817</v>
          </cell>
          <cell r="E17">
            <v>35000</v>
          </cell>
          <cell r="F17">
            <v>0</v>
          </cell>
          <cell r="G17">
            <v>35000</v>
          </cell>
          <cell r="H17">
            <v>3413774.5430148817</v>
          </cell>
          <cell r="I17">
            <v>0</v>
          </cell>
          <cell r="J17">
            <v>1619506.21</v>
          </cell>
          <cell r="K17">
            <v>0</v>
          </cell>
          <cell r="L17">
            <v>0</v>
          </cell>
          <cell r="M17">
            <v>0</v>
          </cell>
          <cell r="N17">
            <v>1619506.21</v>
          </cell>
          <cell r="O17">
            <v>1619506.21</v>
          </cell>
          <cell r="P17">
            <v>261263.09999999998</v>
          </cell>
          <cell r="Q17">
            <v>1880769.31</v>
          </cell>
          <cell r="R17">
            <v>0</v>
          </cell>
          <cell r="S17">
            <v>1533005.2330148816</v>
          </cell>
          <cell r="T17">
            <v>1533005.2330148816</v>
          </cell>
          <cell r="U17">
            <v>1738736.9</v>
          </cell>
          <cell r="V17">
            <v>0</v>
          </cell>
          <cell r="W17">
            <v>1738736.9</v>
          </cell>
          <cell r="X17">
            <v>0</v>
          </cell>
          <cell r="Y17">
            <v>-205731.6669851183</v>
          </cell>
          <cell r="Z17">
            <v>1600000</v>
          </cell>
          <cell r="AA17">
            <v>0</v>
          </cell>
          <cell r="AB17">
            <v>-3.2104735895642382</v>
          </cell>
          <cell r="AC17">
            <v>41461.358867862946</v>
          </cell>
          <cell r="AD17">
            <v>-164270.30811725534</v>
          </cell>
        </row>
        <row r="18">
          <cell r="A18" t="str">
            <v>Beaumont</v>
          </cell>
          <cell r="B18">
            <v>1602383.9140800093</v>
          </cell>
          <cell r="C18">
            <v>24175.099065373317</v>
          </cell>
          <cell r="D18">
            <v>1626559.0131453827</v>
          </cell>
          <cell r="E18">
            <v>0</v>
          </cell>
          <cell r="F18">
            <v>0</v>
          </cell>
          <cell r="G18">
            <v>0</v>
          </cell>
          <cell r="H18">
            <v>1626559.0131453827</v>
          </cell>
          <cell r="I18">
            <v>0</v>
          </cell>
          <cell r="J18">
            <v>1531122.74</v>
          </cell>
          <cell r="K18">
            <v>0</v>
          </cell>
          <cell r="L18">
            <v>0</v>
          </cell>
          <cell r="M18">
            <v>0</v>
          </cell>
          <cell r="N18">
            <v>1531122.74</v>
          </cell>
          <cell r="O18">
            <v>1531122.74</v>
          </cell>
          <cell r="P18"/>
          <cell r="Q18">
            <v>1531122.74</v>
          </cell>
          <cell r="R18">
            <v>0</v>
          </cell>
          <cell r="S18">
            <v>95436.273145382758</v>
          </cell>
          <cell r="T18">
            <v>95436.273145382758</v>
          </cell>
          <cell r="U18">
            <v>0</v>
          </cell>
          <cell r="V18">
            <v>0</v>
          </cell>
          <cell r="W18">
            <v>0</v>
          </cell>
          <cell r="X18">
            <v>95436.273145382758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194.44740906113293</v>
          </cell>
          <cell r="AD18">
            <v>95630.720554443891</v>
          </cell>
        </row>
        <row r="19">
          <cell r="A19" t="str">
            <v>Bell</v>
          </cell>
          <cell r="B19">
            <v>5137886.2482449664</v>
          </cell>
          <cell r="C19">
            <v>105521.07979357633</v>
          </cell>
          <cell r="D19">
            <v>5243407.3280385425</v>
          </cell>
          <cell r="E19">
            <v>0</v>
          </cell>
          <cell r="F19">
            <v>0</v>
          </cell>
          <cell r="G19">
            <v>0</v>
          </cell>
          <cell r="H19">
            <v>5243407.3280385425</v>
          </cell>
          <cell r="I19">
            <v>0</v>
          </cell>
          <cell r="J19">
            <v>5228325.76</v>
          </cell>
          <cell r="K19">
            <v>0</v>
          </cell>
          <cell r="L19">
            <v>0</v>
          </cell>
          <cell r="M19">
            <v>0</v>
          </cell>
          <cell r="N19">
            <v>5228325.76</v>
          </cell>
          <cell r="O19">
            <v>5228325.76</v>
          </cell>
          <cell r="P19">
            <v>0</v>
          </cell>
          <cell r="Q19">
            <v>5228325.76</v>
          </cell>
          <cell r="R19">
            <v>0</v>
          </cell>
          <cell r="S19">
            <v>15081.568038542755</v>
          </cell>
          <cell r="T19">
            <v>15081.568038542755</v>
          </cell>
          <cell r="U19">
            <v>0</v>
          </cell>
          <cell r="V19">
            <v>0</v>
          </cell>
          <cell r="W19">
            <v>0</v>
          </cell>
          <cell r="X19">
            <v>15081.568038542755</v>
          </cell>
          <cell r="Y19">
            <v>0</v>
          </cell>
          <cell r="Z19">
            <v>0</v>
          </cell>
          <cell r="AA19">
            <v>1877844.69</v>
          </cell>
          <cell r="AB19">
            <v>0</v>
          </cell>
          <cell r="AC19">
            <v>77543.135596649779</v>
          </cell>
          <cell r="AD19">
            <v>92624.703635192534</v>
          </cell>
        </row>
        <row r="20">
          <cell r="A20" t="str">
            <v>Bell Gardens</v>
          </cell>
          <cell r="B20">
            <v>5481299.9174920823</v>
          </cell>
          <cell r="C20">
            <v>110290.49866286354</v>
          </cell>
          <cell r="D20">
            <v>5591590.4161549462</v>
          </cell>
          <cell r="E20">
            <v>0</v>
          </cell>
          <cell r="F20">
            <v>0</v>
          </cell>
          <cell r="G20">
            <v>0</v>
          </cell>
          <cell r="H20">
            <v>5591590.4161549462</v>
          </cell>
          <cell r="I20">
            <v>0</v>
          </cell>
          <cell r="J20">
            <v>2306324.16</v>
          </cell>
          <cell r="K20">
            <v>0</v>
          </cell>
          <cell r="L20">
            <v>2071075.5</v>
          </cell>
          <cell r="M20">
            <v>0</v>
          </cell>
          <cell r="N20">
            <v>4377399.66</v>
          </cell>
          <cell r="O20">
            <v>4377399.66</v>
          </cell>
          <cell r="P20">
            <v>0</v>
          </cell>
          <cell r="Q20">
            <v>4377399.66</v>
          </cell>
          <cell r="R20">
            <v>0</v>
          </cell>
          <cell r="S20">
            <v>1214190.7561549461</v>
          </cell>
          <cell r="T20">
            <v>1214190.7561549461</v>
          </cell>
          <cell r="U20">
            <v>0</v>
          </cell>
          <cell r="V20">
            <v>0</v>
          </cell>
          <cell r="W20">
            <v>0</v>
          </cell>
          <cell r="X20">
            <v>1214190.7561549461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78722.961409252108</v>
          </cell>
          <cell r="AD20">
            <v>1292913.7175641982</v>
          </cell>
        </row>
        <row r="21">
          <cell r="A21" t="str">
            <v>Bellflower</v>
          </cell>
          <cell r="B21">
            <v>11546574.968194738</v>
          </cell>
          <cell r="C21">
            <v>234891.42308587494</v>
          </cell>
          <cell r="D21">
            <v>11781466.391280614</v>
          </cell>
          <cell r="E21">
            <v>75000</v>
          </cell>
          <cell r="F21">
            <v>0</v>
          </cell>
          <cell r="G21">
            <v>75000</v>
          </cell>
          <cell r="H21">
            <v>11856466.391280614</v>
          </cell>
          <cell r="I21">
            <v>0</v>
          </cell>
          <cell r="J21">
            <v>10528556.15</v>
          </cell>
          <cell r="K21">
            <v>0</v>
          </cell>
          <cell r="L21">
            <v>0</v>
          </cell>
          <cell r="M21">
            <v>0</v>
          </cell>
          <cell r="N21">
            <v>10528556.15</v>
          </cell>
          <cell r="O21">
            <v>10528556.15</v>
          </cell>
          <cell r="P21">
            <v>0</v>
          </cell>
          <cell r="Q21">
            <v>10528556.15</v>
          </cell>
          <cell r="R21">
            <v>0</v>
          </cell>
          <cell r="S21">
            <v>1327910.2412806135</v>
          </cell>
          <cell r="T21">
            <v>1327910.2412806135</v>
          </cell>
          <cell r="U21"/>
          <cell r="V21">
            <v>0</v>
          </cell>
          <cell r="W21">
            <v>0</v>
          </cell>
          <cell r="X21">
            <v>1327910.2412806135</v>
          </cell>
          <cell r="Y21">
            <v>0</v>
          </cell>
          <cell r="Z21"/>
          <cell r="AA21">
            <v>415397</v>
          </cell>
          <cell r="AB21">
            <v>0</v>
          </cell>
          <cell r="AC21">
            <v>170657.30440082334</v>
          </cell>
          <cell r="AD21">
            <v>1498567.5456814368</v>
          </cell>
        </row>
        <row r="22">
          <cell r="A22" t="str">
            <v>Beverly Hills</v>
          </cell>
          <cell r="B22">
            <v>7924619.0759749515</v>
          </cell>
          <cell r="C22">
            <v>156638.70002946333</v>
          </cell>
          <cell r="D22">
            <v>8081257.776004415</v>
          </cell>
          <cell r="E22">
            <v>0</v>
          </cell>
          <cell r="F22">
            <v>0</v>
          </cell>
          <cell r="G22">
            <v>0</v>
          </cell>
          <cell r="H22">
            <v>8081257.776004415</v>
          </cell>
          <cell r="I22">
            <v>0</v>
          </cell>
          <cell r="J22">
            <v>7879947.0099999998</v>
          </cell>
          <cell r="K22">
            <v>0</v>
          </cell>
          <cell r="L22">
            <v>0</v>
          </cell>
          <cell r="M22">
            <v>0</v>
          </cell>
          <cell r="N22">
            <v>7879947.0099999998</v>
          </cell>
          <cell r="O22">
            <v>7879947.0099999998</v>
          </cell>
          <cell r="P22">
            <v>0</v>
          </cell>
          <cell r="Q22">
            <v>7879947.0099999998</v>
          </cell>
          <cell r="R22">
            <v>0</v>
          </cell>
          <cell r="S22">
            <v>201310.76600441523</v>
          </cell>
          <cell r="T22">
            <v>201310.76600441523</v>
          </cell>
          <cell r="U22">
            <v>0</v>
          </cell>
          <cell r="V22">
            <v>0</v>
          </cell>
          <cell r="W22">
            <v>0</v>
          </cell>
          <cell r="X22">
            <v>201310.76600441523</v>
          </cell>
          <cell r="Y22">
            <v>0</v>
          </cell>
          <cell r="Z22">
            <v>800000</v>
          </cell>
          <cell r="AA22">
            <v>2372503.06</v>
          </cell>
          <cell r="AB22">
            <v>0</v>
          </cell>
          <cell r="AC22">
            <v>114409.90248031489</v>
          </cell>
          <cell r="AD22">
            <v>315720.66848473012</v>
          </cell>
        </row>
        <row r="23">
          <cell r="A23" t="str">
            <v>Bishop</v>
          </cell>
          <cell r="B23">
            <v>160111.31708515997</v>
          </cell>
          <cell r="C23">
            <v>3246.4867665170968</v>
          </cell>
          <cell r="D23">
            <v>163357.80385167708</v>
          </cell>
          <cell r="E23">
            <v>-7593</v>
          </cell>
          <cell r="F23">
            <v>0</v>
          </cell>
          <cell r="G23">
            <v>-7593</v>
          </cell>
          <cell r="H23">
            <v>155764.80385167708</v>
          </cell>
          <cell r="I23">
            <v>0</v>
          </cell>
          <cell r="J23">
            <v>41129</v>
          </cell>
          <cell r="K23">
            <v>0</v>
          </cell>
          <cell r="L23">
            <v>0</v>
          </cell>
          <cell r="M23">
            <v>0</v>
          </cell>
          <cell r="N23">
            <v>41129</v>
          </cell>
          <cell r="O23">
            <v>41129</v>
          </cell>
          <cell r="P23">
            <v>0</v>
          </cell>
          <cell r="Q23">
            <v>41129</v>
          </cell>
          <cell r="R23">
            <v>0</v>
          </cell>
          <cell r="S23">
            <v>114635.80385167708</v>
          </cell>
          <cell r="T23">
            <v>114635.80385167708</v>
          </cell>
          <cell r="U23">
            <v>0</v>
          </cell>
          <cell r="V23">
            <v>0</v>
          </cell>
          <cell r="W23">
            <v>0</v>
          </cell>
          <cell r="X23">
            <v>114635.80385167708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2251.7899727597469</v>
          </cell>
          <cell r="AD23">
            <v>116887.59382443683</v>
          </cell>
        </row>
        <row r="24">
          <cell r="A24" t="str">
            <v>Blythe</v>
          </cell>
          <cell r="B24">
            <v>1424060.1193591021</v>
          </cell>
          <cell r="C24">
            <v>25167.234021849454</v>
          </cell>
          <cell r="D24">
            <v>1449227.3533809516</v>
          </cell>
          <cell r="E24">
            <v>6052</v>
          </cell>
          <cell r="F24">
            <v>0</v>
          </cell>
          <cell r="G24">
            <v>6052</v>
          </cell>
          <cell r="H24">
            <v>1455279.3533809516</v>
          </cell>
          <cell r="I24">
            <v>0</v>
          </cell>
          <cell r="J24">
            <v>783566.49</v>
          </cell>
          <cell r="K24">
            <v>0</v>
          </cell>
          <cell r="L24">
            <v>0</v>
          </cell>
          <cell r="M24">
            <v>0</v>
          </cell>
          <cell r="N24">
            <v>783566.49</v>
          </cell>
          <cell r="O24">
            <v>783566.49</v>
          </cell>
          <cell r="P24">
            <v>0</v>
          </cell>
          <cell r="Q24">
            <v>783566.49</v>
          </cell>
          <cell r="R24">
            <v>0</v>
          </cell>
          <cell r="S24">
            <v>671712.86338095157</v>
          </cell>
          <cell r="T24">
            <v>671712.86338095157</v>
          </cell>
          <cell r="U24">
            <v>0</v>
          </cell>
          <cell r="V24">
            <v>0</v>
          </cell>
          <cell r="W24">
            <v>0</v>
          </cell>
          <cell r="X24">
            <v>671712.86338095157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13278.594706539443</v>
          </cell>
          <cell r="AD24">
            <v>684991.45808749099</v>
          </cell>
        </row>
        <row r="25">
          <cell r="A25" t="str">
            <v>Bradbury</v>
          </cell>
          <cell r="B25">
            <v>184743.72739675781</v>
          </cell>
          <cell r="C25">
            <v>3920.0507521610589</v>
          </cell>
          <cell r="D25">
            <v>188663.77814891888</v>
          </cell>
          <cell r="E25">
            <v>-46875</v>
          </cell>
          <cell r="F25">
            <v>0</v>
          </cell>
          <cell r="G25">
            <v>-46875</v>
          </cell>
          <cell r="H25">
            <v>141788.77814891888</v>
          </cell>
          <cell r="I25">
            <v>0</v>
          </cell>
          <cell r="J25">
            <v>3362</v>
          </cell>
          <cell r="K25">
            <v>0</v>
          </cell>
          <cell r="L25">
            <v>0</v>
          </cell>
          <cell r="M25">
            <v>0</v>
          </cell>
          <cell r="N25">
            <v>3362</v>
          </cell>
          <cell r="O25">
            <v>3362</v>
          </cell>
          <cell r="P25">
            <v>0</v>
          </cell>
          <cell r="Q25">
            <v>3362</v>
          </cell>
          <cell r="R25">
            <v>0</v>
          </cell>
          <cell r="S25">
            <v>138426.77814891888</v>
          </cell>
          <cell r="T25">
            <v>138426.77814891888</v>
          </cell>
          <cell r="U25">
            <v>0</v>
          </cell>
          <cell r="V25">
            <v>0</v>
          </cell>
          <cell r="W25">
            <v>0</v>
          </cell>
          <cell r="X25">
            <v>138426.77814891888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3044.8896230336291</v>
          </cell>
          <cell r="AD25">
            <v>141471.66777195252</v>
          </cell>
        </row>
        <row r="26">
          <cell r="A26" t="str">
            <v>Brea</v>
          </cell>
          <cell r="B26">
            <v>3876067.814695104</v>
          </cell>
          <cell r="C26">
            <v>76795.267580402811</v>
          </cell>
          <cell r="D26">
            <v>3952863.082275507</v>
          </cell>
          <cell r="E26">
            <v>0</v>
          </cell>
          <cell r="F26">
            <v>0</v>
          </cell>
          <cell r="G26">
            <v>0</v>
          </cell>
          <cell r="H26">
            <v>3952863.082275507</v>
          </cell>
          <cell r="I26">
            <v>0</v>
          </cell>
          <cell r="J26">
            <v>5679560.1299999999</v>
          </cell>
          <cell r="K26">
            <v>0</v>
          </cell>
          <cell r="L26">
            <v>48512.729999999989</v>
          </cell>
          <cell r="M26">
            <v>0</v>
          </cell>
          <cell r="N26">
            <v>5728072.8600000003</v>
          </cell>
          <cell r="O26">
            <v>5728072.8600000003</v>
          </cell>
          <cell r="P26">
            <v>0</v>
          </cell>
          <cell r="Q26">
            <v>5728072.8600000003</v>
          </cell>
          <cell r="R26">
            <v>-1775209.7777244933</v>
          </cell>
          <cell r="S26">
            <v>0</v>
          </cell>
          <cell r="T26">
            <v>-1775209.7777244933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-1775209.7777244933</v>
          </cell>
          <cell r="Z26"/>
          <cell r="AA26">
            <v>0</v>
          </cell>
          <cell r="AB26">
            <v>-23.116135064779755</v>
          </cell>
          <cell r="AC26">
            <v>49285.231447897982</v>
          </cell>
          <cell r="AD26">
            <v>-1725924.5462765952</v>
          </cell>
        </row>
        <row r="27">
          <cell r="A27" t="str">
            <v>Buena Park</v>
          </cell>
          <cell r="B27">
            <v>10973713.54832596</v>
          </cell>
          <cell r="C27">
            <v>219123.40655192378</v>
          </cell>
          <cell r="D27">
            <v>11192836.954877883</v>
          </cell>
          <cell r="E27">
            <v>0</v>
          </cell>
          <cell r="F27">
            <v>0</v>
          </cell>
          <cell r="G27">
            <v>0</v>
          </cell>
          <cell r="H27">
            <v>11192836.954877883</v>
          </cell>
          <cell r="I27">
            <v>0</v>
          </cell>
          <cell r="J27">
            <v>8848555.3600000013</v>
          </cell>
          <cell r="K27">
            <v>0</v>
          </cell>
          <cell r="L27">
            <v>0</v>
          </cell>
          <cell r="M27">
            <v>0</v>
          </cell>
          <cell r="N27">
            <v>8848555.3600000013</v>
          </cell>
          <cell r="O27">
            <v>8848555.3600000013</v>
          </cell>
          <cell r="P27">
            <v>0</v>
          </cell>
          <cell r="Q27">
            <v>8848555.3600000013</v>
          </cell>
          <cell r="R27">
            <v>0</v>
          </cell>
          <cell r="S27">
            <v>2344281.5948778819</v>
          </cell>
          <cell r="T27">
            <v>2344281.5948778819</v>
          </cell>
          <cell r="U27">
            <v>0</v>
          </cell>
          <cell r="V27">
            <v>0</v>
          </cell>
          <cell r="W27">
            <v>0</v>
          </cell>
          <cell r="X27">
            <v>2344281.5948778819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155101.16846783122</v>
          </cell>
          <cell r="AD27">
            <v>2499382.7633457133</v>
          </cell>
        </row>
        <row r="28">
          <cell r="A28" t="str">
            <v>Calabasas</v>
          </cell>
          <cell r="B28">
            <v>1100023.3976960052</v>
          </cell>
          <cell r="C28">
            <v>27443.851999900449</v>
          </cell>
          <cell r="D28">
            <v>1127467.2496959057</v>
          </cell>
          <cell r="E28">
            <v>0</v>
          </cell>
          <cell r="F28">
            <v>0</v>
          </cell>
          <cell r="G28">
            <v>0</v>
          </cell>
          <cell r="H28">
            <v>1127467.2496959057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1127467.2496959057</v>
          </cell>
          <cell r="T28">
            <v>1127467.2496959057</v>
          </cell>
          <cell r="U28">
            <v>0</v>
          </cell>
          <cell r="V28">
            <v>0</v>
          </cell>
          <cell r="W28">
            <v>0</v>
          </cell>
          <cell r="X28">
            <v>1127467.2496959057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15183.634062395053</v>
          </cell>
          <cell r="AD28">
            <v>1142650.8837583007</v>
          </cell>
        </row>
        <row r="29">
          <cell r="A29" t="str">
            <v>California City</v>
          </cell>
          <cell r="B29">
            <v>972029.68503441382</v>
          </cell>
          <cell r="C29">
            <v>19615.368527634266</v>
          </cell>
          <cell r="D29">
            <v>991645.05356204812</v>
          </cell>
          <cell r="E29">
            <v>581945</v>
          </cell>
          <cell r="F29">
            <v>0</v>
          </cell>
          <cell r="G29">
            <v>581945</v>
          </cell>
          <cell r="H29">
            <v>1573590.0535620481</v>
          </cell>
          <cell r="I29">
            <v>0</v>
          </cell>
          <cell r="J29">
            <v>850841.12</v>
          </cell>
          <cell r="K29">
            <v>0</v>
          </cell>
          <cell r="L29">
            <v>0</v>
          </cell>
          <cell r="M29">
            <v>0</v>
          </cell>
          <cell r="N29">
            <v>850841.12</v>
          </cell>
          <cell r="O29">
            <v>850841.12</v>
          </cell>
          <cell r="P29">
            <v>0</v>
          </cell>
          <cell r="Q29">
            <v>850841.12</v>
          </cell>
          <cell r="R29">
            <v>0</v>
          </cell>
          <cell r="S29">
            <v>722748.93356204813</v>
          </cell>
          <cell r="T29">
            <v>722748.93356204813</v>
          </cell>
          <cell r="U29">
            <v>0</v>
          </cell>
          <cell r="V29">
            <v>0</v>
          </cell>
          <cell r="W29">
            <v>0</v>
          </cell>
          <cell r="X29">
            <v>722748.93356204813</v>
          </cell>
          <cell r="Y29">
            <v>0</v>
          </cell>
          <cell r="Z29">
            <v>600000</v>
          </cell>
          <cell r="AA29">
            <v>0</v>
          </cell>
          <cell r="AB29">
            <v>0</v>
          </cell>
          <cell r="AC29">
            <v>10482.321112854474</v>
          </cell>
          <cell r="AD29">
            <v>733231.25467490265</v>
          </cell>
        </row>
        <row r="30">
          <cell r="A30" t="str">
            <v>Calimesa</v>
          </cell>
          <cell r="B30">
            <v>641858.85384918074</v>
          </cell>
          <cell r="C30">
            <v>15959.412021871616</v>
          </cell>
          <cell r="D30">
            <v>657818.2658710524</v>
          </cell>
          <cell r="E30">
            <v>0</v>
          </cell>
          <cell r="F30">
            <v>0</v>
          </cell>
          <cell r="G30">
            <v>0</v>
          </cell>
          <cell r="H30">
            <v>657818.2658710524</v>
          </cell>
          <cell r="I30">
            <v>0</v>
          </cell>
          <cell r="J30">
            <v>422218.38</v>
          </cell>
          <cell r="K30">
            <v>0</v>
          </cell>
          <cell r="L30">
            <v>0</v>
          </cell>
          <cell r="M30">
            <v>0</v>
          </cell>
          <cell r="N30">
            <v>422218.38</v>
          </cell>
          <cell r="O30">
            <v>422218.38</v>
          </cell>
          <cell r="P30">
            <v>0</v>
          </cell>
          <cell r="Q30">
            <v>422218.38</v>
          </cell>
          <cell r="R30">
            <v>0</v>
          </cell>
          <cell r="S30">
            <v>235599.88587105239</v>
          </cell>
          <cell r="T30">
            <v>235599.88587105239</v>
          </cell>
          <cell r="U30">
            <v>0</v>
          </cell>
          <cell r="V30">
            <v>0</v>
          </cell>
          <cell r="W30">
            <v>0</v>
          </cell>
          <cell r="X30">
            <v>235599.88587105239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8921.9800832735855</v>
          </cell>
          <cell r="AD30">
            <v>244521.86595432597</v>
          </cell>
        </row>
        <row r="31">
          <cell r="A31" t="str">
            <v>Camarillo</v>
          </cell>
          <cell r="B31">
            <v>4764176.1685594805</v>
          </cell>
          <cell r="C31">
            <v>92824.868182987702</v>
          </cell>
          <cell r="D31">
            <v>4857001.0367424684</v>
          </cell>
          <cell r="E31">
            <v>0</v>
          </cell>
          <cell r="F31">
            <v>0</v>
          </cell>
          <cell r="G31">
            <v>0</v>
          </cell>
          <cell r="H31">
            <v>4857001.0367424684</v>
          </cell>
          <cell r="I31">
            <v>0</v>
          </cell>
          <cell r="J31">
            <v>2903196.86</v>
          </cell>
          <cell r="K31">
            <v>0</v>
          </cell>
          <cell r="L31">
            <v>-925.21</v>
          </cell>
          <cell r="M31">
            <v>0</v>
          </cell>
          <cell r="N31">
            <v>2902271.65</v>
          </cell>
          <cell r="O31">
            <v>2902271.65</v>
          </cell>
          <cell r="P31">
            <v>63946.339999999989</v>
          </cell>
          <cell r="Q31">
            <v>2966217.9899999998</v>
          </cell>
          <cell r="R31">
            <v>0</v>
          </cell>
          <cell r="S31">
            <v>1890783.0467424686</v>
          </cell>
          <cell r="T31">
            <v>1890783.0467424686</v>
          </cell>
          <cell r="U31">
            <v>0</v>
          </cell>
          <cell r="V31">
            <v>1636053.66</v>
          </cell>
          <cell r="W31">
            <v>1636053.66</v>
          </cell>
          <cell r="X31">
            <v>254729.38674246869</v>
          </cell>
          <cell r="Y31">
            <v>0</v>
          </cell>
          <cell r="AA31">
            <v>0</v>
          </cell>
          <cell r="AB31">
            <v>0</v>
          </cell>
          <cell r="AC31">
            <v>51295.255324273938</v>
          </cell>
          <cell r="AD31">
            <v>306024.64206674264</v>
          </cell>
        </row>
        <row r="32">
          <cell r="A32" t="str">
            <v>Canyon Lake</v>
          </cell>
          <cell r="B32">
            <v>440774.06261297781</v>
          </cell>
          <cell r="C32">
            <v>10154.749138926256</v>
          </cell>
          <cell r="D32">
            <v>450928.81175190408</v>
          </cell>
          <cell r="E32">
            <v>0</v>
          </cell>
          <cell r="F32">
            <v>0</v>
          </cell>
          <cell r="G32">
            <v>0</v>
          </cell>
          <cell r="H32">
            <v>450928.81175190408</v>
          </cell>
          <cell r="I32">
            <v>0</v>
          </cell>
          <cell r="J32">
            <v>478820.53</v>
          </cell>
          <cell r="K32">
            <v>0</v>
          </cell>
          <cell r="L32">
            <v>0</v>
          </cell>
          <cell r="M32">
            <v>0</v>
          </cell>
          <cell r="N32">
            <v>478820.53</v>
          </cell>
          <cell r="O32">
            <v>478820.53</v>
          </cell>
          <cell r="P32">
            <v>0</v>
          </cell>
          <cell r="Q32">
            <v>478820.53</v>
          </cell>
          <cell r="R32">
            <v>-27891.718248095945</v>
          </cell>
          <cell r="S32">
            <v>0</v>
          </cell>
          <cell r="T32">
            <v>-27891.718248095945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-27891.718248095945</v>
          </cell>
          <cell r="Z32">
            <v>0</v>
          </cell>
          <cell r="AA32">
            <v>0</v>
          </cell>
          <cell r="AB32">
            <v>-2.746667383557361</v>
          </cell>
          <cell r="AC32">
            <v>5118.2879491516887</v>
          </cell>
          <cell r="AD32">
            <v>-22773.430298944259</v>
          </cell>
        </row>
        <row r="33">
          <cell r="A33" t="str">
            <v>Carpinteria</v>
          </cell>
          <cell r="B33">
            <v>1530971.5132496005</v>
          </cell>
          <cell r="C33">
            <v>30439.374882148695</v>
          </cell>
          <cell r="D33">
            <v>1561410.8881317494</v>
          </cell>
          <cell r="E33">
            <v>0</v>
          </cell>
          <cell r="F33">
            <v>0</v>
          </cell>
          <cell r="G33">
            <v>0</v>
          </cell>
          <cell r="H33">
            <v>1561410.8881317494</v>
          </cell>
          <cell r="I33">
            <v>0</v>
          </cell>
          <cell r="J33">
            <v>1363058.31</v>
          </cell>
          <cell r="K33">
            <v>0</v>
          </cell>
          <cell r="L33">
            <v>0</v>
          </cell>
          <cell r="M33">
            <v>0</v>
          </cell>
          <cell r="N33">
            <v>1363058.31</v>
          </cell>
          <cell r="O33">
            <v>1363058.31</v>
          </cell>
          <cell r="P33">
            <v>0</v>
          </cell>
          <cell r="Q33">
            <v>1363058.31</v>
          </cell>
          <cell r="R33">
            <v>0</v>
          </cell>
          <cell r="S33">
            <v>198352.57813174929</v>
          </cell>
          <cell r="T33">
            <v>198352.57813174929</v>
          </cell>
          <cell r="U33">
            <v>0</v>
          </cell>
          <cell r="V33">
            <v>0</v>
          </cell>
          <cell r="W33">
            <v>0</v>
          </cell>
          <cell r="X33">
            <v>198352.57813174929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2860.5061740366364</v>
          </cell>
          <cell r="AD33">
            <v>201213.08430578595</v>
          </cell>
        </row>
        <row r="34">
          <cell r="A34" t="str">
            <v>Carson</v>
          </cell>
          <cell r="B34">
            <v>11381669.060099939</v>
          </cell>
          <cell r="C34">
            <v>227687.25032569628</v>
          </cell>
          <cell r="D34">
            <v>11609356.310425635</v>
          </cell>
          <cell r="E34">
            <v>46600</v>
          </cell>
          <cell r="F34">
            <v>0</v>
          </cell>
          <cell r="G34">
            <v>46600</v>
          </cell>
          <cell r="H34">
            <v>11655956.310425635</v>
          </cell>
          <cell r="I34">
            <v>0</v>
          </cell>
          <cell r="J34">
            <v>11102276.41</v>
          </cell>
          <cell r="K34">
            <v>0</v>
          </cell>
          <cell r="L34">
            <v>0</v>
          </cell>
          <cell r="M34">
            <v>0</v>
          </cell>
          <cell r="N34">
            <v>11102276.41</v>
          </cell>
          <cell r="O34">
            <v>11102276.41</v>
          </cell>
          <cell r="P34">
            <v>0</v>
          </cell>
          <cell r="Q34">
            <v>11102276.41</v>
          </cell>
          <cell r="R34">
            <v>0</v>
          </cell>
          <cell r="S34">
            <v>553679.90042563528</v>
          </cell>
          <cell r="T34">
            <v>553679.90042563528</v>
          </cell>
          <cell r="U34">
            <v>0</v>
          </cell>
          <cell r="V34">
            <v>0</v>
          </cell>
          <cell r="W34">
            <v>0</v>
          </cell>
          <cell r="X34">
            <v>553679.90042563528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157146.59527679248</v>
          </cell>
          <cell r="AD34">
            <v>710826.49570242781</v>
          </cell>
        </row>
        <row r="35">
          <cell r="A35" t="str">
            <v>Cathedral City</v>
          </cell>
          <cell r="B35">
            <v>4122052.988832016</v>
          </cell>
          <cell r="C35">
            <v>94179.350240553918</v>
          </cell>
          <cell r="D35">
            <v>4216232.3390725702</v>
          </cell>
          <cell r="E35">
            <v>0</v>
          </cell>
          <cell r="F35">
            <v>0</v>
          </cell>
          <cell r="G35">
            <v>0</v>
          </cell>
          <cell r="H35">
            <v>4216232.3390725702</v>
          </cell>
          <cell r="I35">
            <v>0</v>
          </cell>
          <cell r="J35">
            <v>3639095.63</v>
          </cell>
          <cell r="K35">
            <v>0</v>
          </cell>
          <cell r="L35">
            <v>616808.95999999996</v>
          </cell>
          <cell r="M35">
            <v>0</v>
          </cell>
          <cell r="N35">
            <v>4255904.59</v>
          </cell>
          <cell r="O35">
            <v>4255904.59</v>
          </cell>
          <cell r="P35">
            <v>0</v>
          </cell>
          <cell r="Q35">
            <v>4255904.59</v>
          </cell>
          <cell r="R35">
            <v>-39672.250927429646</v>
          </cell>
          <cell r="S35">
            <v>0</v>
          </cell>
          <cell r="T35">
            <v>-39672.250927429646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-39672.250927429646</v>
          </cell>
          <cell r="Z35">
            <v>0</v>
          </cell>
          <cell r="AA35"/>
          <cell r="AB35">
            <v>-0.4212415017315192</v>
          </cell>
          <cell r="AC35">
            <v>63445.246086521314</v>
          </cell>
          <cell r="AD35">
            <v>23772.995159091668</v>
          </cell>
        </row>
        <row r="36">
          <cell r="A36" t="str">
            <v>Cerritos</v>
          </cell>
          <cell r="B36">
            <v>3309129.7981779892</v>
          </cell>
          <cell r="C36">
            <v>66608.677998978819</v>
          </cell>
          <cell r="D36">
            <v>3375738.4761769678</v>
          </cell>
          <cell r="E36">
            <v>6902633</v>
          </cell>
          <cell r="F36">
            <v>0</v>
          </cell>
          <cell r="G36">
            <v>6902633</v>
          </cell>
          <cell r="H36">
            <v>10278371.476176968</v>
          </cell>
          <cell r="I36">
            <v>0</v>
          </cell>
          <cell r="J36">
            <v>9443549.4400000013</v>
          </cell>
          <cell r="K36">
            <v>0</v>
          </cell>
          <cell r="L36">
            <v>0</v>
          </cell>
          <cell r="M36">
            <v>0</v>
          </cell>
          <cell r="N36">
            <v>9443549.4400000013</v>
          </cell>
          <cell r="O36">
            <v>9443549.4400000013</v>
          </cell>
          <cell r="P36">
            <v>180702.11000000002</v>
          </cell>
          <cell r="Q36">
            <v>9624251.5500000007</v>
          </cell>
          <cell r="R36">
            <v>0</v>
          </cell>
          <cell r="S36">
            <v>654119.9261769671</v>
          </cell>
          <cell r="T36">
            <v>654119.9261769671</v>
          </cell>
          <cell r="U36">
            <v>719297.89</v>
          </cell>
          <cell r="V36">
            <v>0</v>
          </cell>
          <cell r="W36">
            <v>719297.89</v>
          </cell>
          <cell r="X36">
            <v>0</v>
          </cell>
          <cell r="Y36">
            <v>-65177.963823032915</v>
          </cell>
          <cell r="Z36">
            <v>0</v>
          </cell>
          <cell r="AA36">
            <v>2141070</v>
          </cell>
          <cell r="AB36">
            <v>-0.97852060393740525</v>
          </cell>
          <cell r="AC36">
            <v>45562.693865192836</v>
          </cell>
          <cell r="AD36">
            <v>-19615.269957840079</v>
          </cell>
        </row>
        <row r="37">
          <cell r="A37" t="str">
            <v>Chino</v>
          </cell>
          <cell r="B37">
            <v>4707170.7292941688</v>
          </cell>
          <cell r="C37">
            <v>92814.539232521638</v>
          </cell>
          <cell r="D37">
            <v>4799985.2685266901</v>
          </cell>
          <cell r="E37">
            <v>0</v>
          </cell>
          <cell r="F37">
            <v>0</v>
          </cell>
          <cell r="G37">
            <v>0</v>
          </cell>
          <cell r="H37">
            <v>4799985.2685266901</v>
          </cell>
          <cell r="I37">
            <v>0</v>
          </cell>
          <cell r="J37">
            <v>3721459.9800000004</v>
          </cell>
          <cell r="K37">
            <v>0</v>
          </cell>
          <cell r="L37">
            <v>-0.01</v>
          </cell>
          <cell r="M37">
            <v>0</v>
          </cell>
          <cell r="N37">
            <v>3721459.9700000007</v>
          </cell>
          <cell r="O37">
            <v>3721459.9700000007</v>
          </cell>
          <cell r="P37"/>
          <cell r="Q37">
            <v>3721459.9700000007</v>
          </cell>
          <cell r="R37">
            <v>0</v>
          </cell>
          <cell r="S37">
            <v>1078525.2985266894</v>
          </cell>
          <cell r="T37">
            <v>1078525.2985266894</v>
          </cell>
          <cell r="U37">
            <v>0</v>
          </cell>
          <cell r="V37">
            <v>0</v>
          </cell>
          <cell r="W37">
            <v>0</v>
          </cell>
          <cell r="X37">
            <v>1078525.2985266894</v>
          </cell>
          <cell r="Y37">
            <v>0</v>
          </cell>
          <cell r="Z37"/>
          <cell r="AA37">
            <v>982855.72</v>
          </cell>
          <cell r="AB37">
            <v>0</v>
          </cell>
          <cell r="AC37">
            <v>50575.208176056753</v>
          </cell>
          <cell r="AD37">
            <v>1129100.5067027463</v>
          </cell>
        </row>
        <row r="38">
          <cell r="A38" t="str">
            <v>Chino Hills</v>
          </cell>
          <cell r="B38">
            <v>1475776.688620216</v>
          </cell>
          <cell r="C38">
            <v>10203.56646088199</v>
          </cell>
          <cell r="D38">
            <v>1485980.2550810981</v>
          </cell>
          <cell r="E38">
            <v>0</v>
          </cell>
          <cell r="F38">
            <v>0</v>
          </cell>
          <cell r="G38">
            <v>0</v>
          </cell>
          <cell r="H38">
            <v>1485980.2550810981</v>
          </cell>
          <cell r="I38">
            <v>0</v>
          </cell>
          <cell r="J38">
            <v>2379888.94</v>
          </cell>
          <cell r="K38">
            <v>0</v>
          </cell>
          <cell r="L38">
            <v>0</v>
          </cell>
          <cell r="M38">
            <v>0</v>
          </cell>
          <cell r="N38">
            <v>2379888.94</v>
          </cell>
          <cell r="O38">
            <v>2379888.94</v>
          </cell>
          <cell r="P38">
            <v>0</v>
          </cell>
          <cell r="Q38">
            <v>2379888.94</v>
          </cell>
          <cell r="R38">
            <v>-893908.68491890188</v>
          </cell>
          <cell r="S38">
            <v>0</v>
          </cell>
          <cell r="T38">
            <v>-893908.68491890188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-893908.68491890188</v>
          </cell>
          <cell r="Z38">
            <v>0</v>
          </cell>
          <cell r="AA38">
            <v>1989701.45</v>
          </cell>
          <cell r="AB38">
            <v>0</v>
          </cell>
          <cell r="AC38">
            <v>0</v>
          </cell>
          <cell r="AD38">
            <v>-893908.68491890188</v>
          </cell>
        </row>
        <row r="39">
          <cell r="A39" t="str">
            <v>Claremont</v>
          </cell>
          <cell r="B39">
            <v>4493160.644732778</v>
          </cell>
          <cell r="C39">
            <v>89604.778401858275</v>
          </cell>
          <cell r="D39">
            <v>4582765.4231346361</v>
          </cell>
          <cell r="E39">
            <v>0</v>
          </cell>
          <cell r="F39">
            <v>0</v>
          </cell>
          <cell r="G39">
            <v>0</v>
          </cell>
          <cell r="H39">
            <v>4582765.4231346361</v>
          </cell>
          <cell r="I39">
            <v>0</v>
          </cell>
          <cell r="J39">
            <v>3725926.96</v>
          </cell>
          <cell r="K39">
            <v>0</v>
          </cell>
          <cell r="L39">
            <v>0</v>
          </cell>
          <cell r="M39">
            <v>0</v>
          </cell>
          <cell r="N39">
            <v>3725926.96</v>
          </cell>
          <cell r="O39">
            <v>3725926.96</v>
          </cell>
          <cell r="P39">
            <v>0</v>
          </cell>
          <cell r="Q39">
            <v>3725926.96</v>
          </cell>
          <cell r="R39">
            <v>0</v>
          </cell>
          <cell r="S39">
            <v>856838.46313463617</v>
          </cell>
          <cell r="T39">
            <v>856838.46313463617</v>
          </cell>
          <cell r="U39">
            <v>0</v>
          </cell>
          <cell r="V39">
            <v>0</v>
          </cell>
          <cell r="W39">
            <v>0</v>
          </cell>
          <cell r="X39">
            <v>856838.46313463617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61820.207140245766</v>
          </cell>
          <cell r="AD39">
            <v>918658.67027488188</v>
          </cell>
        </row>
        <row r="40">
          <cell r="A40" t="str">
            <v>Colton</v>
          </cell>
          <cell r="B40">
            <v>19582.265005382862</v>
          </cell>
          <cell r="C40">
            <v>1287.9050348831984</v>
          </cell>
          <cell r="D40">
            <v>20870.170040266061</v>
          </cell>
          <cell r="E40">
            <v>0</v>
          </cell>
          <cell r="F40">
            <v>0</v>
          </cell>
          <cell r="G40">
            <v>0</v>
          </cell>
          <cell r="H40">
            <v>20870.170040266061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20870.170040266061</v>
          </cell>
          <cell r="T40">
            <v>20870.170040266061</v>
          </cell>
          <cell r="U40">
            <v>0</v>
          </cell>
          <cell r="V40">
            <v>0</v>
          </cell>
          <cell r="W40">
            <v>0</v>
          </cell>
          <cell r="X40">
            <v>20870.170040266061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434.46693936692645</v>
          </cell>
          <cell r="AD40">
            <v>21304.636979632989</v>
          </cell>
        </row>
        <row r="41">
          <cell r="A41" t="str">
            <v>Commerce</v>
          </cell>
          <cell r="B41">
            <v>2762840.3860933324</v>
          </cell>
          <cell r="C41">
            <v>55644.259313218106</v>
          </cell>
          <cell r="D41">
            <v>2818484.6454065507</v>
          </cell>
          <cell r="E41">
            <v>614000</v>
          </cell>
          <cell r="F41">
            <v>0</v>
          </cell>
          <cell r="G41">
            <v>614000</v>
          </cell>
          <cell r="H41">
            <v>3432484.6454065507</v>
          </cell>
          <cell r="I41">
            <v>0</v>
          </cell>
          <cell r="J41">
            <v>2035183.66</v>
          </cell>
          <cell r="K41">
            <v>0</v>
          </cell>
          <cell r="L41">
            <v>0</v>
          </cell>
          <cell r="M41">
            <v>0</v>
          </cell>
          <cell r="N41">
            <v>2035183.66</v>
          </cell>
          <cell r="O41">
            <v>2035183.66</v>
          </cell>
          <cell r="P41">
            <v>0</v>
          </cell>
          <cell r="Q41">
            <v>2035183.66</v>
          </cell>
          <cell r="R41">
            <v>0</v>
          </cell>
          <cell r="S41">
            <v>1397300.9854065508</v>
          </cell>
          <cell r="T41">
            <v>1397300.9854065508</v>
          </cell>
          <cell r="U41">
            <v>0</v>
          </cell>
          <cell r="V41">
            <v>0</v>
          </cell>
          <cell r="W41">
            <v>0</v>
          </cell>
          <cell r="X41">
            <v>1397300.9854065508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40668.987383012514</v>
          </cell>
          <cell r="AD41">
            <v>1437969.9727895632</v>
          </cell>
        </row>
        <row r="42">
          <cell r="A42" t="str">
            <v>Compton</v>
          </cell>
          <cell r="B42">
            <v>13173762.529621834</v>
          </cell>
          <cell r="C42">
            <v>267622.67963720392</v>
          </cell>
          <cell r="D42">
            <v>13441385.209259037</v>
          </cell>
          <cell r="E42">
            <v>200000</v>
          </cell>
          <cell r="F42">
            <v>0</v>
          </cell>
          <cell r="G42">
            <v>200000</v>
          </cell>
          <cell r="H42">
            <v>13641385.209259037</v>
          </cell>
          <cell r="I42">
            <v>0</v>
          </cell>
          <cell r="J42">
            <v>7436218.3500000006</v>
          </cell>
          <cell r="K42">
            <v>0</v>
          </cell>
          <cell r="L42">
            <v>0</v>
          </cell>
          <cell r="M42">
            <v>0</v>
          </cell>
          <cell r="N42">
            <v>7436218.3500000006</v>
          </cell>
          <cell r="O42">
            <v>7436218.3500000006</v>
          </cell>
          <cell r="P42">
            <v>0</v>
          </cell>
          <cell r="Q42">
            <v>7436218.3500000006</v>
          </cell>
          <cell r="R42">
            <v>0</v>
          </cell>
          <cell r="S42">
            <v>6205166.8592590364</v>
          </cell>
          <cell r="T42">
            <v>6205166.8592590364</v>
          </cell>
          <cell r="U42">
            <v>0</v>
          </cell>
          <cell r="V42">
            <v>0</v>
          </cell>
          <cell r="W42">
            <v>0</v>
          </cell>
          <cell r="X42">
            <v>6205166.8592590364</v>
          </cell>
          <cell r="Y42">
            <v>0</v>
          </cell>
          <cell r="Z42">
            <v>16700000</v>
          </cell>
          <cell r="AA42">
            <v>0</v>
          </cell>
          <cell r="AB42">
            <v>0</v>
          </cell>
          <cell r="AC42">
            <v>192773.7636530376</v>
          </cell>
          <cell r="AD42">
            <v>6397940.6229120735</v>
          </cell>
        </row>
        <row r="43">
          <cell r="A43" t="str">
            <v>Corona</v>
          </cell>
          <cell r="B43">
            <v>7430133.4539272087</v>
          </cell>
          <cell r="C43">
            <v>141536.39274814969</v>
          </cell>
          <cell r="D43">
            <v>7571669.8466753587</v>
          </cell>
          <cell r="E43">
            <v>0</v>
          </cell>
          <cell r="F43">
            <v>0</v>
          </cell>
          <cell r="G43">
            <v>0</v>
          </cell>
          <cell r="H43">
            <v>7571669.8466753587</v>
          </cell>
          <cell r="I43">
            <v>0</v>
          </cell>
          <cell r="J43">
            <v>7109072.04</v>
          </cell>
          <cell r="K43">
            <v>0</v>
          </cell>
          <cell r="L43">
            <v>0</v>
          </cell>
          <cell r="M43">
            <v>0</v>
          </cell>
          <cell r="N43">
            <v>7109072.04</v>
          </cell>
          <cell r="O43">
            <v>7109072.04</v>
          </cell>
          <cell r="P43">
            <v>147.36000000000001</v>
          </cell>
          <cell r="Q43">
            <v>7109219.4000000004</v>
          </cell>
          <cell r="R43">
            <v>0</v>
          </cell>
          <cell r="S43">
            <v>462450.44667535834</v>
          </cell>
          <cell r="T43">
            <v>462450.44667535834</v>
          </cell>
          <cell r="U43">
            <v>599852.64</v>
          </cell>
          <cell r="V43">
            <v>0</v>
          </cell>
          <cell r="W43">
            <v>599852.64</v>
          </cell>
          <cell r="X43">
            <v>0</v>
          </cell>
          <cell r="Y43">
            <v>-137402.19332464167</v>
          </cell>
          <cell r="Z43">
            <v>0</v>
          </cell>
          <cell r="AA43">
            <v>0</v>
          </cell>
          <cell r="AB43">
            <v>-0.97079055539542802</v>
          </cell>
          <cell r="AC43">
            <v>72018.710626214568</v>
          </cell>
          <cell r="AD43">
            <v>-65383.482698427106</v>
          </cell>
        </row>
        <row r="44">
          <cell r="A44" t="str">
            <v>Costa Mesa</v>
          </cell>
          <cell r="B44">
            <v>15258904.005776793</v>
          </cell>
          <cell r="C44">
            <v>300252.2857917574</v>
          </cell>
          <cell r="D44">
            <v>15559156.291568549</v>
          </cell>
          <cell r="E44">
            <v>0</v>
          </cell>
          <cell r="F44">
            <v>0</v>
          </cell>
          <cell r="G44">
            <v>0</v>
          </cell>
          <cell r="H44">
            <v>15559156.291568549</v>
          </cell>
          <cell r="I44">
            <v>0</v>
          </cell>
          <cell r="J44">
            <v>13351143.16</v>
          </cell>
          <cell r="K44">
            <v>0</v>
          </cell>
          <cell r="L44">
            <v>0</v>
          </cell>
          <cell r="M44">
            <v>0</v>
          </cell>
          <cell r="N44">
            <v>13351143.16</v>
          </cell>
          <cell r="O44">
            <v>13351143.16</v>
          </cell>
          <cell r="P44">
            <v>0</v>
          </cell>
          <cell r="Q44">
            <v>13351143.16</v>
          </cell>
          <cell r="R44">
            <v>0</v>
          </cell>
          <cell r="S44">
            <v>2208013.1315685492</v>
          </cell>
          <cell r="T44">
            <v>2208013.1315685492</v>
          </cell>
          <cell r="U44">
            <v>0</v>
          </cell>
          <cell r="V44">
            <v>0</v>
          </cell>
          <cell r="W44">
            <v>0</v>
          </cell>
          <cell r="X44">
            <v>2208013.1315685492</v>
          </cell>
          <cell r="Y44">
            <v>0</v>
          </cell>
          <cell r="Z44">
            <v>3500000</v>
          </cell>
          <cell r="AA44">
            <v>2231541.83</v>
          </cell>
          <cell r="AB44">
            <v>0</v>
          </cell>
          <cell r="AC44">
            <v>208285.81879278336</v>
          </cell>
          <cell r="AD44">
            <v>2416298.9503613324</v>
          </cell>
        </row>
        <row r="45">
          <cell r="A45" t="str">
            <v>Covina</v>
          </cell>
          <cell r="B45">
            <v>7935424.1971681425</v>
          </cell>
          <cell r="C45">
            <v>161068.75089254641</v>
          </cell>
          <cell r="D45">
            <v>8096492.9480606886</v>
          </cell>
          <cell r="E45">
            <v>-5195572</v>
          </cell>
          <cell r="F45">
            <v>0</v>
          </cell>
          <cell r="G45">
            <v>-5195572</v>
          </cell>
          <cell r="H45">
            <v>2900920.9480606886</v>
          </cell>
          <cell r="I45">
            <v>0</v>
          </cell>
          <cell r="J45">
            <v>2588676</v>
          </cell>
          <cell r="K45">
            <v>0</v>
          </cell>
          <cell r="L45">
            <v>0</v>
          </cell>
          <cell r="M45">
            <v>0</v>
          </cell>
          <cell r="N45">
            <v>2588676</v>
          </cell>
          <cell r="O45">
            <v>2588676</v>
          </cell>
          <cell r="P45">
            <v>0</v>
          </cell>
          <cell r="Q45">
            <v>2588676</v>
          </cell>
          <cell r="R45">
            <v>0</v>
          </cell>
          <cell r="S45">
            <v>312244.94806068856</v>
          </cell>
          <cell r="T45">
            <v>312244.94806068856</v>
          </cell>
          <cell r="U45">
            <v>0</v>
          </cell>
          <cell r="V45">
            <v>0</v>
          </cell>
          <cell r="W45">
            <v>0</v>
          </cell>
          <cell r="X45">
            <v>312244.94806068856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114248.54047537637</v>
          </cell>
          <cell r="AD45">
            <v>426493.48853606492</v>
          </cell>
        </row>
        <row r="46">
          <cell r="A46" t="str">
            <v>Cudahy</v>
          </cell>
          <cell r="B46">
            <v>2797520.6682284032</v>
          </cell>
          <cell r="C46">
            <v>56976.64968195965</v>
          </cell>
          <cell r="D46">
            <v>2854497.317910363</v>
          </cell>
          <cell r="E46">
            <v>200000</v>
          </cell>
          <cell r="F46">
            <v>0</v>
          </cell>
          <cell r="G46">
            <v>200000</v>
          </cell>
          <cell r="H46">
            <v>3054497.317910363</v>
          </cell>
          <cell r="I46">
            <v>0</v>
          </cell>
          <cell r="J46">
            <v>1068399.6100000001</v>
          </cell>
          <cell r="K46">
            <v>0</v>
          </cell>
          <cell r="L46">
            <v>0</v>
          </cell>
          <cell r="M46">
            <v>0</v>
          </cell>
          <cell r="N46">
            <v>1068399.6100000001</v>
          </cell>
          <cell r="O46">
            <v>1068399.6100000001</v>
          </cell>
          <cell r="P46">
            <v>261889.36000000007</v>
          </cell>
          <cell r="Q46">
            <v>1330288.9700000002</v>
          </cell>
          <cell r="R46">
            <v>0</v>
          </cell>
          <cell r="S46">
            <v>1724208.3479103628</v>
          </cell>
          <cell r="T46">
            <v>1724208.3479103628</v>
          </cell>
          <cell r="U46">
            <v>0</v>
          </cell>
          <cell r="V46">
            <v>1438110.64</v>
          </cell>
          <cell r="W46">
            <v>1438110.64</v>
          </cell>
          <cell r="X46">
            <v>286097.70791036286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40888.587159052942</v>
          </cell>
          <cell r="AD46">
            <v>326986.29506941582</v>
          </cell>
        </row>
        <row r="47">
          <cell r="A47" t="str">
            <v>Culver City</v>
          </cell>
          <cell r="B47">
            <v>7856336.7412449094</v>
          </cell>
          <cell r="C47">
            <v>154810.50479454393</v>
          </cell>
          <cell r="D47">
            <v>8011147.246039453</v>
          </cell>
          <cell r="E47">
            <v>0</v>
          </cell>
          <cell r="F47">
            <v>0</v>
          </cell>
          <cell r="G47">
            <v>0</v>
          </cell>
          <cell r="H47">
            <v>8011147.246039453</v>
          </cell>
          <cell r="I47">
            <v>0</v>
          </cell>
          <cell r="J47">
            <v>6685052.1699999999</v>
          </cell>
          <cell r="K47">
            <v>0</v>
          </cell>
          <cell r="L47">
            <v>0</v>
          </cell>
          <cell r="M47">
            <v>0</v>
          </cell>
          <cell r="N47">
            <v>6685052.1699999999</v>
          </cell>
          <cell r="O47">
            <v>6685052.1699999999</v>
          </cell>
          <cell r="P47">
            <v>113389.53</v>
          </cell>
          <cell r="Q47">
            <v>6798441.7000000002</v>
          </cell>
          <cell r="R47">
            <v>0</v>
          </cell>
          <cell r="S47">
            <v>1212705.5460394528</v>
          </cell>
          <cell r="T47">
            <v>1212705.5460394528</v>
          </cell>
          <cell r="U47">
            <v>1386610.47</v>
          </cell>
          <cell r="V47">
            <v>0</v>
          </cell>
          <cell r="W47">
            <v>1386610.47</v>
          </cell>
          <cell r="X47">
            <v>0</v>
          </cell>
          <cell r="Y47">
            <v>-173904.9239605472</v>
          </cell>
          <cell r="Z47">
            <v>5721635</v>
          </cell>
          <cell r="AA47">
            <v>3486337.4</v>
          </cell>
          <cell r="AB47">
            <v>-1.1233405910751622</v>
          </cell>
          <cell r="AC47">
            <v>110990.034624105</v>
          </cell>
          <cell r="AD47">
            <v>-62914.889336442197</v>
          </cell>
        </row>
        <row r="48">
          <cell r="A48" t="str">
            <v>Cypress</v>
          </cell>
          <cell r="B48">
            <v>4561636.0720382119</v>
          </cell>
          <cell r="C48">
            <v>90082.682984873289</v>
          </cell>
          <cell r="D48">
            <v>4651718.7550230855</v>
          </cell>
          <cell r="E48">
            <v>0</v>
          </cell>
          <cell r="F48">
            <v>0</v>
          </cell>
          <cell r="G48">
            <v>0</v>
          </cell>
          <cell r="H48">
            <v>4651718.7550230855</v>
          </cell>
          <cell r="I48">
            <v>0</v>
          </cell>
          <cell r="J48">
            <v>2780172.43</v>
          </cell>
          <cell r="K48">
            <v>0</v>
          </cell>
          <cell r="L48">
            <v>0</v>
          </cell>
          <cell r="M48">
            <v>0</v>
          </cell>
          <cell r="N48">
            <v>2780172.43</v>
          </cell>
          <cell r="O48">
            <v>2780172.43</v>
          </cell>
          <cell r="P48">
            <v>0</v>
          </cell>
          <cell r="Q48">
            <v>2780172.43</v>
          </cell>
          <cell r="R48">
            <v>0</v>
          </cell>
          <cell r="S48">
            <v>1871546.3250230853</v>
          </cell>
          <cell r="T48">
            <v>1871546.3250230853</v>
          </cell>
          <cell r="U48">
            <v>0</v>
          </cell>
          <cell r="V48">
            <v>0</v>
          </cell>
          <cell r="W48">
            <v>0</v>
          </cell>
          <cell r="X48">
            <v>1871546.3250230853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60305.532638717879</v>
          </cell>
          <cell r="AD48">
            <v>1931851.8576618033</v>
          </cell>
        </row>
        <row r="49">
          <cell r="A49" t="str">
            <v>Delano</v>
          </cell>
          <cell r="B49">
            <v>2830029.3372137975</v>
          </cell>
          <cell r="C49">
            <v>52381.542250622369</v>
          </cell>
          <cell r="D49">
            <v>2882410.87946442</v>
          </cell>
          <cell r="E49">
            <v>2610587</v>
          </cell>
          <cell r="F49">
            <v>0</v>
          </cell>
          <cell r="G49">
            <v>2610587</v>
          </cell>
          <cell r="H49">
            <v>5492997.8794644196</v>
          </cell>
          <cell r="I49">
            <v>0</v>
          </cell>
          <cell r="J49">
            <v>5586625.3399999999</v>
          </cell>
          <cell r="K49">
            <v>0</v>
          </cell>
          <cell r="L49">
            <v>0</v>
          </cell>
          <cell r="M49">
            <v>0</v>
          </cell>
          <cell r="N49">
            <v>5586625.3399999999</v>
          </cell>
          <cell r="O49">
            <v>5586625.3399999999</v>
          </cell>
          <cell r="P49">
            <v>0</v>
          </cell>
          <cell r="Q49">
            <v>5586625.3399999999</v>
          </cell>
          <cell r="R49">
            <v>-93627.460535580292</v>
          </cell>
          <cell r="S49">
            <v>0</v>
          </cell>
          <cell r="T49">
            <v>-93627.460535580292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-93627.460535580292</v>
          </cell>
          <cell r="Z49">
            <v>0</v>
          </cell>
          <cell r="AA49">
            <v>0</v>
          </cell>
          <cell r="AB49">
            <v>-1.7874132091723181</v>
          </cell>
          <cell r="AC49">
            <v>30382.013322639454</v>
          </cell>
          <cell r="AD49">
            <v>-63245.447212940839</v>
          </cell>
        </row>
        <row r="50">
          <cell r="A50" t="str">
            <v>Desert Hot Springs</v>
          </cell>
          <cell r="B50">
            <v>2382884.0466602007</v>
          </cell>
          <cell r="C50">
            <v>50777.034694539412</v>
          </cell>
          <cell r="D50">
            <v>2433661.0813547401</v>
          </cell>
          <cell r="E50">
            <v>0</v>
          </cell>
          <cell r="F50">
            <v>0</v>
          </cell>
          <cell r="G50">
            <v>0</v>
          </cell>
          <cell r="H50">
            <v>2433661.0813547401</v>
          </cell>
          <cell r="I50">
            <v>0</v>
          </cell>
          <cell r="J50">
            <v>1518315.54</v>
          </cell>
          <cell r="K50">
            <v>0</v>
          </cell>
          <cell r="L50">
            <v>0</v>
          </cell>
          <cell r="M50">
            <v>0</v>
          </cell>
          <cell r="N50">
            <v>1518315.54</v>
          </cell>
          <cell r="O50">
            <v>1518315.54</v>
          </cell>
          <cell r="P50"/>
          <cell r="Q50">
            <v>1518315.54</v>
          </cell>
          <cell r="R50">
            <v>0</v>
          </cell>
          <cell r="S50">
            <v>915345.54135474004</v>
          </cell>
          <cell r="T50">
            <v>915345.54135474004</v>
          </cell>
          <cell r="U50">
            <v>0</v>
          </cell>
          <cell r="V50">
            <v>0</v>
          </cell>
          <cell r="W50">
            <v>0</v>
          </cell>
          <cell r="X50">
            <v>915345.54135474004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34531.9432840109</v>
          </cell>
          <cell r="AD50">
            <v>949877.4846387509</v>
          </cell>
        </row>
        <row r="51">
          <cell r="A51" t="str">
            <v>Diamond Bar</v>
          </cell>
          <cell r="B51">
            <v>3275804.752315809</v>
          </cell>
          <cell r="C51">
            <v>84164.913115920557</v>
          </cell>
          <cell r="D51">
            <v>3359969.6654317295</v>
          </cell>
          <cell r="E51">
            <v>0</v>
          </cell>
          <cell r="F51">
            <v>0</v>
          </cell>
          <cell r="G51">
            <v>0</v>
          </cell>
          <cell r="H51">
            <v>3359969.6654317295</v>
          </cell>
          <cell r="I51">
            <v>0</v>
          </cell>
          <cell r="J51">
            <v>1856597.71</v>
          </cell>
          <cell r="K51">
            <v>0</v>
          </cell>
          <cell r="L51">
            <v>0</v>
          </cell>
          <cell r="M51">
            <v>0</v>
          </cell>
          <cell r="N51">
            <v>1856597.71</v>
          </cell>
          <cell r="O51">
            <v>1856597.71</v>
          </cell>
          <cell r="P51">
            <v>0</v>
          </cell>
          <cell r="Q51">
            <v>1856597.71</v>
          </cell>
          <cell r="R51">
            <v>0</v>
          </cell>
          <cell r="S51">
            <v>1503371.9554317296</v>
          </cell>
          <cell r="T51">
            <v>1503371.9554317296</v>
          </cell>
          <cell r="U51">
            <v>0</v>
          </cell>
          <cell r="V51">
            <v>0</v>
          </cell>
          <cell r="W51">
            <v>0</v>
          </cell>
          <cell r="X51">
            <v>1503371.9554317296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57350.598997975525</v>
          </cell>
          <cell r="AD51">
            <v>1560722.554429705</v>
          </cell>
        </row>
        <row r="52">
          <cell r="A52" t="str">
            <v>Downey</v>
          </cell>
          <cell r="B52">
            <v>18884101.689729761</v>
          </cell>
          <cell r="C52">
            <v>386642.85991754301</v>
          </cell>
          <cell r="D52">
            <v>19270744.549647305</v>
          </cell>
          <cell r="E52">
            <v>256000</v>
          </cell>
          <cell r="F52">
            <v>0</v>
          </cell>
          <cell r="G52">
            <v>256000</v>
          </cell>
          <cell r="H52">
            <v>19526744.549647305</v>
          </cell>
          <cell r="I52">
            <v>0</v>
          </cell>
          <cell r="J52">
            <v>16694128.300000001</v>
          </cell>
          <cell r="K52">
            <v>0</v>
          </cell>
          <cell r="L52">
            <v>0</v>
          </cell>
          <cell r="M52">
            <v>0</v>
          </cell>
          <cell r="N52">
            <v>16694128.300000001</v>
          </cell>
          <cell r="O52">
            <v>16694128.300000001</v>
          </cell>
          <cell r="P52">
            <v>13252.49</v>
          </cell>
          <cell r="Q52">
            <v>16707380.790000001</v>
          </cell>
          <cell r="R52">
            <v>0</v>
          </cell>
          <cell r="S52">
            <v>2819363.7596473042</v>
          </cell>
          <cell r="T52">
            <v>2819363.7596473042</v>
          </cell>
          <cell r="U52">
            <v>0</v>
          </cell>
          <cell r="V52">
            <v>0</v>
          </cell>
          <cell r="W52">
            <v>0</v>
          </cell>
          <cell r="X52">
            <v>2819363.7596473042</v>
          </cell>
          <cell r="Y52">
            <v>0</v>
          </cell>
          <cell r="AA52">
            <v>1493888.48</v>
          </cell>
          <cell r="AB52">
            <v>0</v>
          </cell>
          <cell r="AC52">
            <v>283704.80060867575</v>
          </cell>
          <cell r="AD52">
            <v>3103068.5602559801</v>
          </cell>
        </row>
        <row r="53">
          <cell r="A53" t="str">
            <v>Duarte</v>
          </cell>
          <cell r="B53">
            <v>2533420.8069219394</v>
          </cell>
          <cell r="C53">
            <v>49186.711606304802</v>
          </cell>
          <cell r="D53">
            <v>2582607.518528244</v>
          </cell>
          <cell r="E53">
            <v>46875</v>
          </cell>
          <cell r="F53">
            <v>0</v>
          </cell>
          <cell r="G53">
            <v>46875</v>
          </cell>
          <cell r="H53">
            <v>2629482.518528244</v>
          </cell>
          <cell r="I53">
            <v>0</v>
          </cell>
          <cell r="J53">
            <v>2622274.1</v>
          </cell>
          <cell r="K53">
            <v>0</v>
          </cell>
          <cell r="L53">
            <v>0</v>
          </cell>
          <cell r="M53">
            <v>0</v>
          </cell>
          <cell r="N53">
            <v>2622274.1</v>
          </cell>
          <cell r="O53">
            <v>2622274.1</v>
          </cell>
          <cell r="P53">
            <v>0</v>
          </cell>
          <cell r="Q53">
            <v>2622274.1</v>
          </cell>
          <cell r="R53">
            <v>0</v>
          </cell>
          <cell r="S53">
            <v>7208.4185282438993</v>
          </cell>
          <cell r="T53">
            <v>7208.4185282438993</v>
          </cell>
          <cell r="U53">
            <v>0</v>
          </cell>
          <cell r="V53">
            <v>0</v>
          </cell>
          <cell r="W53">
            <v>0</v>
          </cell>
          <cell r="X53">
            <v>7208.4185282438993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33196.165684878928</v>
          </cell>
          <cell r="AD53">
            <v>40404.584213122827</v>
          </cell>
        </row>
        <row r="54">
          <cell r="A54" t="str">
            <v>Eastvale</v>
          </cell>
          <cell r="B54">
            <v>356568.26291221799</v>
          </cell>
          <cell r="C54">
            <v>43371.963018734386</v>
          </cell>
          <cell r="D54">
            <v>399940.22593095235</v>
          </cell>
          <cell r="E54">
            <v>0</v>
          </cell>
          <cell r="F54">
            <v>0</v>
          </cell>
          <cell r="G54">
            <v>0</v>
          </cell>
          <cell r="H54">
            <v>399940.22593095235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399940.22593095235</v>
          </cell>
          <cell r="T54">
            <v>399940.22593095235</v>
          </cell>
          <cell r="U54">
            <v>0</v>
          </cell>
          <cell r="V54">
            <v>0</v>
          </cell>
          <cell r="W54">
            <v>0</v>
          </cell>
          <cell r="X54">
            <v>399940.22593095235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27581.470539557151</v>
          </cell>
          <cell r="AD54">
            <v>427521.69647050952</v>
          </cell>
        </row>
        <row r="55">
          <cell r="A55" t="str">
            <v>El Monte</v>
          </cell>
          <cell r="B55">
            <v>14585320.230590248</v>
          </cell>
          <cell r="C55">
            <v>298965.00778111618</v>
          </cell>
          <cell r="D55">
            <v>14884285.238371365</v>
          </cell>
          <cell r="E55">
            <v>-35000</v>
          </cell>
          <cell r="F55">
            <v>-3157149.5383713702</v>
          </cell>
          <cell r="G55">
            <v>-3192149.5383713702</v>
          </cell>
          <cell r="H55">
            <v>11692135.699999996</v>
          </cell>
          <cell r="I55">
            <v>0</v>
          </cell>
          <cell r="J55">
            <v>11692135.699999999</v>
          </cell>
          <cell r="K55">
            <v>0</v>
          </cell>
          <cell r="L55">
            <v>0</v>
          </cell>
          <cell r="M55">
            <v>0</v>
          </cell>
          <cell r="N55">
            <v>11692135.699999999</v>
          </cell>
          <cell r="O55">
            <v>11692135.699999999</v>
          </cell>
          <cell r="P55">
            <v>0</v>
          </cell>
          <cell r="Q55">
            <v>11692135.699999999</v>
          </cell>
          <cell r="R55">
            <v>-3.7252902984619141E-9</v>
          </cell>
          <cell r="S55">
            <v>0</v>
          </cell>
          <cell r="T55">
            <v>-3.7252902984619141E-9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-3.7252902984619141E-9</v>
          </cell>
          <cell r="Z55">
            <v>0</v>
          </cell>
          <cell r="AA55">
            <v>2122437.04</v>
          </cell>
          <cell r="AB55">
            <v>-1.2460623154898927E-14</v>
          </cell>
          <cell r="AC55">
            <v>215979.75865191905</v>
          </cell>
          <cell r="AD55">
            <v>215979.75865191905</v>
          </cell>
        </row>
        <row r="56">
          <cell r="A56" t="str">
            <v>El Segundo</v>
          </cell>
          <cell r="B56">
            <v>4247122.5866255304</v>
          </cell>
          <cell r="C56">
            <v>88417.549499363187</v>
          </cell>
          <cell r="D56">
            <v>4335540.136124894</v>
          </cell>
          <cell r="E56">
            <v>1000000</v>
          </cell>
          <cell r="F56">
            <v>0</v>
          </cell>
          <cell r="G56">
            <v>1000000</v>
          </cell>
          <cell r="H56">
            <v>5335540.136124894</v>
          </cell>
          <cell r="I56">
            <v>0</v>
          </cell>
          <cell r="J56">
            <v>4176847.91</v>
          </cell>
          <cell r="K56">
            <v>0</v>
          </cell>
          <cell r="L56">
            <v>0</v>
          </cell>
          <cell r="M56">
            <v>0</v>
          </cell>
          <cell r="N56">
            <v>4176847.91</v>
          </cell>
          <cell r="O56">
            <v>4176847.91</v>
          </cell>
          <cell r="P56">
            <v>0</v>
          </cell>
          <cell r="Q56">
            <v>4176847.91</v>
          </cell>
          <cell r="R56">
            <v>0</v>
          </cell>
          <cell r="S56">
            <v>1158692.2261248939</v>
          </cell>
          <cell r="T56">
            <v>1158692.2261248939</v>
          </cell>
          <cell r="U56">
            <v>0</v>
          </cell>
          <cell r="V56">
            <v>0</v>
          </cell>
          <cell r="W56">
            <v>0</v>
          </cell>
          <cell r="X56">
            <v>1158692.2261248939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65922.167087157708</v>
          </cell>
          <cell r="AD56">
            <v>1224614.3932120516</v>
          </cell>
        </row>
        <row r="57">
          <cell r="A57" t="str">
            <v>Elsinore, Lake</v>
          </cell>
          <cell r="B57">
            <v>1740361.6016012391</v>
          </cell>
          <cell r="C57">
            <v>26036.492810245265</v>
          </cell>
          <cell r="D57">
            <v>1766398.0944114844</v>
          </cell>
          <cell r="E57">
            <v>0</v>
          </cell>
          <cell r="F57">
            <v>0</v>
          </cell>
          <cell r="G57">
            <v>0</v>
          </cell>
          <cell r="H57">
            <v>1766398.0944114844</v>
          </cell>
          <cell r="I57">
            <v>0</v>
          </cell>
          <cell r="J57">
            <v>1845270.8199999998</v>
          </cell>
          <cell r="K57">
            <v>0</v>
          </cell>
          <cell r="L57">
            <v>0</v>
          </cell>
          <cell r="M57">
            <v>0</v>
          </cell>
          <cell r="N57">
            <v>1845270.8199999998</v>
          </cell>
          <cell r="O57">
            <v>1845270.8199999998</v>
          </cell>
          <cell r="P57">
            <v>0</v>
          </cell>
          <cell r="Q57">
            <v>1845270.8199999998</v>
          </cell>
          <cell r="R57">
            <v>-78872.725588515401</v>
          </cell>
          <cell r="S57">
            <v>0</v>
          </cell>
          <cell r="T57">
            <v>-78872.725588515401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-78872.725588515401</v>
          </cell>
          <cell r="Z57"/>
          <cell r="AA57">
            <v>0</v>
          </cell>
          <cell r="AB57">
            <v>-3.0293145149518477</v>
          </cell>
          <cell r="AC57">
            <v>0</v>
          </cell>
          <cell r="AD57">
            <v>-78872.725588515401</v>
          </cell>
        </row>
        <row r="58">
          <cell r="A58" t="str">
            <v>Exeter</v>
          </cell>
          <cell r="B58">
            <v>1226293.5126636892</v>
          </cell>
          <cell r="C58">
            <v>24203.504386202414</v>
          </cell>
          <cell r="D58">
            <v>1250497.0170498916</v>
          </cell>
          <cell r="E58">
            <v>403435</v>
          </cell>
          <cell r="F58">
            <v>0</v>
          </cell>
          <cell r="G58">
            <v>403435</v>
          </cell>
          <cell r="H58">
            <v>1653932.0170498916</v>
          </cell>
          <cell r="I58">
            <v>0</v>
          </cell>
          <cell r="J58">
            <v>1562860.04</v>
          </cell>
          <cell r="K58">
            <v>0</v>
          </cell>
          <cell r="L58">
            <v>0</v>
          </cell>
          <cell r="M58">
            <v>0</v>
          </cell>
          <cell r="N58">
            <v>1562860.04</v>
          </cell>
          <cell r="O58">
            <v>1562860.04</v>
          </cell>
          <cell r="P58">
            <v>0</v>
          </cell>
          <cell r="Q58">
            <v>1562860.04</v>
          </cell>
          <cell r="R58">
            <v>0</v>
          </cell>
          <cell r="S58">
            <v>91071.977049891604</v>
          </cell>
          <cell r="T58">
            <v>91071.977049891604</v>
          </cell>
          <cell r="U58">
            <v>0</v>
          </cell>
          <cell r="V58">
            <v>0</v>
          </cell>
          <cell r="W58">
            <v>0</v>
          </cell>
          <cell r="X58">
            <v>91071.977049891604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16287.509181893867</v>
          </cell>
          <cell r="AD58">
            <v>107359.48623178547</v>
          </cell>
        </row>
        <row r="59">
          <cell r="A59" t="str">
            <v>Farmersville</v>
          </cell>
          <cell r="B59">
            <v>739579.64204445691</v>
          </cell>
          <cell r="C59">
            <v>13847.276185853802</v>
          </cell>
          <cell r="D59">
            <v>753426.91823031066</v>
          </cell>
          <cell r="E59">
            <v>299051</v>
          </cell>
          <cell r="F59">
            <v>0</v>
          </cell>
          <cell r="G59">
            <v>299051</v>
          </cell>
          <cell r="H59">
            <v>1052477.9182303105</v>
          </cell>
          <cell r="I59">
            <v>0</v>
          </cell>
          <cell r="J59">
            <v>301553</v>
          </cell>
          <cell r="K59">
            <v>0</v>
          </cell>
          <cell r="L59">
            <v>0</v>
          </cell>
          <cell r="M59">
            <v>0</v>
          </cell>
          <cell r="N59">
            <v>301553</v>
          </cell>
          <cell r="O59">
            <v>301553</v>
          </cell>
          <cell r="P59">
            <v>0</v>
          </cell>
          <cell r="Q59">
            <v>301553</v>
          </cell>
          <cell r="R59">
            <v>0</v>
          </cell>
          <cell r="S59">
            <v>750924.91823031055</v>
          </cell>
          <cell r="T59">
            <v>750924.91823031055</v>
          </cell>
          <cell r="U59">
            <v>0</v>
          </cell>
          <cell r="V59">
            <v>0</v>
          </cell>
          <cell r="W59">
            <v>0</v>
          </cell>
          <cell r="X59">
            <v>750924.91823031055</v>
          </cell>
          <cell r="Y59">
            <v>0</v>
          </cell>
          <cell r="Z59">
            <v>935000</v>
          </cell>
          <cell r="AA59">
            <v>0</v>
          </cell>
          <cell r="AB59">
            <v>0</v>
          </cell>
          <cell r="AC59">
            <v>8716.4562854792766</v>
          </cell>
          <cell r="AD59">
            <v>759641.37451578979</v>
          </cell>
        </row>
        <row r="60">
          <cell r="A60" t="str">
            <v>Fillmore</v>
          </cell>
          <cell r="B60">
            <v>1258689.2586954907</v>
          </cell>
          <cell r="C60">
            <v>23654.847736524716</v>
          </cell>
          <cell r="D60">
            <v>1282344.1064320153</v>
          </cell>
          <cell r="E60">
            <v>0</v>
          </cell>
          <cell r="F60">
            <v>0</v>
          </cell>
          <cell r="G60">
            <v>0</v>
          </cell>
          <cell r="H60">
            <v>1282344.1064320153</v>
          </cell>
          <cell r="I60">
            <v>0</v>
          </cell>
          <cell r="J60">
            <v>657574.14</v>
          </cell>
          <cell r="K60">
            <v>0</v>
          </cell>
          <cell r="L60">
            <v>0</v>
          </cell>
          <cell r="M60">
            <v>0</v>
          </cell>
          <cell r="N60">
            <v>657574.14</v>
          </cell>
          <cell r="O60">
            <v>657574.14</v>
          </cell>
          <cell r="P60">
            <v>0</v>
          </cell>
          <cell r="Q60">
            <v>657574.14</v>
          </cell>
          <cell r="R60">
            <v>0</v>
          </cell>
          <cell r="S60">
            <v>624769.9664320153</v>
          </cell>
          <cell r="T60">
            <v>624769.9664320153</v>
          </cell>
          <cell r="U60">
            <v>0</v>
          </cell>
          <cell r="V60">
            <v>0</v>
          </cell>
          <cell r="W60">
            <v>0</v>
          </cell>
          <cell r="X60">
            <v>624769.9664320153</v>
          </cell>
          <cell r="Y60">
            <v>0</v>
          </cell>
          <cell r="Z60">
            <v>500000</v>
          </cell>
          <cell r="AA60">
            <v>0</v>
          </cell>
          <cell r="AB60">
            <v>0</v>
          </cell>
          <cell r="AC60">
            <v>14884.55742750822</v>
          </cell>
          <cell r="AD60">
            <v>639654.52385952347</v>
          </cell>
        </row>
        <row r="61">
          <cell r="A61" t="str">
            <v>Fontana</v>
          </cell>
          <cell r="B61">
            <v>7661435.7459859941</v>
          </cell>
          <cell r="C61">
            <v>146804.59253654582</v>
          </cell>
          <cell r="D61">
            <v>7808240.3385225404</v>
          </cell>
          <cell r="E61">
            <v>0</v>
          </cell>
          <cell r="F61">
            <v>0</v>
          </cell>
          <cell r="G61">
            <v>0</v>
          </cell>
          <cell r="H61">
            <v>7808240.3385225404</v>
          </cell>
          <cell r="I61">
            <v>0</v>
          </cell>
          <cell r="J61">
            <v>4782108.87</v>
          </cell>
          <cell r="K61">
            <v>0</v>
          </cell>
          <cell r="L61">
            <v>0</v>
          </cell>
          <cell r="M61">
            <v>0</v>
          </cell>
          <cell r="N61">
            <v>4782108.87</v>
          </cell>
          <cell r="O61">
            <v>4782108.87</v>
          </cell>
          <cell r="P61">
            <v>4838.04</v>
          </cell>
          <cell r="Q61">
            <v>4786946.91</v>
          </cell>
          <cell r="R61">
            <v>0</v>
          </cell>
          <cell r="S61">
            <v>3021293.4285225403</v>
          </cell>
          <cell r="T61">
            <v>3021293.4285225403</v>
          </cell>
          <cell r="U61">
            <v>0</v>
          </cell>
          <cell r="V61">
            <v>3295161.96</v>
          </cell>
          <cell r="W61">
            <v>3295161.96</v>
          </cell>
          <cell r="X61">
            <v>0</v>
          </cell>
          <cell r="Y61">
            <v>-273868.53147745971</v>
          </cell>
          <cell r="Z61">
            <v>5476000</v>
          </cell>
          <cell r="AA61">
            <v>0</v>
          </cell>
          <cell r="AB61">
            <v>-1.8655310896304715</v>
          </cell>
          <cell r="AC61">
            <v>65264.773877909465</v>
          </cell>
          <cell r="AD61">
            <v>-208603.75759955024</v>
          </cell>
        </row>
        <row r="62">
          <cell r="A62" t="str">
            <v>Fountain Valley</v>
          </cell>
          <cell r="B62">
            <v>5100357.1654757801</v>
          </cell>
          <cell r="C62">
            <v>101011.52789980535</v>
          </cell>
          <cell r="D62">
            <v>5201368.6933755856</v>
          </cell>
          <cell r="E62">
            <v>0</v>
          </cell>
          <cell r="F62">
            <v>0</v>
          </cell>
          <cell r="G62">
            <v>0</v>
          </cell>
          <cell r="H62">
            <v>5201368.6933755856</v>
          </cell>
          <cell r="I62">
            <v>0</v>
          </cell>
          <cell r="J62">
            <v>4209751.8</v>
          </cell>
          <cell r="K62">
            <v>0</v>
          </cell>
          <cell r="L62">
            <v>0</v>
          </cell>
          <cell r="M62">
            <v>0</v>
          </cell>
          <cell r="N62">
            <v>4209751.8</v>
          </cell>
          <cell r="O62">
            <v>4209751.8</v>
          </cell>
          <cell r="P62">
            <v>0</v>
          </cell>
          <cell r="Q62">
            <v>4209751.8</v>
          </cell>
          <cell r="R62">
            <v>0</v>
          </cell>
          <cell r="S62">
            <v>991616.89337558579</v>
          </cell>
          <cell r="T62">
            <v>991616.89337558579</v>
          </cell>
          <cell r="U62">
            <v>0</v>
          </cell>
          <cell r="V62">
            <v>0</v>
          </cell>
          <cell r="W62">
            <v>0</v>
          </cell>
          <cell r="X62">
            <v>991616.89337558579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68978.464190096391</v>
          </cell>
          <cell r="AD62">
            <v>1060595.3575656821</v>
          </cell>
        </row>
        <row r="63">
          <cell r="A63" t="str">
            <v>Fullerton</v>
          </cell>
          <cell r="B63">
            <v>16009591.0351167</v>
          </cell>
          <cell r="C63">
            <v>306137.66082553525</v>
          </cell>
          <cell r="D63">
            <v>16315728.695942236</v>
          </cell>
          <cell r="E63">
            <v>-4373354</v>
          </cell>
          <cell r="F63">
            <v>0</v>
          </cell>
          <cell r="G63">
            <v>-4373354</v>
          </cell>
          <cell r="H63">
            <v>11942374.695942236</v>
          </cell>
          <cell r="I63">
            <v>0</v>
          </cell>
          <cell r="J63">
            <v>9263547.6099999994</v>
          </cell>
          <cell r="K63">
            <v>0</v>
          </cell>
          <cell r="L63">
            <v>0</v>
          </cell>
          <cell r="M63">
            <v>0</v>
          </cell>
          <cell r="N63">
            <v>9263547.6099999994</v>
          </cell>
          <cell r="O63">
            <v>9263547.6099999994</v>
          </cell>
          <cell r="P63">
            <v>2315090.6600000006</v>
          </cell>
          <cell r="Q63">
            <v>11578638.27</v>
          </cell>
          <cell r="R63">
            <v>0</v>
          </cell>
          <cell r="S63">
            <v>363736.42594223656</v>
          </cell>
          <cell r="T63">
            <v>363736.42594223656</v>
          </cell>
          <cell r="U63">
            <v>0</v>
          </cell>
          <cell r="V63">
            <v>0</v>
          </cell>
          <cell r="W63">
            <v>0</v>
          </cell>
          <cell r="X63">
            <v>363736.42594223656</v>
          </cell>
          <cell r="Y63">
            <v>0</v>
          </cell>
          <cell r="Z63">
            <v>0</v>
          </cell>
          <cell r="AA63">
            <v>1750994</v>
          </cell>
          <cell r="AB63">
            <v>0</v>
          </cell>
          <cell r="AC63">
            <v>201874.03290565376</v>
          </cell>
          <cell r="AD63">
            <v>565610.45884789038</v>
          </cell>
        </row>
        <row r="64">
          <cell r="A64" t="str">
            <v>Garden Grove</v>
          </cell>
          <cell r="B64">
            <v>21899894.353060428</v>
          </cell>
          <cell r="C64">
            <v>443396.87504032499</v>
          </cell>
          <cell r="D64">
            <v>22343291.228100754</v>
          </cell>
          <cell r="E64">
            <v>-2347982</v>
          </cell>
          <cell r="F64">
            <v>0</v>
          </cell>
          <cell r="G64">
            <v>-2347982</v>
          </cell>
          <cell r="H64">
            <v>19995309.228100754</v>
          </cell>
          <cell r="I64">
            <v>0</v>
          </cell>
          <cell r="J64">
            <v>15691031.85</v>
          </cell>
          <cell r="K64">
            <v>0</v>
          </cell>
          <cell r="L64">
            <v>0</v>
          </cell>
          <cell r="M64">
            <v>0</v>
          </cell>
          <cell r="N64">
            <v>15691031.85</v>
          </cell>
          <cell r="O64">
            <v>15691031.85</v>
          </cell>
          <cell r="P64">
            <v>365867.22000000003</v>
          </cell>
          <cell r="Q64">
            <v>16056899.07</v>
          </cell>
          <cell r="R64">
            <v>0</v>
          </cell>
          <cell r="S64">
            <v>3938410.158100754</v>
          </cell>
          <cell r="T64">
            <v>3938410.158100754</v>
          </cell>
          <cell r="U64">
            <v>0</v>
          </cell>
          <cell r="V64">
            <v>5434132.7800000003</v>
          </cell>
          <cell r="W64">
            <v>5434132.7800000003</v>
          </cell>
          <cell r="X64">
            <v>0</v>
          </cell>
          <cell r="Y64">
            <v>-1495722.6218992462</v>
          </cell>
          <cell r="Z64">
            <v>0</v>
          </cell>
          <cell r="AA64">
            <v>379881</v>
          </cell>
          <cell r="AB64">
            <v>-3.3733269359717903</v>
          </cell>
          <cell r="AC64">
            <v>316496.87795291067</v>
          </cell>
          <cell r="AD64">
            <v>-1179225.7439463355</v>
          </cell>
        </row>
        <row r="65">
          <cell r="A65" t="str">
            <v>Gardena</v>
          </cell>
          <cell r="B65">
            <v>10914229.520648286</v>
          </cell>
          <cell r="C65">
            <v>221845.00808983887</v>
          </cell>
          <cell r="D65">
            <v>11136074.528738124</v>
          </cell>
          <cell r="E65">
            <v>1125000</v>
          </cell>
          <cell r="F65">
            <v>0</v>
          </cell>
          <cell r="G65">
            <v>1125000</v>
          </cell>
          <cell r="H65">
            <v>12261074.528738124</v>
          </cell>
          <cell r="I65">
            <v>0</v>
          </cell>
          <cell r="J65">
            <v>13533602.09</v>
          </cell>
          <cell r="K65">
            <v>0</v>
          </cell>
          <cell r="L65">
            <v>0</v>
          </cell>
          <cell r="M65">
            <v>0</v>
          </cell>
          <cell r="N65">
            <v>13533602.09</v>
          </cell>
          <cell r="O65">
            <v>13533602.09</v>
          </cell>
          <cell r="P65">
            <v>0</v>
          </cell>
          <cell r="Q65">
            <v>13533602.09</v>
          </cell>
          <cell r="R65">
            <v>-1272527.5612618756</v>
          </cell>
          <cell r="S65">
            <v>0</v>
          </cell>
          <cell r="T65">
            <v>-1272527.5612618756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-1272527.5612618756</v>
          </cell>
          <cell r="Z65">
            <v>0</v>
          </cell>
          <cell r="AA65">
            <v>0</v>
          </cell>
          <cell r="AB65">
            <v>-5.7361108650529102</v>
          </cell>
          <cell r="AC65">
            <v>154741.82489745639</v>
          </cell>
          <cell r="AD65">
            <v>-1117785.7363644191</v>
          </cell>
        </row>
        <row r="66">
          <cell r="A66" t="str">
            <v>Glendale</v>
          </cell>
          <cell r="B66">
            <v>70889.34448827077</v>
          </cell>
          <cell r="C66">
            <v>5305.8812897524158</v>
          </cell>
          <cell r="D66">
            <v>76195.225778023188</v>
          </cell>
          <cell r="E66">
            <v>0</v>
          </cell>
          <cell r="F66">
            <v>0</v>
          </cell>
          <cell r="G66">
            <v>0</v>
          </cell>
          <cell r="H66">
            <v>76195.225778023188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76195.225778023188</v>
          </cell>
          <cell r="T66">
            <v>76195.225778023188</v>
          </cell>
          <cell r="U66">
            <v>0</v>
          </cell>
          <cell r="V66">
            <v>0</v>
          </cell>
          <cell r="W66">
            <v>0</v>
          </cell>
          <cell r="X66">
            <v>76195.225778023188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3820.2505854834089</v>
          </cell>
          <cell r="AD66">
            <v>80015.476363506605</v>
          </cell>
        </row>
        <row r="67">
          <cell r="A67" t="str">
            <v>Glendora</v>
          </cell>
          <cell r="B67">
            <v>7353034.3291906975</v>
          </cell>
          <cell r="C67">
            <v>151002.8394745267</v>
          </cell>
          <cell r="D67">
            <v>7504037.1686652247</v>
          </cell>
          <cell r="E67">
            <v>503000</v>
          </cell>
          <cell r="F67">
            <v>0</v>
          </cell>
          <cell r="G67">
            <v>503000</v>
          </cell>
          <cell r="H67">
            <v>8007037.1686652247</v>
          </cell>
          <cell r="I67">
            <v>0</v>
          </cell>
          <cell r="J67">
            <v>6762730.8000000007</v>
          </cell>
          <cell r="K67">
            <v>0</v>
          </cell>
          <cell r="L67">
            <v>0</v>
          </cell>
          <cell r="M67">
            <v>0</v>
          </cell>
          <cell r="N67">
            <v>6762730.8000000007</v>
          </cell>
          <cell r="O67">
            <v>6762730.8000000007</v>
          </cell>
          <cell r="P67">
            <v>1166406.98</v>
          </cell>
          <cell r="Q67">
            <v>7929137.7800000012</v>
          </cell>
          <cell r="R67">
            <v>0</v>
          </cell>
          <cell r="S67">
            <v>77899.388665223494</v>
          </cell>
          <cell r="T67">
            <v>77899.388665223494</v>
          </cell>
          <cell r="U67">
            <v>33593.020000000019</v>
          </cell>
          <cell r="W67">
            <v>33593.020000000019</v>
          </cell>
          <cell r="X67">
            <v>44306.368665223476</v>
          </cell>
          <cell r="Y67">
            <v>0</v>
          </cell>
          <cell r="AA67">
            <v>0</v>
          </cell>
          <cell r="AB67">
            <v>0</v>
          </cell>
          <cell r="AC67">
            <v>105138.38426240723</v>
          </cell>
          <cell r="AD67">
            <v>149444.7529276307</v>
          </cell>
        </row>
        <row r="68">
          <cell r="A68" t="str">
            <v>Goleta</v>
          </cell>
          <cell r="B68">
            <v>1301667.849952946</v>
          </cell>
          <cell r="C68">
            <v>63784.315572038082</v>
          </cell>
          <cell r="D68">
            <v>1365452.165524984</v>
          </cell>
          <cell r="E68">
            <v>0</v>
          </cell>
          <cell r="F68">
            <v>0</v>
          </cell>
          <cell r="G68">
            <v>0</v>
          </cell>
          <cell r="H68">
            <v>1365452.165524984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1365452.165524984</v>
          </cell>
          <cell r="T68">
            <v>1365452.165524984</v>
          </cell>
          <cell r="U68">
            <v>0</v>
          </cell>
          <cell r="V68">
            <v>0</v>
          </cell>
          <cell r="W68">
            <v>0</v>
          </cell>
          <cell r="X68">
            <v>1365452.165524984</v>
          </cell>
          <cell r="Y68">
            <v>0</v>
          </cell>
          <cell r="Z68">
            <v>550000</v>
          </cell>
          <cell r="AA68">
            <v>0</v>
          </cell>
          <cell r="AB68">
            <v>0</v>
          </cell>
          <cell r="AC68">
            <v>42113.690044594361</v>
          </cell>
          <cell r="AD68">
            <v>1407565.8555695785</v>
          </cell>
        </row>
        <row r="69">
          <cell r="A69" t="str">
            <v>Grand Terrace</v>
          </cell>
          <cell r="B69">
            <v>926930.86589414498</v>
          </cell>
          <cell r="C69">
            <v>17484.591710285589</v>
          </cell>
          <cell r="D69">
            <v>944415.45760443062</v>
          </cell>
          <cell r="E69">
            <v>0</v>
          </cell>
          <cell r="F69">
            <v>0</v>
          </cell>
          <cell r="G69">
            <v>0</v>
          </cell>
          <cell r="H69">
            <v>944415.45760443062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944415.45760443062</v>
          </cell>
          <cell r="T69">
            <v>944415.45760443062</v>
          </cell>
          <cell r="U69">
            <v>0</v>
          </cell>
          <cell r="V69">
            <v>0</v>
          </cell>
          <cell r="W69">
            <v>0</v>
          </cell>
          <cell r="X69">
            <v>944415.45760443062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9337.5366173027014</v>
          </cell>
          <cell r="AD69">
            <v>953752.9942217333</v>
          </cell>
        </row>
        <row r="70">
          <cell r="A70" t="str">
            <v>Hanford</v>
          </cell>
          <cell r="B70">
            <v>4496076.226613014</v>
          </cell>
          <cell r="C70">
            <v>83995.538386566797</v>
          </cell>
          <cell r="D70">
            <v>4580071.7649995806</v>
          </cell>
          <cell r="E70">
            <v>2016519</v>
          </cell>
          <cell r="F70">
            <v>0</v>
          </cell>
          <cell r="G70">
            <v>2016519</v>
          </cell>
          <cell r="H70">
            <v>6596590.7649995806</v>
          </cell>
          <cell r="I70">
            <v>0</v>
          </cell>
          <cell r="J70">
            <v>5109865.59</v>
          </cell>
          <cell r="K70">
            <v>0</v>
          </cell>
          <cell r="L70">
            <v>0</v>
          </cell>
          <cell r="M70">
            <v>0</v>
          </cell>
          <cell r="N70">
            <v>5109865.59</v>
          </cell>
          <cell r="O70">
            <v>5109865.59</v>
          </cell>
          <cell r="P70">
            <v>0</v>
          </cell>
          <cell r="Q70">
            <v>5109865.59</v>
          </cell>
          <cell r="R70">
            <v>0</v>
          </cell>
          <cell r="S70">
            <v>1486725.1749995807</v>
          </cell>
          <cell r="T70">
            <v>1486725.1749995807</v>
          </cell>
          <cell r="U70">
            <v>0</v>
          </cell>
          <cell r="V70">
            <v>0</v>
          </cell>
          <cell r="W70">
            <v>0</v>
          </cell>
          <cell r="X70">
            <v>1486725.1749995807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47183.025845663942</v>
          </cell>
          <cell r="AD70">
            <v>1533908.2008452446</v>
          </cell>
        </row>
        <row r="71">
          <cell r="A71" t="str">
            <v>Hawaiian Gardens</v>
          </cell>
          <cell r="B71">
            <v>1605567.5139636081</v>
          </cell>
          <cell r="C71">
            <v>32691.906056777771</v>
          </cell>
          <cell r="D71">
            <v>1638259.4200203859</v>
          </cell>
          <cell r="E71">
            <v>-240000</v>
          </cell>
          <cell r="F71">
            <v>0</v>
          </cell>
          <cell r="G71">
            <v>-240000</v>
          </cell>
          <cell r="H71">
            <v>1398259.4200203859</v>
          </cell>
          <cell r="I71">
            <v>0</v>
          </cell>
          <cell r="J71">
            <v>483745.95</v>
          </cell>
          <cell r="K71">
            <v>0</v>
          </cell>
          <cell r="L71">
            <v>0</v>
          </cell>
          <cell r="M71">
            <v>0</v>
          </cell>
          <cell r="N71">
            <v>483745.95</v>
          </cell>
          <cell r="O71">
            <v>483745.95</v>
          </cell>
          <cell r="P71">
            <v>0</v>
          </cell>
          <cell r="Q71">
            <v>483745.95</v>
          </cell>
          <cell r="R71">
            <v>0</v>
          </cell>
          <cell r="S71">
            <v>914513.47002038592</v>
          </cell>
          <cell r="T71">
            <v>914513.47002038592</v>
          </cell>
          <cell r="U71">
            <v>0</v>
          </cell>
          <cell r="V71">
            <v>0</v>
          </cell>
          <cell r="W71">
            <v>0</v>
          </cell>
          <cell r="X71">
            <v>914513.47002038592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23517.236177476327</v>
          </cell>
          <cell r="AD71">
            <v>938030.70619786228</v>
          </cell>
        </row>
        <row r="72">
          <cell r="A72" t="str">
            <v>Hawthorne</v>
          </cell>
          <cell r="B72">
            <v>12507325.853655325</v>
          </cell>
          <cell r="C72">
            <v>259987.31150695533</v>
          </cell>
          <cell r="D72">
            <v>12767313.16516228</v>
          </cell>
          <cell r="E72">
            <v>0</v>
          </cell>
          <cell r="F72">
            <v>0</v>
          </cell>
          <cell r="G72">
            <v>0</v>
          </cell>
          <cell r="H72">
            <v>12767313.16516228</v>
          </cell>
          <cell r="I72">
            <v>0</v>
          </cell>
          <cell r="J72">
            <v>11525266.5</v>
          </cell>
          <cell r="K72">
            <v>0</v>
          </cell>
          <cell r="L72">
            <v>0</v>
          </cell>
          <cell r="M72">
            <v>0</v>
          </cell>
          <cell r="N72">
            <v>11525266.5</v>
          </cell>
          <cell r="O72">
            <v>11525266.5</v>
          </cell>
          <cell r="P72">
            <v>0</v>
          </cell>
          <cell r="Q72">
            <v>11525266.5</v>
          </cell>
          <cell r="R72">
            <v>0</v>
          </cell>
          <cell r="S72">
            <v>1242046.6651622802</v>
          </cell>
          <cell r="T72">
            <v>1242046.6651622802</v>
          </cell>
          <cell r="U72">
            <v>0</v>
          </cell>
          <cell r="V72">
            <v>0</v>
          </cell>
          <cell r="W72">
            <v>0</v>
          </cell>
          <cell r="X72">
            <v>1242046.6651622802</v>
          </cell>
          <cell r="Y72">
            <v>0</v>
          </cell>
          <cell r="Z72">
            <v>0</v>
          </cell>
          <cell r="AA72">
            <v>2585828.36</v>
          </cell>
          <cell r="AB72">
            <v>0</v>
          </cell>
          <cell r="AC72">
            <v>185616.52289026824</v>
          </cell>
          <cell r="AD72">
            <v>1427663.1880525486</v>
          </cell>
        </row>
        <row r="73">
          <cell r="A73" t="str">
            <v>Hemet</v>
          </cell>
          <cell r="B73">
            <v>4328999.0862499615</v>
          </cell>
          <cell r="C73">
            <v>78537.010341576504</v>
          </cell>
          <cell r="D73">
            <v>4407536.0965915378</v>
          </cell>
          <cell r="E73">
            <v>0</v>
          </cell>
          <cell r="F73">
            <v>0</v>
          </cell>
          <cell r="G73">
            <v>0</v>
          </cell>
          <cell r="H73">
            <v>4407536.0965915378</v>
          </cell>
          <cell r="I73">
            <v>0</v>
          </cell>
          <cell r="J73">
            <v>3602031.23</v>
          </cell>
          <cell r="K73">
            <v>0</v>
          </cell>
          <cell r="L73">
            <v>0</v>
          </cell>
          <cell r="M73">
            <v>0</v>
          </cell>
          <cell r="N73">
            <v>3602031.23</v>
          </cell>
          <cell r="O73">
            <v>3602031.23</v>
          </cell>
          <cell r="P73">
            <v>0</v>
          </cell>
          <cell r="Q73">
            <v>3602031.23</v>
          </cell>
          <cell r="R73">
            <v>0</v>
          </cell>
          <cell r="S73">
            <v>805504.86659153784</v>
          </cell>
          <cell r="T73">
            <v>805504.86659153784</v>
          </cell>
          <cell r="U73">
            <v>0</v>
          </cell>
          <cell r="V73">
            <v>0</v>
          </cell>
          <cell r="W73">
            <v>0</v>
          </cell>
          <cell r="X73">
            <v>805504.86659153784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35256.889996595899</v>
          </cell>
          <cell r="AD73">
            <v>840761.75658813375</v>
          </cell>
        </row>
        <row r="74">
          <cell r="A74" t="str">
            <v>Hermosa Beach</v>
          </cell>
          <cell r="B74">
            <v>5017296.5272885682</v>
          </cell>
          <cell r="C74">
            <v>105504.04025118286</v>
          </cell>
          <cell r="D74">
            <v>5122800.5675397515</v>
          </cell>
          <cell r="E74">
            <v>0</v>
          </cell>
          <cell r="F74">
            <v>0</v>
          </cell>
          <cell r="G74">
            <v>0</v>
          </cell>
          <cell r="H74">
            <v>5122800.5675397515</v>
          </cell>
          <cell r="I74">
            <v>0</v>
          </cell>
          <cell r="J74">
            <v>4598295.04</v>
          </cell>
          <cell r="K74">
            <v>0</v>
          </cell>
          <cell r="L74">
            <v>0</v>
          </cell>
          <cell r="M74">
            <v>0</v>
          </cell>
          <cell r="N74">
            <v>4598295.04</v>
          </cell>
          <cell r="O74">
            <v>4598295.04</v>
          </cell>
          <cell r="P74">
            <v>0</v>
          </cell>
          <cell r="Q74">
            <v>4598295.04</v>
          </cell>
          <cell r="R74">
            <v>0</v>
          </cell>
          <cell r="S74">
            <v>524505.52753975149</v>
          </cell>
          <cell r="T74">
            <v>524505.52753975149</v>
          </cell>
          <cell r="U74">
            <v>0</v>
          </cell>
          <cell r="V74">
            <v>0</v>
          </cell>
          <cell r="W74">
            <v>0</v>
          </cell>
          <cell r="X74">
            <v>524505.52753975149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82669.527604724775</v>
          </cell>
          <cell r="AD74">
            <v>607175.05514447624</v>
          </cell>
        </row>
        <row r="75">
          <cell r="A75" t="str">
            <v>Hesperia</v>
          </cell>
          <cell r="B75">
            <v>6880561.1838726252</v>
          </cell>
          <cell r="C75">
            <v>157227.7539772141</v>
          </cell>
          <cell r="D75">
            <v>7037788.9378498392</v>
          </cell>
          <cell r="E75">
            <v>0</v>
          </cell>
          <cell r="F75">
            <v>0</v>
          </cell>
          <cell r="G75">
            <v>0</v>
          </cell>
          <cell r="H75">
            <v>7037788.9378498392</v>
          </cell>
          <cell r="I75">
            <v>0</v>
          </cell>
          <cell r="J75">
            <v>5355505</v>
          </cell>
          <cell r="K75">
            <v>0</v>
          </cell>
          <cell r="L75">
            <v>0</v>
          </cell>
          <cell r="M75">
            <v>0</v>
          </cell>
          <cell r="N75">
            <v>5355505</v>
          </cell>
          <cell r="O75">
            <v>5355505</v>
          </cell>
          <cell r="P75">
            <v>0</v>
          </cell>
          <cell r="Q75">
            <v>5355505</v>
          </cell>
          <cell r="R75">
            <v>0</v>
          </cell>
          <cell r="S75">
            <v>1682283.9378498392</v>
          </cell>
          <cell r="T75">
            <v>1682283.9378498392</v>
          </cell>
          <cell r="U75">
            <v>0</v>
          </cell>
          <cell r="V75">
            <v>0</v>
          </cell>
          <cell r="W75">
            <v>0</v>
          </cell>
          <cell r="X75">
            <v>1682283.9378498392</v>
          </cell>
          <cell r="Y75">
            <v>0</v>
          </cell>
          <cell r="Z75">
            <v>2250000</v>
          </cell>
          <cell r="AA75">
            <v>0</v>
          </cell>
          <cell r="AB75">
            <v>0</v>
          </cell>
          <cell r="AC75">
            <v>83726.199560546753</v>
          </cell>
          <cell r="AD75">
            <v>1766010.137410386</v>
          </cell>
        </row>
        <row r="76">
          <cell r="A76" t="str">
            <v>Hidden Hills</v>
          </cell>
          <cell r="B76">
            <v>252292.8858374283</v>
          </cell>
          <cell r="C76">
            <v>5193.6148502533479</v>
          </cell>
          <cell r="D76">
            <v>257486.50068768166</v>
          </cell>
          <cell r="E76">
            <v>0</v>
          </cell>
          <cell r="F76">
            <v>0</v>
          </cell>
          <cell r="G76">
            <v>0</v>
          </cell>
          <cell r="H76">
            <v>257486.50068768166</v>
          </cell>
          <cell r="I76">
            <v>0</v>
          </cell>
          <cell r="J76">
            <v>236603.89</v>
          </cell>
          <cell r="K76">
            <v>0</v>
          </cell>
          <cell r="L76">
            <v>0</v>
          </cell>
          <cell r="M76">
            <v>0</v>
          </cell>
          <cell r="N76">
            <v>236603.89</v>
          </cell>
          <cell r="O76">
            <v>236603.89</v>
          </cell>
          <cell r="P76">
            <v>0</v>
          </cell>
          <cell r="Q76">
            <v>236603.89</v>
          </cell>
          <cell r="R76">
            <v>0</v>
          </cell>
          <cell r="S76">
            <v>20882.610687681648</v>
          </cell>
          <cell r="T76">
            <v>20882.610687681648</v>
          </cell>
          <cell r="U76">
            <v>0</v>
          </cell>
          <cell r="V76">
            <v>0</v>
          </cell>
          <cell r="W76">
            <v>0</v>
          </cell>
          <cell r="X76">
            <v>20882.610687681648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4012.5946248855271</v>
          </cell>
          <cell r="AD76">
            <v>24895.205312567174</v>
          </cell>
        </row>
        <row r="77">
          <cell r="A77" t="str">
            <v>Highland</v>
          </cell>
          <cell r="B77">
            <v>3440342.0381000079</v>
          </cell>
          <cell r="C77">
            <v>79073.824727570231</v>
          </cell>
          <cell r="D77">
            <v>3519415.8628275781</v>
          </cell>
          <cell r="E77">
            <v>0</v>
          </cell>
          <cell r="F77">
            <v>0</v>
          </cell>
          <cell r="G77">
            <v>0</v>
          </cell>
          <cell r="H77">
            <v>3519415.8628275781</v>
          </cell>
          <cell r="I77">
            <v>0</v>
          </cell>
          <cell r="J77">
            <v>3580249.65</v>
          </cell>
          <cell r="K77">
            <v>0</v>
          </cell>
          <cell r="L77">
            <v>0</v>
          </cell>
          <cell r="M77">
            <v>0</v>
          </cell>
          <cell r="N77">
            <v>3580249.65</v>
          </cell>
          <cell r="O77">
            <v>3580249.65</v>
          </cell>
          <cell r="P77">
            <v>0</v>
          </cell>
          <cell r="Q77">
            <v>3580249.65</v>
          </cell>
          <cell r="R77">
            <v>-60833.787172421813</v>
          </cell>
          <cell r="S77">
            <v>0</v>
          </cell>
          <cell r="T77">
            <v>-60833.787172421813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-60833.787172421813</v>
          </cell>
          <cell r="Z77">
            <v>0</v>
          </cell>
          <cell r="AA77">
            <v>0</v>
          </cell>
          <cell r="AB77">
            <v>-0.76932900845519914</v>
          </cell>
          <cell r="AC77">
            <v>47416.682260896356</v>
          </cell>
          <cell r="AD77">
            <v>-13417.104911525457</v>
          </cell>
        </row>
        <row r="78">
          <cell r="A78" t="str">
            <v>Huntington Beach</v>
          </cell>
          <cell r="B78">
            <v>21579791.164276909</v>
          </cell>
          <cell r="C78">
            <v>430692.40758108877</v>
          </cell>
          <cell r="D78">
            <v>22010483.571857996</v>
          </cell>
          <cell r="E78">
            <v>0</v>
          </cell>
          <cell r="F78">
            <v>0</v>
          </cell>
          <cell r="G78">
            <v>0</v>
          </cell>
          <cell r="H78">
            <v>22010483.571857996</v>
          </cell>
          <cell r="I78">
            <v>0</v>
          </cell>
          <cell r="J78">
            <v>23974804.419999998</v>
          </cell>
          <cell r="K78">
            <v>0</v>
          </cell>
          <cell r="L78">
            <v>0</v>
          </cell>
          <cell r="M78">
            <v>0</v>
          </cell>
          <cell r="N78">
            <v>23974804.419999998</v>
          </cell>
          <cell r="O78">
            <v>23974804.419999998</v>
          </cell>
          <cell r="P78">
            <v>0</v>
          </cell>
          <cell r="Q78">
            <v>23974804.419999998</v>
          </cell>
          <cell r="R78">
            <v>-1964320.8481420018</v>
          </cell>
          <cell r="S78">
            <v>0</v>
          </cell>
          <cell r="T78">
            <v>-1964320.8481420018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-1964320.8481420018</v>
          </cell>
          <cell r="Z78">
            <v>0</v>
          </cell>
          <cell r="AA78">
            <v>1655954</v>
          </cell>
          <cell r="AB78">
            <v>-4.5608439191539931</v>
          </cell>
          <cell r="AC78">
            <v>297005.7514208756</v>
          </cell>
          <cell r="AD78">
            <v>-1667315.0967211262</v>
          </cell>
        </row>
        <row r="79">
          <cell r="A79" t="str">
            <v>Huntington Park</v>
          </cell>
          <cell r="B79">
            <v>8353437.297912227</v>
          </cell>
          <cell r="C79">
            <v>167509.39987145006</v>
          </cell>
          <cell r="D79">
            <v>8520946.6977836769</v>
          </cell>
          <cell r="E79">
            <v>0</v>
          </cell>
          <cell r="F79">
            <v>0</v>
          </cell>
          <cell r="G79">
            <v>0</v>
          </cell>
          <cell r="H79">
            <v>8520946.6977836769</v>
          </cell>
          <cell r="I79">
            <v>0</v>
          </cell>
          <cell r="J79">
            <v>5643431.2599999998</v>
          </cell>
          <cell r="K79">
            <v>0</v>
          </cell>
          <cell r="L79">
            <v>0</v>
          </cell>
          <cell r="M79">
            <v>0</v>
          </cell>
          <cell r="N79">
            <v>5643431.2599999998</v>
          </cell>
          <cell r="O79">
            <v>5643431.2599999998</v>
          </cell>
          <cell r="P79">
            <v>0</v>
          </cell>
          <cell r="Q79">
            <v>5643431.2599999998</v>
          </cell>
          <cell r="R79">
            <v>0</v>
          </cell>
          <cell r="S79">
            <v>2877515.4377836771</v>
          </cell>
          <cell r="T79">
            <v>2877515.4377836771</v>
          </cell>
          <cell r="U79">
            <v>0</v>
          </cell>
          <cell r="V79">
            <v>0</v>
          </cell>
          <cell r="W79">
            <v>0</v>
          </cell>
          <cell r="X79">
            <v>2877515.4377836771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120787.37601229401</v>
          </cell>
          <cell r="AD79">
            <v>2998302.8137959712</v>
          </cell>
        </row>
        <row r="80">
          <cell r="A80" t="str">
            <v>Indian Wells</v>
          </cell>
          <cell r="B80">
            <v>547933.82407248253</v>
          </cell>
          <cell r="C80">
            <v>11014.498389916391</v>
          </cell>
          <cell r="D80">
            <v>558948.32246239891</v>
          </cell>
          <cell r="E80">
            <v>1677188</v>
          </cell>
          <cell r="F80">
            <v>0</v>
          </cell>
          <cell r="G80">
            <v>1677188</v>
          </cell>
          <cell r="H80">
            <v>2236136.322462399</v>
          </cell>
          <cell r="I80">
            <v>0</v>
          </cell>
          <cell r="J80">
            <v>2215213.23</v>
          </cell>
          <cell r="K80">
            <v>0</v>
          </cell>
          <cell r="L80">
            <v>0</v>
          </cell>
          <cell r="M80">
            <v>0</v>
          </cell>
          <cell r="N80">
            <v>2215213.23</v>
          </cell>
          <cell r="O80">
            <v>2215213.23</v>
          </cell>
          <cell r="P80"/>
          <cell r="Q80">
            <v>2215213.23</v>
          </cell>
          <cell r="R80">
            <v>0</v>
          </cell>
          <cell r="S80">
            <v>20923.092462399043</v>
          </cell>
          <cell r="T80">
            <v>20923.092462399043</v>
          </cell>
          <cell r="U80">
            <v>0</v>
          </cell>
          <cell r="V80">
            <v>0</v>
          </cell>
          <cell r="W80">
            <v>0</v>
          </cell>
          <cell r="X80">
            <v>20923.092462399043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5653.7524510790554</v>
          </cell>
          <cell r="AD80">
            <v>26576.844913478097</v>
          </cell>
        </row>
        <row r="81">
          <cell r="A81" t="str">
            <v>Industry</v>
          </cell>
          <cell r="B81">
            <v>755295.26640995441</v>
          </cell>
          <cell r="C81">
            <v>14681.269777253563</v>
          </cell>
          <cell r="D81">
            <v>769976.53618720802</v>
          </cell>
          <cell r="E81">
            <v>-28346</v>
          </cell>
          <cell r="F81">
            <v>0</v>
          </cell>
          <cell r="G81">
            <v>-28346</v>
          </cell>
          <cell r="H81">
            <v>741630.53618720802</v>
          </cell>
          <cell r="I81">
            <v>0</v>
          </cell>
          <cell r="J81">
            <v>282830.08000000002</v>
          </cell>
          <cell r="K81">
            <v>0</v>
          </cell>
          <cell r="L81">
            <v>0</v>
          </cell>
          <cell r="M81">
            <v>0</v>
          </cell>
          <cell r="N81">
            <v>282830.08000000002</v>
          </cell>
          <cell r="O81">
            <v>282830.08000000002</v>
          </cell>
          <cell r="P81">
            <v>0</v>
          </cell>
          <cell r="Q81">
            <v>282830.08000000002</v>
          </cell>
          <cell r="R81">
            <v>0</v>
          </cell>
          <cell r="S81">
            <v>458800.45618720801</v>
          </cell>
          <cell r="T81">
            <v>458800.45618720801</v>
          </cell>
          <cell r="U81">
            <v>0</v>
          </cell>
          <cell r="V81">
            <v>0</v>
          </cell>
          <cell r="W81">
            <v>0</v>
          </cell>
          <cell r="X81">
            <v>458800.45618720801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9946.9372388606644</v>
          </cell>
          <cell r="AD81">
            <v>468747.39342606865</v>
          </cell>
        </row>
        <row r="82">
          <cell r="A82" t="str">
            <v>Inglewood</v>
          </cell>
          <cell r="B82">
            <v>21583422.443623733</v>
          </cell>
          <cell r="C82">
            <v>441523.19974177296</v>
          </cell>
          <cell r="D82">
            <v>22024945.643365506</v>
          </cell>
          <cell r="E82">
            <v>1000000</v>
          </cell>
          <cell r="F82">
            <v>0</v>
          </cell>
          <cell r="G82">
            <v>1000000</v>
          </cell>
          <cell r="H82">
            <v>23024945.643365506</v>
          </cell>
          <cell r="I82">
            <v>0</v>
          </cell>
          <cell r="J82">
            <v>21358233.59</v>
          </cell>
          <cell r="K82">
            <v>0</v>
          </cell>
          <cell r="L82">
            <v>0</v>
          </cell>
          <cell r="M82">
            <v>0</v>
          </cell>
          <cell r="N82">
            <v>21358233.59</v>
          </cell>
          <cell r="O82">
            <v>21358233.59</v>
          </cell>
          <cell r="P82">
            <v>0</v>
          </cell>
          <cell r="Q82">
            <v>21358233.59</v>
          </cell>
          <cell r="R82">
            <v>0</v>
          </cell>
          <cell r="S82">
            <v>1666712.0533655062</v>
          </cell>
          <cell r="T82">
            <v>1666712.0533655062</v>
          </cell>
          <cell r="U82">
            <v>0</v>
          </cell>
          <cell r="V82">
            <v>0</v>
          </cell>
          <cell r="W82">
            <v>0</v>
          </cell>
          <cell r="X82">
            <v>1666712.0533655062</v>
          </cell>
          <cell r="Y82">
            <v>0</v>
          </cell>
          <cell r="Z82">
            <v>0</v>
          </cell>
          <cell r="AA82">
            <v>8395145.0800000001</v>
          </cell>
          <cell r="AB82">
            <v>0</v>
          </cell>
          <cell r="AC82">
            <v>325361.43535684905</v>
          </cell>
          <cell r="AD82">
            <v>1992073.4887223553</v>
          </cell>
        </row>
        <row r="83">
          <cell r="A83" t="str">
            <v>Irvine</v>
          </cell>
          <cell r="B83">
            <v>7209093.0471355217</v>
          </cell>
          <cell r="C83">
            <v>124895.78602689708</v>
          </cell>
          <cell r="D83">
            <v>7333988.8331624186</v>
          </cell>
          <cell r="E83">
            <v>14094</v>
          </cell>
          <cell r="F83">
            <v>0</v>
          </cell>
          <cell r="G83">
            <v>14094</v>
          </cell>
          <cell r="H83">
            <v>7348082.8331624186</v>
          </cell>
          <cell r="I83">
            <v>0</v>
          </cell>
          <cell r="J83">
            <v>5451379.2200000007</v>
          </cell>
          <cell r="K83">
            <v>0</v>
          </cell>
          <cell r="L83">
            <v>0</v>
          </cell>
          <cell r="M83">
            <v>0</v>
          </cell>
          <cell r="N83">
            <v>5451379.2200000007</v>
          </cell>
          <cell r="O83">
            <v>5451379.2200000007</v>
          </cell>
          <cell r="P83">
            <v>0</v>
          </cell>
          <cell r="Q83">
            <v>5451379.2200000007</v>
          </cell>
          <cell r="R83">
            <v>0</v>
          </cell>
          <cell r="S83">
            <v>1896703.6131624179</v>
          </cell>
          <cell r="T83">
            <v>1896703.6131624179</v>
          </cell>
          <cell r="U83">
            <v>0</v>
          </cell>
          <cell r="V83">
            <v>0</v>
          </cell>
          <cell r="W83">
            <v>0</v>
          </cell>
          <cell r="X83">
            <v>1896703.6131624179</v>
          </cell>
          <cell r="Y83">
            <v>0</v>
          </cell>
          <cell r="Z83">
            <v>0</v>
          </cell>
          <cell r="AA83">
            <v>1519545.41</v>
          </cell>
          <cell r="AB83">
            <v>0</v>
          </cell>
          <cell r="AC83">
            <v>0</v>
          </cell>
          <cell r="AD83">
            <v>1896703.6131624179</v>
          </cell>
        </row>
        <row r="84">
          <cell r="A84" t="str">
            <v>Irwindale</v>
          </cell>
          <cell r="B84">
            <v>478324.76854947826</v>
          </cell>
          <cell r="C84">
            <v>10237.027272762165</v>
          </cell>
          <cell r="D84">
            <v>488561.79582224041</v>
          </cell>
          <cell r="E84">
            <v>0</v>
          </cell>
          <cell r="F84">
            <v>0</v>
          </cell>
          <cell r="G84">
            <v>0</v>
          </cell>
          <cell r="H84">
            <v>488561.79582224041</v>
          </cell>
          <cell r="I84">
            <v>0</v>
          </cell>
          <cell r="J84">
            <v>591927.11</v>
          </cell>
          <cell r="K84">
            <v>0</v>
          </cell>
          <cell r="L84">
            <v>0</v>
          </cell>
          <cell r="M84">
            <v>0</v>
          </cell>
          <cell r="N84">
            <v>591927.11</v>
          </cell>
          <cell r="O84">
            <v>591927.11</v>
          </cell>
          <cell r="P84">
            <v>0</v>
          </cell>
          <cell r="Q84">
            <v>591927.11</v>
          </cell>
          <cell r="R84">
            <v>-103365.31417775957</v>
          </cell>
          <cell r="S84">
            <v>0</v>
          </cell>
          <cell r="T84">
            <v>-103365.31417775957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-103365.31417775957</v>
          </cell>
          <cell r="Z84">
            <v>0</v>
          </cell>
          <cell r="AA84">
            <v>374826</v>
          </cell>
          <cell r="AB84">
            <v>-10.097200234367397</v>
          </cell>
          <cell r="AC84">
            <v>7154.2077556142376</v>
          </cell>
          <cell r="AD84">
            <v>-96211.106422145342</v>
          </cell>
        </row>
        <row r="85">
          <cell r="A85" t="str">
            <v>Jurupa Valley</v>
          </cell>
          <cell r="B85">
            <v>137594.16850431403</v>
          </cell>
          <cell r="C85">
            <v>0</v>
          </cell>
          <cell r="D85">
            <v>137594.16850431403</v>
          </cell>
          <cell r="E85">
            <v>0</v>
          </cell>
          <cell r="F85">
            <v>0</v>
          </cell>
          <cell r="G85">
            <v>0</v>
          </cell>
          <cell r="H85">
            <v>137594.16850431403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137594.16850431403</v>
          </cell>
          <cell r="T85">
            <v>137594.16850431403</v>
          </cell>
          <cell r="U85">
            <v>0</v>
          </cell>
          <cell r="V85">
            <v>0</v>
          </cell>
          <cell r="W85">
            <v>0</v>
          </cell>
          <cell r="X85">
            <v>137594.16850431403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137594.16850431403</v>
          </cell>
        </row>
        <row r="86">
          <cell r="A86" t="str">
            <v>La Canada-Flintridge</v>
          </cell>
          <cell r="B86">
            <v>3560426.5690536667</v>
          </cell>
          <cell r="C86">
            <v>76771.752067548674</v>
          </cell>
          <cell r="D86">
            <v>3637198.3211212154</v>
          </cell>
          <cell r="E86">
            <v>1571513</v>
          </cell>
          <cell r="F86">
            <v>0</v>
          </cell>
          <cell r="G86">
            <v>1571513</v>
          </cell>
          <cell r="H86">
            <v>5208711.3211212158</v>
          </cell>
          <cell r="I86">
            <v>0</v>
          </cell>
          <cell r="J86">
            <v>8673872.0800000001</v>
          </cell>
          <cell r="K86">
            <v>0</v>
          </cell>
          <cell r="L86">
            <v>0</v>
          </cell>
          <cell r="M86">
            <v>0</v>
          </cell>
          <cell r="N86">
            <v>8673872.0800000001</v>
          </cell>
          <cell r="O86">
            <v>8673872.0800000001</v>
          </cell>
          <cell r="P86">
            <v>0</v>
          </cell>
          <cell r="Q86">
            <v>8673872.0800000001</v>
          </cell>
          <cell r="R86">
            <v>-3465160.7588787843</v>
          </cell>
          <cell r="S86">
            <v>0</v>
          </cell>
          <cell r="T86">
            <v>-3465160.7588787843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-3465160.7588787843</v>
          </cell>
          <cell r="Z86">
            <v>0</v>
          </cell>
          <cell r="AA86">
            <v>2122610</v>
          </cell>
          <cell r="AB86">
            <v>-45.135882216546463</v>
          </cell>
          <cell r="AC86">
            <v>56866.132251630232</v>
          </cell>
          <cell r="AD86">
            <v>-3408294.6266271542</v>
          </cell>
        </row>
        <row r="87">
          <cell r="A87" t="str">
            <v>La Habra</v>
          </cell>
          <cell r="B87">
            <v>7855786.0411835015</v>
          </cell>
          <cell r="C87">
            <v>152691.25818205779</v>
          </cell>
          <cell r="D87">
            <v>8008477.2993655596</v>
          </cell>
          <cell r="E87">
            <v>400485</v>
          </cell>
          <cell r="F87">
            <v>0</v>
          </cell>
          <cell r="G87">
            <v>400485</v>
          </cell>
          <cell r="H87">
            <v>8408962.2993655596</v>
          </cell>
          <cell r="I87">
            <v>0</v>
          </cell>
          <cell r="J87">
            <v>7488042.2899999991</v>
          </cell>
          <cell r="K87">
            <v>0</v>
          </cell>
          <cell r="L87">
            <v>0</v>
          </cell>
          <cell r="M87">
            <v>0</v>
          </cell>
          <cell r="N87">
            <v>7488042.2899999991</v>
          </cell>
          <cell r="O87">
            <v>7488042.2899999991</v>
          </cell>
          <cell r="P87">
            <v>0</v>
          </cell>
          <cell r="Q87">
            <v>7488042.2899999991</v>
          </cell>
          <cell r="R87">
            <v>0</v>
          </cell>
          <cell r="S87">
            <v>920920.00936556049</v>
          </cell>
          <cell r="T87">
            <v>920920.00936556049</v>
          </cell>
          <cell r="U87">
            <v>0</v>
          </cell>
          <cell r="V87">
            <v>0</v>
          </cell>
          <cell r="W87">
            <v>0</v>
          </cell>
          <cell r="X87">
            <v>920920.00936556049</v>
          </cell>
          <cell r="Y87">
            <v>0</v>
          </cell>
          <cell r="Z87">
            <v>1979000</v>
          </cell>
          <cell r="AA87">
            <v>0</v>
          </cell>
          <cell r="AB87">
            <v>0</v>
          </cell>
          <cell r="AC87">
            <v>103127.42960702081</v>
          </cell>
          <cell r="AD87">
            <v>1024047.4389725813</v>
          </cell>
        </row>
        <row r="88">
          <cell r="A88" t="str">
            <v>La Habra Heights</v>
          </cell>
          <cell r="B88">
            <v>831075.63872864831</v>
          </cell>
          <cell r="C88">
            <v>18389.36418420769</v>
          </cell>
          <cell r="D88">
            <v>849465.00291285594</v>
          </cell>
          <cell r="E88">
            <v>0</v>
          </cell>
          <cell r="F88">
            <v>0</v>
          </cell>
          <cell r="G88">
            <v>0</v>
          </cell>
          <cell r="H88">
            <v>849465.00291285594</v>
          </cell>
          <cell r="I88">
            <v>0</v>
          </cell>
          <cell r="J88">
            <v>636722.51</v>
          </cell>
          <cell r="K88">
            <v>0</v>
          </cell>
          <cell r="L88">
            <v>0</v>
          </cell>
          <cell r="M88">
            <v>0</v>
          </cell>
          <cell r="N88">
            <v>636722.51</v>
          </cell>
          <cell r="O88">
            <v>636722.51</v>
          </cell>
          <cell r="P88"/>
          <cell r="Q88">
            <v>636722.51</v>
          </cell>
          <cell r="R88">
            <v>0</v>
          </cell>
          <cell r="S88">
            <v>212742.49291285593</v>
          </cell>
          <cell r="T88">
            <v>212742.49291285593</v>
          </cell>
          <cell r="U88">
            <v>0</v>
          </cell>
          <cell r="V88">
            <v>0</v>
          </cell>
          <cell r="W88">
            <v>0</v>
          </cell>
          <cell r="X88">
            <v>212742.49291285593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13471.110971924223</v>
          </cell>
          <cell r="AD88">
            <v>226213.60388478014</v>
          </cell>
        </row>
        <row r="89">
          <cell r="A89" t="str">
            <v>La Mirada</v>
          </cell>
          <cell r="B89">
            <v>6372856.5540302675</v>
          </cell>
          <cell r="C89">
            <v>128253.39262713764</v>
          </cell>
          <cell r="D89">
            <v>6501109.9466574052</v>
          </cell>
          <cell r="E89">
            <v>590000</v>
          </cell>
          <cell r="F89">
            <v>0</v>
          </cell>
          <cell r="G89">
            <v>590000</v>
          </cell>
          <cell r="H89">
            <v>7091109.9466574052</v>
          </cell>
          <cell r="I89">
            <v>0</v>
          </cell>
          <cell r="J89">
            <v>5419546.2599999998</v>
          </cell>
          <cell r="K89">
            <v>0</v>
          </cell>
          <cell r="L89">
            <v>0</v>
          </cell>
          <cell r="M89">
            <v>0</v>
          </cell>
          <cell r="N89">
            <v>5419546.2599999998</v>
          </cell>
          <cell r="O89">
            <v>5419546.2599999998</v>
          </cell>
          <cell r="P89">
            <v>0</v>
          </cell>
          <cell r="Q89">
            <v>5419546.2599999998</v>
          </cell>
          <cell r="R89">
            <v>0</v>
          </cell>
          <cell r="S89">
            <v>1671563.6866574055</v>
          </cell>
          <cell r="T89">
            <v>1671563.6866574055</v>
          </cell>
          <cell r="U89">
            <v>0</v>
          </cell>
          <cell r="V89">
            <v>0</v>
          </cell>
          <cell r="W89">
            <v>0</v>
          </cell>
          <cell r="X89">
            <v>1671563.6866574055</v>
          </cell>
          <cell r="Y89">
            <v>0</v>
          </cell>
          <cell r="Z89">
            <v>5000000</v>
          </cell>
          <cell r="AA89">
            <v>0</v>
          </cell>
          <cell r="AB89">
            <v>0</v>
          </cell>
          <cell r="AC89">
            <v>89082.447325716639</v>
          </cell>
          <cell r="AD89">
            <v>1760646.1339831222</v>
          </cell>
        </row>
        <row r="90">
          <cell r="A90" t="str">
            <v>La Palma</v>
          </cell>
          <cell r="B90">
            <v>1026857.7067673901</v>
          </cell>
          <cell r="C90">
            <v>20382.27884114486</v>
          </cell>
          <cell r="D90">
            <v>1047239.985608535</v>
          </cell>
          <cell r="E90">
            <v>0</v>
          </cell>
          <cell r="F90">
            <v>0</v>
          </cell>
          <cell r="G90">
            <v>0</v>
          </cell>
          <cell r="H90">
            <v>1047239.985608535</v>
          </cell>
          <cell r="I90">
            <v>0</v>
          </cell>
          <cell r="J90">
            <v>927297.66</v>
          </cell>
          <cell r="K90">
            <v>0</v>
          </cell>
          <cell r="L90">
            <v>0</v>
          </cell>
          <cell r="M90">
            <v>0</v>
          </cell>
          <cell r="N90">
            <v>927297.66</v>
          </cell>
          <cell r="O90">
            <v>927297.66</v>
          </cell>
          <cell r="P90"/>
          <cell r="Q90">
            <v>927297.66</v>
          </cell>
          <cell r="R90">
            <v>0</v>
          </cell>
          <cell r="S90">
            <v>119942.32560853497</v>
          </cell>
          <cell r="T90">
            <v>119942.32560853497</v>
          </cell>
          <cell r="U90">
            <v>0</v>
          </cell>
          <cell r="V90">
            <v>0</v>
          </cell>
          <cell r="W90">
            <v>0</v>
          </cell>
          <cell r="X90">
            <v>119942.32560853497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14421.707161486054</v>
          </cell>
          <cell r="AD90">
            <v>134364.03277002103</v>
          </cell>
        </row>
        <row r="91">
          <cell r="A91" t="str">
            <v>La Puente</v>
          </cell>
          <cell r="B91">
            <v>4719968.2683574967</v>
          </cell>
          <cell r="C91">
            <v>95094.684835546053</v>
          </cell>
          <cell r="D91">
            <v>4815062.9531930424</v>
          </cell>
          <cell r="E91">
            <v>0</v>
          </cell>
          <cell r="F91">
            <v>0</v>
          </cell>
          <cell r="G91">
            <v>0</v>
          </cell>
          <cell r="H91">
            <v>4815062.9531930424</v>
          </cell>
          <cell r="I91">
            <v>0</v>
          </cell>
          <cell r="J91">
            <v>1746284.88</v>
          </cell>
          <cell r="K91">
            <v>0</v>
          </cell>
          <cell r="L91">
            <v>0</v>
          </cell>
          <cell r="M91">
            <v>0</v>
          </cell>
          <cell r="N91">
            <v>1746284.88</v>
          </cell>
          <cell r="O91">
            <v>1746284.88</v>
          </cell>
          <cell r="P91">
            <v>1760371.81</v>
          </cell>
          <cell r="Q91">
            <v>3506656.69</v>
          </cell>
          <cell r="R91">
            <v>0</v>
          </cell>
          <cell r="S91">
            <v>1308406.2631930425</v>
          </cell>
          <cell r="T91">
            <v>1308406.2631930425</v>
          </cell>
          <cell r="U91">
            <v>1239628.19</v>
          </cell>
          <cell r="V91">
            <v>0</v>
          </cell>
          <cell r="W91">
            <v>1239628.19</v>
          </cell>
          <cell r="X91">
            <v>68778.073193042539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67328.977923879793</v>
          </cell>
          <cell r="AD91">
            <v>136107.05111692235</v>
          </cell>
        </row>
        <row r="92">
          <cell r="A92" t="str">
            <v>La Verne</v>
          </cell>
          <cell r="B92">
            <v>2887909.9442596817</v>
          </cell>
          <cell r="C92">
            <v>57932.082079053886</v>
          </cell>
          <cell r="D92">
            <v>2945842.0263387356</v>
          </cell>
          <cell r="E92">
            <v>3270000</v>
          </cell>
          <cell r="F92">
            <v>0</v>
          </cell>
          <cell r="G92">
            <v>3270000</v>
          </cell>
          <cell r="H92">
            <v>6215842.0263387356</v>
          </cell>
          <cell r="I92">
            <v>0</v>
          </cell>
          <cell r="J92">
            <v>2187703.48</v>
          </cell>
          <cell r="K92">
            <v>0</v>
          </cell>
          <cell r="L92">
            <v>0</v>
          </cell>
          <cell r="M92">
            <v>0</v>
          </cell>
          <cell r="N92">
            <v>2187703.48</v>
          </cell>
          <cell r="O92">
            <v>2187703.48</v>
          </cell>
          <cell r="P92">
            <v>210695.49999999997</v>
          </cell>
          <cell r="Q92">
            <v>2398398.98</v>
          </cell>
          <cell r="R92">
            <v>0</v>
          </cell>
          <cell r="S92">
            <v>3817443.0463387356</v>
          </cell>
          <cell r="T92">
            <v>3817443.0463387356</v>
          </cell>
          <cell r="U92">
            <v>3589304.5</v>
          </cell>
          <cell r="V92">
            <v>0</v>
          </cell>
          <cell r="W92">
            <v>3589304.5</v>
          </cell>
          <cell r="X92">
            <v>228138.54633873561</v>
          </cell>
          <cell r="Y92">
            <v>0</v>
          </cell>
          <cell r="AA92">
            <v>0</v>
          </cell>
          <cell r="AB92">
            <v>0</v>
          </cell>
          <cell r="AC92">
            <v>38290.285198556783</v>
          </cell>
          <cell r="AD92">
            <v>266428.8315372924</v>
          </cell>
        </row>
        <row r="93">
          <cell r="A93" t="str">
            <v>Laguna Beach</v>
          </cell>
          <cell r="B93">
            <v>4331866.5391010335</v>
          </cell>
          <cell r="C93">
            <v>88264.004340641579</v>
          </cell>
          <cell r="D93">
            <v>4420130.5434416747</v>
          </cell>
          <cell r="E93">
            <v>10871075.773966867</v>
          </cell>
          <cell r="F93">
            <v>0</v>
          </cell>
          <cell r="G93">
            <v>10871075.773966867</v>
          </cell>
          <cell r="H93">
            <v>15291206.317408543</v>
          </cell>
          <cell r="I93">
            <v>0</v>
          </cell>
          <cell r="J93">
            <v>4718542.4499999983</v>
          </cell>
          <cell r="K93">
            <v>0</v>
          </cell>
          <cell r="L93">
            <v>213.37</v>
          </cell>
          <cell r="M93">
            <v>0</v>
          </cell>
          <cell r="N93">
            <v>4718755.8199999984</v>
          </cell>
          <cell r="O93">
            <v>4718755.8199999984</v>
          </cell>
          <cell r="P93">
            <v>0</v>
          </cell>
          <cell r="Q93">
            <v>4718755.8199999984</v>
          </cell>
          <cell r="R93">
            <v>0</v>
          </cell>
          <cell r="S93">
            <v>10572450.497408545</v>
          </cell>
          <cell r="T93">
            <v>10572450.497408545</v>
          </cell>
          <cell r="U93">
            <v>0</v>
          </cell>
          <cell r="V93">
            <v>5000000</v>
          </cell>
          <cell r="W93">
            <v>5000000</v>
          </cell>
          <cell r="X93">
            <v>5572450.4974085446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67874.246274820121</v>
          </cell>
          <cell r="AD93">
            <v>5640324.7436833652</v>
          </cell>
        </row>
        <row r="94">
          <cell r="A94" t="str">
            <v>Laguna Hills</v>
          </cell>
          <cell r="B94">
            <v>138567.32081026811</v>
          </cell>
          <cell r="C94">
            <v>0</v>
          </cell>
          <cell r="D94">
            <v>138567.32081026811</v>
          </cell>
          <cell r="E94">
            <v>-12022</v>
          </cell>
          <cell r="F94">
            <v>0</v>
          </cell>
          <cell r="G94">
            <v>-12022</v>
          </cell>
          <cell r="H94">
            <v>126545.32081026811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126545.32081026811</v>
          </cell>
          <cell r="T94">
            <v>126545.32081026811</v>
          </cell>
          <cell r="U94">
            <v>0</v>
          </cell>
          <cell r="V94">
            <v>0</v>
          </cell>
          <cell r="W94">
            <v>0</v>
          </cell>
          <cell r="X94">
            <v>126545.32081026811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126545.32081026811</v>
          </cell>
        </row>
        <row r="95">
          <cell r="A95" t="str">
            <v>Laguna Niguel</v>
          </cell>
          <cell r="B95">
            <v>441626.72689901839</v>
          </cell>
          <cell r="C95">
            <v>10006.873794858346</v>
          </cell>
          <cell r="D95">
            <v>451633.60069387674</v>
          </cell>
          <cell r="E95">
            <v>-372119</v>
          </cell>
          <cell r="F95">
            <v>0</v>
          </cell>
          <cell r="G95">
            <v>-372119</v>
          </cell>
          <cell r="H95">
            <v>79514.600693876739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79514.600693876739</v>
          </cell>
          <cell r="T95">
            <v>79514.600693876739</v>
          </cell>
          <cell r="U95">
            <v>0</v>
          </cell>
          <cell r="V95">
            <v>0</v>
          </cell>
          <cell r="W95">
            <v>0</v>
          </cell>
          <cell r="X95">
            <v>79514.600693876739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5258.8458450991448</v>
          </cell>
          <cell r="AD95">
            <v>84773.446538975884</v>
          </cell>
        </row>
        <row r="96">
          <cell r="A96" t="str">
            <v>Laguna Woods</v>
          </cell>
          <cell r="B96">
            <v>692046.53327618656</v>
          </cell>
          <cell r="C96">
            <v>24587.655202299436</v>
          </cell>
          <cell r="D96">
            <v>716634.18847848603</v>
          </cell>
          <cell r="E96">
            <v>-692047</v>
          </cell>
          <cell r="F96">
            <v>10372</v>
          </cell>
          <cell r="G96">
            <v>-681675</v>
          </cell>
          <cell r="H96">
            <v>34959.18847848603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34959.18847848603</v>
          </cell>
          <cell r="T96">
            <v>34959.18847848603</v>
          </cell>
          <cell r="U96">
            <v>0</v>
          </cell>
          <cell r="V96">
            <v>0</v>
          </cell>
          <cell r="W96">
            <v>0</v>
          </cell>
          <cell r="X96">
            <v>34959.18847848603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11748.5937618959</v>
          </cell>
          <cell r="AD96">
            <v>46707.78224038193</v>
          </cell>
        </row>
        <row r="97">
          <cell r="A97" t="str">
            <v>Lake Forest</v>
          </cell>
          <cell r="B97">
            <v>1779406.5586151679</v>
          </cell>
          <cell r="C97">
            <v>0</v>
          </cell>
          <cell r="D97">
            <v>1779406.5586151679</v>
          </cell>
          <cell r="E97">
            <v>0</v>
          </cell>
          <cell r="F97">
            <v>0</v>
          </cell>
          <cell r="G97">
            <v>0</v>
          </cell>
          <cell r="H97">
            <v>1779406.5586151679</v>
          </cell>
          <cell r="I97">
            <v>0</v>
          </cell>
          <cell r="J97">
            <v>3079764.14</v>
          </cell>
          <cell r="K97">
            <v>0</v>
          </cell>
          <cell r="L97">
            <v>0</v>
          </cell>
          <cell r="M97">
            <v>0</v>
          </cell>
          <cell r="N97">
            <v>3079764.14</v>
          </cell>
          <cell r="O97">
            <v>3079764.14</v>
          </cell>
          <cell r="P97">
            <v>0</v>
          </cell>
          <cell r="Q97">
            <v>3079764.14</v>
          </cell>
          <cell r="R97">
            <v>-1300357.5813848323</v>
          </cell>
          <cell r="S97">
            <v>0</v>
          </cell>
          <cell r="T97">
            <v>-1300357.5813848323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-1300357.5813848323</v>
          </cell>
          <cell r="Z97">
            <v>0</v>
          </cell>
          <cell r="AA97">
            <v>1545056.58</v>
          </cell>
          <cell r="AB97">
            <v>0</v>
          </cell>
          <cell r="AC97">
            <v>0</v>
          </cell>
          <cell r="AD97">
            <v>-1300357.5813848323</v>
          </cell>
        </row>
        <row r="98">
          <cell r="A98" t="str">
            <v>Lakewood</v>
          </cell>
          <cell r="B98">
            <v>14014120.153612943</v>
          </cell>
          <cell r="C98">
            <v>282466.68150142964</v>
          </cell>
          <cell r="D98">
            <v>14296586.835114373</v>
          </cell>
          <cell r="E98">
            <v>240000</v>
          </cell>
          <cell r="F98">
            <v>0</v>
          </cell>
          <cell r="G98">
            <v>240000</v>
          </cell>
          <cell r="H98">
            <v>14536586.835114373</v>
          </cell>
          <cell r="I98">
            <v>0</v>
          </cell>
          <cell r="J98">
            <v>9935172.8599999994</v>
          </cell>
          <cell r="K98">
            <v>0</v>
          </cell>
          <cell r="L98">
            <v>0</v>
          </cell>
          <cell r="M98">
            <v>0</v>
          </cell>
          <cell r="N98">
            <v>9935172.8599999994</v>
          </cell>
          <cell r="O98">
            <v>9935172.8599999994</v>
          </cell>
          <cell r="P98">
            <v>0</v>
          </cell>
          <cell r="Q98">
            <v>9935172.8599999994</v>
          </cell>
          <cell r="R98">
            <v>0</v>
          </cell>
          <cell r="S98">
            <v>4601413.9751143735</v>
          </cell>
          <cell r="T98">
            <v>4601413.9751143735</v>
          </cell>
          <cell r="U98">
            <v>0</v>
          </cell>
          <cell r="V98">
            <v>0</v>
          </cell>
          <cell r="W98">
            <v>0</v>
          </cell>
          <cell r="X98">
            <v>4601413.9751143735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202159.58182157352</v>
          </cell>
          <cell r="AD98">
            <v>4803573.5569359474</v>
          </cell>
        </row>
        <row r="99">
          <cell r="A99" t="str">
            <v>Lancaster</v>
          </cell>
          <cell r="B99">
            <v>9445623.3115349934</v>
          </cell>
          <cell r="C99">
            <v>196270.99911496867</v>
          </cell>
          <cell r="D99">
            <v>9641894.3106499612</v>
          </cell>
          <cell r="E99">
            <v>300000</v>
          </cell>
          <cell r="F99">
            <v>0</v>
          </cell>
          <cell r="G99">
            <v>300000</v>
          </cell>
          <cell r="H99">
            <v>9941894.3106499612</v>
          </cell>
          <cell r="I99">
            <v>0</v>
          </cell>
          <cell r="J99">
            <v>6315625.1200000001</v>
          </cell>
          <cell r="K99">
            <v>0</v>
          </cell>
          <cell r="L99">
            <v>0</v>
          </cell>
          <cell r="M99">
            <v>0</v>
          </cell>
          <cell r="N99">
            <v>6315625.1200000001</v>
          </cell>
          <cell r="O99">
            <v>6315625.1200000001</v>
          </cell>
          <cell r="P99">
            <v>0</v>
          </cell>
          <cell r="Q99">
            <v>6315625.1200000001</v>
          </cell>
          <cell r="R99">
            <v>0</v>
          </cell>
          <cell r="S99">
            <v>3626269.1906499611</v>
          </cell>
          <cell r="T99">
            <v>3626269.1906499611</v>
          </cell>
          <cell r="U99">
            <v>0</v>
          </cell>
          <cell r="V99">
            <v>0</v>
          </cell>
          <cell r="W99">
            <v>0</v>
          </cell>
          <cell r="X99">
            <v>3626269.1906499611</v>
          </cell>
          <cell r="Y99">
            <v>0</v>
          </cell>
          <cell r="Z99">
            <v>3600000</v>
          </cell>
          <cell r="AA99">
            <v>716375</v>
          </cell>
          <cell r="AB99">
            <v>0</v>
          </cell>
          <cell r="AC99">
            <v>117758.01506305445</v>
          </cell>
          <cell r="AD99">
            <v>3744027.2057130155</v>
          </cell>
        </row>
        <row r="100">
          <cell r="A100" t="str">
            <v>Lawndale</v>
          </cell>
          <cell r="B100">
            <v>5053563.275571594</v>
          </cell>
          <cell r="C100">
            <v>105347.70166882695</v>
          </cell>
          <cell r="D100">
            <v>5158910.9772404209</v>
          </cell>
          <cell r="E100">
            <v>400000</v>
          </cell>
          <cell r="F100">
            <v>0</v>
          </cell>
          <cell r="G100">
            <v>400000</v>
          </cell>
          <cell r="H100">
            <v>5558910.9772404209</v>
          </cell>
          <cell r="I100">
            <v>0</v>
          </cell>
          <cell r="J100">
            <v>6067239.1399999997</v>
          </cell>
          <cell r="K100">
            <v>0</v>
          </cell>
          <cell r="L100">
            <v>0</v>
          </cell>
          <cell r="M100">
            <v>0</v>
          </cell>
          <cell r="N100">
            <v>6067239.1399999997</v>
          </cell>
          <cell r="O100">
            <v>6067239.1399999997</v>
          </cell>
          <cell r="P100">
            <v>0</v>
          </cell>
          <cell r="Q100">
            <v>6067239.1399999997</v>
          </cell>
          <cell r="R100">
            <v>-508328.16275957879</v>
          </cell>
          <cell r="S100">
            <v>0</v>
          </cell>
          <cell r="T100">
            <v>-508328.16275957879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-508328.16275957879</v>
          </cell>
          <cell r="Z100">
            <v>0</v>
          </cell>
          <cell r="AA100">
            <v>0</v>
          </cell>
          <cell r="AB100">
            <v>-4.8252420765435291</v>
          </cell>
          <cell r="AC100">
            <v>78225.06501149504</v>
          </cell>
          <cell r="AD100">
            <v>-430103.09774808376</v>
          </cell>
        </row>
        <row r="101">
          <cell r="A101" t="str">
            <v>Lindsay</v>
          </cell>
          <cell r="B101">
            <v>1262599.2165845791</v>
          </cell>
          <cell r="C101">
            <v>24136.521856496431</v>
          </cell>
          <cell r="D101">
            <v>1286735.7384410754</v>
          </cell>
          <cell r="E101">
            <v>568719</v>
          </cell>
          <cell r="F101">
            <v>0</v>
          </cell>
          <cell r="G101">
            <v>568719</v>
          </cell>
          <cell r="H101">
            <v>1855454.7384410754</v>
          </cell>
          <cell r="I101">
            <v>0</v>
          </cell>
          <cell r="J101">
            <v>1319066.99</v>
          </cell>
          <cell r="K101">
            <v>0</v>
          </cell>
          <cell r="L101">
            <v>0</v>
          </cell>
          <cell r="M101">
            <v>0</v>
          </cell>
          <cell r="N101">
            <v>1319066.99</v>
          </cell>
          <cell r="O101">
            <v>1319066.99</v>
          </cell>
          <cell r="P101">
            <v>0</v>
          </cell>
          <cell r="Q101">
            <v>1319066.99</v>
          </cell>
          <cell r="R101">
            <v>0</v>
          </cell>
          <cell r="S101">
            <v>536387.74844107544</v>
          </cell>
          <cell r="T101">
            <v>536387.74844107544</v>
          </cell>
          <cell r="U101">
            <v>0</v>
          </cell>
          <cell r="V101">
            <v>0</v>
          </cell>
          <cell r="W101">
            <v>0</v>
          </cell>
          <cell r="X101">
            <v>536387.74844107544</v>
          </cell>
          <cell r="Y101">
            <v>0</v>
          </cell>
          <cell r="Z101">
            <v>3500000</v>
          </cell>
          <cell r="AA101">
            <v>0</v>
          </cell>
          <cell r="AB101">
            <v>0</v>
          </cell>
          <cell r="AC101">
            <v>15322.155715846486</v>
          </cell>
          <cell r="AD101">
            <v>551709.9041569219</v>
          </cell>
        </row>
        <row r="102">
          <cell r="A102" t="str">
            <v>Loma Linda</v>
          </cell>
          <cell r="B102">
            <v>1944777.3161518537</v>
          </cell>
          <cell r="C102">
            <v>37514.033585019701</v>
          </cell>
          <cell r="D102">
            <v>1982291.3497368733</v>
          </cell>
          <cell r="E102">
            <v>0</v>
          </cell>
          <cell r="F102">
            <v>0</v>
          </cell>
          <cell r="G102">
            <v>0</v>
          </cell>
          <cell r="H102">
            <v>1982291.3497368733</v>
          </cell>
          <cell r="I102">
            <v>0</v>
          </cell>
          <cell r="J102">
            <v>1684243.3299</v>
          </cell>
          <cell r="K102">
            <v>0</v>
          </cell>
          <cell r="L102">
            <v>0</v>
          </cell>
          <cell r="M102">
            <v>0</v>
          </cell>
          <cell r="N102">
            <v>1684243.3299</v>
          </cell>
          <cell r="O102">
            <v>1684243.3299</v>
          </cell>
          <cell r="P102">
            <v>0</v>
          </cell>
          <cell r="Q102">
            <v>1684243.3299</v>
          </cell>
          <cell r="R102">
            <v>0</v>
          </cell>
          <cell r="S102">
            <v>298048.01983687328</v>
          </cell>
          <cell r="T102">
            <v>298048.01983687328</v>
          </cell>
          <cell r="U102">
            <v>0</v>
          </cell>
          <cell r="V102">
            <v>0</v>
          </cell>
          <cell r="W102">
            <v>0</v>
          </cell>
          <cell r="X102">
            <v>298048.01983687328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21044.753633740162</v>
          </cell>
          <cell r="AD102">
            <v>319092.77347061347</v>
          </cell>
        </row>
        <row r="103">
          <cell r="A103" t="str">
            <v>Lomita</v>
          </cell>
          <cell r="B103">
            <v>3985731.4013882526</v>
          </cell>
          <cell r="C103">
            <v>81001.362769414816</v>
          </cell>
          <cell r="D103">
            <v>4066732.7641576673</v>
          </cell>
          <cell r="E103">
            <v>650000</v>
          </cell>
          <cell r="F103">
            <v>0</v>
          </cell>
          <cell r="G103">
            <v>650000</v>
          </cell>
          <cell r="H103">
            <v>4716732.7641576678</v>
          </cell>
          <cell r="I103">
            <v>0</v>
          </cell>
          <cell r="J103">
            <v>4629923.17</v>
          </cell>
          <cell r="K103">
            <v>0</v>
          </cell>
          <cell r="L103">
            <v>0</v>
          </cell>
          <cell r="M103">
            <v>0</v>
          </cell>
          <cell r="N103">
            <v>4629923.17</v>
          </cell>
          <cell r="O103">
            <v>4629923.17</v>
          </cell>
          <cell r="P103">
            <v>0</v>
          </cell>
          <cell r="Q103">
            <v>4629923.17</v>
          </cell>
          <cell r="R103">
            <v>0</v>
          </cell>
          <cell r="S103">
            <v>86809.594157667831</v>
          </cell>
          <cell r="T103">
            <v>86809.594157667831</v>
          </cell>
          <cell r="U103">
            <v>0</v>
          </cell>
          <cell r="V103">
            <v>0</v>
          </cell>
          <cell r="W103">
            <v>0</v>
          </cell>
          <cell r="X103">
            <v>86809.594157667831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58904.060027425941</v>
          </cell>
          <cell r="AD103">
            <v>145713.65418509376</v>
          </cell>
        </row>
        <row r="104">
          <cell r="A104" t="str">
            <v>Long Beach</v>
          </cell>
          <cell r="B104">
            <v>83942341.619706184</v>
          </cell>
          <cell r="C104">
            <v>1684735.733717835</v>
          </cell>
          <cell r="D104">
            <v>85627077.353424013</v>
          </cell>
          <cell r="E104">
            <v>0</v>
          </cell>
          <cell r="F104">
            <v>0</v>
          </cell>
          <cell r="G104">
            <v>0</v>
          </cell>
          <cell r="H104">
            <v>85627077.353424013</v>
          </cell>
          <cell r="I104">
            <v>0</v>
          </cell>
          <cell r="J104">
            <v>60080222.549999997</v>
          </cell>
          <cell r="K104">
            <v>0</v>
          </cell>
          <cell r="L104">
            <v>7021971.1199999992</v>
          </cell>
          <cell r="M104">
            <v>0</v>
          </cell>
          <cell r="N104">
            <v>67102193.669999994</v>
          </cell>
          <cell r="O104">
            <v>67102193.669999994</v>
          </cell>
          <cell r="P104">
            <v>0</v>
          </cell>
          <cell r="Q104">
            <v>67102193.669999994</v>
          </cell>
          <cell r="R104">
            <v>0</v>
          </cell>
          <cell r="S104">
            <v>18524883.683424018</v>
          </cell>
          <cell r="T104">
            <v>18524883.683424018</v>
          </cell>
          <cell r="U104">
            <v>0</v>
          </cell>
          <cell r="V104">
            <v>0</v>
          </cell>
          <cell r="W104">
            <v>0</v>
          </cell>
          <cell r="X104">
            <v>18524883.683424018</v>
          </cell>
          <cell r="Y104">
            <v>0</v>
          </cell>
          <cell r="Z104">
            <v>35200000</v>
          </cell>
          <cell r="AA104">
            <v>15019218.109999999</v>
          </cell>
          <cell r="AB104">
            <v>0</v>
          </cell>
          <cell r="AC104">
            <v>1185280.286574044</v>
          </cell>
          <cell r="AD104">
            <v>19710163.969998062</v>
          </cell>
        </row>
        <row r="105">
          <cell r="A105" t="str">
            <v>Los Alamitos</v>
          </cell>
          <cell r="B105">
            <v>2182510.7702315133</v>
          </cell>
          <cell r="C105">
            <v>44810.244100549637</v>
          </cell>
          <cell r="D105">
            <v>2227321.014332063</v>
          </cell>
          <cell r="E105">
            <v>0</v>
          </cell>
          <cell r="F105">
            <v>0</v>
          </cell>
          <cell r="G105">
            <v>0</v>
          </cell>
          <cell r="H105">
            <v>2227321.014332063</v>
          </cell>
          <cell r="I105">
            <v>0</v>
          </cell>
          <cell r="J105">
            <v>2103349.6</v>
          </cell>
          <cell r="K105">
            <v>0</v>
          </cell>
          <cell r="L105">
            <v>0</v>
          </cell>
          <cell r="M105">
            <v>0</v>
          </cell>
          <cell r="N105">
            <v>2103349.6</v>
          </cell>
          <cell r="O105">
            <v>2103349.6</v>
          </cell>
          <cell r="P105">
            <v>1026.8699999999999</v>
          </cell>
          <cell r="Q105">
            <v>2104376.4700000002</v>
          </cell>
          <cell r="R105">
            <v>0</v>
          </cell>
          <cell r="S105">
            <v>122944.54433206283</v>
          </cell>
          <cell r="T105">
            <v>122944.54433206283</v>
          </cell>
          <cell r="U105">
            <v>0</v>
          </cell>
          <cell r="V105">
            <v>0</v>
          </cell>
          <cell r="W105">
            <v>0</v>
          </cell>
          <cell r="X105">
            <v>122944.54433206283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33135.468545555268</v>
          </cell>
          <cell r="AD105">
            <v>156080.01287761808</v>
          </cell>
        </row>
        <row r="106">
          <cell r="A106" t="str">
            <v>Los Angeles, City of</v>
          </cell>
          <cell r="B106">
            <v>79556.13843815244</v>
          </cell>
          <cell r="C106">
            <v>5262.4020494198412</v>
          </cell>
          <cell r="D106">
            <v>84818.540487572289</v>
          </cell>
          <cell r="E106">
            <v>0</v>
          </cell>
          <cell r="F106">
            <v>0</v>
          </cell>
          <cell r="G106">
            <v>0</v>
          </cell>
          <cell r="H106">
            <v>84818.540487572289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84818.540487572289</v>
          </cell>
          <cell r="T106">
            <v>84818.540487572289</v>
          </cell>
          <cell r="U106">
            <v>0</v>
          </cell>
          <cell r="V106">
            <v>0</v>
          </cell>
          <cell r="W106">
            <v>0</v>
          </cell>
          <cell r="X106">
            <v>84818.540487572289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2149.8139040223232</v>
          </cell>
          <cell r="AD106">
            <v>86968.354391594607</v>
          </cell>
        </row>
        <row r="107">
          <cell r="A107" t="str">
            <v>Lynwood</v>
          </cell>
          <cell r="B107">
            <v>8718809.1128661837</v>
          </cell>
          <cell r="C107">
            <v>177864.3737107951</v>
          </cell>
          <cell r="D107">
            <v>8896673.4865769781</v>
          </cell>
          <cell r="E107">
            <v>0</v>
          </cell>
          <cell r="F107">
            <v>-2722215</v>
          </cell>
          <cell r="G107">
            <v>-2722215</v>
          </cell>
          <cell r="H107">
            <v>6174458.4865769781</v>
          </cell>
          <cell r="I107">
            <v>0</v>
          </cell>
          <cell r="J107">
            <v>5996593.790000001</v>
          </cell>
          <cell r="K107">
            <v>0</v>
          </cell>
          <cell r="L107">
            <v>0</v>
          </cell>
          <cell r="M107">
            <v>0</v>
          </cell>
          <cell r="N107">
            <v>5996593.790000001</v>
          </cell>
          <cell r="O107">
            <v>5996593.790000001</v>
          </cell>
          <cell r="P107"/>
          <cell r="Q107">
            <v>5996593.790000001</v>
          </cell>
          <cell r="R107">
            <v>0</v>
          </cell>
          <cell r="S107">
            <v>177864.69657697715</v>
          </cell>
          <cell r="T107">
            <v>177864.69657697715</v>
          </cell>
          <cell r="U107">
            <v>0</v>
          </cell>
          <cell r="V107">
            <v>0</v>
          </cell>
          <cell r="W107">
            <v>0</v>
          </cell>
          <cell r="X107">
            <v>177864.69657697715</v>
          </cell>
          <cell r="Y107">
            <v>0</v>
          </cell>
          <cell r="Z107">
            <v>5000000</v>
          </cell>
          <cell r="AA107">
            <v>700368.08</v>
          </cell>
          <cell r="AB107">
            <v>0</v>
          </cell>
          <cell r="AC107">
            <v>130460.92782264046</v>
          </cell>
          <cell r="AD107">
            <v>308325.62439961761</v>
          </cell>
        </row>
        <row r="108">
          <cell r="A108" t="str">
            <v>Malibu</v>
          </cell>
          <cell r="B108">
            <v>1468129.7097544826</v>
          </cell>
          <cell r="C108">
            <v>39702.088670037352</v>
          </cell>
          <cell r="D108">
            <v>1507831.7984245201</v>
          </cell>
          <cell r="E108">
            <v>1000000</v>
          </cell>
          <cell r="F108">
            <v>0</v>
          </cell>
          <cell r="G108">
            <v>1000000</v>
          </cell>
          <cell r="H108">
            <v>2507831.7984245201</v>
          </cell>
          <cell r="I108">
            <v>0</v>
          </cell>
          <cell r="J108">
            <v>2889240.25</v>
          </cell>
          <cell r="K108">
            <v>0</v>
          </cell>
          <cell r="L108">
            <v>0</v>
          </cell>
          <cell r="M108">
            <v>0</v>
          </cell>
          <cell r="N108">
            <v>2889240.25</v>
          </cell>
          <cell r="O108">
            <v>2889240.25</v>
          </cell>
          <cell r="P108">
            <v>0</v>
          </cell>
          <cell r="Q108">
            <v>2889240.25</v>
          </cell>
          <cell r="R108">
            <v>-381408.45157547994</v>
          </cell>
          <cell r="S108">
            <v>0</v>
          </cell>
          <cell r="T108">
            <v>-381408.45157547994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-381408.45157547994</v>
          </cell>
          <cell r="Z108">
            <v>0</v>
          </cell>
          <cell r="AA108">
            <v>0</v>
          </cell>
          <cell r="AB108">
            <v>-9.6067603582610488</v>
          </cell>
          <cell r="AC108">
            <v>27814.52569766892</v>
          </cell>
          <cell r="AD108">
            <v>-353593.92587781104</v>
          </cell>
        </row>
        <row r="109">
          <cell r="A109" t="str">
            <v>Mammoth Lakes</v>
          </cell>
          <cell r="B109">
            <v>1586416.9906302344</v>
          </cell>
          <cell r="C109">
            <v>37670.831386891303</v>
          </cell>
          <cell r="D109">
            <v>1624087.8220171256</v>
          </cell>
          <cell r="E109">
            <v>300276</v>
          </cell>
          <cell r="F109">
            <v>0</v>
          </cell>
          <cell r="G109">
            <v>300276</v>
          </cell>
          <cell r="H109">
            <v>1924363.8220171256</v>
          </cell>
          <cell r="I109">
            <v>0</v>
          </cell>
          <cell r="J109">
            <v>1589761.9100000006</v>
          </cell>
          <cell r="K109">
            <v>0</v>
          </cell>
          <cell r="L109">
            <v>0</v>
          </cell>
          <cell r="M109">
            <v>0</v>
          </cell>
          <cell r="N109">
            <v>1589761.9100000006</v>
          </cell>
          <cell r="O109">
            <v>1589761.9100000006</v>
          </cell>
          <cell r="P109">
            <v>0</v>
          </cell>
          <cell r="Q109">
            <v>1589761.9100000006</v>
          </cell>
          <cell r="R109">
            <v>0</v>
          </cell>
          <cell r="S109">
            <v>334601.91201712494</v>
          </cell>
          <cell r="T109">
            <v>334601.91201712494</v>
          </cell>
          <cell r="U109">
            <v>0</v>
          </cell>
          <cell r="V109">
            <v>0</v>
          </cell>
          <cell r="W109">
            <v>0</v>
          </cell>
          <cell r="X109">
            <v>334601.91201712494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25386.286281487806</v>
          </cell>
          <cell r="AD109">
            <v>359988.19829861273</v>
          </cell>
        </row>
        <row r="110">
          <cell r="A110" t="str">
            <v>Manhattan Beach</v>
          </cell>
          <cell r="B110">
            <v>7999846.8137292154</v>
          </cell>
          <cell r="C110">
            <v>167484.15763282977</v>
          </cell>
          <cell r="D110">
            <v>8167330.971362045</v>
          </cell>
          <cell r="E110">
            <v>42000</v>
          </cell>
          <cell r="F110">
            <v>0</v>
          </cell>
          <cell r="G110">
            <v>42000</v>
          </cell>
          <cell r="H110">
            <v>8209330.971362045</v>
          </cell>
          <cell r="I110">
            <v>0</v>
          </cell>
          <cell r="J110">
            <v>12238264.909899998</v>
          </cell>
          <cell r="K110">
            <v>0</v>
          </cell>
          <cell r="L110">
            <v>0</v>
          </cell>
          <cell r="M110">
            <v>0</v>
          </cell>
          <cell r="N110">
            <v>12238264.909899998</v>
          </cell>
          <cell r="O110">
            <v>12238264.909899998</v>
          </cell>
          <cell r="P110"/>
          <cell r="Q110">
            <v>12238264.909899998</v>
          </cell>
          <cell r="R110">
            <v>-4028933.9385379534</v>
          </cell>
          <cell r="S110">
            <v>0</v>
          </cell>
          <cell r="T110">
            <v>-4028933.9385379534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-4028933.9385379534</v>
          </cell>
          <cell r="Z110">
            <v>0</v>
          </cell>
          <cell r="AA110">
            <v>418774</v>
          </cell>
          <cell r="AB110">
            <v>-24.05561215748213</v>
          </cell>
          <cell r="AC110">
            <v>130356.10020618142</v>
          </cell>
          <cell r="AD110">
            <v>-3898577.838331772</v>
          </cell>
        </row>
        <row r="111">
          <cell r="A111" t="str">
            <v>Maywood</v>
          </cell>
          <cell r="B111">
            <v>3853749.9181098863</v>
          </cell>
          <cell r="C111">
            <v>79000.077276301687</v>
          </cell>
          <cell r="D111">
            <v>3932749.9953861879</v>
          </cell>
          <cell r="E111">
            <v>0</v>
          </cell>
          <cell r="F111">
            <v>0</v>
          </cell>
          <cell r="G111">
            <v>0</v>
          </cell>
          <cell r="H111">
            <v>3932749.9953861879</v>
          </cell>
          <cell r="I111">
            <v>0</v>
          </cell>
          <cell r="J111">
            <v>972029.37</v>
          </cell>
          <cell r="K111">
            <v>0</v>
          </cell>
          <cell r="L111">
            <v>0</v>
          </cell>
          <cell r="M111">
            <v>0</v>
          </cell>
          <cell r="N111">
            <v>972029.37</v>
          </cell>
          <cell r="O111">
            <v>972029.37</v>
          </cell>
          <cell r="P111">
            <v>0</v>
          </cell>
          <cell r="Q111">
            <v>972029.37</v>
          </cell>
          <cell r="R111">
            <v>0</v>
          </cell>
          <cell r="S111">
            <v>2960720.6253861878</v>
          </cell>
          <cell r="T111">
            <v>2960720.6253861878</v>
          </cell>
          <cell r="U111">
            <v>0</v>
          </cell>
          <cell r="V111">
            <v>0</v>
          </cell>
          <cell r="W111">
            <v>0</v>
          </cell>
          <cell r="X111">
            <v>2960720.6253861878</v>
          </cell>
          <cell r="Y111">
            <v>0</v>
          </cell>
          <cell r="Z111">
            <v>1040000</v>
          </cell>
          <cell r="AA111">
            <v>0</v>
          </cell>
          <cell r="AB111">
            <v>0</v>
          </cell>
          <cell r="AC111">
            <v>58238.079371731888</v>
          </cell>
          <cell r="AD111">
            <v>3018958.7047579195</v>
          </cell>
        </row>
        <row r="112">
          <cell r="A112" t="str">
            <v>McFarland</v>
          </cell>
          <cell r="B112">
            <v>380471.58448601805</v>
          </cell>
          <cell r="C112">
            <v>7474.0608844109338</v>
          </cell>
          <cell r="D112">
            <v>387945.64537042897</v>
          </cell>
          <cell r="E112">
            <v>89327</v>
          </cell>
          <cell r="F112">
            <v>0</v>
          </cell>
          <cell r="G112">
            <v>89327</v>
          </cell>
          <cell r="H112">
            <v>477272.64537042897</v>
          </cell>
          <cell r="I112">
            <v>0</v>
          </cell>
          <cell r="J112">
            <v>331760.76</v>
          </cell>
          <cell r="K112">
            <v>0</v>
          </cell>
          <cell r="L112">
            <v>0</v>
          </cell>
          <cell r="M112">
            <v>0</v>
          </cell>
          <cell r="N112">
            <v>331760.76</v>
          </cell>
          <cell r="O112">
            <v>331760.76</v>
          </cell>
          <cell r="P112">
            <v>0</v>
          </cell>
          <cell r="Q112">
            <v>331760.76</v>
          </cell>
          <cell r="R112">
            <v>0</v>
          </cell>
          <cell r="S112">
            <v>145511.88537042896</v>
          </cell>
          <cell r="T112">
            <v>145511.88537042896</v>
          </cell>
          <cell r="U112">
            <v>0</v>
          </cell>
          <cell r="V112">
            <v>0</v>
          </cell>
          <cell r="W112">
            <v>0</v>
          </cell>
          <cell r="X112">
            <v>145511.88537042896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5055.2812171392034</v>
          </cell>
          <cell r="AD112">
            <v>150567.16658756818</v>
          </cell>
        </row>
        <row r="113">
          <cell r="A113" t="str">
            <v>Menifee</v>
          </cell>
          <cell r="B113">
            <v>727305.18775071821</v>
          </cell>
          <cell r="C113">
            <v>62656.028624530838</v>
          </cell>
          <cell r="D113">
            <v>789961.21637524909</v>
          </cell>
          <cell r="E113">
            <v>0</v>
          </cell>
          <cell r="F113">
            <v>0</v>
          </cell>
          <cell r="G113">
            <v>0</v>
          </cell>
          <cell r="H113">
            <v>789961.21637524909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789961.21637524909</v>
          </cell>
          <cell r="T113">
            <v>789961.21637524909</v>
          </cell>
          <cell r="U113">
            <v>0</v>
          </cell>
          <cell r="V113">
            <v>0</v>
          </cell>
          <cell r="W113">
            <v>0</v>
          </cell>
          <cell r="X113">
            <v>789961.21637524909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24384.031520159529</v>
          </cell>
          <cell r="AD113">
            <v>814345.24789540865</v>
          </cell>
        </row>
        <row r="114">
          <cell r="A114" t="str">
            <v>Mission Viejo</v>
          </cell>
          <cell r="B114">
            <v>2967919.5142968381</v>
          </cell>
          <cell r="C114">
            <v>73824.075270351357</v>
          </cell>
          <cell r="D114">
            <v>3041743.5895671896</v>
          </cell>
          <cell r="E114">
            <v>-690085</v>
          </cell>
          <cell r="F114">
            <v>-142009</v>
          </cell>
          <cell r="G114">
            <v>-832094</v>
          </cell>
          <cell r="H114">
            <v>2209649.5895671896</v>
          </cell>
          <cell r="I114">
            <v>0</v>
          </cell>
          <cell r="J114">
            <v>2209649.0899</v>
          </cell>
          <cell r="K114">
            <v>0</v>
          </cell>
          <cell r="L114">
            <v>0</v>
          </cell>
          <cell r="M114">
            <v>0</v>
          </cell>
          <cell r="N114">
            <v>2209649.0899</v>
          </cell>
          <cell r="O114">
            <v>2209649.0899</v>
          </cell>
          <cell r="P114">
            <v>0</v>
          </cell>
          <cell r="Q114">
            <v>2209649.0899</v>
          </cell>
          <cell r="R114">
            <v>0</v>
          </cell>
          <cell r="S114">
            <v>0.49966718954965472</v>
          </cell>
          <cell r="T114">
            <v>0.49966718954965472</v>
          </cell>
          <cell r="U114">
            <v>0</v>
          </cell>
          <cell r="V114">
            <v>0</v>
          </cell>
          <cell r="W114">
            <v>0</v>
          </cell>
          <cell r="X114">
            <v>0.49966718954965472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47765.740168208889</v>
          </cell>
          <cell r="AD114">
            <v>47766.239835398439</v>
          </cell>
        </row>
        <row r="115">
          <cell r="A115" t="str">
            <v>Monrovia</v>
          </cell>
          <cell r="B115">
            <v>7284983.2717801705</v>
          </cell>
          <cell r="C115">
            <v>147960.84577324233</v>
          </cell>
          <cell r="D115">
            <v>7432944.1175534129</v>
          </cell>
          <cell r="E115">
            <v>0</v>
          </cell>
          <cell r="F115">
            <v>0</v>
          </cell>
          <cell r="G115">
            <v>0</v>
          </cell>
          <cell r="H115">
            <v>7432944.1175534129</v>
          </cell>
          <cell r="I115">
            <v>0</v>
          </cell>
          <cell r="J115">
            <v>7102216.0899</v>
          </cell>
          <cell r="K115">
            <v>0</v>
          </cell>
          <cell r="L115">
            <v>0</v>
          </cell>
          <cell r="M115">
            <v>0</v>
          </cell>
          <cell r="N115">
            <v>7102216.0899</v>
          </cell>
          <cell r="O115">
            <v>7102216.0899</v>
          </cell>
          <cell r="P115">
            <v>0</v>
          </cell>
          <cell r="Q115">
            <v>7102216.0899</v>
          </cell>
          <cell r="R115">
            <v>0</v>
          </cell>
          <cell r="S115">
            <v>330728.02765341289</v>
          </cell>
          <cell r="T115">
            <v>330728.02765341289</v>
          </cell>
          <cell r="U115">
            <v>0</v>
          </cell>
          <cell r="V115">
            <v>0</v>
          </cell>
          <cell r="W115">
            <v>0</v>
          </cell>
          <cell r="X115">
            <v>330728.02765341289</v>
          </cell>
          <cell r="Y115">
            <v>0</v>
          </cell>
          <cell r="Z115">
            <v>1950000</v>
          </cell>
          <cell r="AA115">
            <v>0</v>
          </cell>
          <cell r="AB115">
            <v>0</v>
          </cell>
          <cell r="AC115">
            <v>106840.39896644259</v>
          </cell>
          <cell r="AD115">
            <v>437568.42661985545</v>
          </cell>
        </row>
        <row r="116">
          <cell r="A116" t="str">
            <v>Montclair</v>
          </cell>
          <cell r="B116">
            <v>4128530.7449663803</v>
          </cell>
          <cell r="C116">
            <v>82333.443480908274</v>
          </cell>
          <cell r="D116">
            <v>4210864.1884472882</v>
          </cell>
          <cell r="E116">
            <v>0</v>
          </cell>
          <cell r="F116">
            <v>0</v>
          </cell>
          <cell r="G116">
            <v>0</v>
          </cell>
          <cell r="H116">
            <v>4210864.1884472882</v>
          </cell>
          <cell r="I116">
            <v>0</v>
          </cell>
          <cell r="J116">
            <v>4021941.4700000007</v>
          </cell>
          <cell r="K116">
            <v>0</v>
          </cell>
          <cell r="L116">
            <v>222993.17000000004</v>
          </cell>
          <cell r="M116">
            <v>0</v>
          </cell>
          <cell r="N116">
            <v>4244934.6400000006</v>
          </cell>
          <cell r="O116">
            <v>4244934.6400000006</v>
          </cell>
          <cell r="P116">
            <v>0</v>
          </cell>
          <cell r="Q116">
            <v>4244934.6400000006</v>
          </cell>
          <cell r="R116">
            <v>-34070.451552712359</v>
          </cell>
          <cell r="S116">
            <v>0</v>
          </cell>
          <cell r="T116">
            <v>-34070.451552712359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-34070.451552712359</v>
          </cell>
          <cell r="Z116">
            <v>0</v>
          </cell>
          <cell r="AA116">
            <v>0</v>
          </cell>
          <cell r="AB116">
            <v>-0.41381059885601307</v>
          </cell>
          <cell r="AC116">
            <v>56126.668754495404</v>
          </cell>
          <cell r="AD116">
            <v>22056.217201783045</v>
          </cell>
        </row>
        <row r="117">
          <cell r="A117" t="str">
            <v>Montebello</v>
          </cell>
          <cell r="B117">
            <v>9913290.4739785995</v>
          </cell>
          <cell r="C117">
            <v>198317.96683899738</v>
          </cell>
          <cell r="D117">
            <v>10111608.440817596</v>
          </cell>
          <cell r="E117">
            <v>0</v>
          </cell>
          <cell r="F117">
            <v>0</v>
          </cell>
          <cell r="G117">
            <v>0</v>
          </cell>
          <cell r="H117">
            <v>10111608.440817596</v>
          </cell>
          <cell r="I117">
            <v>0</v>
          </cell>
          <cell r="J117">
            <v>7269825.4700000007</v>
          </cell>
          <cell r="K117">
            <v>0</v>
          </cell>
          <cell r="L117">
            <v>0</v>
          </cell>
          <cell r="M117">
            <v>0</v>
          </cell>
          <cell r="N117">
            <v>7269825.4700000007</v>
          </cell>
          <cell r="O117">
            <v>7269825.4700000007</v>
          </cell>
          <cell r="P117">
            <v>281969.26</v>
          </cell>
          <cell r="Q117">
            <v>7551794.7300000004</v>
          </cell>
          <cell r="R117">
            <v>0</v>
          </cell>
          <cell r="S117">
            <v>2559813.7108175959</v>
          </cell>
          <cell r="T117">
            <v>2559813.7108175959</v>
          </cell>
          <cell r="U117">
            <v>0</v>
          </cell>
          <cell r="V117">
            <v>3018030.74</v>
          </cell>
          <cell r="W117">
            <v>3018030.74</v>
          </cell>
          <cell r="X117">
            <v>0</v>
          </cell>
          <cell r="Y117">
            <v>-458217.02918240428</v>
          </cell>
          <cell r="Z117">
            <v>0</v>
          </cell>
          <cell r="AA117">
            <v>0</v>
          </cell>
          <cell r="AB117">
            <v>-2.3105169767820559</v>
          </cell>
          <cell r="AC117">
            <v>140519.31694369492</v>
          </cell>
          <cell r="AD117">
            <v>-317697.71223870933</v>
          </cell>
        </row>
        <row r="118">
          <cell r="A118" t="str">
            <v>Monterey Park</v>
          </cell>
          <cell r="B118">
            <v>10590487.035652565</v>
          </cell>
          <cell r="C118">
            <v>217148.52569803857</v>
          </cell>
          <cell r="D118">
            <v>10807635.561350603</v>
          </cell>
          <cell r="E118">
            <v>800000</v>
          </cell>
          <cell r="F118">
            <v>0</v>
          </cell>
          <cell r="G118">
            <v>800000</v>
          </cell>
          <cell r="H118">
            <v>11607635.561350603</v>
          </cell>
          <cell r="I118">
            <v>0</v>
          </cell>
          <cell r="J118">
            <v>4075844</v>
          </cell>
          <cell r="K118">
            <v>0</v>
          </cell>
          <cell r="L118">
            <v>0</v>
          </cell>
          <cell r="M118">
            <v>0</v>
          </cell>
          <cell r="N118">
            <v>4075844</v>
          </cell>
          <cell r="O118">
            <v>4075844</v>
          </cell>
          <cell r="P118">
            <v>154436.25</v>
          </cell>
          <cell r="Q118">
            <v>4230280.25</v>
          </cell>
          <cell r="R118">
            <v>0</v>
          </cell>
          <cell r="S118">
            <v>7377355.3113506027</v>
          </cell>
          <cell r="T118">
            <v>7377355.3113506027</v>
          </cell>
          <cell r="V118">
            <v>5545563.75</v>
          </cell>
          <cell r="W118">
            <v>5545563.75</v>
          </cell>
          <cell r="X118">
            <v>1831791.5613506027</v>
          </cell>
          <cell r="Y118">
            <v>0</v>
          </cell>
          <cell r="Z118">
            <v>0</v>
          </cell>
          <cell r="AA118">
            <v>1103010</v>
          </cell>
          <cell r="AB118">
            <v>0</v>
          </cell>
          <cell r="AC118">
            <v>158625.41311657228</v>
          </cell>
          <cell r="AD118">
            <v>1990416.9744671748</v>
          </cell>
        </row>
        <row r="119">
          <cell r="A119" t="str">
            <v>Moorpark</v>
          </cell>
          <cell r="B119">
            <v>1540797.2989152027</v>
          </cell>
          <cell r="C119">
            <v>35668.256119691228</v>
          </cell>
          <cell r="D119">
            <v>1576465.555034894</v>
          </cell>
          <cell r="E119">
            <v>0</v>
          </cell>
          <cell r="F119">
            <v>0</v>
          </cell>
          <cell r="G119">
            <v>0</v>
          </cell>
          <cell r="H119">
            <v>1576465.555034894</v>
          </cell>
          <cell r="I119">
            <v>0</v>
          </cell>
          <cell r="J119">
            <v>982833.67</v>
          </cell>
          <cell r="K119">
            <v>0</v>
          </cell>
          <cell r="L119">
            <v>0</v>
          </cell>
          <cell r="M119">
            <v>0</v>
          </cell>
          <cell r="N119">
            <v>982833.67</v>
          </cell>
          <cell r="O119">
            <v>982833.67</v>
          </cell>
          <cell r="P119">
            <v>0</v>
          </cell>
          <cell r="Q119">
            <v>982833.67</v>
          </cell>
          <cell r="R119">
            <v>0</v>
          </cell>
          <cell r="S119">
            <v>593631.88503489399</v>
          </cell>
          <cell r="T119">
            <v>593631.88503489399</v>
          </cell>
          <cell r="U119">
            <v>0</v>
          </cell>
          <cell r="V119">
            <v>0</v>
          </cell>
          <cell r="W119">
            <v>0</v>
          </cell>
          <cell r="X119">
            <v>593631.88503489399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20542.477583267209</v>
          </cell>
          <cell r="AD119">
            <v>614174.36261816125</v>
          </cell>
        </row>
        <row r="120">
          <cell r="A120" t="str">
            <v>Moreno Valley</v>
          </cell>
          <cell r="B120">
            <v>6958912.659165523</v>
          </cell>
          <cell r="C120">
            <v>163532.82559987358</v>
          </cell>
          <cell r="D120">
            <v>7122445.4847653965</v>
          </cell>
          <cell r="E120">
            <v>0</v>
          </cell>
          <cell r="F120">
            <v>0</v>
          </cell>
          <cell r="G120">
            <v>0</v>
          </cell>
          <cell r="H120">
            <v>7122445.4847653965</v>
          </cell>
          <cell r="I120">
            <v>0</v>
          </cell>
          <cell r="J120">
            <v>5938151.7600000007</v>
          </cell>
          <cell r="K120">
            <v>0</v>
          </cell>
          <cell r="L120">
            <v>0</v>
          </cell>
          <cell r="M120">
            <v>0</v>
          </cell>
          <cell r="N120">
            <v>5938151.7600000007</v>
          </cell>
          <cell r="O120">
            <v>5938151.7600000007</v>
          </cell>
          <cell r="P120"/>
          <cell r="Q120">
            <v>5938151.7600000007</v>
          </cell>
          <cell r="R120">
            <v>0</v>
          </cell>
          <cell r="S120">
            <v>1184293.7247653957</v>
          </cell>
          <cell r="T120">
            <v>1184293.7247653957</v>
          </cell>
          <cell r="U120">
            <v>0</v>
          </cell>
          <cell r="V120">
            <v>0</v>
          </cell>
          <cell r="W120">
            <v>0</v>
          </cell>
          <cell r="X120">
            <v>1184293.7247653957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100488.31863179906</v>
          </cell>
          <cell r="AD120">
            <v>1284782.0433971947</v>
          </cell>
        </row>
        <row r="121">
          <cell r="A121" t="str">
            <v>Murrieta</v>
          </cell>
          <cell r="B121">
            <v>1486514.1177148588</v>
          </cell>
          <cell r="C121">
            <v>21534.512851397198</v>
          </cell>
          <cell r="D121">
            <v>1508048.6305662561</v>
          </cell>
          <cell r="E121">
            <v>0</v>
          </cell>
          <cell r="F121">
            <v>0</v>
          </cell>
          <cell r="G121">
            <v>0</v>
          </cell>
          <cell r="H121">
            <v>1508048.6305662561</v>
          </cell>
          <cell r="I121">
            <v>0</v>
          </cell>
          <cell r="J121">
            <v>1440536.7500000009</v>
          </cell>
          <cell r="K121">
            <v>0</v>
          </cell>
          <cell r="L121">
            <v>0</v>
          </cell>
          <cell r="M121">
            <v>0</v>
          </cell>
          <cell r="N121">
            <v>1440536.7500000009</v>
          </cell>
          <cell r="O121">
            <v>1440536.7500000009</v>
          </cell>
          <cell r="P121">
            <v>0</v>
          </cell>
          <cell r="Q121">
            <v>1440536.7500000009</v>
          </cell>
          <cell r="R121">
            <v>0</v>
          </cell>
          <cell r="S121">
            <v>67511.880566255189</v>
          </cell>
          <cell r="T121">
            <v>67511.880566255189</v>
          </cell>
          <cell r="U121">
            <v>0</v>
          </cell>
          <cell r="V121">
            <v>0</v>
          </cell>
          <cell r="W121">
            <v>0</v>
          </cell>
          <cell r="X121">
            <v>67511.880566255189</v>
          </cell>
          <cell r="Y121">
            <v>0</v>
          </cell>
          <cell r="Z121">
            <v>2150000</v>
          </cell>
          <cell r="AA121">
            <v>0</v>
          </cell>
          <cell r="AB121">
            <v>0</v>
          </cell>
          <cell r="AC121">
            <v>0</v>
          </cell>
          <cell r="AD121">
            <v>67511.880566255189</v>
          </cell>
        </row>
        <row r="122">
          <cell r="A122" t="str">
            <v>Newport Beach</v>
          </cell>
          <cell r="B122">
            <v>11357619.66843228</v>
          </cell>
          <cell r="C122">
            <v>223882.94076589553</v>
          </cell>
          <cell r="D122">
            <v>11581502.609198175</v>
          </cell>
          <cell r="E122">
            <v>2538067</v>
          </cell>
          <cell r="F122">
            <v>2864224</v>
          </cell>
          <cell r="G122">
            <v>5402291</v>
          </cell>
          <cell r="H122">
            <v>17483793.609198175</v>
          </cell>
          <cell r="I122">
            <v>0</v>
          </cell>
          <cell r="J122">
            <v>10663652.940000001</v>
          </cell>
          <cell r="K122">
            <v>0</v>
          </cell>
          <cell r="L122">
            <v>0</v>
          </cell>
          <cell r="M122">
            <v>0</v>
          </cell>
          <cell r="N122">
            <v>10663652.940000001</v>
          </cell>
          <cell r="O122">
            <v>10663652.940000001</v>
          </cell>
          <cell r="P122">
            <v>1570812.34</v>
          </cell>
          <cell r="Q122">
            <v>12234465.280000001</v>
          </cell>
          <cell r="R122">
            <v>0</v>
          </cell>
          <cell r="S122">
            <v>5249328.3291981742</v>
          </cell>
          <cell r="T122">
            <v>5249328.3291981742</v>
          </cell>
          <cell r="U122">
            <v>2757131.21</v>
          </cell>
          <cell r="V122">
            <v>0</v>
          </cell>
          <cell r="W122">
            <v>2757131.21</v>
          </cell>
          <cell r="X122">
            <v>2492197.1191981742</v>
          </cell>
          <cell r="Y122">
            <v>0</v>
          </cell>
          <cell r="Z122"/>
          <cell r="AA122">
            <v>0</v>
          </cell>
          <cell r="AB122">
            <v>0</v>
          </cell>
          <cell r="AC122">
            <v>160241.35778463783</v>
          </cell>
          <cell r="AD122">
            <v>2652438.4769828119</v>
          </cell>
        </row>
        <row r="123">
          <cell r="A123" t="str">
            <v>Norco</v>
          </cell>
          <cell r="B123">
            <v>2413799.7214358789</v>
          </cell>
          <cell r="C123">
            <v>46575.112435282892</v>
          </cell>
          <cell r="D123">
            <v>2460374.8338711616</v>
          </cell>
          <cell r="E123">
            <v>-54402</v>
          </cell>
          <cell r="F123">
            <v>0</v>
          </cell>
          <cell r="G123">
            <v>-54402</v>
          </cell>
          <cell r="H123">
            <v>2405972.8338711616</v>
          </cell>
          <cell r="I123">
            <v>0</v>
          </cell>
          <cell r="J123">
            <v>1305972.7</v>
          </cell>
          <cell r="K123">
            <v>0</v>
          </cell>
          <cell r="L123">
            <v>0</v>
          </cell>
          <cell r="M123">
            <v>0</v>
          </cell>
          <cell r="N123">
            <v>1305972.7</v>
          </cell>
          <cell r="O123">
            <v>1305972.7</v>
          </cell>
          <cell r="P123">
            <v>0</v>
          </cell>
          <cell r="Q123">
            <v>1305972.7</v>
          </cell>
          <cell r="R123">
            <v>0</v>
          </cell>
          <cell r="S123">
            <v>1100000.1338711616</v>
          </cell>
          <cell r="T123">
            <v>1100000.1338711616</v>
          </cell>
          <cell r="U123">
            <v>0</v>
          </cell>
          <cell r="V123">
            <v>0</v>
          </cell>
          <cell r="W123">
            <v>0</v>
          </cell>
          <cell r="X123">
            <v>1100000.1338711616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31068.936055662089</v>
          </cell>
          <cell r="AD123">
            <v>1131069.0699268237</v>
          </cell>
        </row>
        <row r="124">
          <cell r="A124" t="str">
            <v>Norwalk</v>
          </cell>
          <cell r="B124">
            <v>13831979.871140318</v>
          </cell>
          <cell r="C124">
            <v>279498.81747593038</v>
          </cell>
          <cell r="D124">
            <v>14111478.688616248</v>
          </cell>
          <cell r="E124">
            <v>0</v>
          </cell>
          <cell r="F124">
            <v>0</v>
          </cell>
          <cell r="G124">
            <v>0</v>
          </cell>
          <cell r="H124">
            <v>14111478.688616248</v>
          </cell>
          <cell r="I124">
            <v>0</v>
          </cell>
          <cell r="J124">
            <v>5527867.5099999998</v>
          </cell>
          <cell r="K124">
            <v>0</v>
          </cell>
          <cell r="L124">
            <v>0</v>
          </cell>
          <cell r="M124">
            <v>0</v>
          </cell>
          <cell r="N124">
            <v>5527867.5099999998</v>
          </cell>
          <cell r="O124">
            <v>5527867.5099999998</v>
          </cell>
          <cell r="P124">
            <v>5425817.1898999996</v>
          </cell>
          <cell r="Q124">
            <v>10953684.699899999</v>
          </cell>
          <cell r="R124">
            <v>0</v>
          </cell>
          <cell r="S124">
            <v>3157793.9887162484</v>
          </cell>
          <cell r="T124">
            <v>3157793.9887162484</v>
          </cell>
          <cell r="U124">
            <v>0</v>
          </cell>
          <cell r="V124">
            <v>0</v>
          </cell>
          <cell r="W124">
            <v>0</v>
          </cell>
          <cell r="X124">
            <v>3157793.9887162484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201546.45339265096</v>
          </cell>
          <cell r="AD124">
            <v>3359340.4421088994</v>
          </cell>
        </row>
        <row r="125">
          <cell r="A125" t="str">
            <v>Ojai</v>
          </cell>
          <cell r="B125">
            <v>1512291.0513438298</v>
          </cell>
          <cell r="C125">
            <v>30769.50317644751</v>
          </cell>
          <cell r="D125">
            <v>1543060.5545202773</v>
          </cell>
          <cell r="E125">
            <v>25000</v>
          </cell>
          <cell r="F125">
            <v>0</v>
          </cell>
          <cell r="G125">
            <v>25000</v>
          </cell>
          <cell r="H125">
            <v>1568060.5545202773</v>
          </cell>
          <cell r="I125">
            <v>0</v>
          </cell>
          <cell r="J125">
            <v>1739485.15</v>
          </cell>
          <cell r="K125">
            <v>0</v>
          </cell>
          <cell r="L125">
            <v>0</v>
          </cell>
          <cell r="M125">
            <v>0</v>
          </cell>
          <cell r="N125">
            <v>1739485.15</v>
          </cell>
          <cell r="O125">
            <v>1739485.15</v>
          </cell>
          <cell r="P125">
            <v>0</v>
          </cell>
          <cell r="Q125">
            <v>1739485.15</v>
          </cell>
          <cell r="R125">
            <v>-171424.5954797226</v>
          </cell>
          <cell r="S125">
            <v>0</v>
          </cell>
          <cell r="T125">
            <v>-171424.5954797226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-171424.5954797226</v>
          </cell>
          <cell r="Z125">
            <v>0</v>
          </cell>
          <cell r="AA125">
            <v>0</v>
          </cell>
          <cell r="AB125">
            <v>-5.5712500295077696</v>
          </cell>
          <cell r="AC125">
            <v>22339.906459093727</v>
          </cell>
          <cell r="AD125">
            <v>-149084.68902062887</v>
          </cell>
        </row>
        <row r="126">
          <cell r="A126" t="str">
            <v>Ontario</v>
          </cell>
          <cell r="B126">
            <v>14372295.544179386</v>
          </cell>
          <cell r="C126">
            <v>283739.98255640623</v>
          </cell>
          <cell r="D126">
            <v>14656035.526735792</v>
          </cell>
          <cell r="E126">
            <v>50000</v>
          </cell>
          <cell r="F126">
            <v>0</v>
          </cell>
          <cell r="G126">
            <v>50000</v>
          </cell>
          <cell r="H126">
            <v>14706035.526735792</v>
          </cell>
          <cell r="I126">
            <v>0</v>
          </cell>
          <cell r="J126">
            <v>12802119.99</v>
          </cell>
          <cell r="K126">
            <v>0</v>
          </cell>
          <cell r="L126">
            <v>0</v>
          </cell>
          <cell r="M126">
            <v>0</v>
          </cell>
          <cell r="N126">
            <v>12802119.99</v>
          </cell>
          <cell r="O126">
            <v>12802119.99</v>
          </cell>
          <cell r="P126">
            <v>-1463.09</v>
          </cell>
          <cell r="Q126">
            <v>12800656.9</v>
          </cell>
          <cell r="R126">
            <v>0</v>
          </cell>
          <cell r="S126">
            <v>1905378.6267357916</v>
          </cell>
          <cell r="T126">
            <v>1905378.6267357916</v>
          </cell>
          <cell r="U126">
            <v>0</v>
          </cell>
          <cell r="V126">
            <v>0</v>
          </cell>
          <cell r="W126">
            <v>0</v>
          </cell>
          <cell r="X126">
            <v>1905378.6267357916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182291.90333796019</v>
          </cell>
          <cell r="AD126">
            <v>2087670.5300737517</v>
          </cell>
        </row>
        <row r="127">
          <cell r="A127" t="str">
            <v>Orange</v>
          </cell>
          <cell r="B127">
            <v>15068210.856613824</v>
          </cell>
          <cell r="C127">
            <v>289751.30564897729</v>
          </cell>
          <cell r="D127">
            <v>15357962.162262801</v>
          </cell>
          <cell r="E127">
            <v>200000</v>
          </cell>
          <cell r="F127">
            <v>0</v>
          </cell>
          <cell r="G127">
            <v>200000</v>
          </cell>
          <cell r="H127">
            <v>15557962.162262801</v>
          </cell>
          <cell r="I127">
            <v>0</v>
          </cell>
          <cell r="J127">
            <v>15285099.000000002</v>
          </cell>
          <cell r="K127">
            <v>0</v>
          </cell>
          <cell r="L127">
            <v>0</v>
          </cell>
          <cell r="M127">
            <v>0</v>
          </cell>
          <cell r="N127">
            <v>15285099.000000002</v>
          </cell>
          <cell r="O127">
            <v>15285099.000000002</v>
          </cell>
          <cell r="P127">
            <v>0</v>
          </cell>
          <cell r="Q127">
            <v>15285099.000000002</v>
          </cell>
          <cell r="R127">
            <v>0</v>
          </cell>
          <cell r="S127">
            <v>272863.16226279922</v>
          </cell>
          <cell r="T127">
            <v>272863.16226279922</v>
          </cell>
          <cell r="U127">
            <v>0</v>
          </cell>
          <cell r="V127">
            <v>0</v>
          </cell>
          <cell r="W127">
            <v>0</v>
          </cell>
          <cell r="X127">
            <v>272863.16226279922</v>
          </cell>
          <cell r="Y127">
            <v>0</v>
          </cell>
          <cell r="Z127">
            <v>0</v>
          </cell>
          <cell r="AA127">
            <v>2922741</v>
          </cell>
          <cell r="AB127">
            <v>0</v>
          </cell>
          <cell r="AC127">
            <v>188551.18576712662</v>
          </cell>
          <cell r="AD127">
            <v>461414.34802992584</v>
          </cell>
        </row>
        <row r="128">
          <cell r="A128" t="str">
            <v>Oxnard</v>
          </cell>
          <cell r="B128">
            <v>13652889.624371534</v>
          </cell>
          <cell r="C128">
            <v>257089.49968269517</v>
          </cell>
          <cell r="D128">
            <v>13909979.124054229</v>
          </cell>
          <cell r="E128">
            <v>1000564</v>
          </cell>
          <cell r="F128">
            <v>0</v>
          </cell>
          <cell r="G128">
            <v>1000564</v>
          </cell>
          <cell r="H128">
            <v>14910543.124054229</v>
          </cell>
          <cell r="I128">
            <v>0</v>
          </cell>
          <cell r="J128">
            <v>10949354.960000001</v>
          </cell>
          <cell r="K128">
            <v>0</v>
          </cell>
          <cell r="L128">
            <v>890141.55</v>
          </cell>
          <cell r="M128">
            <v>0</v>
          </cell>
          <cell r="N128">
            <v>11839496.510000002</v>
          </cell>
          <cell r="O128">
            <v>11839496.510000002</v>
          </cell>
          <cell r="P128">
            <v>-4598.93</v>
          </cell>
          <cell r="Q128">
            <v>11834897.580000002</v>
          </cell>
          <cell r="R128">
            <v>0</v>
          </cell>
          <cell r="S128">
            <v>3075645.5440542269</v>
          </cell>
          <cell r="T128">
            <v>3075645.5440542269</v>
          </cell>
          <cell r="U128">
            <v>0</v>
          </cell>
          <cell r="V128">
            <v>0</v>
          </cell>
          <cell r="W128">
            <v>0</v>
          </cell>
          <cell r="X128">
            <v>3075645.5440542269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155599.67878701584</v>
          </cell>
          <cell r="AD128">
            <v>3231245.2228412428</v>
          </cell>
        </row>
        <row r="129">
          <cell r="A129" t="str">
            <v>Palm Desert</v>
          </cell>
          <cell r="B129">
            <v>4691954.8373798709</v>
          </cell>
          <cell r="C129">
            <v>90852.00854445342</v>
          </cell>
          <cell r="D129">
            <v>4782806.8459243244</v>
          </cell>
          <cell r="E129">
            <v>0</v>
          </cell>
          <cell r="F129">
            <v>0</v>
          </cell>
          <cell r="G129">
            <v>0</v>
          </cell>
          <cell r="H129">
            <v>4782806.8459243244</v>
          </cell>
          <cell r="I129">
            <v>0</v>
          </cell>
          <cell r="J129">
            <v>3897388.59</v>
          </cell>
          <cell r="K129">
            <v>0</v>
          </cell>
          <cell r="L129">
            <v>0</v>
          </cell>
          <cell r="M129">
            <v>0</v>
          </cell>
          <cell r="N129">
            <v>3897388.59</v>
          </cell>
          <cell r="O129">
            <v>3897388.59</v>
          </cell>
          <cell r="P129">
            <v>0</v>
          </cell>
          <cell r="Q129">
            <v>3897388.59</v>
          </cell>
          <cell r="R129">
            <v>0</v>
          </cell>
          <cell r="S129">
            <v>885418.25592432451</v>
          </cell>
          <cell r="T129">
            <v>885418.25592432451</v>
          </cell>
          <cell r="U129">
            <v>0</v>
          </cell>
          <cell r="V129">
            <v>0</v>
          </cell>
          <cell r="W129">
            <v>0</v>
          </cell>
          <cell r="X129">
            <v>885418.25592432451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43509.188442817482</v>
          </cell>
          <cell r="AD129">
            <v>928927.44436714193</v>
          </cell>
        </row>
        <row r="130">
          <cell r="A130" t="str">
            <v>Palm Springs</v>
          </cell>
          <cell r="B130">
            <v>8014295.6588921184</v>
          </cell>
          <cell r="C130">
            <v>166247.93823472961</v>
          </cell>
          <cell r="D130">
            <v>8180543.5971268481</v>
          </cell>
          <cell r="E130">
            <v>0</v>
          </cell>
          <cell r="F130">
            <v>0</v>
          </cell>
          <cell r="G130">
            <v>0</v>
          </cell>
          <cell r="H130">
            <v>8180543.5971268481</v>
          </cell>
          <cell r="I130">
            <v>0</v>
          </cell>
          <cell r="J130">
            <v>7077195.1900000004</v>
          </cell>
          <cell r="K130">
            <v>0</v>
          </cell>
          <cell r="L130">
            <v>0</v>
          </cell>
          <cell r="M130">
            <v>0</v>
          </cell>
          <cell r="N130">
            <v>7077195.1900000004</v>
          </cell>
          <cell r="O130">
            <v>7077195.1900000004</v>
          </cell>
          <cell r="P130">
            <v>153120.25</v>
          </cell>
          <cell r="Q130">
            <v>7230315.4400000004</v>
          </cell>
          <cell r="R130">
            <v>0</v>
          </cell>
          <cell r="S130">
            <v>950228.15712684765</v>
          </cell>
          <cell r="T130">
            <v>950228.15712684765</v>
          </cell>
          <cell r="V130">
            <v>1846879.75</v>
          </cell>
          <cell r="W130">
            <v>1846879.75</v>
          </cell>
          <cell r="X130">
            <v>0</v>
          </cell>
          <cell r="Y130">
            <v>-896651.59287315235</v>
          </cell>
          <cell r="Z130">
            <v>0</v>
          </cell>
          <cell r="AA130">
            <v>0</v>
          </cell>
          <cell r="AB130">
            <v>-5.3934599273474753</v>
          </cell>
          <cell r="AC130">
            <v>118004.45829042395</v>
          </cell>
          <cell r="AD130">
            <v>-778647.13458272838</v>
          </cell>
        </row>
        <row r="131">
          <cell r="A131" t="str">
            <v>Palmdale</v>
          </cell>
          <cell r="B131">
            <v>5244404.5809833165</v>
          </cell>
          <cell r="C131">
            <v>99712.861294316652</v>
          </cell>
          <cell r="D131">
            <v>5344117.4422776336</v>
          </cell>
          <cell r="E131">
            <v>0</v>
          </cell>
          <cell r="F131">
            <v>0</v>
          </cell>
          <cell r="G131">
            <v>0</v>
          </cell>
          <cell r="H131">
            <v>5344117.4422776336</v>
          </cell>
          <cell r="I131">
            <v>0</v>
          </cell>
          <cell r="J131">
            <v>3498462.81</v>
          </cell>
          <cell r="K131">
            <v>0</v>
          </cell>
          <cell r="L131">
            <v>0</v>
          </cell>
          <cell r="M131">
            <v>0</v>
          </cell>
          <cell r="N131">
            <v>3498462.81</v>
          </cell>
          <cell r="O131">
            <v>3498462.81</v>
          </cell>
          <cell r="P131">
            <v>0</v>
          </cell>
          <cell r="Q131">
            <v>3498462.81</v>
          </cell>
          <cell r="R131">
            <v>0</v>
          </cell>
          <cell r="S131">
            <v>1845654.6322776335</v>
          </cell>
          <cell r="T131">
            <v>1845654.6322776335</v>
          </cell>
          <cell r="U131">
            <v>0</v>
          </cell>
          <cell r="V131">
            <v>0</v>
          </cell>
          <cell r="W131">
            <v>0</v>
          </cell>
          <cell r="X131">
            <v>1845654.6322776335</v>
          </cell>
          <cell r="Y131">
            <v>0</v>
          </cell>
          <cell r="Z131">
            <v>1900000</v>
          </cell>
          <cell r="AA131">
            <v>0</v>
          </cell>
          <cell r="AB131">
            <v>0</v>
          </cell>
          <cell r="AC131">
            <v>38070.372503810795</v>
          </cell>
          <cell r="AD131">
            <v>1883725.0047814443</v>
          </cell>
        </row>
        <row r="132">
          <cell r="A132" t="str">
            <v>Palos Verdes Estates</v>
          </cell>
          <cell r="B132">
            <v>1777702.4685440541</v>
          </cell>
          <cell r="C132">
            <v>34426.497296525828</v>
          </cell>
          <cell r="D132">
            <v>1812128.9658405799</v>
          </cell>
          <cell r="E132">
            <v>-1056306</v>
          </cell>
          <cell r="F132">
            <v>0</v>
          </cell>
          <cell r="G132">
            <v>-1056306</v>
          </cell>
          <cell r="H132">
            <v>755822.96584057994</v>
          </cell>
          <cell r="I132">
            <v>238568</v>
          </cell>
          <cell r="J132">
            <v>721396</v>
          </cell>
          <cell r="K132">
            <v>0</v>
          </cell>
          <cell r="L132">
            <v>0</v>
          </cell>
          <cell r="M132">
            <v>238568</v>
          </cell>
          <cell r="N132">
            <v>721396</v>
          </cell>
          <cell r="O132">
            <v>721396</v>
          </cell>
          <cell r="P132">
            <v>0</v>
          </cell>
          <cell r="Q132">
            <v>721396</v>
          </cell>
          <cell r="R132">
            <v>0</v>
          </cell>
          <cell r="S132">
            <v>34426.965840579942</v>
          </cell>
          <cell r="T132">
            <v>34426.965840579942</v>
          </cell>
          <cell r="U132">
            <v>0</v>
          </cell>
          <cell r="V132">
            <v>0</v>
          </cell>
          <cell r="W132">
            <v>0</v>
          </cell>
          <cell r="X132">
            <v>34426.965840579942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24521.510365045142</v>
          </cell>
          <cell r="AD132">
            <v>58948.476205625084</v>
          </cell>
        </row>
        <row r="133">
          <cell r="A133" t="str">
            <v>Paramount</v>
          </cell>
          <cell r="B133">
            <v>6376574.6063726908</v>
          </cell>
          <cell r="C133">
            <v>127433.35746377389</v>
          </cell>
          <cell r="D133">
            <v>6504007.963836465</v>
          </cell>
          <cell r="E133">
            <v>467500</v>
          </cell>
          <cell r="F133">
            <v>0</v>
          </cell>
          <cell r="G133">
            <v>467500</v>
          </cell>
          <cell r="H133">
            <v>6971507.963836465</v>
          </cell>
          <cell r="I133">
            <v>0</v>
          </cell>
          <cell r="J133">
            <v>5658280.5</v>
          </cell>
          <cell r="K133">
            <v>0</v>
          </cell>
          <cell r="L133">
            <v>0</v>
          </cell>
          <cell r="M133">
            <v>0</v>
          </cell>
          <cell r="N133">
            <v>5658280.5</v>
          </cell>
          <cell r="O133">
            <v>5658280.5</v>
          </cell>
          <cell r="P133">
            <v>0</v>
          </cell>
          <cell r="Q133">
            <v>5658280.5</v>
          </cell>
          <cell r="R133">
            <v>0</v>
          </cell>
          <cell r="S133">
            <v>1313227.463836465</v>
          </cell>
          <cell r="T133">
            <v>1313227.463836465</v>
          </cell>
          <cell r="U133">
            <v>0</v>
          </cell>
          <cell r="V133">
            <v>0</v>
          </cell>
          <cell r="W133">
            <v>0</v>
          </cell>
          <cell r="X133">
            <v>1313227.463836465</v>
          </cell>
          <cell r="Y133">
            <v>0</v>
          </cell>
          <cell r="Z133">
            <v>0</v>
          </cell>
          <cell r="AA133">
            <v>1138613</v>
          </cell>
          <cell r="AB133">
            <v>0</v>
          </cell>
          <cell r="AC133">
            <v>89381.178269993106</v>
          </cell>
          <cell r="AD133">
            <v>1402608.6421064581</v>
          </cell>
        </row>
        <row r="134">
          <cell r="A134" t="str">
            <v>Pasadena</v>
          </cell>
          <cell r="B134">
            <v>9873.0471649414449</v>
          </cell>
          <cell r="C134">
            <v>700.4542460683391</v>
          </cell>
          <cell r="D134">
            <v>10573.501411009784</v>
          </cell>
          <cell r="E134">
            <v>0</v>
          </cell>
          <cell r="F134">
            <v>0</v>
          </cell>
          <cell r="G134">
            <v>0</v>
          </cell>
          <cell r="H134">
            <v>10573.501411009784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10573.501411009784</v>
          </cell>
          <cell r="T134">
            <v>10573.501411009784</v>
          </cell>
          <cell r="U134">
            <v>0</v>
          </cell>
          <cell r="V134">
            <v>0</v>
          </cell>
          <cell r="W134">
            <v>0</v>
          </cell>
          <cell r="X134">
            <v>10573.501411009784</v>
          </cell>
          <cell r="Y134">
            <v>0</v>
          </cell>
          <cell r="Z134">
            <v>0</v>
          </cell>
          <cell r="AA134"/>
          <cell r="AB134">
            <v>0</v>
          </cell>
          <cell r="AC134">
            <v>410.66176181307696</v>
          </cell>
          <cell r="AD134">
            <v>10984.16317282286</v>
          </cell>
        </row>
        <row r="135">
          <cell r="A135" t="str">
            <v>Perris</v>
          </cell>
          <cell r="B135">
            <v>2012368.0848826836</v>
          </cell>
          <cell r="C135">
            <v>35592.269517010267</v>
          </cell>
          <cell r="D135">
            <v>2047960.3543996939</v>
          </cell>
          <cell r="E135">
            <v>0</v>
          </cell>
          <cell r="F135">
            <v>0</v>
          </cell>
          <cell r="G135">
            <v>0</v>
          </cell>
          <cell r="H135">
            <v>2047960.3543996939</v>
          </cell>
          <cell r="I135">
            <v>0</v>
          </cell>
          <cell r="J135">
            <v>2070892.63</v>
          </cell>
          <cell r="K135">
            <v>0</v>
          </cell>
          <cell r="L135">
            <v>0</v>
          </cell>
          <cell r="M135">
            <v>0</v>
          </cell>
          <cell r="N135">
            <v>2070892.63</v>
          </cell>
          <cell r="O135">
            <v>2070892.63</v>
          </cell>
          <cell r="P135">
            <v>0</v>
          </cell>
          <cell r="Q135">
            <v>2070892.63</v>
          </cell>
          <cell r="R135">
            <v>-22932.275600305991</v>
          </cell>
          <cell r="S135">
            <v>0</v>
          </cell>
          <cell r="T135">
            <v>-22932.275600305991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-22932.275600305991</v>
          </cell>
          <cell r="Z135">
            <v>675000</v>
          </cell>
          <cell r="AA135">
            <v>0</v>
          </cell>
          <cell r="AB135">
            <v>-0.64430495474153993</v>
          </cell>
          <cell r="AC135">
            <v>11204.652892718637</v>
          </cell>
          <cell r="AD135">
            <v>-11727.622707587354</v>
          </cell>
        </row>
        <row r="136">
          <cell r="A136" t="str">
            <v>Pico Rivera</v>
          </cell>
          <cell r="B136">
            <v>8541316.9797584116</v>
          </cell>
          <cell r="C136">
            <v>172940.77714729522</v>
          </cell>
          <cell r="D136">
            <v>8714257.7569057066</v>
          </cell>
          <cell r="E136">
            <v>330000</v>
          </cell>
          <cell r="F136">
            <v>0</v>
          </cell>
          <cell r="G136">
            <v>330000</v>
          </cell>
          <cell r="H136">
            <v>9044257.7569057066</v>
          </cell>
          <cell r="I136">
            <v>0</v>
          </cell>
          <cell r="J136">
            <v>8195601.5099999998</v>
          </cell>
          <cell r="K136">
            <v>0</v>
          </cell>
          <cell r="L136">
            <v>0</v>
          </cell>
          <cell r="M136">
            <v>0</v>
          </cell>
          <cell r="N136">
            <v>8195601.5099999998</v>
          </cell>
          <cell r="O136">
            <v>8195601.5099999998</v>
          </cell>
          <cell r="P136">
            <v>0</v>
          </cell>
          <cell r="Q136">
            <v>8195601.5099999998</v>
          </cell>
          <cell r="R136">
            <v>0</v>
          </cell>
          <cell r="S136">
            <v>848656.24690570682</v>
          </cell>
          <cell r="T136">
            <v>848656.24690570682</v>
          </cell>
          <cell r="U136">
            <v>0</v>
          </cell>
          <cell r="V136">
            <v>0</v>
          </cell>
          <cell r="W136">
            <v>0</v>
          </cell>
          <cell r="X136">
            <v>848656.24690570682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125464.62402443271</v>
          </cell>
          <cell r="AD136">
            <v>974120.87093013956</v>
          </cell>
        </row>
        <row r="137">
          <cell r="A137" t="str">
            <v>Placentia</v>
          </cell>
          <cell r="B137">
            <v>4030481.758528444</v>
          </cell>
          <cell r="C137">
            <v>78668.241109987503</v>
          </cell>
          <cell r="D137">
            <v>4109149.9996384317</v>
          </cell>
          <cell r="E137">
            <v>-1117793</v>
          </cell>
          <cell r="F137">
            <v>0</v>
          </cell>
          <cell r="G137">
            <v>-1117793</v>
          </cell>
          <cell r="H137">
            <v>2991356.9996384317</v>
          </cell>
          <cell r="I137">
            <v>0</v>
          </cell>
          <cell r="J137">
            <v>2232308.02</v>
          </cell>
          <cell r="K137">
            <v>0</v>
          </cell>
          <cell r="L137">
            <v>0</v>
          </cell>
          <cell r="M137">
            <v>0</v>
          </cell>
          <cell r="N137">
            <v>2232308.02</v>
          </cell>
          <cell r="O137">
            <v>2232308.02</v>
          </cell>
          <cell r="P137">
            <v>63907.100000000006</v>
          </cell>
          <cell r="Q137">
            <v>2296215.12</v>
          </cell>
          <cell r="R137">
            <v>0</v>
          </cell>
          <cell r="S137">
            <v>695141.87963843159</v>
          </cell>
          <cell r="T137">
            <v>695141.87963843159</v>
          </cell>
          <cell r="U137">
            <v>736092.9</v>
          </cell>
          <cell r="V137">
            <v>0</v>
          </cell>
          <cell r="W137">
            <v>736092.9</v>
          </cell>
          <cell r="X137">
            <v>0</v>
          </cell>
          <cell r="Y137">
            <v>-40951.02036156843</v>
          </cell>
          <cell r="Z137">
            <v>0</v>
          </cell>
          <cell r="AA137">
            <v>0</v>
          </cell>
          <cell r="AB137">
            <v>-0.52055339974252202</v>
          </cell>
          <cell r="AC137">
            <v>50387.191247180454</v>
          </cell>
          <cell r="AD137">
            <v>9436.170885612024</v>
          </cell>
        </row>
        <row r="138">
          <cell r="A138" t="str">
            <v>Pomona</v>
          </cell>
          <cell r="B138">
            <v>17033445.798999928</v>
          </cell>
          <cell r="C138">
            <v>336180.77863231639</v>
          </cell>
          <cell r="D138">
            <v>17369626.577632245</v>
          </cell>
          <cell r="E138">
            <v>500000</v>
          </cell>
          <cell r="F138">
            <v>0</v>
          </cell>
          <cell r="G138">
            <v>500000</v>
          </cell>
          <cell r="H138">
            <v>17869626.577632245</v>
          </cell>
          <cell r="I138">
            <v>0</v>
          </cell>
          <cell r="J138">
            <v>9673038.9399999995</v>
          </cell>
          <cell r="K138">
            <v>0</v>
          </cell>
          <cell r="L138">
            <v>0</v>
          </cell>
          <cell r="M138">
            <v>0</v>
          </cell>
          <cell r="N138">
            <v>9673038.9399999995</v>
          </cell>
          <cell r="O138">
            <v>9673038.9399999995</v>
          </cell>
          <cell r="P138">
            <v>0</v>
          </cell>
          <cell r="Q138">
            <v>9673038.9399999995</v>
          </cell>
          <cell r="R138">
            <v>0</v>
          </cell>
          <cell r="S138">
            <v>8196587.6376322452</v>
          </cell>
          <cell r="T138">
            <v>8196587.6376322452</v>
          </cell>
          <cell r="U138">
            <v>0</v>
          </cell>
          <cell r="V138">
            <v>0</v>
          </cell>
          <cell r="W138">
            <v>0</v>
          </cell>
          <cell r="X138">
            <v>8196587.6376322452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229893.35635453986</v>
          </cell>
          <cell r="AD138">
            <v>8426480.9939867854</v>
          </cell>
        </row>
        <row r="139">
          <cell r="A139" t="str">
            <v>Port Hueneme</v>
          </cell>
          <cell r="B139">
            <v>2134385.983998335</v>
          </cell>
          <cell r="C139">
            <v>41367.493434020063</v>
          </cell>
          <cell r="D139">
            <v>2175753.4774323548</v>
          </cell>
          <cell r="E139">
            <v>0</v>
          </cell>
          <cell r="F139">
            <v>0</v>
          </cell>
          <cell r="G139">
            <v>0</v>
          </cell>
          <cell r="H139">
            <v>2175753.4774323548</v>
          </cell>
          <cell r="I139">
            <v>0</v>
          </cell>
          <cell r="J139">
            <v>2316497.9699999997</v>
          </cell>
          <cell r="K139">
            <v>0</v>
          </cell>
          <cell r="L139">
            <v>0</v>
          </cell>
          <cell r="M139">
            <v>0</v>
          </cell>
          <cell r="N139">
            <v>2316497.9699999997</v>
          </cell>
          <cell r="O139">
            <v>2316497.9699999997</v>
          </cell>
          <cell r="P139"/>
          <cell r="Q139">
            <v>2316497.9699999997</v>
          </cell>
          <cell r="R139">
            <v>-140744.49256764492</v>
          </cell>
          <cell r="S139">
            <v>0</v>
          </cell>
          <cell r="T139">
            <v>-140744.49256764492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-140744.49256764492</v>
          </cell>
          <cell r="Z139">
            <v>0</v>
          </cell>
          <cell r="AA139">
            <v>0</v>
          </cell>
          <cell r="AB139">
            <v>-3.4022968491462566</v>
          </cell>
          <cell r="AC139">
            <v>27617.112895312312</v>
          </cell>
          <cell r="AD139">
            <v>-113127.37967233261</v>
          </cell>
        </row>
        <row r="140">
          <cell r="A140" t="str">
            <v>Porterville</v>
          </cell>
          <cell r="B140">
            <v>3661090.5220566061</v>
          </cell>
          <cell r="C140">
            <v>67145.538328775205</v>
          </cell>
          <cell r="D140">
            <v>3728236.0603853813</v>
          </cell>
          <cell r="E140">
            <v>2284084</v>
          </cell>
          <cell r="F140">
            <v>0</v>
          </cell>
          <cell r="G140">
            <v>2284084</v>
          </cell>
          <cell r="H140">
            <v>6012320.0603853818</v>
          </cell>
          <cell r="I140">
            <v>0</v>
          </cell>
          <cell r="J140">
            <v>5043061.3099999996</v>
          </cell>
          <cell r="K140">
            <v>0</v>
          </cell>
          <cell r="L140">
            <v>0</v>
          </cell>
          <cell r="M140">
            <v>0</v>
          </cell>
          <cell r="N140">
            <v>5043061.3099999996</v>
          </cell>
          <cell r="O140">
            <v>5043061.3099999996</v>
          </cell>
          <cell r="P140">
            <v>0</v>
          </cell>
          <cell r="Q140">
            <v>5043061.3099999996</v>
          </cell>
          <cell r="R140">
            <v>0</v>
          </cell>
          <cell r="S140">
            <v>969258.75038538221</v>
          </cell>
          <cell r="T140">
            <v>969258.75038538221</v>
          </cell>
          <cell r="U140">
            <v>0</v>
          </cell>
          <cell r="V140">
            <v>0</v>
          </cell>
          <cell r="W140">
            <v>0</v>
          </cell>
          <cell r="X140">
            <v>969258.75038538221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33980.093857886524</v>
          </cell>
          <cell r="AD140">
            <v>1003238.8442432687</v>
          </cell>
        </row>
        <row r="141">
          <cell r="A141" t="str">
            <v>Rancho Cucamonga</v>
          </cell>
          <cell r="B141">
            <v>7592213.0401217341</v>
          </cell>
          <cell r="C141">
            <v>159958.77947225378</v>
          </cell>
          <cell r="D141">
            <v>7752171.8195939884</v>
          </cell>
          <cell r="E141">
            <v>0</v>
          </cell>
          <cell r="F141">
            <v>0</v>
          </cell>
          <cell r="G141">
            <v>0</v>
          </cell>
          <cell r="H141">
            <v>7752171.8195939884</v>
          </cell>
          <cell r="I141">
            <v>0</v>
          </cell>
          <cell r="J141">
            <v>3823607.4</v>
          </cell>
          <cell r="K141">
            <v>0</v>
          </cell>
          <cell r="L141">
            <v>0</v>
          </cell>
          <cell r="M141">
            <v>0</v>
          </cell>
          <cell r="N141">
            <v>3823607.4</v>
          </cell>
          <cell r="O141">
            <v>3823607.4</v>
          </cell>
          <cell r="P141">
            <v>2028943.1600000001</v>
          </cell>
          <cell r="Q141">
            <v>5852550.5600000005</v>
          </cell>
          <cell r="R141">
            <v>0</v>
          </cell>
          <cell r="S141">
            <v>1899621.2595939878</v>
          </cell>
          <cell r="T141">
            <v>1899621.2595939878</v>
          </cell>
          <cell r="U141">
            <v>2271056.84</v>
          </cell>
          <cell r="V141">
            <v>0</v>
          </cell>
          <cell r="W141">
            <v>2271056.84</v>
          </cell>
          <cell r="X141">
            <v>0</v>
          </cell>
          <cell r="Y141">
            <v>-371435.58040601201</v>
          </cell>
          <cell r="Z141"/>
          <cell r="AA141">
            <v>963644.3</v>
          </cell>
          <cell r="AB141">
            <v>-2.3220706086372753</v>
          </cell>
          <cell r="AC141">
            <v>85087.608243913623</v>
          </cell>
          <cell r="AD141">
            <v>-286347.97216209839</v>
          </cell>
        </row>
        <row r="142">
          <cell r="A142" t="str">
            <v>Rancho Mirage</v>
          </cell>
          <cell r="B142">
            <v>1980985.1274771092</v>
          </cell>
          <cell r="C142">
            <v>42067.042768992171</v>
          </cell>
          <cell r="D142">
            <v>2023052.1702461015</v>
          </cell>
          <cell r="E142">
            <v>0</v>
          </cell>
          <cell r="F142">
            <v>0</v>
          </cell>
          <cell r="G142">
            <v>0</v>
          </cell>
          <cell r="H142">
            <v>2023052.1702461015</v>
          </cell>
          <cell r="I142">
            <v>0</v>
          </cell>
          <cell r="J142">
            <v>2158120.52</v>
          </cell>
          <cell r="K142">
            <v>0</v>
          </cell>
          <cell r="L142">
            <v>0</v>
          </cell>
          <cell r="M142">
            <v>0</v>
          </cell>
          <cell r="N142">
            <v>2158120.52</v>
          </cell>
          <cell r="O142">
            <v>2158120.52</v>
          </cell>
          <cell r="P142">
            <v>0</v>
          </cell>
          <cell r="Q142">
            <v>2158120.52</v>
          </cell>
          <cell r="R142">
            <v>-135068.34975389857</v>
          </cell>
          <cell r="S142">
            <v>0</v>
          </cell>
          <cell r="T142">
            <v>-135068.34975389857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-135068.34975389857</v>
          </cell>
          <cell r="Z142">
            <v>0</v>
          </cell>
          <cell r="AA142">
            <v>0</v>
          </cell>
          <cell r="AB142">
            <v>-3.2107878487112989</v>
          </cell>
          <cell r="AC142">
            <v>26593.305035774545</v>
          </cell>
          <cell r="AD142">
            <v>-108475.04471812403</v>
          </cell>
        </row>
        <row r="143">
          <cell r="A143" t="str">
            <v>Rancho Palos Verdes</v>
          </cell>
          <cell r="B143">
            <v>4956738.4908972587</v>
          </cell>
          <cell r="C143">
            <v>102457.03227593911</v>
          </cell>
          <cell r="D143">
            <v>5059195.5231731981</v>
          </cell>
          <cell r="E143">
            <v>955815</v>
          </cell>
          <cell r="F143">
            <v>0</v>
          </cell>
          <cell r="G143">
            <v>955815</v>
          </cell>
          <cell r="H143">
            <v>6015010.5231731981</v>
          </cell>
          <cell r="I143">
            <v>0</v>
          </cell>
          <cell r="J143">
            <v>4395531.83</v>
          </cell>
          <cell r="K143">
            <v>0</v>
          </cell>
          <cell r="L143">
            <v>0</v>
          </cell>
          <cell r="M143">
            <v>0</v>
          </cell>
          <cell r="N143">
            <v>4395531.83</v>
          </cell>
          <cell r="O143">
            <v>4395531.83</v>
          </cell>
          <cell r="P143">
            <v>62201.66</v>
          </cell>
          <cell r="Q143">
            <v>4457733.49</v>
          </cell>
          <cell r="R143">
            <v>0</v>
          </cell>
          <cell r="S143">
            <v>1557277.0331731979</v>
          </cell>
          <cell r="T143">
            <v>1557277.0331731979</v>
          </cell>
          <cell r="U143">
            <v>1437798.34</v>
          </cell>
          <cell r="V143">
            <v>0</v>
          </cell>
          <cell r="W143">
            <v>1437798.34</v>
          </cell>
          <cell r="X143">
            <v>119478.6931731978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71098.414567052358</v>
          </cell>
          <cell r="AD143">
            <v>190577.10774025015</v>
          </cell>
        </row>
        <row r="144">
          <cell r="A144" t="str">
            <v>Rancho Santa Margarita</v>
          </cell>
          <cell r="B144">
            <v>1261250.6507466575</v>
          </cell>
          <cell r="C144">
            <v>54172.205328570868</v>
          </cell>
          <cell r="D144">
            <v>1315422.8560752284</v>
          </cell>
          <cell r="E144">
            <v>-1210954</v>
          </cell>
          <cell r="F144">
            <v>0</v>
          </cell>
          <cell r="G144">
            <v>-1210954</v>
          </cell>
          <cell r="H144">
            <v>104468.85607522842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104468.85607522842</v>
          </cell>
          <cell r="T144">
            <v>104468.85607522842</v>
          </cell>
          <cell r="U144">
            <v>0</v>
          </cell>
          <cell r="V144">
            <v>0</v>
          </cell>
          <cell r="W144">
            <v>0</v>
          </cell>
          <cell r="X144">
            <v>104468.85607522842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36334.273256231318</v>
          </cell>
          <cell r="AD144">
            <v>140803.12933145976</v>
          </cell>
        </row>
        <row r="145">
          <cell r="A145" t="str">
            <v>Redlands</v>
          </cell>
          <cell r="B145">
            <v>7670328.3579193018</v>
          </cell>
          <cell r="C145">
            <v>148267.62751894898</v>
          </cell>
          <cell r="D145">
            <v>7818595.9854382509</v>
          </cell>
          <cell r="E145">
            <v>0</v>
          </cell>
          <cell r="F145">
            <v>0</v>
          </cell>
          <cell r="G145">
            <v>0</v>
          </cell>
          <cell r="H145">
            <v>7818595.9854382509</v>
          </cell>
          <cell r="I145">
            <v>0</v>
          </cell>
          <cell r="J145">
            <v>5505960.1999999993</v>
          </cell>
          <cell r="K145">
            <v>0</v>
          </cell>
          <cell r="L145">
            <v>0</v>
          </cell>
          <cell r="M145">
            <v>0</v>
          </cell>
          <cell r="N145">
            <v>5505960.1999999993</v>
          </cell>
          <cell r="O145">
            <v>5505960.1999999993</v>
          </cell>
          <cell r="P145">
            <v>64308.520000000004</v>
          </cell>
          <cell r="Q145">
            <v>5570268.7199999988</v>
          </cell>
          <cell r="R145">
            <v>0</v>
          </cell>
          <cell r="S145">
            <v>2248327.2654382521</v>
          </cell>
          <cell r="T145">
            <v>2248327.2654382521</v>
          </cell>
          <cell r="U145">
            <v>0</v>
          </cell>
          <cell r="V145">
            <v>2935691.48</v>
          </cell>
          <cell r="W145">
            <v>2935691.48</v>
          </cell>
          <cell r="X145">
            <v>0</v>
          </cell>
          <cell r="Y145">
            <v>-687364.21456174785</v>
          </cell>
          <cell r="Z145">
            <v>2600000</v>
          </cell>
          <cell r="AA145">
            <v>877649.3</v>
          </cell>
          <cell r="AB145">
            <v>-4.6359696048545791</v>
          </cell>
          <cell r="AC145">
            <v>94567.755261262733</v>
          </cell>
          <cell r="AD145">
            <v>-592796.45930048509</v>
          </cell>
        </row>
        <row r="146">
          <cell r="A146" t="str">
            <v>Redondo Beach</v>
          </cell>
          <cell r="B146">
            <v>14996771.560224466</v>
          </cell>
          <cell r="C146">
            <v>308760.60002059274</v>
          </cell>
          <cell r="D146">
            <v>15305532.160245059</v>
          </cell>
          <cell r="E146">
            <v>263000</v>
          </cell>
          <cell r="F146">
            <v>0</v>
          </cell>
          <cell r="G146">
            <v>263000</v>
          </cell>
          <cell r="H146">
            <v>15568532.160245059</v>
          </cell>
          <cell r="I146">
            <v>0</v>
          </cell>
          <cell r="J146">
            <v>12175547.640000001</v>
          </cell>
          <cell r="K146">
            <v>0</v>
          </cell>
          <cell r="L146">
            <v>0</v>
          </cell>
          <cell r="M146">
            <v>0</v>
          </cell>
          <cell r="N146">
            <v>12175547.640000001</v>
          </cell>
          <cell r="O146">
            <v>12175547.640000001</v>
          </cell>
          <cell r="P146">
            <v>259342.33000000007</v>
          </cell>
          <cell r="Q146">
            <v>12434889.970000001</v>
          </cell>
          <cell r="R146">
            <v>0</v>
          </cell>
          <cell r="S146">
            <v>3133642.1902450584</v>
          </cell>
          <cell r="T146">
            <v>3133642.1902450584</v>
          </cell>
          <cell r="U146">
            <v>840657.66999999993</v>
          </cell>
          <cell r="V146">
            <v>2520613.2400000002</v>
          </cell>
          <cell r="W146">
            <v>3361270.91</v>
          </cell>
          <cell r="X146">
            <v>0</v>
          </cell>
          <cell r="Y146">
            <v>-227628.71975494176</v>
          </cell>
          <cell r="Z146"/>
          <cell r="AA146">
            <v>817284</v>
          </cell>
          <cell r="AB146">
            <v>-0.73723370060739646</v>
          </cell>
          <cell r="AC146">
            <v>226359.17196080243</v>
          </cell>
          <cell r="AD146">
            <v>-1269.5477941393328</v>
          </cell>
        </row>
        <row r="147">
          <cell r="A147" t="str">
            <v>Rialto</v>
          </cell>
          <cell r="B147">
            <v>6581306.4047448877</v>
          </cell>
          <cell r="C147">
            <v>132944.21057750558</v>
          </cell>
          <cell r="D147">
            <v>6714250.6153223934</v>
          </cell>
          <cell r="E147">
            <v>0</v>
          </cell>
          <cell r="F147">
            <v>0</v>
          </cell>
          <cell r="G147">
            <v>0</v>
          </cell>
          <cell r="H147">
            <v>6714250.6153223934</v>
          </cell>
          <cell r="I147">
            <v>0</v>
          </cell>
          <cell r="J147">
            <v>5767196.3499999996</v>
          </cell>
          <cell r="K147">
            <v>0</v>
          </cell>
          <cell r="L147">
            <v>0</v>
          </cell>
          <cell r="M147">
            <v>0</v>
          </cell>
          <cell r="N147">
            <v>5767196.3499999996</v>
          </cell>
          <cell r="O147">
            <v>5767196.3499999996</v>
          </cell>
          <cell r="P147">
            <v>74995.460000000021</v>
          </cell>
          <cell r="Q147">
            <v>5842191.8099999996</v>
          </cell>
          <cell r="R147">
            <v>0</v>
          </cell>
          <cell r="S147">
            <v>872058.80532239377</v>
          </cell>
          <cell r="T147">
            <v>872058.80532239377</v>
          </cell>
          <cell r="U147">
            <v>1325004.54</v>
          </cell>
          <cell r="V147">
            <v>0</v>
          </cell>
          <cell r="W147">
            <v>1325004.54</v>
          </cell>
          <cell r="X147">
            <v>0</v>
          </cell>
          <cell r="Y147">
            <v>-452945.73467760626</v>
          </cell>
          <cell r="Z147">
            <v>0</v>
          </cell>
          <cell r="AA147">
            <v>0</v>
          </cell>
          <cell r="AB147">
            <v>-3.4070361748738351</v>
          </cell>
          <cell r="AC147">
            <v>84795.035188218695</v>
          </cell>
          <cell r="AD147">
            <v>-368150.69948938757</v>
          </cell>
        </row>
        <row r="148">
          <cell r="A148" t="str">
            <v>Ridgecrest</v>
          </cell>
          <cell r="B148">
            <v>3237872.7357515772</v>
          </cell>
          <cell r="C148">
            <v>67257.676666893633</v>
          </cell>
          <cell r="D148">
            <v>3305130.4124184707</v>
          </cell>
          <cell r="E148">
            <v>3801575</v>
          </cell>
          <cell r="F148">
            <v>0</v>
          </cell>
          <cell r="G148">
            <v>3801575</v>
          </cell>
          <cell r="H148">
            <v>7106705.4124184707</v>
          </cell>
          <cell r="I148">
            <v>0</v>
          </cell>
          <cell r="J148">
            <v>3670289.9</v>
          </cell>
          <cell r="K148">
            <v>0</v>
          </cell>
          <cell r="L148">
            <v>0</v>
          </cell>
          <cell r="M148">
            <v>0</v>
          </cell>
          <cell r="N148">
            <v>3670289.9</v>
          </cell>
          <cell r="O148">
            <v>3670289.9</v>
          </cell>
          <cell r="P148">
            <v>0</v>
          </cell>
          <cell r="Q148">
            <v>3670289.9</v>
          </cell>
          <cell r="R148">
            <v>0</v>
          </cell>
          <cell r="S148">
            <v>3436415.5124184708</v>
          </cell>
          <cell r="T148">
            <v>3436415.5124184708</v>
          </cell>
          <cell r="U148">
            <v>0</v>
          </cell>
          <cell r="V148">
            <v>0</v>
          </cell>
          <cell r="W148">
            <v>0</v>
          </cell>
          <cell r="X148">
            <v>3436415.5124184708</v>
          </cell>
          <cell r="Y148">
            <v>0</v>
          </cell>
          <cell r="Z148">
            <v>6700000</v>
          </cell>
          <cell r="AA148">
            <v>0</v>
          </cell>
          <cell r="AB148">
            <v>0</v>
          </cell>
          <cell r="AC148">
            <v>46214.50522318219</v>
          </cell>
          <cell r="AD148">
            <v>3482630.0176416528</v>
          </cell>
        </row>
        <row r="149">
          <cell r="A149" t="str">
            <v>Riverside, City of</v>
          </cell>
          <cell r="B149">
            <v>6334.0784089472472</v>
          </cell>
          <cell r="C149">
            <v>55.590129564075937</v>
          </cell>
          <cell r="D149">
            <v>6389.6685385113233</v>
          </cell>
          <cell r="E149">
            <v>0</v>
          </cell>
          <cell r="F149">
            <v>0</v>
          </cell>
          <cell r="G149">
            <v>0</v>
          </cell>
          <cell r="H149">
            <v>6389.6685385113233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6389.6685385113233</v>
          </cell>
          <cell r="T149">
            <v>6389.6685385113233</v>
          </cell>
          <cell r="U149">
            <v>0</v>
          </cell>
          <cell r="V149">
            <v>0</v>
          </cell>
          <cell r="W149">
            <v>0</v>
          </cell>
          <cell r="X149">
            <v>6389.6685385113233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6389.6685385113233</v>
          </cell>
        </row>
        <row r="150">
          <cell r="A150" t="str">
            <v>Rolling Hills</v>
          </cell>
          <cell r="B150">
            <v>348766.43509567075</v>
          </cell>
          <cell r="C150">
            <v>6977.151616812982</v>
          </cell>
          <cell r="D150">
            <v>355743.58671248372</v>
          </cell>
          <cell r="E150">
            <v>1125491</v>
          </cell>
          <cell r="F150">
            <v>0</v>
          </cell>
          <cell r="G150">
            <v>1125491</v>
          </cell>
          <cell r="H150">
            <v>1481234.5867124838</v>
          </cell>
          <cell r="I150">
            <v>0</v>
          </cell>
          <cell r="J150">
            <v>284774.28000000003</v>
          </cell>
          <cell r="K150">
            <v>0</v>
          </cell>
          <cell r="L150">
            <v>0</v>
          </cell>
          <cell r="M150">
            <v>0</v>
          </cell>
          <cell r="N150">
            <v>284774.28000000003</v>
          </cell>
          <cell r="O150">
            <v>284774.28000000003</v>
          </cell>
          <cell r="P150">
            <v>0</v>
          </cell>
          <cell r="Q150">
            <v>284774.28000000003</v>
          </cell>
          <cell r="R150">
            <v>0</v>
          </cell>
          <cell r="S150">
            <v>1196460.3067124838</v>
          </cell>
          <cell r="T150">
            <v>1196460.3067124838</v>
          </cell>
          <cell r="U150">
            <v>0</v>
          </cell>
          <cell r="V150">
            <v>0</v>
          </cell>
          <cell r="W150">
            <v>0</v>
          </cell>
          <cell r="X150">
            <v>1196460.3067124838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5307.9255547333105</v>
          </cell>
          <cell r="AD150">
            <v>1201768.232267217</v>
          </cell>
        </row>
        <row r="151">
          <cell r="A151" t="str">
            <v>Rolling Hills Estates</v>
          </cell>
          <cell r="B151">
            <v>1104865.0622254261</v>
          </cell>
          <cell r="C151">
            <v>22110.951533072905</v>
          </cell>
          <cell r="D151">
            <v>1126976.0137584989</v>
          </cell>
          <cell r="E151">
            <v>640000</v>
          </cell>
          <cell r="F151">
            <v>0</v>
          </cell>
          <cell r="G151">
            <v>640000</v>
          </cell>
          <cell r="H151">
            <v>1766976.0137584989</v>
          </cell>
          <cell r="I151">
            <v>0</v>
          </cell>
          <cell r="J151">
            <v>1781874.9200000092</v>
          </cell>
          <cell r="K151">
            <v>0</v>
          </cell>
          <cell r="L151">
            <v>0</v>
          </cell>
          <cell r="M151">
            <v>0</v>
          </cell>
          <cell r="N151">
            <v>1781874.9200000092</v>
          </cell>
          <cell r="O151">
            <v>1781874.9200000092</v>
          </cell>
          <cell r="P151">
            <v>0</v>
          </cell>
          <cell r="Q151">
            <v>1781874.9200000092</v>
          </cell>
          <cell r="R151">
            <v>-14898.906241510296</v>
          </cell>
          <cell r="S151">
            <v>0</v>
          </cell>
          <cell r="T151">
            <v>-14898.906241510296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-14898.906241510296</v>
          </cell>
          <cell r="Z151">
            <v>0</v>
          </cell>
          <cell r="AA151">
            <v>0</v>
          </cell>
          <cell r="AB151">
            <v>-0.67382474332798181</v>
          </cell>
          <cell r="AC151">
            <v>15476.227847450395</v>
          </cell>
          <cell r="AD151">
            <v>577.32160594009838</v>
          </cell>
        </row>
        <row r="152">
          <cell r="A152" t="str">
            <v>Rosemead</v>
          </cell>
          <cell r="B152">
            <v>7602692.0729759866</v>
          </cell>
          <cell r="C152">
            <v>155368.09489357518</v>
          </cell>
          <cell r="D152">
            <v>7758060.1678695623</v>
          </cell>
          <cell r="E152">
            <v>75000</v>
          </cell>
          <cell r="F152">
            <v>0</v>
          </cell>
          <cell r="G152">
            <v>75000</v>
          </cell>
          <cell r="H152">
            <v>7833060.1678695623</v>
          </cell>
          <cell r="I152">
            <v>0</v>
          </cell>
          <cell r="J152">
            <v>4841792.5599999996</v>
          </cell>
          <cell r="K152">
            <v>0</v>
          </cell>
          <cell r="L152">
            <v>0</v>
          </cell>
          <cell r="M152">
            <v>0</v>
          </cell>
          <cell r="N152">
            <v>4841792.5599999996</v>
          </cell>
          <cell r="O152">
            <v>4841792.5599999996</v>
          </cell>
          <cell r="P152">
            <v>1057136.43</v>
          </cell>
          <cell r="Q152">
            <v>5898928.9899999993</v>
          </cell>
          <cell r="R152">
            <v>0</v>
          </cell>
          <cell r="S152">
            <v>1934131.177869563</v>
          </cell>
          <cell r="T152">
            <v>1934131.177869563</v>
          </cell>
          <cell r="U152">
            <v>2092863.57</v>
          </cell>
          <cell r="V152">
            <v>0</v>
          </cell>
          <cell r="W152">
            <v>2092863.57</v>
          </cell>
          <cell r="X152">
            <v>0</v>
          </cell>
          <cell r="Y152">
            <v>-158732.39213043707</v>
          </cell>
          <cell r="Z152">
            <v>0</v>
          </cell>
          <cell r="AA152">
            <v>0</v>
          </cell>
          <cell r="AB152">
            <v>-1.0216537200843352</v>
          </cell>
          <cell r="AC152">
            <v>112500.9146646502</v>
          </cell>
          <cell r="AD152">
            <v>-46231.477465786869</v>
          </cell>
        </row>
        <row r="153">
          <cell r="A153" t="str">
            <v>San Bernardino</v>
          </cell>
          <cell r="B153">
            <v>24022862.220396206</v>
          </cell>
          <cell r="C153">
            <v>477635.25694311241</v>
          </cell>
          <cell r="D153">
            <v>24500497.47733932</v>
          </cell>
          <cell r="E153">
            <v>3426250</v>
          </cell>
          <cell r="F153">
            <v>0</v>
          </cell>
          <cell r="G153">
            <v>3426250</v>
          </cell>
          <cell r="H153">
            <v>27926747.47733932</v>
          </cell>
          <cell r="I153">
            <v>0</v>
          </cell>
          <cell r="J153">
            <v>25080764.739999998</v>
          </cell>
          <cell r="K153">
            <v>0</v>
          </cell>
          <cell r="L153">
            <v>0</v>
          </cell>
          <cell r="M153">
            <v>0</v>
          </cell>
          <cell r="N153">
            <v>25080764.739999998</v>
          </cell>
          <cell r="O153">
            <v>25080764.739999998</v>
          </cell>
          <cell r="P153">
            <v>54812.68</v>
          </cell>
          <cell r="Q153">
            <v>25135577.419999998</v>
          </cell>
          <cell r="R153">
            <v>0</v>
          </cell>
          <cell r="S153">
            <v>2791170.0573393218</v>
          </cell>
          <cell r="T153">
            <v>2791170.0573393218</v>
          </cell>
          <cell r="U153">
            <v>0</v>
          </cell>
          <cell r="V153">
            <v>2545187.3199999998</v>
          </cell>
          <cell r="W153">
            <v>2545187.3199999998</v>
          </cell>
          <cell r="X153">
            <v>245982.73733932199</v>
          </cell>
          <cell r="Y153">
            <v>0</v>
          </cell>
          <cell r="Z153">
            <v>0</v>
          </cell>
          <cell r="AA153">
            <v>5256747</v>
          </cell>
          <cell r="AB153">
            <v>0</v>
          </cell>
          <cell r="AC153">
            <v>323502.25658685016</v>
          </cell>
          <cell r="AD153">
            <v>569484.99392617214</v>
          </cell>
        </row>
        <row r="154">
          <cell r="A154" t="str">
            <v>San Dimas</v>
          </cell>
          <cell r="B154">
            <v>3129084.1982179834</v>
          </cell>
          <cell r="C154">
            <v>64239.97871679932</v>
          </cell>
          <cell r="D154">
            <v>3193324.1769347829</v>
          </cell>
          <cell r="E154">
            <v>0</v>
          </cell>
          <cell r="F154">
            <v>0</v>
          </cell>
          <cell r="G154">
            <v>0</v>
          </cell>
          <cell r="H154">
            <v>3193324.1769347829</v>
          </cell>
          <cell r="I154">
            <v>0</v>
          </cell>
          <cell r="J154">
            <v>1979251.43</v>
          </cell>
          <cell r="K154">
            <v>0</v>
          </cell>
          <cell r="L154">
            <v>0</v>
          </cell>
          <cell r="M154">
            <v>0</v>
          </cell>
          <cell r="N154">
            <v>1979251.43</v>
          </cell>
          <cell r="O154">
            <v>1979251.43</v>
          </cell>
          <cell r="P154">
            <v>0</v>
          </cell>
          <cell r="Q154">
            <v>1979251.43</v>
          </cell>
          <cell r="R154">
            <v>0</v>
          </cell>
          <cell r="S154">
            <v>1214072.7469347829</v>
          </cell>
          <cell r="T154">
            <v>1214072.7469347829</v>
          </cell>
          <cell r="U154">
            <v>0</v>
          </cell>
          <cell r="V154">
            <v>0</v>
          </cell>
          <cell r="W154">
            <v>0</v>
          </cell>
          <cell r="X154">
            <v>1214072.7469347829</v>
          </cell>
          <cell r="Y154">
            <v>0</v>
          </cell>
          <cell r="Z154">
            <v>1000000</v>
          </cell>
          <cell r="AA154">
            <v>0</v>
          </cell>
          <cell r="AB154">
            <v>0</v>
          </cell>
          <cell r="AC154">
            <v>43452.325816698554</v>
          </cell>
          <cell r="AD154">
            <v>1257525.0727514816</v>
          </cell>
        </row>
        <row r="155">
          <cell r="A155" t="str">
            <v>San Fernando</v>
          </cell>
          <cell r="B155">
            <v>3607916.3899467224</v>
          </cell>
          <cell r="C155">
            <v>72932.114067678165</v>
          </cell>
          <cell r="D155">
            <v>3680848.5040144008</v>
          </cell>
          <cell r="E155">
            <v>0</v>
          </cell>
          <cell r="F155">
            <v>0</v>
          </cell>
          <cell r="G155">
            <v>0</v>
          </cell>
          <cell r="H155">
            <v>3680848.5040144008</v>
          </cell>
          <cell r="I155">
            <v>0</v>
          </cell>
          <cell r="J155">
            <v>3295797.4</v>
          </cell>
          <cell r="K155">
            <v>0</v>
          </cell>
          <cell r="L155">
            <v>0</v>
          </cell>
          <cell r="M155">
            <v>0</v>
          </cell>
          <cell r="N155">
            <v>3295797.4</v>
          </cell>
          <cell r="O155">
            <v>3295797.4</v>
          </cell>
          <cell r="P155">
            <v>0</v>
          </cell>
          <cell r="Q155">
            <v>3295797.4</v>
          </cell>
          <cell r="R155">
            <v>0</v>
          </cell>
          <cell r="S155">
            <v>385051.10401440086</v>
          </cell>
          <cell r="T155">
            <v>385051.10401440086</v>
          </cell>
          <cell r="U155">
            <v>0</v>
          </cell>
          <cell r="V155">
            <v>0</v>
          </cell>
          <cell r="W155">
            <v>0</v>
          </cell>
          <cell r="X155">
            <v>385051.10401440086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52330.43589008438</v>
          </cell>
          <cell r="AD155">
            <v>437381.53990448522</v>
          </cell>
        </row>
        <row r="156">
          <cell r="A156" t="str">
            <v>San Gabriel</v>
          </cell>
          <cell r="B156">
            <v>7547510.2690064646</v>
          </cell>
          <cell r="C156">
            <v>157259.31628105015</v>
          </cell>
          <cell r="D156">
            <v>7704769.5852875151</v>
          </cell>
          <cell r="E156">
            <v>0</v>
          </cell>
          <cell r="F156">
            <v>0</v>
          </cell>
          <cell r="G156">
            <v>0</v>
          </cell>
          <cell r="H156">
            <v>7704769.5852875151</v>
          </cell>
          <cell r="I156">
            <v>0</v>
          </cell>
          <cell r="J156">
            <v>5561449.5300000003</v>
          </cell>
          <cell r="K156">
            <v>0</v>
          </cell>
          <cell r="L156">
            <v>2406770.8700000066</v>
          </cell>
          <cell r="M156">
            <v>0</v>
          </cell>
          <cell r="N156">
            <v>7968220.4000000069</v>
          </cell>
          <cell r="O156">
            <v>7968220.4000000069</v>
          </cell>
          <cell r="P156">
            <v>0</v>
          </cell>
          <cell r="Q156">
            <v>7968220.4000000069</v>
          </cell>
          <cell r="R156">
            <v>-263450.81471249182</v>
          </cell>
          <cell r="S156">
            <v>0</v>
          </cell>
          <cell r="T156">
            <v>-263450.81471249182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-263450.81471249182</v>
          </cell>
          <cell r="Z156">
            <v>0</v>
          </cell>
          <cell r="AA156">
            <v>0</v>
          </cell>
          <cell r="AB156">
            <v>-1.6752636406078398</v>
          </cell>
          <cell r="AC156">
            <v>116600.72357649339</v>
          </cell>
          <cell r="AD156">
            <v>-146850.09113599843</v>
          </cell>
        </row>
        <row r="157">
          <cell r="A157" t="str">
            <v>San Jacinto</v>
          </cell>
          <cell r="B157">
            <v>1577395.3728808423</v>
          </cell>
          <cell r="C157">
            <v>26328.776768996486</v>
          </cell>
          <cell r="D157">
            <v>1603724.1496498387</v>
          </cell>
          <cell r="E157">
            <v>0</v>
          </cell>
          <cell r="F157">
            <v>0</v>
          </cell>
          <cell r="G157">
            <v>0</v>
          </cell>
          <cell r="H157">
            <v>1603724.1496498387</v>
          </cell>
          <cell r="I157">
            <v>0</v>
          </cell>
          <cell r="J157">
            <v>1385441.7200000002</v>
          </cell>
          <cell r="K157">
            <v>0</v>
          </cell>
          <cell r="L157">
            <v>0</v>
          </cell>
          <cell r="M157">
            <v>0</v>
          </cell>
          <cell r="N157">
            <v>1385441.7200000002</v>
          </cell>
          <cell r="O157">
            <v>1385441.7200000002</v>
          </cell>
          <cell r="P157">
            <v>0</v>
          </cell>
          <cell r="Q157">
            <v>1385441.7200000002</v>
          </cell>
          <cell r="R157">
            <v>0</v>
          </cell>
          <cell r="S157">
            <v>218282.42964983848</v>
          </cell>
          <cell r="T157">
            <v>218282.42964983848</v>
          </cell>
          <cell r="U157">
            <v>0</v>
          </cell>
          <cell r="V157">
            <v>0</v>
          </cell>
          <cell r="W157">
            <v>0</v>
          </cell>
          <cell r="X157">
            <v>218282.42964983848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6047.5268267199135</v>
          </cell>
          <cell r="AD157">
            <v>224329.95647655841</v>
          </cell>
        </row>
        <row r="158">
          <cell r="A158" t="str">
            <v>San Marino</v>
          </cell>
          <cell r="B158">
            <v>2457679.9331329614</v>
          </cell>
          <cell r="C158">
            <v>49498.733406798347</v>
          </cell>
          <cell r="D158">
            <v>2507178.6665397598</v>
          </cell>
          <cell r="E158">
            <v>0</v>
          </cell>
          <cell r="F158">
            <v>0</v>
          </cell>
          <cell r="G158">
            <v>0</v>
          </cell>
          <cell r="H158">
            <v>2507178.6665397598</v>
          </cell>
          <cell r="I158">
            <v>0</v>
          </cell>
          <cell r="J158">
            <v>1655228.38</v>
          </cell>
          <cell r="K158">
            <v>0</v>
          </cell>
          <cell r="L158">
            <v>0</v>
          </cell>
          <cell r="M158">
            <v>0</v>
          </cell>
          <cell r="N158">
            <v>1655228.38</v>
          </cell>
          <cell r="O158">
            <v>1655228.38</v>
          </cell>
          <cell r="P158">
            <v>424523.25</v>
          </cell>
          <cell r="Q158">
            <v>2079751.63</v>
          </cell>
          <cell r="R158">
            <v>0</v>
          </cell>
          <cell r="S158">
            <v>427427.03653975995</v>
          </cell>
          <cell r="T158">
            <v>427427.03653975995</v>
          </cell>
          <cell r="U158">
            <v>495476.75</v>
          </cell>
          <cell r="V158">
            <v>0</v>
          </cell>
          <cell r="W158">
            <v>495476.75</v>
          </cell>
          <cell r="X158">
            <v>0</v>
          </cell>
          <cell r="Y158">
            <v>-68049.713460240047</v>
          </cell>
          <cell r="Z158">
            <v>0</v>
          </cell>
          <cell r="AA158">
            <v>0</v>
          </cell>
          <cell r="AB158">
            <v>-1.3747768635003867</v>
          </cell>
          <cell r="AC158">
            <v>36467.828844178846</v>
          </cell>
          <cell r="AD158">
            <v>-31581.884616061201</v>
          </cell>
        </row>
        <row r="159">
          <cell r="A159" t="str">
            <v>Santa Ana</v>
          </cell>
          <cell r="B159">
            <v>29582453.253131028</v>
          </cell>
          <cell r="C159">
            <v>577106.53202239494</v>
          </cell>
          <cell r="D159">
            <v>30159559.785153423</v>
          </cell>
          <cell r="E159">
            <v>0</v>
          </cell>
          <cell r="F159">
            <v>0</v>
          </cell>
          <cell r="G159">
            <v>0</v>
          </cell>
          <cell r="H159">
            <v>30159559.785153423</v>
          </cell>
          <cell r="I159">
            <v>0</v>
          </cell>
          <cell r="J159">
            <v>27482633.59</v>
          </cell>
          <cell r="K159">
            <v>0</v>
          </cell>
          <cell r="L159">
            <v>0</v>
          </cell>
          <cell r="M159">
            <v>0</v>
          </cell>
          <cell r="N159">
            <v>27482633.59</v>
          </cell>
          <cell r="O159">
            <v>27482633.59</v>
          </cell>
          <cell r="P159">
            <v>44394.94</v>
          </cell>
          <cell r="Q159">
            <v>27527028.530000001</v>
          </cell>
          <cell r="R159">
            <v>0</v>
          </cell>
          <cell r="S159">
            <v>2632531.2551534213</v>
          </cell>
          <cell r="T159">
            <v>2632531.2551534213</v>
          </cell>
          <cell r="U159">
            <v>0</v>
          </cell>
          <cell r="V159">
            <v>7055605.0600000005</v>
          </cell>
          <cell r="W159">
            <v>7055605.0600000005</v>
          </cell>
          <cell r="X159">
            <v>0</v>
          </cell>
          <cell r="Y159">
            <v>-4423073.8048465792</v>
          </cell>
          <cell r="Z159">
            <v>14498000</v>
          </cell>
          <cell r="AA159">
            <v>3457616.64</v>
          </cell>
          <cell r="AB159">
            <v>-7.6642241240044386</v>
          </cell>
          <cell r="AC159">
            <v>399826.2683069373</v>
          </cell>
          <cell r="AD159">
            <v>-4023247.5365396421</v>
          </cell>
        </row>
        <row r="160">
          <cell r="A160" t="str">
            <v>Santa Barbara</v>
          </cell>
          <cell r="B160">
            <v>16915629.75198897</v>
          </cell>
          <cell r="C160">
            <v>345440.31836033711</v>
          </cell>
          <cell r="D160">
            <v>17261070.070349306</v>
          </cell>
          <cell r="E160">
            <v>0</v>
          </cell>
          <cell r="F160">
            <v>0</v>
          </cell>
          <cell r="G160">
            <v>0</v>
          </cell>
          <cell r="H160">
            <v>17261070.070349306</v>
          </cell>
          <cell r="I160">
            <v>0</v>
          </cell>
          <cell r="J160">
            <v>15308949.210000001</v>
          </cell>
          <cell r="K160">
            <v>0</v>
          </cell>
          <cell r="L160">
            <v>0</v>
          </cell>
          <cell r="M160">
            <v>0</v>
          </cell>
          <cell r="N160">
            <v>15308949.210000001</v>
          </cell>
          <cell r="O160">
            <v>15308949.210000001</v>
          </cell>
          <cell r="P160">
            <v>0</v>
          </cell>
          <cell r="Q160">
            <v>15308949.210000001</v>
          </cell>
          <cell r="R160">
            <v>0</v>
          </cell>
          <cell r="S160">
            <v>1952120.860349305</v>
          </cell>
          <cell r="T160">
            <v>1952120.860349305</v>
          </cell>
          <cell r="U160">
            <v>0</v>
          </cell>
          <cell r="V160">
            <v>0</v>
          </cell>
          <cell r="W160">
            <v>0</v>
          </cell>
          <cell r="X160">
            <v>1952120.860349305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260165.64554735654</v>
          </cell>
          <cell r="AD160">
            <v>2212286.5058966614</v>
          </cell>
        </row>
        <row r="161">
          <cell r="A161" t="str">
            <v>Santa Clarita</v>
          </cell>
          <cell r="B161">
            <v>8157789.0162439682</v>
          </cell>
          <cell r="C161">
            <v>180394.03883657354</v>
          </cell>
          <cell r="D161">
            <v>8338183.0550805414</v>
          </cell>
          <cell r="E161">
            <v>0</v>
          </cell>
          <cell r="F161">
            <v>0</v>
          </cell>
          <cell r="G161">
            <v>0</v>
          </cell>
          <cell r="H161">
            <v>8338183.0550805414</v>
          </cell>
          <cell r="I161">
            <v>0</v>
          </cell>
          <cell r="J161">
            <v>8188215.870000001</v>
          </cell>
          <cell r="K161">
            <v>0</v>
          </cell>
          <cell r="L161">
            <v>0</v>
          </cell>
          <cell r="M161">
            <v>0</v>
          </cell>
          <cell r="N161">
            <v>8188215.870000001</v>
          </cell>
          <cell r="O161">
            <v>8188215.870000001</v>
          </cell>
          <cell r="P161">
            <v>0</v>
          </cell>
          <cell r="Q161">
            <v>8188215.870000001</v>
          </cell>
          <cell r="R161">
            <v>0</v>
          </cell>
          <cell r="S161">
            <v>149967.18508054037</v>
          </cell>
          <cell r="T161">
            <v>149967.18508054037</v>
          </cell>
          <cell r="U161">
            <v>0</v>
          </cell>
          <cell r="V161">
            <v>0</v>
          </cell>
          <cell r="W161">
            <v>0</v>
          </cell>
          <cell r="X161">
            <v>149967.18508054037</v>
          </cell>
          <cell r="Y161">
            <v>0</v>
          </cell>
          <cell r="Z161">
            <v>0</v>
          </cell>
          <cell r="AA161">
            <v>2469437.4500000002</v>
          </cell>
          <cell r="AB161">
            <v>0</v>
          </cell>
          <cell r="AC161">
            <v>78462.270130858175</v>
          </cell>
          <cell r="AD161">
            <v>228429.45521139854</v>
          </cell>
        </row>
        <row r="162">
          <cell r="A162" t="str">
            <v>Santa Fe Springs</v>
          </cell>
          <cell r="B162">
            <v>3441505.4994572811</v>
          </cell>
          <cell r="C162">
            <v>66477.266478971185</v>
          </cell>
          <cell r="D162">
            <v>3507982.7659362522</v>
          </cell>
          <cell r="E162">
            <v>69500</v>
          </cell>
          <cell r="F162">
            <v>0</v>
          </cell>
          <cell r="G162">
            <v>69500</v>
          </cell>
          <cell r="H162">
            <v>3577482.7659362522</v>
          </cell>
          <cell r="I162">
            <v>0</v>
          </cell>
          <cell r="J162">
            <v>2262399.41</v>
          </cell>
          <cell r="K162">
            <v>0</v>
          </cell>
          <cell r="L162">
            <v>0</v>
          </cell>
          <cell r="M162">
            <v>0</v>
          </cell>
          <cell r="N162">
            <v>2262399.41</v>
          </cell>
          <cell r="O162">
            <v>2262399.41</v>
          </cell>
          <cell r="P162">
            <v>0</v>
          </cell>
          <cell r="Q162">
            <v>2262399.41</v>
          </cell>
          <cell r="R162">
            <v>0</v>
          </cell>
          <cell r="S162">
            <v>1315083.355936252</v>
          </cell>
          <cell r="T162">
            <v>1315083.355936252</v>
          </cell>
          <cell r="U162">
            <v>0</v>
          </cell>
          <cell r="V162">
            <v>0</v>
          </cell>
          <cell r="W162">
            <v>0</v>
          </cell>
          <cell r="X162">
            <v>1315083.355936252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45503.884360922064</v>
          </cell>
          <cell r="AD162">
            <v>1360587.2402971741</v>
          </cell>
        </row>
        <row r="163">
          <cell r="A163" t="str">
            <v>Santa Monica</v>
          </cell>
          <cell r="B163">
            <v>25838064.934577893</v>
          </cell>
          <cell r="C163">
            <v>535707.34387783939</v>
          </cell>
          <cell r="D163">
            <v>26373772.278455734</v>
          </cell>
          <cell r="E163">
            <v>0</v>
          </cell>
          <cell r="F163">
            <v>0</v>
          </cell>
          <cell r="G163">
            <v>0</v>
          </cell>
          <cell r="H163">
            <v>26373772.278455734</v>
          </cell>
          <cell r="I163">
            <v>0</v>
          </cell>
          <cell r="J163">
            <v>26665856.929999996</v>
          </cell>
          <cell r="K163">
            <v>0</v>
          </cell>
          <cell r="L163">
            <v>0</v>
          </cell>
          <cell r="M163">
            <v>0</v>
          </cell>
          <cell r="N163">
            <v>26665856.929999996</v>
          </cell>
          <cell r="O163">
            <v>26665856.929999996</v>
          </cell>
          <cell r="P163">
            <v>0</v>
          </cell>
          <cell r="Q163">
            <v>26665856.929999996</v>
          </cell>
          <cell r="R163">
            <v>-292084.65154426172</v>
          </cell>
          <cell r="S163">
            <v>0</v>
          </cell>
          <cell r="T163">
            <v>-292084.65154426172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-292084.65154426172</v>
          </cell>
          <cell r="Z163">
            <v>0</v>
          </cell>
          <cell r="AA163">
            <v>9498140.3000000007</v>
          </cell>
          <cell r="AB163">
            <v>-0.54523174804724639</v>
          </cell>
          <cell r="AC163">
            <v>403302.936780416</v>
          </cell>
          <cell r="AD163">
            <v>111218.28523615428</v>
          </cell>
        </row>
        <row r="164">
          <cell r="A164" t="str">
            <v>Santa Paula</v>
          </cell>
          <cell r="B164">
            <v>3403185.9777626838</v>
          </cell>
          <cell r="C164">
            <v>66959.346866906359</v>
          </cell>
          <cell r="D164">
            <v>3470145.3246295899</v>
          </cell>
          <cell r="E164">
            <v>25000</v>
          </cell>
          <cell r="F164">
            <v>0</v>
          </cell>
          <cell r="G164">
            <v>25000</v>
          </cell>
          <cell r="H164">
            <v>3495145.3246295899</v>
          </cell>
          <cell r="I164">
            <v>0</v>
          </cell>
          <cell r="J164">
            <v>2481869.41</v>
          </cell>
          <cell r="K164">
            <v>0</v>
          </cell>
          <cell r="L164">
            <v>0</v>
          </cell>
          <cell r="M164">
            <v>0</v>
          </cell>
          <cell r="N164">
            <v>2481869.41</v>
          </cell>
          <cell r="O164">
            <v>2481869.41</v>
          </cell>
          <cell r="P164">
            <v>0</v>
          </cell>
          <cell r="Q164">
            <v>2481869.41</v>
          </cell>
          <cell r="R164">
            <v>0</v>
          </cell>
          <cell r="S164">
            <v>1013275.9146295898</v>
          </cell>
          <cell r="T164">
            <v>1013275.9146295898</v>
          </cell>
          <cell r="U164">
            <v>0</v>
          </cell>
          <cell r="V164">
            <v>0</v>
          </cell>
          <cell r="W164">
            <v>0</v>
          </cell>
          <cell r="X164">
            <v>1013275.9146295898</v>
          </cell>
          <cell r="Y164">
            <v>0</v>
          </cell>
          <cell r="Z164"/>
          <cell r="AA164">
            <v>0</v>
          </cell>
          <cell r="AB164">
            <v>0</v>
          </cell>
          <cell r="AC164">
            <v>45349.247221209109</v>
          </cell>
          <cell r="AD164">
            <v>1058625.1618507989</v>
          </cell>
        </row>
        <row r="165">
          <cell r="A165" t="str">
            <v>Seal Beach</v>
          </cell>
          <cell r="B165">
            <v>4052689.4867988266</v>
          </cell>
          <cell r="C165">
            <v>78513.706854315882</v>
          </cell>
          <cell r="D165">
            <v>4131203.1936531425</v>
          </cell>
          <cell r="E165">
            <v>0</v>
          </cell>
          <cell r="F165">
            <v>0</v>
          </cell>
          <cell r="G165">
            <v>0</v>
          </cell>
          <cell r="H165">
            <v>4131203.1936531425</v>
          </cell>
          <cell r="I165">
            <v>0</v>
          </cell>
          <cell r="J165">
            <v>4111634.25</v>
          </cell>
          <cell r="K165">
            <v>0</v>
          </cell>
          <cell r="L165">
            <v>360.95000000000005</v>
          </cell>
          <cell r="M165">
            <v>0</v>
          </cell>
          <cell r="N165">
            <v>4111995.2</v>
          </cell>
          <cell r="O165">
            <v>4111995.2</v>
          </cell>
          <cell r="P165">
            <v>3761.61</v>
          </cell>
          <cell r="Q165">
            <v>4115756.81</v>
          </cell>
          <cell r="R165">
            <v>0</v>
          </cell>
          <cell r="S165">
            <v>15446.383653142489</v>
          </cell>
          <cell r="T165">
            <v>15446.383653142489</v>
          </cell>
          <cell r="U165">
            <v>0</v>
          </cell>
          <cell r="V165">
            <v>0</v>
          </cell>
          <cell r="W165">
            <v>0</v>
          </cell>
          <cell r="X165">
            <v>15446.383653142489</v>
          </cell>
          <cell r="Y165">
            <v>0</v>
          </cell>
          <cell r="Z165">
            <v>1100000</v>
          </cell>
          <cell r="AA165">
            <v>0</v>
          </cell>
          <cell r="AB165">
            <v>0</v>
          </cell>
          <cell r="AC165">
            <v>55980.358730914093</v>
          </cell>
          <cell r="AD165">
            <v>71426.74238405659</v>
          </cell>
        </row>
        <row r="166">
          <cell r="A166" t="str">
            <v>Sierra Madre</v>
          </cell>
          <cell r="B166">
            <v>2697828.0354628763</v>
          </cell>
          <cell r="C166">
            <v>55328.28732512804</v>
          </cell>
          <cell r="D166">
            <v>2753156.3227880043</v>
          </cell>
          <cell r="E166">
            <v>-1142180</v>
          </cell>
          <cell r="F166">
            <v>0</v>
          </cell>
          <cell r="G166">
            <v>-1142180</v>
          </cell>
          <cell r="H166">
            <v>1610976.3227880043</v>
          </cell>
          <cell r="I166">
            <v>0</v>
          </cell>
          <cell r="J166">
            <v>1503455.23</v>
          </cell>
          <cell r="K166">
            <v>0</v>
          </cell>
          <cell r="L166">
            <v>0</v>
          </cell>
          <cell r="M166">
            <v>0</v>
          </cell>
          <cell r="N166">
            <v>1503455.23</v>
          </cell>
          <cell r="O166">
            <v>1503455.23</v>
          </cell>
          <cell r="P166">
            <v>0</v>
          </cell>
          <cell r="Q166">
            <v>1503455.23</v>
          </cell>
          <cell r="R166">
            <v>0</v>
          </cell>
          <cell r="S166">
            <v>107521.09278800432</v>
          </cell>
          <cell r="T166">
            <v>107521.09278800432</v>
          </cell>
          <cell r="U166">
            <v>0</v>
          </cell>
          <cell r="V166">
            <v>0</v>
          </cell>
          <cell r="W166">
            <v>0</v>
          </cell>
          <cell r="X166">
            <v>107521.09278800432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40535.989227462465</v>
          </cell>
          <cell r="AD166">
            <v>148057.08201546679</v>
          </cell>
        </row>
        <row r="167">
          <cell r="A167" t="str">
            <v>Signal Hill</v>
          </cell>
          <cell r="B167">
            <v>2077865.6397632433</v>
          </cell>
          <cell r="C167">
            <v>40410.202762712484</v>
          </cell>
          <cell r="D167">
            <v>2118275.8425259558</v>
          </cell>
          <cell r="E167">
            <v>65000</v>
          </cell>
          <cell r="F167">
            <v>0</v>
          </cell>
          <cell r="G167">
            <v>65000</v>
          </cell>
          <cell r="H167">
            <v>2183275.8425259558</v>
          </cell>
          <cell r="I167">
            <v>0</v>
          </cell>
          <cell r="J167">
            <v>1398123.66</v>
          </cell>
          <cell r="K167">
            <v>0</v>
          </cell>
          <cell r="L167">
            <v>0</v>
          </cell>
          <cell r="M167">
            <v>0</v>
          </cell>
          <cell r="N167">
            <v>1398123.66</v>
          </cell>
          <cell r="O167">
            <v>1398123.66</v>
          </cell>
          <cell r="P167">
            <v>0</v>
          </cell>
          <cell r="Q167">
            <v>1398123.66</v>
          </cell>
          <cell r="R167">
            <v>0</v>
          </cell>
          <cell r="S167">
            <v>785152.18252595584</v>
          </cell>
          <cell r="T167">
            <v>785152.18252595584</v>
          </cell>
          <cell r="U167">
            <v>0</v>
          </cell>
          <cell r="V167">
            <v>0</v>
          </cell>
          <cell r="W167">
            <v>0</v>
          </cell>
          <cell r="X167">
            <v>785152.18252595584</v>
          </cell>
          <cell r="Y167">
            <v>0</v>
          </cell>
          <cell r="Z167">
            <v>0</v>
          </cell>
          <cell r="AA167">
            <v>267800</v>
          </cell>
          <cell r="AB167">
            <v>0</v>
          </cell>
          <cell r="AC167">
            <v>27272.697676054973</v>
          </cell>
          <cell r="AD167">
            <v>812424.88020201086</v>
          </cell>
        </row>
        <row r="168">
          <cell r="A168" t="str">
            <v>Simi Valley</v>
          </cell>
          <cell r="B168">
            <v>9758169.945684012</v>
          </cell>
          <cell r="C168">
            <v>197357.52641623092</v>
          </cell>
          <cell r="D168">
            <v>9955527.472100243</v>
          </cell>
          <cell r="E168">
            <v>140000</v>
          </cell>
          <cell r="F168">
            <v>0</v>
          </cell>
          <cell r="G168">
            <v>140000</v>
          </cell>
          <cell r="H168">
            <v>10095527.472100243</v>
          </cell>
          <cell r="I168">
            <v>0</v>
          </cell>
          <cell r="J168">
            <v>9230252.629999999</v>
          </cell>
          <cell r="K168">
            <v>0</v>
          </cell>
          <cell r="L168">
            <v>0</v>
          </cell>
          <cell r="M168">
            <v>0</v>
          </cell>
          <cell r="N168">
            <v>9230252.629999999</v>
          </cell>
          <cell r="O168">
            <v>9230252.629999999</v>
          </cell>
          <cell r="P168">
            <v>0</v>
          </cell>
          <cell r="Q168">
            <v>9230252.629999999</v>
          </cell>
          <cell r="R168">
            <v>0</v>
          </cell>
          <cell r="S168">
            <v>865274.84210024402</v>
          </cell>
          <cell r="T168">
            <v>865274.84210024402</v>
          </cell>
          <cell r="U168">
            <v>0</v>
          </cell>
          <cell r="V168">
            <v>0</v>
          </cell>
          <cell r="W168">
            <v>0</v>
          </cell>
          <cell r="X168">
            <v>865274.84210024402</v>
          </cell>
          <cell r="Y168">
            <v>0</v>
          </cell>
          <cell r="Z168">
            <v>0</v>
          </cell>
          <cell r="AA168">
            <v>2993518.59</v>
          </cell>
          <cell r="AB168">
            <v>0</v>
          </cell>
          <cell r="AC168">
            <v>125166.67507648552</v>
          </cell>
          <cell r="AD168">
            <v>990441.51717672951</v>
          </cell>
        </row>
        <row r="169">
          <cell r="A169" t="str">
            <v>South El Monte</v>
          </cell>
          <cell r="B169">
            <v>3845334.1879550358</v>
          </cell>
          <cell r="C169">
            <v>80847.391192147479</v>
          </cell>
          <cell r="D169">
            <v>3926181.5791471833</v>
          </cell>
          <cell r="E169">
            <v>57000</v>
          </cell>
          <cell r="F169">
            <v>0</v>
          </cell>
          <cell r="G169">
            <v>57000</v>
          </cell>
          <cell r="H169">
            <v>3983181.5791471833</v>
          </cell>
          <cell r="I169">
            <v>0</v>
          </cell>
          <cell r="J169">
            <v>1634014</v>
          </cell>
          <cell r="K169">
            <v>0</v>
          </cell>
          <cell r="L169">
            <v>0</v>
          </cell>
          <cell r="M169">
            <v>0</v>
          </cell>
          <cell r="N169">
            <v>1634014</v>
          </cell>
          <cell r="O169">
            <v>1634014</v>
          </cell>
          <cell r="P169">
            <v>95318.819999999978</v>
          </cell>
          <cell r="Q169">
            <v>1729332.82</v>
          </cell>
          <cell r="R169">
            <v>0</v>
          </cell>
          <cell r="S169">
            <v>2253848.759147183</v>
          </cell>
          <cell r="T169">
            <v>2253848.759147183</v>
          </cell>
          <cell r="U169">
            <v>2204681.1800000002</v>
          </cell>
          <cell r="V169">
            <v>0</v>
          </cell>
          <cell r="W169">
            <v>2204681.1800000002</v>
          </cell>
          <cell r="X169">
            <v>49167.579147182871</v>
          </cell>
          <cell r="Y169">
            <v>0</v>
          </cell>
          <cell r="Z169">
            <v>2300000</v>
          </cell>
          <cell r="AA169">
            <v>0</v>
          </cell>
          <cell r="AB169">
            <v>0</v>
          </cell>
          <cell r="AC169">
            <v>60262.224552306048</v>
          </cell>
          <cell r="AD169">
            <v>109429.80369948893</v>
          </cell>
        </row>
        <row r="170">
          <cell r="A170" t="str">
            <v>South Gate</v>
          </cell>
          <cell r="B170">
            <v>13743154.937355004</v>
          </cell>
          <cell r="C170">
            <v>278739.75180857844</v>
          </cell>
          <cell r="D170">
            <v>14021894.689163582</v>
          </cell>
          <cell r="E170">
            <v>0</v>
          </cell>
          <cell r="F170">
            <v>0</v>
          </cell>
          <cell r="G170">
            <v>0</v>
          </cell>
          <cell r="H170">
            <v>14021894.689163582</v>
          </cell>
          <cell r="I170">
            <v>0</v>
          </cell>
          <cell r="J170">
            <v>9208613.3200000022</v>
          </cell>
          <cell r="K170">
            <v>0</v>
          </cell>
          <cell r="L170">
            <v>0</v>
          </cell>
          <cell r="M170">
            <v>0</v>
          </cell>
          <cell r="N170">
            <v>9208613.3200000022</v>
          </cell>
          <cell r="O170">
            <v>9208613.3200000022</v>
          </cell>
          <cell r="P170">
            <v>0</v>
          </cell>
          <cell r="Q170">
            <v>9208613.3200000022</v>
          </cell>
          <cell r="R170">
            <v>0</v>
          </cell>
          <cell r="S170">
            <v>4813281.3691635802</v>
          </cell>
          <cell r="T170">
            <v>4813281.3691635802</v>
          </cell>
          <cell r="U170">
            <v>0</v>
          </cell>
          <cell r="V170">
            <v>0</v>
          </cell>
          <cell r="W170">
            <v>0</v>
          </cell>
          <cell r="X170">
            <v>4813281.3691635802</v>
          </cell>
          <cell r="Y170">
            <v>0</v>
          </cell>
          <cell r="Z170">
            <v>4900000</v>
          </cell>
          <cell r="AA170">
            <v>550155.89</v>
          </cell>
          <cell r="AB170">
            <v>0</v>
          </cell>
          <cell r="AC170">
            <v>201519.4732041239</v>
          </cell>
          <cell r="AD170">
            <v>5014800.842367704</v>
          </cell>
        </row>
        <row r="171">
          <cell r="A171" t="str">
            <v>South Pasadena</v>
          </cell>
          <cell r="B171">
            <v>5683247.1869372632</v>
          </cell>
          <cell r="C171">
            <v>114726.20617797785</v>
          </cell>
          <cell r="D171">
            <v>5797973.3931152411</v>
          </cell>
          <cell r="E171">
            <v>250000</v>
          </cell>
          <cell r="F171">
            <v>0</v>
          </cell>
          <cell r="G171">
            <v>250000</v>
          </cell>
          <cell r="H171">
            <v>6047973.3931152411</v>
          </cell>
          <cell r="I171">
            <v>0</v>
          </cell>
          <cell r="J171">
            <v>3409530.5</v>
          </cell>
          <cell r="K171">
            <v>0</v>
          </cell>
          <cell r="L171">
            <v>0</v>
          </cell>
          <cell r="M171">
            <v>0</v>
          </cell>
          <cell r="N171">
            <v>3409530.5</v>
          </cell>
          <cell r="O171">
            <v>3409530.5</v>
          </cell>
          <cell r="P171">
            <v>948933</v>
          </cell>
          <cell r="Q171">
            <v>4358463.5</v>
          </cell>
          <cell r="R171">
            <v>0</v>
          </cell>
          <cell r="S171">
            <v>1689509.8931152411</v>
          </cell>
          <cell r="T171">
            <v>1689509.8931152411</v>
          </cell>
          <cell r="U171">
            <v>0</v>
          </cell>
          <cell r="V171">
            <v>1651067</v>
          </cell>
          <cell r="W171">
            <v>1651067</v>
          </cell>
          <cell r="X171">
            <v>38442.893115241081</v>
          </cell>
          <cell r="Y171">
            <v>0</v>
          </cell>
          <cell r="AA171">
            <v>833827.4</v>
          </cell>
          <cell r="AB171">
            <v>0</v>
          </cell>
          <cell r="AC171">
            <v>83428.728452309791</v>
          </cell>
          <cell r="AD171">
            <v>121871.62156755087</v>
          </cell>
        </row>
        <row r="172">
          <cell r="A172" t="str">
            <v>Stanton</v>
          </cell>
          <cell r="B172">
            <v>3564295.2349178377</v>
          </cell>
          <cell r="C172">
            <v>70063.777990977003</v>
          </cell>
          <cell r="D172">
            <v>3634359.0129088145</v>
          </cell>
          <cell r="E172">
            <v>-50000</v>
          </cell>
          <cell r="F172">
            <v>0</v>
          </cell>
          <cell r="G172">
            <v>-50000</v>
          </cell>
          <cell r="H172">
            <v>3584359.0129088145</v>
          </cell>
          <cell r="I172">
            <v>0</v>
          </cell>
          <cell r="J172">
            <v>1109647</v>
          </cell>
          <cell r="K172">
            <v>0</v>
          </cell>
          <cell r="L172">
            <v>0</v>
          </cell>
          <cell r="M172">
            <v>0</v>
          </cell>
          <cell r="N172">
            <v>1109647</v>
          </cell>
          <cell r="O172">
            <v>1109647</v>
          </cell>
          <cell r="P172">
            <v>408213.92999999993</v>
          </cell>
          <cell r="Q172">
            <v>1517860.93</v>
          </cell>
          <cell r="R172">
            <v>0</v>
          </cell>
          <cell r="S172">
            <v>2066498.0829088145</v>
          </cell>
          <cell r="T172">
            <v>2066498.0829088145</v>
          </cell>
          <cell r="U172">
            <v>1991786.07</v>
          </cell>
          <cell r="V172">
            <v>0</v>
          </cell>
          <cell r="W172">
            <v>1991786.07</v>
          </cell>
          <cell r="X172">
            <v>74712.012908814475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47680.533563721081</v>
          </cell>
          <cell r="AD172">
            <v>122392.54647253556</v>
          </cell>
        </row>
        <row r="173">
          <cell r="A173" t="str">
            <v>Tehachapi</v>
          </cell>
          <cell r="B173">
            <v>897011.02923536405</v>
          </cell>
          <cell r="C173">
            <v>16189.681119820138</v>
          </cell>
          <cell r="D173">
            <v>913200.71035518416</v>
          </cell>
          <cell r="E173">
            <v>933970</v>
          </cell>
          <cell r="F173">
            <v>0</v>
          </cell>
          <cell r="G173">
            <v>933970</v>
          </cell>
          <cell r="H173">
            <v>1847170.710355184</v>
          </cell>
          <cell r="I173">
            <v>0</v>
          </cell>
          <cell r="J173">
            <v>1009802.42</v>
          </cell>
          <cell r="K173">
            <v>0</v>
          </cell>
          <cell r="L173">
            <v>0</v>
          </cell>
          <cell r="M173">
            <v>0</v>
          </cell>
          <cell r="N173">
            <v>1009802.42</v>
          </cell>
          <cell r="O173">
            <v>1009802.42</v>
          </cell>
          <cell r="P173">
            <v>0</v>
          </cell>
          <cell r="Q173">
            <v>1009802.42</v>
          </cell>
          <cell r="R173">
            <v>0</v>
          </cell>
          <cell r="S173">
            <v>837368.290355184</v>
          </cell>
          <cell r="T173">
            <v>837368.290355184</v>
          </cell>
          <cell r="U173">
            <v>0</v>
          </cell>
          <cell r="V173">
            <v>0</v>
          </cell>
          <cell r="W173">
            <v>0</v>
          </cell>
          <cell r="X173">
            <v>837368.290355184</v>
          </cell>
          <cell r="Y173">
            <v>0</v>
          </cell>
          <cell r="Z173">
            <v>750000</v>
          </cell>
          <cell r="AA173">
            <v>0</v>
          </cell>
          <cell r="AB173">
            <v>0</v>
          </cell>
          <cell r="AC173">
            <v>8500.8226665021721</v>
          </cell>
          <cell r="AD173">
            <v>845869.11302168621</v>
          </cell>
        </row>
        <row r="174">
          <cell r="A174" t="str">
            <v>Temecula</v>
          </cell>
          <cell r="B174">
            <v>1925186.8238340071</v>
          </cell>
          <cell r="C174">
            <v>32931.172254480196</v>
          </cell>
          <cell r="D174">
            <v>1958117.9960884873</v>
          </cell>
          <cell r="E174">
            <v>0</v>
          </cell>
          <cell r="F174">
            <v>0</v>
          </cell>
          <cell r="G174">
            <v>0</v>
          </cell>
          <cell r="H174">
            <v>1958117.9960884873</v>
          </cell>
          <cell r="I174">
            <v>0</v>
          </cell>
          <cell r="J174">
            <v>1572177.81</v>
          </cell>
          <cell r="K174">
            <v>0</v>
          </cell>
          <cell r="L174">
            <v>0</v>
          </cell>
          <cell r="M174">
            <v>0</v>
          </cell>
          <cell r="N174">
            <v>1572177.81</v>
          </cell>
          <cell r="O174">
            <v>1572177.81</v>
          </cell>
          <cell r="P174">
            <v>0</v>
          </cell>
          <cell r="Q174">
            <v>1572177.81</v>
          </cell>
          <cell r="R174">
            <v>0</v>
          </cell>
          <cell r="S174">
            <v>385940.18608848727</v>
          </cell>
          <cell r="T174">
            <v>385940.18608848727</v>
          </cell>
          <cell r="U174">
            <v>0</v>
          </cell>
          <cell r="V174">
            <v>0</v>
          </cell>
          <cell r="W174">
            <v>0</v>
          </cell>
          <cell r="X174">
            <v>385940.18608848727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385940.18608848727</v>
          </cell>
        </row>
        <row r="175">
          <cell r="A175" t="str">
            <v>Temple City</v>
          </cell>
          <cell r="B175">
            <v>6596379.2294344623</v>
          </cell>
          <cell r="C175">
            <v>136319.44997373165</v>
          </cell>
          <cell r="D175">
            <v>6732698.6794081936</v>
          </cell>
          <cell r="E175">
            <v>0</v>
          </cell>
          <cell r="F175">
            <v>0</v>
          </cell>
          <cell r="G175">
            <v>0</v>
          </cell>
          <cell r="H175">
            <v>6732698.6794081936</v>
          </cell>
          <cell r="I175">
            <v>0</v>
          </cell>
          <cell r="J175">
            <v>7241714.589999998</v>
          </cell>
          <cell r="K175">
            <v>0</v>
          </cell>
          <cell r="L175">
            <v>0</v>
          </cell>
          <cell r="M175">
            <v>0</v>
          </cell>
          <cell r="N175">
            <v>7241714.589999998</v>
          </cell>
          <cell r="O175">
            <v>7241714.589999998</v>
          </cell>
          <cell r="P175">
            <v>0</v>
          </cell>
          <cell r="Q175">
            <v>7241714.589999998</v>
          </cell>
          <cell r="R175">
            <v>-509015.91059180442</v>
          </cell>
          <cell r="S175">
            <v>0</v>
          </cell>
          <cell r="T175">
            <v>-509015.91059180442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-509015.91059180442</v>
          </cell>
          <cell r="Z175">
            <v>0</v>
          </cell>
          <cell r="AA175">
            <v>2257764.73</v>
          </cell>
          <cell r="AB175">
            <v>-3.7339932833494434</v>
          </cell>
          <cell r="AC175">
            <v>101777.5039102921</v>
          </cell>
          <cell r="AD175">
            <v>-407238.40668151231</v>
          </cell>
        </row>
        <row r="176">
          <cell r="A176" t="str">
            <v>Thousand Oaks</v>
          </cell>
          <cell r="B176">
            <v>9278716.1690630969</v>
          </cell>
          <cell r="C176">
            <v>190674.24926980451</v>
          </cell>
          <cell r="D176">
            <v>9469390.4183329009</v>
          </cell>
          <cell r="E176">
            <v>0</v>
          </cell>
          <cell r="F176">
            <v>0</v>
          </cell>
          <cell r="G176">
            <v>0</v>
          </cell>
          <cell r="H176">
            <v>9469390.4183329009</v>
          </cell>
          <cell r="I176">
            <v>0</v>
          </cell>
          <cell r="J176">
            <v>7671781.3199999994</v>
          </cell>
          <cell r="K176">
            <v>0</v>
          </cell>
          <cell r="L176">
            <v>0</v>
          </cell>
          <cell r="M176">
            <v>0</v>
          </cell>
          <cell r="N176">
            <v>7671781.3199999994</v>
          </cell>
          <cell r="O176">
            <v>7671781.3199999994</v>
          </cell>
          <cell r="P176">
            <v>0</v>
          </cell>
          <cell r="Q176">
            <v>7671781.3199999994</v>
          </cell>
          <cell r="R176">
            <v>0</v>
          </cell>
          <cell r="S176">
            <v>1797609.0983329015</v>
          </cell>
          <cell r="T176">
            <v>1797609.0983329015</v>
          </cell>
          <cell r="U176">
            <v>0</v>
          </cell>
          <cell r="V176">
            <v>0</v>
          </cell>
          <cell r="W176">
            <v>0</v>
          </cell>
          <cell r="X176">
            <v>1797609.0983329015</v>
          </cell>
          <cell r="Y176">
            <v>0</v>
          </cell>
          <cell r="Z176">
            <v>0</v>
          </cell>
          <cell r="AA176">
            <v>2065010.99</v>
          </cell>
          <cell r="AB176">
            <v>0</v>
          </cell>
          <cell r="AC176">
            <v>124944.99923428836</v>
          </cell>
          <cell r="AD176">
            <v>1922554.09756719</v>
          </cell>
        </row>
        <row r="177">
          <cell r="A177" t="str">
            <v>Torrance</v>
          </cell>
          <cell r="B177">
            <v>26769515.249386448</v>
          </cell>
          <cell r="C177">
            <v>539564.47783851461</v>
          </cell>
          <cell r="D177">
            <v>27309079.727224965</v>
          </cell>
          <cell r="E177">
            <v>250000</v>
          </cell>
          <cell r="F177">
            <v>0</v>
          </cell>
          <cell r="G177">
            <v>250000</v>
          </cell>
          <cell r="H177">
            <v>27559079.727224965</v>
          </cell>
          <cell r="I177">
            <v>0</v>
          </cell>
          <cell r="J177">
            <v>21475939.129999999</v>
          </cell>
          <cell r="K177">
            <v>0</v>
          </cell>
          <cell r="L177">
            <v>0</v>
          </cell>
          <cell r="M177">
            <v>0</v>
          </cell>
          <cell r="N177">
            <v>21475939.129999999</v>
          </cell>
          <cell r="O177">
            <v>21475939.129999999</v>
          </cell>
          <cell r="P177">
            <v>2627072.66</v>
          </cell>
          <cell r="Q177">
            <v>24103011.789999999</v>
          </cell>
          <cell r="R177">
            <v>0</v>
          </cell>
          <cell r="S177">
            <v>3456067.9372249655</v>
          </cell>
          <cell r="T177">
            <v>3456067.9372249655</v>
          </cell>
          <cell r="U177">
            <v>2423064.08</v>
          </cell>
          <cell r="V177">
            <v>0</v>
          </cell>
          <cell r="W177">
            <v>2423064.08</v>
          </cell>
          <cell r="X177">
            <v>1033003.8572249655</v>
          </cell>
          <cell r="Y177">
            <v>0</v>
          </cell>
          <cell r="Z177">
            <v>0</v>
          </cell>
          <cell r="AA177">
            <v>7429239.7800000003</v>
          </cell>
          <cell r="AB177">
            <v>0</v>
          </cell>
          <cell r="AC177">
            <v>389454.26529688272</v>
          </cell>
          <cell r="AD177">
            <v>1422458.1225218482</v>
          </cell>
        </row>
        <row r="178">
          <cell r="A178" t="str">
            <v>Tulare</v>
          </cell>
          <cell r="B178">
            <v>4336034.2491125362</v>
          </cell>
          <cell r="C178">
            <v>78341.705756088966</v>
          </cell>
          <cell r="D178">
            <v>4414375.9548686249</v>
          </cell>
          <cell r="E178">
            <v>3500926</v>
          </cell>
          <cell r="F178">
            <v>0</v>
          </cell>
          <cell r="G178">
            <v>3500926</v>
          </cell>
          <cell r="H178">
            <v>7915301.9548686249</v>
          </cell>
          <cell r="I178">
            <v>0</v>
          </cell>
          <cell r="J178">
            <v>7395322.71</v>
          </cell>
          <cell r="K178">
            <v>0</v>
          </cell>
          <cell r="L178">
            <v>0</v>
          </cell>
          <cell r="M178">
            <v>0</v>
          </cell>
          <cell r="N178">
            <v>7395322.71</v>
          </cell>
          <cell r="O178">
            <v>7395322.71</v>
          </cell>
          <cell r="P178">
            <v>0</v>
          </cell>
          <cell r="Q178">
            <v>7395322.71</v>
          </cell>
          <cell r="R178">
            <v>0</v>
          </cell>
          <cell r="S178">
            <v>519979.24486862496</v>
          </cell>
          <cell r="T178">
            <v>519979.24486862496</v>
          </cell>
          <cell r="U178">
            <v>0</v>
          </cell>
          <cell r="V178">
            <v>0</v>
          </cell>
          <cell r="W178">
            <v>0</v>
          </cell>
          <cell r="X178">
            <v>519979.24486862496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40207.07766860316</v>
          </cell>
          <cell r="AD178">
            <v>560186.32253722812</v>
          </cell>
        </row>
        <row r="179">
          <cell r="A179" t="str">
            <v>Tustin</v>
          </cell>
          <cell r="B179">
            <v>6174942.489208648</v>
          </cell>
          <cell r="C179">
            <v>120913.83234774298</v>
          </cell>
          <cell r="D179">
            <v>6295856.3215563912</v>
          </cell>
          <cell r="E179">
            <v>0</v>
          </cell>
          <cell r="F179">
            <v>0</v>
          </cell>
          <cell r="G179">
            <v>0</v>
          </cell>
          <cell r="H179">
            <v>6295856.3215563912</v>
          </cell>
          <cell r="I179">
            <v>0</v>
          </cell>
          <cell r="J179">
            <v>4952175.8499999996</v>
          </cell>
          <cell r="K179">
            <v>0</v>
          </cell>
          <cell r="L179">
            <v>0</v>
          </cell>
          <cell r="M179">
            <v>0</v>
          </cell>
          <cell r="N179">
            <v>4952175.8499999996</v>
          </cell>
          <cell r="O179">
            <v>4952175.8499999996</v>
          </cell>
          <cell r="P179">
            <v>0</v>
          </cell>
          <cell r="Q179">
            <v>4952175.8499999996</v>
          </cell>
          <cell r="R179">
            <v>0</v>
          </cell>
          <cell r="S179">
            <v>1343680.4715563916</v>
          </cell>
          <cell r="T179">
            <v>1343680.4715563916</v>
          </cell>
          <cell r="U179">
            <v>0</v>
          </cell>
          <cell r="V179">
            <v>0</v>
          </cell>
          <cell r="W179">
            <v>0</v>
          </cell>
          <cell r="X179">
            <v>1343680.4715563916</v>
          </cell>
          <cell r="Y179">
            <v>0</v>
          </cell>
          <cell r="Z179">
            <v>0</v>
          </cell>
          <cell r="AA179">
            <v>1553147.17</v>
          </cell>
          <cell r="AB179">
            <v>0</v>
          </cell>
          <cell r="AC179">
            <v>73981.601148149784</v>
          </cell>
          <cell r="AD179">
            <v>1417662.0727045413</v>
          </cell>
        </row>
        <row r="180">
          <cell r="A180" t="str">
            <v>Twentynine Palms</v>
          </cell>
          <cell r="B180">
            <v>2524912.7682243614</v>
          </cell>
          <cell r="C180">
            <v>60784.357674790292</v>
          </cell>
          <cell r="D180">
            <v>2585697.1258991514</v>
          </cell>
          <cell r="E180">
            <v>0</v>
          </cell>
          <cell r="F180">
            <v>0</v>
          </cell>
          <cell r="G180">
            <v>0</v>
          </cell>
          <cell r="H180">
            <v>2585697.1258991514</v>
          </cell>
          <cell r="I180">
            <v>0</v>
          </cell>
          <cell r="J180">
            <v>1208298.8400000001</v>
          </cell>
          <cell r="K180">
            <v>0</v>
          </cell>
          <cell r="L180">
            <v>0</v>
          </cell>
          <cell r="M180">
            <v>0</v>
          </cell>
          <cell r="N180">
            <v>1208298.8400000001</v>
          </cell>
          <cell r="O180">
            <v>1208298.8400000001</v>
          </cell>
          <cell r="P180">
            <v>9861.3999999999978</v>
          </cell>
          <cell r="Q180">
            <v>1218160.24</v>
          </cell>
          <cell r="R180">
            <v>0</v>
          </cell>
          <cell r="S180">
            <v>1367536.8858991514</v>
          </cell>
          <cell r="T180">
            <v>1367536.8858991514</v>
          </cell>
          <cell r="U180">
            <v>1594117.55</v>
          </cell>
          <cell r="V180">
            <v>0</v>
          </cell>
          <cell r="W180">
            <v>1594117.55</v>
          </cell>
          <cell r="X180">
            <v>0</v>
          </cell>
          <cell r="Y180">
            <v>-226580.6641008486</v>
          </cell>
          <cell r="Z180">
            <v>1700000</v>
          </cell>
          <cell r="AA180">
            <v>0</v>
          </cell>
          <cell r="AB180">
            <v>-3.7276146819401315</v>
          </cell>
          <cell r="AC180">
            <v>41018.146364717591</v>
          </cell>
          <cell r="AD180">
            <v>-185562.51773613101</v>
          </cell>
        </row>
        <row r="181">
          <cell r="A181" t="str">
            <v>Unincorporated Fresno</v>
          </cell>
          <cell r="B181">
            <v>1109364.4099223972</v>
          </cell>
          <cell r="C181">
            <v>21990.970294664148</v>
          </cell>
          <cell r="D181">
            <v>1131355.3802170614</v>
          </cell>
          <cell r="E181">
            <v>-53632</v>
          </cell>
          <cell r="F181">
            <v>0</v>
          </cell>
          <cell r="G181">
            <v>-53632</v>
          </cell>
          <cell r="H181">
            <v>1077723.3802170614</v>
          </cell>
          <cell r="I181">
            <v>0</v>
          </cell>
          <cell r="J181">
            <v>278609</v>
          </cell>
          <cell r="K181">
            <v>0</v>
          </cell>
          <cell r="L181">
            <v>0</v>
          </cell>
          <cell r="M181">
            <v>0</v>
          </cell>
          <cell r="N181">
            <v>278609</v>
          </cell>
          <cell r="O181">
            <v>278609</v>
          </cell>
          <cell r="P181">
            <v>0</v>
          </cell>
          <cell r="Q181">
            <v>278609</v>
          </cell>
          <cell r="R181">
            <v>0</v>
          </cell>
          <cell r="S181">
            <v>799114.38021706138</v>
          </cell>
          <cell r="T181">
            <v>799114.38021706138</v>
          </cell>
          <cell r="U181">
            <v>0</v>
          </cell>
          <cell r="V181">
            <v>0</v>
          </cell>
          <cell r="W181">
            <v>0</v>
          </cell>
          <cell r="X181">
            <v>799114.38021706138</v>
          </cell>
          <cell r="Y181">
            <v>0</v>
          </cell>
          <cell r="Z181">
            <v>800000</v>
          </cell>
          <cell r="AA181">
            <v>61786</v>
          </cell>
          <cell r="AB181">
            <v>0</v>
          </cell>
          <cell r="AC181">
            <v>15285.487384302049</v>
          </cell>
          <cell r="AD181">
            <v>814399.86760136345</v>
          </cell>
        </row>
        <row r="182">
          <cell r="A182" t="str">
            <v>Unincorporated Imperial</v>
          </cell>
          <cell r="B182">
            <v>202512.08146350988</v>
          </cell>
          <cell r="C182">
            <v>4136.7977475532471</v>
          </cell>
          <cell r="D182">
            <v>206648.87921106312</v>
          </cell>
          <cell r="E182">
            <v>-19843</v>
          </cell>
          <cell r="F182">
            <v>0</v>
          </cell>
          <cell r="G182">
            <v>-19843</v>
          </cell>
          <cell r="H182">
            <v>186805.87921106312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186805.87921106312</v>
          </cell>
          <cell r="T182">
            <v>186805.87921106312</v>
          </cell>
          <cell r="U182">
            <v>0</v>
          </cell>
          <cell r="V182">
            <v>0</v>
          </cell>
          <cell r="W182">
            <v>0</v>
          </cell>
          <cell r="X182">
            <v>186805.87921106312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3173.7564101560024</v>
          </cell>
          <cell r="AD182">
            <v>189979.63562121912</v>
          </cell>
        </row>
        <row r="183">
          <cell r="A183" t="str">
            <v>Unincorporated Inyo</v>
          </cell>
          <cell r="B183">
            <v>1664217.151979018</v>
          </cell>
          <cell r="C183">
            <v>32539.57236851746</v>
          </cell>
          <cell r="D183">
            <v>1696756.7243475355</v>
          </cell>
          <cell r="E183">
            <v>0</v>
          </cell>
          <cell r="F183">
            <v>0</v>
          </cell>
          <cell r="G183">
            <v>0</v>
          </cell>
          <cell r="H183">
            <v>1696756.7243475355</v>
          </cell>
          <cell r="I183">
            <v>0</v>
          </cell>
          <cell r="J183">
            <v>1025102.43</v>
          </cell>
          <cell r="K183">
            <v>0</v>
          </cell>
          <cell r="L183">
            <v>0</v>
          </cell>
          <cell r="M183">
            <v>0</v>
          </cell>
          <cell r="N183">
            <v>1025102.43</v>
          </cell>
          <cell r="O183">
            <v>1025102.43</v>
          </cell>
          <cell r="P183">
            <v>0</v>
          </cell>
          <cell r="Q183">
            <v>1025102.43</v>
          </cell>
          <cell r="R183">
            <v>0</v>
          </cell>
          <cell r="S183">
            <v>671654.29434753547</v>
          </cell>
          <cell r="T183">
            <v>671654.29434753547</v>
          </cell>
          <cell r="U183">
            <v>0</v>
          </cell>
          <cell r="V183">
            <v>0</v>
          </cell>
          <cell r="W183">
            <v>0</v>
          </cell>
          <cell r="X183">
            <v>671654.29434753547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22585.354048872603</v>
          </cell>
          <cell r="AD183">
            <v>694239.64839640807</v>
          </cell>
        </row>
        <row r="184">
          <cell r="A184" t="str">
            <v>Unincorporated Kern</v>
          </cell>
          <cell r="B184">
            <v>16131638.383565247</v>
          </cell>
          <cell r="C184">
            <v>336744.75959244178</v>
          </cell>
          <cell r="D184">
            <v>16468383.143157689</v>
          </cell>
          <cell r="E184">
            <v>-8071132</v>
          </cell>
          <cell r="F184">
            <v>0</v>
          </cell>
          <cell r="G184">
            <v>-8071132</v>
          </cell>
          <cell r="H184">
            <v>8397251.1431576889</v>
          </cell>
          <cell r="I184">
            <v>0</v>
          </cell>
          <cell r="J184">
            <v>2366264.5699999998</v>
          </cell>
          <cell r="K184">
            <v>0</v>
          </cell>
          <cell r="L184">
            <v>0</v>
          </cell>
          <cell r="M184">
            <v>0</v>
          </cell>
          <cell r="N184">
            <v>2366264.5699999998</v>
          </cell>
          <cell r="O184">
            <v>2366264.5699999998</v>
          </cell>
          <cell r="P184">
            <v>0</v>
          </cell>
          <cell r="Q184">
            <v>2366264.5699999998</v>
          </cell>
          <cell r="R184">
            <v>0</v>
          </cell>
          <cell r="S184">
            <v>6030986.5731576886</v>
          </cell>
          <cell r="T184">
            <v>6030986.5731576886</v>
          </cell>
          <cell r="U184">
            <v>0</v>
          </cell>
          <cell r="V184">
            <v>0</v>
          </cell>
          <cell r="W184">
            <v>0</v>
          </cell>
          <cell r="X184">
            <v>6030986.5731576886</v>
          </cell>
          <cell r="Y184">
            <v>0</v>
          </cell>
          <cell r="Z184">
            <v>6800000</v>
          </cell>
          <cell r="AA184">
            <v>0</v>
          </cell>
          <cell r="AB184">
            <v>0</v>
          </cell>
          <cell r="AC184">
            <v>233673.15028533287</v>
          </cell>
          <cell r="AD184">
            <v>6264659.7234430211</v>
          </cell>
        </row>
        <row r="185">
          <cell r="A185" t="str">
            <v>Unincorporated Kings</v>
          </cell>
          <cell r="B185">
            <v>2771609.1861940552</v>
          </cell>
          <cell r="C185">
            <v>55098.071918135829</v>
          </cell>
          <cell r="D185">
            <v>2826707.2581121912</v>
          </cell>
          <cell r="E185">
            <v>-2016519</v>
          </cell>
          <cell r="F185">
            <v>0</v>
          </cell>
          <cell r="G185">
            <v>-2016519</v>
          </cell>
          <cell r="H185">
            <v>810188.25811219122</v>
          </cell>
          <cell r="I185">
            <v>0</v>
          </cell>
          <cell r="J185">
            <v>169819</v>
          </cell>
          <cell r="K185">
            <v>0</v>
          </cell>
          <cell r="L185">
            <v>0</v>
          </cell>
          <cell r="M185">
            <v>0</v>
          </cell>
          <cell r="N185">
            <v>169819</v>
          </cell>
          <cell r="O185">
            <v>169819</v>
          </cell>
          <cell r="P185">
            <v>0</v>
          </cell>
          <cell r="Q185">
            <v>169819</v>
          </cell>
          <cell r="R185">
            <v>0</v>
          </cell>
          <cell r="S185">
            <v>640369.25811219122</v>
          </cell>
          <cell r="T185">
            <v>640369.25811219122</v>
          </cell>
          <cell r="U185">
            <v>0</v>
          </cell>
          <cell r="V185">
            <v>0</v>
          </cell>
          <cell r="W185">
            <v>0</v>
          </cell>
          <cell r="X185">
            <v>640369.25811219122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40610.18152712327</v>
          </cell>
          <cell r="AD185">
            <v>680979.43963931454</v>
          </cell>
        </row>
        <row r="186">
          <cell r="A186" t="str">
            <v>Unincorporated Los Angeles</v>
          </cell>
          <cell r="B186">
            <v>140091845.5218538</v>
          </cell>
          <cell r="C186">
            <v>2651303.8512374707</v>
          </cell>
          <cell r="D186">
            <v>142743149.37309128</v>
          </cell>
          <cell r="E186">
            <v>-22037746</v>
          </cell>
          <cell r="F186">
            <v>0</v>
          </cell>
          <cell r="G186">
            <v>-22037746</v>
          </cell>
          <cell r="H186">
            <v>120705403.37309128</v>
          </cell>
          <cell r="I186">
            <v>0</v>
          </cell>
          <cell r="J186">
            <v>77547493.819999993</v>
          </cell>
          <cell r="K186">
            <v>0</v>
          </cell>
          <cell r="L186">
            <v>0</v>
          </cell>
          <cell r="M186">
            <v>0</v>
          </cell>
          <cell r="N186">
            <v>77547493.819999993</v>
          </cell>
          <cell r="O186">
            <v>77547493.819999993</v>
          </cell>
          <cell r="P186">
            <v>5941325.4699999997</v>
          </cell>
          <cell r="Q186">
            <v>83488819.289999992</v>
          </cell>
          <cell r="R186">
            <v>0</v>
          </cell>
          <cell r="S186">
            <v>37216584.083091289</v>
          </cell>
          <cell r="T186">
            <v>37216584.083091289</v>
          </cell>
          <cell r="U186">
            <v>1705242.99</v>
          </cell>
          <cell r="V186">
            <v>0</v>
          </cell>
          <cell r="W186">
            <v>1705242.99</v>
          </cell>
          <cell r="X186">
            <v>35511341.093091287</v>
          </cell>
          <cell r="Y186">
            <v>0</v>
          </cell>
          <cell r="Z186">
            <v>9700000</v>
          </cell>
          <cell r="AA186">
            <v>7399801.9699999997</v>
          </cell>
          <cell r="AB186">
            <v>0</v>
          </cell>
          <cell r="AC186">
            <v>1882881.9569060539</v>
          </cell>
          <cell r="AD186">
            <v>37394223.049997337</v>
          </cell>
        </row>
        <row r="187">
          <cell r="A187" t="str">
            <v>Unincorporated Madera</v>
          </cell>
          <cell r="B187">
            <v>7644.7081561579007</v>
          </cell>
          <cell r="C187">
            <v>133.25030611554101</v>
          </cell>
          <cell r="D187">
            <v>7777.9584622734419</v>
          </cell>
          <cell r="E187">
            <v>-557</v>
          </cell>
          <cell r="F187">
            <v>0</v>
          </cell>
          <cell r="G187">
            <v>-557</v>
          </cell>
          <cell r="H187">
            <v>7220.9584622734419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7220.9584622734419</v>
          </cell>
          <cell r="T187">
            <v>7220.9584622734419</v>
          </cell>
          <cell r="U187">
            <v>0</v>
          </cell>
          <cell r="V187">
            <v>0</v>
          </cell>
          <cell r="W187">
            <v>0</v>
          </cell>
          <cell r="X187">
            <v>7220.9584622734419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73.610843742306173</v>
          </cell>
          <cell r="AD187">
            <v>7294.5693060157482</v>
          </cell>
        </row>
        <row r="188">
          <cell r="A188" t="str">
            <v>Unincorporated Mono</v>
          </cell>
          <cell r="B188">
            <v>1547511.0802414992</v>
          </cell>
          <cell r="C188">
            <v>27828.857239732693</v>
          </cell>
          <cell r="D188">
            <v>1575339.937481232</v>
          </cell>
          <cell r="E188">
            <v>-300276</v>
          </cell>
          <cell r="F188">
            <v>0</v>
          </cell>
          <cell r="G188">
            <v>-300276</v>
          </cell>
          <cell r="H188">
            <v>1275063.937481232</v>
          </cell>
          <cell r="I188">
            <v>0</v>
          </cell>
          <cell r="J188">
            <v>1023208.55</v>
          </cell>
          <cell r="K188">
            <v>0</v>
          </cell>
          <cell r="L188">
            <v>0</v>
          </cell>
          <cell r="M188">
            <v>0</v>
          </cell>
          <cell r="N188">
            <v>1023208.55</v>
          </cell>
          <cell r="O188">
            <v>1023208.55</v>
          </cell>
          <cell r="P188">
            <v>0</v>
          </cell>
          <cell r="Q188">
            <v>1023208.55</v>
          </cell>
          <cell r="R188">
            <v>0</v>
          </cell>
          <cell r="S188">
            <v>251855.38748123194</v>
          </cell>
          <cell r="T188">
            <v>251855.38748123194</v>
          </cell>
          <cell r="U188">
            <v>0</v>
          </cell>
          <cell r="V188">
            <v>0</v>
          </cell>
          <cell r="W188">
            <v>0</v>
          </cell>
          <cell r="X188">
            <v>251855.38748123194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20802.066121631418</v>
          </cell>
          <cell r="AD188">
            <v>272657.45360286336</v>
          </cell>
        </row>
        <row r="189">
          <cell r="A189" t="str">
            <v>Unincorporated Orange</v>
          </cell>
          <cell r="B189">
            <v>18019298.634009041</v>
          </cell>
          <cell r="C189">
            <v>303909.4965205068</v>
          </cell>
          <cell r="D189">
            <v>18323208.130529549</v>
          </cell>
          <cell r="E189">
            <v>-262694</v>
          </cell>
          <cell r="F189">
            <v>0</v>
          </cell>
          <cell r="G189">
            <v>-262694</v>
          </cell>
          <cell r="H189">
            <v>18060514.130529549</v>
          </cell>
          <cell r="I189">
            <v>0</v>
          </cell>
          <cell r="J189">
            <v>10395092.709999999</v>
          </cell>
          <cell r="K189">
            <v>0</v>
          </cell>
          <cell r="L189">
            <v>0</v>
          </cell>
          <cell r="M189">
            <v>0</v>
          </cell>
          <cell r="N189">
            <v>10395092.709999999</v>
          </cell>
          <cell r="O189">
            <v>10395092.709999999</v>
          </cell>
          <cell r="P189">
            <v>696389.68000000017</v>
          </cell>
          <cell r="Q189">
            <v>11091482.389999999</v>
          </cell>
          <cell r="R189">
            <v>0</v>
          </cell>
          <cell r="S189">
            <v>6969031.7405295502</v>
          </cell>
          <cell r="T189">
            <v>6969031.7405295502</v>
          </cell>
          <cell r="U189">
            <v>0</v>
          </cell>
          <cell r="V189">
            <v>6015610.3200000003</v>
          </cell>
          <cell r="W189">
            <v>6015610.3200000003</v>
          </cell>
          <cell r="X189">
            <v>953421.42052954994</v>
          </cell>
          <cell r="Y189">
            <v>0</v>
          </cell>
          <cell r="Z189">
            <v>0</v>
          </cell>
          <cell r="AA189">
            <v>1188976.53</v>
          </cell>
          <cell r="AB189">
            <v>0</v>
          </cell>
          <cell r="AC189">
            <v>235966.8280765863</v>
          </cell>
          <cell r="AD189">
            <v>1189388.2486061363</v>
          </cell>
        </row>
        <row r="190">
          <cell r="A190" t="str">
            <v>Unincorporated Riverside</v>
          </cell>
          <cell r="B190">
            <v>38655785.028242126</v>
          </cell>
          <cell r="C190">
            <v>595702.85199162806</v>
          </cell>
          <cell r="D190">
            <v>39251487.880233757</v>
          </cell>
          <cell r="E190">
            <v>0</v>
          </cell>
          <cell r="F190">
            <v>0</v>
          </cell>
          <cell r="G190">
            <v>0</v>
          </cell>
          <cell r="H190">
            <v>39251487.880233757</v>
          </cell>
          <cell r="I190">
            <v>0</v>
          </cell>
          <cell r="J190">
            <v>28267932.030000001</v>
          </cell>
          <cell r="K190">
            <v>0</v>
          </cell>
          <cell r="L190">
            <v>0</v>
          </cell>
          <cell r="M190">
            <v>0</v>
          </cell>
          <cell r="N190">
            <v>28267932.030000001</v>
          </cell>
          <cell r="O190">
            <v>28267932.030000001</v>
          </cell>
          <cell r="P190">
            <v>5160.4100000000017</v>
          </cell>
          <cell r="Q190">
            <v>28273092.440000001</v>
          </cell>
          <cell r="R190">
            <v>0</v>
          </cell>
          <cell r="S190">
            <v>10978395.440233756</v>
          </cell>
          <cell r="T190">
            <v>10978395.440233756</v>
          </cell>
          <cell r="U190">
            <v>0</v>
          </cell>
          <cell r="V190">
            <v>0</v>
          </cell>
          <cell r="W190">
            <v>0</v>
          </cell>
          <cell r="X190">
            <v>10978395.440233756</v>
          </cell>
          <cell r="Y190">
            <v>0</v>
          </cell>
          <cell r="Z190">
            <v>14400000</v>
          </cell>
          <cell r="AA190">
            <v>0</v>
          </cell>
          <cell r="AB190">
            <v>0</v>
          </cell>
          <cell r="AC190">
            <v>390097.68794355006</v>
          </cell>
          <cell r="AD190">
            <v>11368493.128177306</v>
          </cell>
        </row>
        <row r="191">
          <cell r="A191" t="str">
            <v>Unincorporated San Bernardino</v>
          </cell>
          <cell r="B191">
            <v>58970667.410190061</v>
          </cell>
          <cell r="C191">
            <v>1143821.9106383726</v>
          </cell>
          <cell r="D191">
            <v>60114489.32082843</v>
          </cell>
          <cell r="E191">
            <v>-7511250</v>
          </cell>
          <cell r="F191">
            <v>0</v>
          </cell>
          <cell r="G191">
            <v>-7511250</v>
          </cell>
          <cell r="H191">
            <v>52603239.32082843</v>
          </cell>
          <cell r="I191">
            <v>0</v>
          </cell>
          <cell r="J191">
            <v>37960852.410000004</v>
          </cell>
          <cell r="K191">
            <v>0</v>
          </cell>
          <cell r="L191">
            <v>2002885.6300000001</v>
          </cell>
          <cell r="M191">
            <v>0</v>
          </cell>
          <cell r="N191">
            <v>39963738.040000007</v>
          </cell>
          <cell r="O191">
            <v>39963738.040000007</v>
          </cell>
          <cell r="P191">
            <v>813951.79</v>
          </cell>
          <cell r="Q191">
            <v>40777689.830000006</v>
          </cell>
          <cell r="R191">
            <v>0</v>
          </cell>
          <cell r="S191">
            <v>11825549.490828425</v>
          </cell>
          <cell r="T191">
            <v>11825549.490828425</v>
          </cell>
          <cell r="U191">
            <v>0</v>
          </cell>
          <cell r="V191">
            <v>1886048.21</v>
          </cell>
          <cell r="W191">
            <v>1886048.21</v>
          </cell>
          <cell r="X191">
            <v>9939501.2808284238</v>
          </cell>
          <cell r="Y191">
            <v>0</v>
          </cell>
          <cell r="Z191">
            <v>9200000</v>
          </cell>
          <cell r="AA191">
            <v>8833718.2300000004</v>
          </cell>
          <cell r="AB191">
            <v>0</v>
          </cell>
          <cell r="AC191">
            <v>850527.78854898165</v>
          </cell>
          <cell r="AD191">
            <v>10790029.069377406</v>
          </cell>
        </row>
        <row r="192">
          <cell r="A192" t="str">
            <v>Unincorporated San Diego</v>
          </cell>
          <cell r="B192">
            <v>1531.6924693808085</v>
          </cell>
          <cell r="C192">
            <v>112.06876774034788</v>
          </cell>
          <cell r="D192">
            <v>1643.7612371211562</v>
          </cell>
          <cell r="E192">
            <v>0</v>
          </cell>
          <cell r="F192">
            <v>0</v>
          </cell>
          <cell r="G192">
            <v>0</v>
          </cell>
          <cell r="H192">
            <v>1643.7612371211562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1643.7612371211562</v>
          </cell>
          <cell r="T192">
            <v>1643.7612371211562</v>
          </cell>
          <cell r="U192">
            <v>0</v>
          </cell>
          <cell r="V192">
            <v>0</v>
          </cell>
          <cell r="W192">
            <v>0</v>
          </cell>
          <cell r="X192">
            <v>1643.7612371211562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73.248448576394892</v>
          </cell>
          <cell r="AD192">
            <v>1717.009685697551</v>
          </cell>
        </row>
        <row r="193">
          <cell r="A193" t="str">
            <v>Unincorporated Santa Barbara</v>
          </cell>
          <cell r="B193">
            <v>11326777.208455898</v>
          </cell>
          <cell r="C193">
            <v>183170.32460747188</v>
          </cell>
          <cell r="D193">
            <v>11509947.533063369</v>
          </cell>
          <cell r="E193">
            <v>0</v>
          </cell>
          <cell r="F193">
            <v>0</v>
          </cell>
          <cell r="G193">
            <v>0</v>
          </cell>
          <cell r="H193">
            <v>11509947.533063369</v>
          </cell>
          <cell r="I193">
            <v>0</v>
          </cell>
          <cell r="J193">
            <v>10085824.359999999</v>
          </cell>
          <cell r="K193">
            <v>0</v>
          </cell>
          <cell r="L193">
            <v>0</v>
          </cell>
          <cell r="M193">
            <v>0</v>
          </cell>
          <cell r="N193">
            <v>10085824.359999999</v>
          </cell>
          <cell r="O193">
            <v>10085824.359999999</v>
          </cell>
          <cell r="P193">
            <v>479607.06</v>
          </cell>
          <cell r="Q193">
            <v>10565431.42</v>
          </cell>
          <cell r="R193">
            <v>0</v>
          </cell>
          <cell r="S193">
            <v>944516.11306336895</v>
          </cell>
          <cell r="T193">
            <v>944516.11306336895</v>
          </cell>
          <cell r="U193">
            <v>0</v>
          </cell>
          <cell r="V193">
            <v>1120392.94</v>
          </cell>
          <cell r="W193">
            <v>1120392.94</v>
          </cell>
          <cell r="X193">
            <v>0</v>
          </cell>
          <cell r="Y193">
            <v>-175876.826936631</v>
          </cell>
          <cell r="Z193">
            <v>0</v>
          </cell>
          <cell r="AA193">
            <v>0</v>
          </cell>
          <cell r="AB193">
            <v>-0.96018188160953144</v>
          </cell>
          <cell r="AC193">
            <v>148924.58519441501</v>
          </cell>
          <cell r="AD193">
            <v>-26952.241742215992</v>
          </cell>
        </row>
        <row r="194">
          <cell r="A194" t="str">
            <v>Unincorporated Tulare</v>
          </cell>
          <cell r="B194">
            <v>29209705.684732549</v>
          </cell>
          <cell r="C194">
            <v>601650.47160518984</v>
          </cell>
          <cell r="D194">
            <v>29811356.156337738</v>
          </cell>
          <cell r="E194">
            <v>-11014656</v>
          </cell>
          <cell r="F194">
            <v>0</v>
          </cell>
          <cell r="G194">
            <v>-11014656</v>
          </cell>
          <cell r="H194">
            <v>18796700.156337738</v>
          </cell>
          <cell r="I194">
            <v>0</v>
          </cell>
          <cell r="J194">
            <v>4398396.53</v>
          </cell>
          <cell r="K194">
            <v>0</v>
          </cell>
          <cell r="L194">
            <v>0</v>
          </cell>
          <cell r="M194">
            <v>0</v>
          </cell>
          <cell r="N194">
            <v>4398396.53</v>
          </cell>
          <cell r="O194">
            <v>4398396.53</v>
          </cell>
          <cell r="P194">
            <v>0</v>
          </cell>
          <cell r="Q194">
            <v>4398396.53</v>
          </cell>
          <cell r="R194">
            <v>0</v>
          </cell>
          <cell r="S194">
            <v>14398303.626337737</v>
          </cell>
          <cell r="T194">
            <v>14398303.626337737</v>
          </cell>
          <cell r="U194">
            <v>0</v>
          </cell>
          <cell r="V194">
            <v>0</v>
          </cell>
          <cell r="W194">
            <v>0</v>
          </cell>
          <cell r="X194">
            <v>14398303.626337737</v>
          </cell>
          <cell r="Y194">
            <v>0</v>
          </cell>
          <cell r="Z194">
            <v>16500000</v>
          </cell>
          <cell r="AA194">
            <v>0</v>
          </cell>
          <cell r="AB194">
            <v>0</v>
          </cell>
          <cell r="AC194">
            <v>447227.68724168278</v>
          </cell>
          <cell r="AD194">
            <v>14845531.31357942</v>
          </cell>
        </row>
        <row r="195">
          <cell r="A195" t="str">
            <v>Unincorporated Tuolumne</v>
          </cell>
          <cell r="B195">
            <v>1715.3889173486057</v>
          </cell>
          <cell r="C195">
            <v>25.609415754913385</v>
          </cell>
          <cell r="D195">
            <v>1740.9983331035191</v>
          </cell>
          <cell r="E195">
            <v>-125</v>
          </cell>
          <cell r="F195">
            <v>0</v>
          </cell>
          <cell r="G195">
            <v>-125</v>
          </cell>
          <cell r="H195">
            <v>1615.9983331035191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1615.9983331035191</v>
          </cell>
          <cell r="T195">
            <v>1615.9983331035191</v>
          </cell>
          <cell r="U195">
            <v>0</v>
          </cell>
          <cell r="V195">
            <v>0</v>
          </cell>
          <cell r="W195">
            <v>0</v>
          </cell>
          <cell r="X195">
            <v>1615.9983331035191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1615.9983331035191</v>
          </cell>
        </row>
        <row r="196">
          <cell r="A196" t="str">
            <v>Unincorporated Ventura</v>
          </cell>
          <cell r="B196">
            <v>15355139.978396885</v>
          </cell>
          <cell r="C196">
            <v>294804.13752359577</v>
          </cell>
          <cell r="D196">
            <v>15649944.11592048</v>
          </cell>
          <cell r="E196">
            <v>-1190564</v>
          </cell>
          <cell r="F196">
            <v>0</v>
          </cell>
          <cell r="G196">
            <v>-1190564</v>
          </cell>
          <cell r="H196">
            <v>14459380.11592048</v>
          </cell>
          <cell r="I196">
            <v>0</v>
          </cell>
          <cell r="J196">
            <v>11669814.720000001</v>
          </cell>
          <cell r="K196">
            <v>0</v>
          </cell>
          <cell r="L196">
            <v>0</v>
          </cell>
          <cell r="M196">
            <v>0</v>
          </cell>
          <cell r="N196">
            <v>11669814.720000001</v>
          </cell>
          <cell r="O196">
            <v>11669814.720000001</v>
          </cell>
          <cell r="P196">
            <v>0</v>
          </cell>
          <cell r="Q196">
            <v>11669814.720000001</v>
          </cell>
          <cell r="R196">
            <v>0</v>
          </cell>
          <cell r="S196">
            <v>2789565.3959204797</v>
          </cell>
          <cell r="T196">
            <v>2789565.3959204797</v>
          </cell>
          <cell r="U196">
            <v>0</v>
          </cell>
          <cell r="V196">
            <v>0</v>
          </cell>
          <cell r="W196">
            <v>0</v>
          </cell>
          <cell r="X196">
            <v>2789565.3959204797</v>
          </cell>
          <cell r="Y196">
            <v>0</v>
          </cell>
          <cell r="Z196">
            <v>0</v>
          </cell>
          <cell r="AA196">
            <v>156484</v>
          </cell>
          <cell r="AB196">
            <v>0</v>
          </cell>
          <cell r="AC196">
            <v>213517.35179825342</v>
          </cell>
          <cell r="AD196">
            <v>3003082.7477187333</v>
          </cell>
        </row>
        <row r="197">
          <cell r="A197" t="str">
            <v>Upland</v>
          </cell>
          <cell r="B197">
            <v>7943813.5494678449</v>
          </cell>
          <cell r="C197">
            <v>156889.72911984657</v>
          </cell>
          <cell r="D197">
            <v>8100703.2785876915</v>
          </cell>
          <cell r="E197">
            <v>0</v>
          </cell>
          <cell r="F197">
            <v>0</v>
          </cell>
          <cell r="G197">
            <v>0</v>
          </cell>
          <cell r="H197">
            <v>8100703.2785876915</v>
          </cell>
          <cell r="I197">
            <v>0</v>
          </cell>
          <cell r="J197">
            <v>5046701.72</v>
          </cell>
          <cell r="K197">
            <v>0</v>
          </cell>
          <cell r="L197">
            <v>0</v>
          </cell>
          <cell r="M197">
            <v>0</v>
          </cell>
          <cell r="N197">
            <v>5046701.72</v>
          </cell>
          <cell r="O197">
            <v>5046701.72</v>
          </cell>
          <cell r="P197">
            <v>0</v>
          </cell>
          <cell r="Q197">
            <v>5046701.72</v>
          </cell>
          <cell r="R197">
            <v>0</v>
          </cell>
          <cell r="S197">
            <v>3054001.5585876917</v>
          </cell>
          <cell r="T197">
            <v>3054001.5585876917</v>
          </cell>
          <cell r="U197">
            <v>0</v>
          </cell>
          <cell r="V197">
            <v>0</v>
          </cell>
          <cell r="W197">
            <v>0</v>
          </cell>
          <cell r="X197">
            <v>3054001.5585876917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101865.19045751038</v>
          </cell>
          <cell r="AD197">
            <v>3155866.749045202</v>
          </cell>
        </row>
        <row r="198">
          <cell r="A198" t="str">
            <v>Ventura</v>
          </cell>
          <cell r="B198">
            <v>12871341.520977948</v>
          </cell>
          <cell r="C198">
            <v>249184.44781430188</v>
          </cell>
          <cell r="D198">
            <v>13120525.96879225</v>
          </cell>
          <cell r="E198">
            <v>0</v>
          </cell>
          <cell r="F198">
            <v>0</v>
          </cell>
          <cell r="G198">
            <v>0</v>
          </cell>
          <cell r="H198">
            <v>13120525.96879225</v>
          </cell>
          <cell r="I198">
            <v>0</v>
          </cell>
          <cell r="J198">
            <v>12259431.25</v>
          </cell>
          <cell r="K198">
            <v>0</v>
          </cell>
          <cell r="L198">
            <v>0</v>
          </cell>
          <cell r="M198">
            <v>0</v>
          </cell>
          <cell r="N198">
            <v>12259431.25</v>
          </cell>
          <cell r="O198">
            <v>12259431.25</v>
          </cell>
          <cell r="P198">
            <v>0</v>
          </cell>
          <cell r="Q198">
            <v>12259431.25</v>
          </cell>
          <cell r="R198">
            <v>0</v>
          </cell>
          <cell r="S198">
            <v>861094.71879225038</v>
          </cell>
          <cell r="T198">
            <v>861094.71879225038</v>
          </cell>
          <cell r="U198">
            <v>0</v>
          </cell>
          <cell r="V198">
            <v>0</v>
          </cell>
          <cell r="W198">
            <v>0</v>
          </cell>
          <cell r="X198">
            <v>861094.71879225038</v>
          </cell>
          <cell r="Y198">
            <v>0</v>
          </cell>
          <cell r="Z198">
            <v>0</v>
          </cell>
          <cell r="AA198">
            <v>156484</v>
          </cell>
          <cell r="AB198">
            <v>0</v>
          </cell>
          <cell r="AC198">
            <v>159027.08823159614</v>
          </cell>
          <cell r="AD198">
            <v>1020121.8070238465</v>
          </cell>
        </row>
        <row r="199">
          <cell r="A199" t="str">
            <v>Victorville</v>
          </cell>
          <cell r="B199">
            <v>4188379.8490274306</v>
          </cell>
          <cell r="C199">
            <v>71108.539754032681</v>
          </cell>
          <cell r="D199">
            <v>4259488.3887814637</v>
          </cell>
          <cell r="E199">
            <v>0</v>
          </cell>
          <cell r="F199">
            <v>0</v>
          </cell>
          <cell r="G199">
            <v>0</v>
          </cell>
          <cell r="H199">
            <v>4259488.3887814637</v>
          </cell>
          <cell r="I199">
            <v>0</v>
          </cell>
          <cell r="J199">
            <v>3659362.95</v>
          </cell>
          <cell r="K199">
            <v>0</v>
          </cell>
          <cell r="L199">
            <v>0</v>
          </cell>
          <cell r="M199">
            <v>0</v>
          </cell>
          <cell r="N199">
            <v>3659362.95</v>
          </cell>
          <cell r="O199">
            <v>3659362.95</v>
          </cell>
          <cell r="P199">
            <v>0</v>
          </cell>
          <cell r="Q199">
            <v>3659362.95</v>
          </cell>
          <cell r="R199">
            <v>0</v>
          </cell>
          <cell r="S199">
            <v>600125.43878146354</v>
          </cell>
          <cell r="T199">
            <v>600125.43878146354</v>
          </cell>
          <cell r="U199">
            <v>0</v>
          </cell>
          <cell r="V199">
            <v>1000000</v>
          </cell>
          <cell r="W199">
            <v>1000000</v>
          </cell>
          <cell r="X199">
            <v>0</v>
          </cell>
          <cell r="Y199">
            <v>-399874.56121853646</v>
          </cell>
          <cell r="Z199"/>
          <cell r="AA199">
            <v>0</v>
          </cell>
          <cell r="AB199">
            <v>-5.6234393590659959</v>
          </cell>
          <cell r="AC199">
            <v>17471.226263384684</v>
          </cell>
          <cell r="AD199">
            <v>-382403.33495515177</v>
          </cell>
        </row>
        <row r="200">
          <cell r="A200" t="str">
            <v>Villa Park</v>
          </cell>
          <cell r="B200">
            <v>510999.40720749082</v>
          </cell>
          <cell r="C200">
            <v>10371.805884657713</v>
          </cell>
          <cell r="D200">
            <v>521371.21309214854</v>
          </cell>
          <cell r="E200">
            <v>111040</v>
          </cell>
          <cell r="F200">
            <v>-10372</v>
          </cell>
          <cell r="G200">
            <v>100668</v>
          </cell>
          <cell r="H200">
            <v>622039.21309214854</v>
          </cell>
          <cell r="I200">
            <v>0</v>
          </cell>
          <cell r="J200">
            <v>585457.1</v>
          </cell>
          <cell r="K200">
            <v>0</v>
          </cell>
          <cell r="L200">
            <v>0</v>
          </cell>
          <cell r="M200">
            <v>0</v>
          </cell>
          <cell r="N200">
            <v>585457.1</v>
          </cell>
          <cell r="O200">
            <v>585457.1</v>
          </cell>
          <cell r="P200">
            <v>0</v>
          </cell>
          <cell r="Q200">
            <v>585457.1</v>
          </cell>
          <cell r="R200">
            <v>0</v>
          </cell>
          <cell r="S200">
            <v>36582.11309214856</v>
          </cell>
          <cell r="T200">
            <v>36582.11309214856</v>
          </cell>
          <cell r="U200">
            <v>0</v>
          </cell>
          <cell r="V200">
            <v>0</v>
          </cell>
          <cell r="W200">
            <v>0</v>
          </cell>
          <cell r="X200">
            <v>36582.11309214856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7571.9519942720408</v>
          </cell>
          <cell r="AD200">
            <v>44154.065086420604</v>
          </cell>
        </row>
        <row r="201">
          <cell r="A201" t="str">
            <v>Visalia</v>
          </cell>
          <cell r="B201">
            <v>9396659.3051488791</v>
          </cell>
          <cell r="C201">
            <v>178105.43085674255</v>
          </cell>
          <cell r="D201">
            <v>9574764.736005621</v>
          </cell>
          <cell r="E201">
            <v>3850699</v>
          </cell>
          <cell r="F201">
            <v>0</v>
          </cell>
          <cell r="G201">
            <v>3850699</v>
          </cell>
          <cell r="H201">
            <v>13425463.736005621</v>
          </cell>
          <cell r="I201">
            <v>0</v>
          </cell>
          <cell r="J201">
            <v>12549701.950000001</v>
          </cell>
          <cell r="K201">
            <v>0</v>
          </cell>
          <cell r="L201">
            <v>0</v>
          </cell>
          <cell r="M201">
            <v>0</v>
          </cell>
          <cell r="N201">
            <v>12549701.950000001</v>
          </cell>
          <cell r="O201">
            <v>12549701.950000001</v>
          </cell>
          <cell r="P201">
            <v>0</v>
          </cell>
          <cell r="Q201">
            <v>12549701.950000001</v>
          </cell>
          <cell r="R201">
            <v>0</v>
          </cell>
          <cell r="S201">
            <v>875761.78600561991</v>
          </cell>
          <cell r="T201">
            <v>875761.78600561991</v>
          </cell>
          <cell r="U201">
            <v>0</v>
          </cell>
          <cell r="V201">
            <v>750000</v>
          </cell>
          <cell r="W201">
            <v>750000</v>
          </cell>
          <cell r="X201">
            <v>125761.78600561991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96425.814209919947</v>
          </cell>
          <cell r="AD201">
            <v>222187.60021553986</v>
          </cell>
        </row>
        <row r="202">
          <cell r="A202" t="str">
            <v>Walnut</v>
          </cell>
          <cell r="B202">
            <v>1890714.4904871718</v>
          </cell>
          <cell r="C202">
            <v>41676.968680076214</v>
          </cell>
          <cell r="D202">
            <v>1932391.4591672481</v>
          </cell>
          <cell r="E202">
            <v>421000</v>
          </cell>
          <cell r="F202">
            <v>0</v>
          </cell>
          <cell r="G202">
            <v>421000</v>
          </cell>
          <cell r="H202">
            <v>2353391.4591672481</v>
          </cell>
          <cell r="I202">
            <v>0</v>
          </cell>
          <cell r="J202">
            <v>1541466.82</v>
          </cell>
          <cell r="K202">
            <v>0</v>
          </cell>
          <cell r="L202">
            <v>0</v>
          </cell>
          <cell r="M202">
            <v>0</v>
          </cell>
          <cell r="N202">
            <v>1541466.82</v>
          </cell>
          <cell r="O202">
            <v>1541466.82</v>
          </cell>
          <cell r="P202">
            <v>0</v>
          </cell>
          <cell r="Q202">
            <v>1541466.82</v>
          </cell>
          <cell r="R202">
            <v>0</v>
          </cell>
          <cell r="S202">
            <v>811924.63916724804</v>
          </cell>
          <cell r="T202">
            <v>811924.63916724804</v>
          </cell>
          <cell r="U202">
            <v>0</v>
          </cell>
          <cell r="V202">
            <v>0</v>
          </cell>
          <cell r="W202">
            <v>0</v>
          </cell>
          <cell r="X202">
            <v>811924.63916724804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28084.067729161128</v>
          </cell>
          <cell r="AD202">
            <v>840008.70689640916</v>
          </cell>
        </row>
        <row r="203">
          <cell r="A203" t="str">
            <v>West Covina</v>
          </cell>
          <cell r="B203">
            <v>11738460.081016973</v>
          </cell>
          <cell r="C203">
            <v>225009.83381089015</v>
          </cell>
          <cell r="D203">
            <v>11963469.914827863</v>
          </cell>
          <cell r="E203">
            <v>0</v>
          </cell>
          <cell r="F203">
            <v>0</v>
          </cell>
          <cell r="G203">
            <v>0</v>
          </cell>
          <cell r="H203">
            <v>11963469.914827863</v>
          </cell>
          <cell r="I203">
            <v>0</v>
          </cell>
          <cell r="J203">
            <v>10903494.050000001</v>
          </cell>
          <cell r="K203">
            <v>0</v>
          </cell>
          <cell r="L203">
            <v>0</v>
          </cell>
          <cell r="M203">
            <v>0</v>
          </cell>
          <cell r="N203">
            <v>10903494.050000001</v>
          </cell>
          <cell r="O203">
            <v>10903494.050000001</v>
          </cell>
          <cell r="P203">
            <v>0</v>
          </cell>
          <cell r="Q203">
            <v>10903494.050000001</v>
          </cell>
          <cell r="R203">
            <v>0</v>
          </cell>
          <cell r="S203">
            <v>1059975.864827862</v>
          </cell>
          <cell r="T203">
            <v>1059975.864827862</v>
          </cell>
          <cell r="U203">
            <v>0</v>
          </cell>
          <cell r="V203">
            <v>0</v>
          </cell>
          <cell r="W203">
            <v>0</v>
          </cell>
          <cell r="X203">
            <v>1059975.864827862</v>
          </cell>
          <cell r="Y203">
            <v>0</v>
          </cell>
          <cell r="Z203">
            <v>0</v>
          </cell>
          <cell r="AA203">
            <v>3598873.9</v>
          </cell>
          <cell r="AB203">
            <v>0</v>
          </cell>
          <cell r="AC203">
            <v>149341.36990125914</v>
          </cell>
          <cell r="AD203">
            <v>1209317.2347291212</v>
          </cell>
        </row>
        <row r="204">
          <cell r="A204" t="str">
            <v>West Hollywood</v>
          </cell>
          <cell r="B204">
            <v>10965407.117381711</v>
          </cell>
          <cell r="C204">
            <v>262015.92249180059</v>
          </cell>
          <cell r="D204">
            <v>11227423.039873511</v>
          </cell>
          <cell r="E204">
            <v>0</v>
          </cell>
          <cell r="F204">
            <v>3157150</v>
          </cell>
          <cell r="G204">
            <v>3157150</v>
          </cell>
          <cell r="H204">
            <v>14384573.039873511</v>
          </cell>
          <cell r="I204">
            <v>0</v>
          </cell>
          <cell r="J204">
            <v>8452267.4900000002</v>
          </cell>
          <cell r="K204">
            <v>0</v>
          </cell>
          <cell r="L204">
            <v>0</v>
          </cell>
          <cell r="M204">
            <v>0</v>
          </cell>
          <cell r="N204">
            <v>8452267.4900000002</v>
          </cell>
          <cell r="O204">
            <v>8452267.4900000002</v>
          </cell>
          <cell r="P204">
            <v>2513100.1900000004</v>
          </cell>
          <cell r="Q204">
            <v>10965367.68</v>
          </cell>
          <cell r="R204">
            <v>0</v>
          </cell>
          <cell r="S204">
            <v>3419205.3598735109</v>
          </cell>
          <cell r="T204">
            <v>3419205.3598735109</v>
          </cell>
          <cell r="U204">
            <v>0</v>
          </cell>
          <cell r="V204">
            <v>3678969.29</v>
          </cell>
          <cell r="W204">
            <v>3678969.29</v>
          </cell>
          <cell r="X204">
            <v>0</v>
          </cell>
          <cell r="Y204">
            <v>-259763.93012648914</v>
          </cell>
          <cell r="Z204">
            <v>2600000</v>
          </cell>
          <cell r="AA204">
            <v>3666985.92</v>
          </cell>
          <cell r="AB204">
            <v>-0.99140513162751809</v>
          </cell>
          <cell r="AC204">
            <v>196342.58706161665</v>
          </cell>
          <cell r="AD204">
            <v>-63421.34306487249</v>
          </cell>
        </row>
        <row r="205">
          <cell r="A205" t="str">
            <v>Westlake Village</v>
          </cell>
          <cell r="B205">
            <v>516434.46914450661</v>
          </cell>
          <cell r="C205">
            <v>13163.543306056048</v>
          </cell>
          <cell r="D205">
            <v>529598.01245056267</v>
          </cell>
          <cell r="E205">
            <v>0</v>
          </cell>
          <cell r="F205">
            <v>0</v>
          </cell>
          <cell r="G205">
            <v>0</v>
          </cell>
          <cell r="H205">
            <v>529598.01245056267</v>
          </cell>
          <cell r="I205">
            <v>0</v>
          </cell>
          <cell r="J205">
            <v>327708.92</v>
          </cell>
          <cell r="K205">
            <v>0</v>
          </cell>
          <cell r="L205">
            <v>0</v>
          </cell>
          <cell r="M205">
            <v>0</v>
          </cell>
          <cell r="N205">
            <v>327708.92</v>
          </cell>
          <cell r="O205">
            <v>327708.92</v>
          </cell>
          <cell r="P205">
            <v>0</v>
          </cell>
          <cell r="Q205">
            <v>327708.92</v>
          </cell>
          <cell r="R205">
            <v>0</v>
          </cell>
          <cell r="S205">
            <v>201889.09245056269</v>
          </cell>
          <cell r="T205">
            <v>201889.09245056269</v>
          </cell>
          <cell r="U205">
            <v>0</v>
          </cell>
          <cell r="V205">
            <v>0</v>
          </cell>
          <cell r="W205">
            <v>0</v>
          </cell>
          <cell r="X205">
            <v>201889.09245056269</v>
          </cell>
          <cell r="Y205">
            <v>0</v>
          </cell>
          <cell r="Z205">
            <v>0</v>
          </cell>
          <cell r="AA205">
            <v>327708.92000000004</v>
          </cell>
          <cell r="AB205">
            <v>0</v>
          </cell>
          <cell r="AC205">
            <v>8960.3832187981261</v>
          </cell>
          <cell r="AD205">
            <v>210849.47566936081</v>
          </cell>
        </row>
        <row r="206">
          <cell r="A206" t="str">
            <v>Westminster</v>
          </cell>
          <cell r="B206">
            <v>9304596.6958229803</v>
          </cell>
          <cell r="C206">
            <v>179368.83353153427</v>
          </cell>
          <cell r="D206">
            <v>9483965.5293545146</v>
          </cell>
          <cell r="E206">
            <v>500000</v>
          </cell>
          <cell r="F206">
            <v>0</v>
          </cell>
          <cell r="G206">
            <v>500000</v>
          </cell>
          <cell r="H206">
            <v>9983965.5293545146</v>
          </cell>
          <cell r="I206">
            <v>0</v>
          </cell>
          <cell r="J206">
            <v>7342602.2299000006</v>
          </cell>
          <cell r="K206">
            <v>0</v>
          </cell>
          <cell r="L206">
            <v>0</v>
          </cell>
          <cell r="M206">
            <v>0</v>
          </cell>
          <cell r="N206">
            <v>7342602.2299000006</v>
          </cell>
          <cell r="O206">
            <v>7342602.2299000006</v>
          </cell>
          <cell r="P206">
            <v>88433.67</v>
          </cell>
          <cell r="Q206">
            <v>7431035.8999000005</v>
          </cell>
          <cell r="R206">
            <v>0</v>
          </cell>
          <cell r="S206">
            <v>2552929.629454514</v>
          </cell>
          <cell r="T206">
            <v>2552929.629454514</v>
          </cell>
          <cell r="U206">
            <v>0</v>
          </cell>
          <cell r="V206">
            <v>3311566.33</v>
          </cell>
          <cell r="W206">
            <v>3311566.33</v>
          </cell>
          <cell r="X206">
            <v>0</v>
          </cell>
          <cell r="Y206">
            <v>-758636.70054548606</v>
          </cell>
          <cell r="Z206">
            <v>0</v>
          </cell>
          <cell r="AA206">
            <v>355233.67</v>
          </cell>
          <cell r="AB206">
            <v>-4.2294789212202382</v>
          </cell>
          <cell r="AC206">
            <v>120268.51329327638</v>
          </cell>
          <cell r="AD206">
            <v>-638368.18725220964</v>
          </cell>
        </row>
        <row r="207">
          <cell r="A207" t="str">
            <v>Whittier</v>
          </cell>
          <cell r="B207">
            <v>15449148.637229906</v>
          </cell>
          <cell r="C207">
            <v>312474.95453576982</v>
          </cell>
          <cell r="D207">
            <v>15761623.591765676</v>
          </cell>
          <cell r="E207">
            <v>0</v>
          </cell>
          <cell r="F207">
            <v>0</v>
          </cell>
          <cell r="G207">
            <v>0</v>
          </cell>
          <cell r="H207">
            <v>15761623.591765676</v>
          </cell>
          <cell r="I207">
            <v>0</v>
          </cell>
          <cell r="J207">
            <v>7644397.9699999997</v>
          </cell>
          <cell r="K207">
            <v>0</v>
          </cell>
          <cell r="L207">
            <v>0</v>
          </cell>
          <cell r="M207">
            <v>0</v>
          </cell>
          <cell r="N207">
            <v>7644397.9699999997</v>
          </cell>
          <cell r="O207">
            <v>7644397.9699999997</v>
          </cell>
          <cell r="P207">
            <v>2347093.3400000003</v>
          </cell>
          <cell r="Q207">
            <v>9991491.3100000005</v>
          </cell>
          <cell r="R207">
            <v>0</v>
          </cell>
          <cell r="S207">
            <v>5770132.2817656752</v>
          </cell>
          <cell r="T207">
            <v>5770132.2817656752</v>
          </cell>
          <cell r="U207">
            <v>2177713.08</v>
          </cell>
          <cell r="V207">
            <v>3820368.58</v>
          </cell>
          <cell r="W207">
            <v>5998081.6600000001</v>
          </cell>
          <cell r="X207">
            <v>0</v>
          </cell>
          <cell r="Y207">
            <v>-227949.37823432498</v>
          </cell>
          <cell r="Z207">
            <v>0</v>
          </cell>
          <cell r="AA207"/>
          <cell r="AB207">
            <v>-0.72949647619912217</v>
          </cell>
          <cell r="AC207">
            <v>224363.15539062943</v>
          </cell>
          <cell r="AD207">
            <v>-3586.2228436955484</v>
          </cell>
        </row>
        <row r="208">
          <cell r="A208" t="str">
            <v>Wildomar</v>
          </cell>
          <cell r="B208">
            <v>311380.64721562719</v>
          </cell>
          <cell r="C208">
            <v>27392.989280499052</v>
          </cell>
          <cell r="D208">
            <v>338773.63649612624</v>
          </cell>
          <cell r="E208">
            <v>0</v>
          </cell>
          <cell r="F208">
            <v>0</v>
          </cell>
          <cell r="G208">
            <v>0</v>
          </cell>
          <cell r="H208">
            <v>338773.63649612624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338773.63649612624</v>
          </cell>
          <cell r="T208">
            <v>338773.63649612624</v>
          </cell>
          <cell r="U208">
            <v>0</v>
          </cell>
          <cell r="V208">
            <v>0</v>
          </cell>
          <cell r="W208">
            <v>0</v>
          </cell>
          <cell r="X208">
            <v>338773.63649612624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13177.188845765006</v>
          </cell>
          <cell r="AD208">
            <v>351950.82534189126</v>
          </cell>
        </row>
        <row r="209">
          <cell r="A209" t="str">
            <v>Woodlake</v>
          </cell>
          <cell r="B209">
            <v>754515.15721761819</v>
          </cell>
          <cell r="C209">
            <v>14688.797993228927</v>
          </cell>
          <cell r="D209">
            <v>769203.95521084708</v>
          </cell>
          <cell r="E209">
            <v>-548791</v>
          </cell>
          <cell r="F209">
            <v>0</v>
          </cell>
          <cell r="G209">
            <v>-548791</v>
          </cell>
          <cell r="H209">
            <v>220412.95521084708</v>
          </cell>
          <cell r="I209">
            <v>0</v>
          </cell>
          <cell r="J209">
            <v>76166</v>
          </cell>
          <cell r="K209">
            <v>0</v>
          </cell>
          <cell r="L209">
            <v>0</v>
          </cell>
          <cell r="M209">
            <v>0</v>
          </cell>
          <cell r="N209">
            <v>76166</v>
          </cell>
          <cell r="O209">
            <v>76166</v>
          </cell>
          <cell r="P209">
            <v>0</v>
          </cell>
          <cell r="Q209">
            <v>76166</v>
          </cell>
          <cell r="R209">
            <v>0</v>
          </cell>
          <cell r="S209">
            <v>144246.95521084708</v>
          </cell>
          <cell r="T209">
            <v>144246.95521084708</v>
          </cell>
          <cell r="U209">
            <v>0</v>
          </cell>
          <cell r="V209">
            <v>0</v>
          </cell>
          <cell r="W209">
            <v>0</v>
          </cell>
          <cell r="X209">
            <v>144246.95521084708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9439.4044508199986</v>
          </cell>
          <cell r="AD209">
            <v>153686.35966166708</v>
          </cell>
        </row>
        <row r="210">
          <cell r="A210" t="str">
            <v>Yorba Linda</v>
          </cell>
          <cell r="B210">
            <v>3882235.4438488674</v>
          </cell>
          <cell r="C210">
            <v>81639.870819644217</v>
          </cell>
          <cell r="D210">
            <v>3963875.3146685115</v>
          </cell>
          <cell r="E210">
            <v>8600</v>
          </cell>
          <cell r="F210">
            <v>95961</v>
          </cell>
          <cell r="G210">
            <v>104561</v>
          </cell>
          <cell r="H210">
            <v>4068436.3146685115</v>
          </cell>
          <cell r="I210">
            <v>0</v>
          </cell>
          <cell r="J210">
            <v>2980904.26</v>
          </cell>
          <cell r="K210">
            <v>0</v>
          </cell>
          <cell r="L210">
            <v>0</v>
          </cell>
          <cell r="M210">
            <v>0</v>
          </cell>
          <cell r="N210">
            <v>2980904.26</v>
          </cell>
          <cell r="O210">
            <v>2980904.26</v>
          </cell>
          <cell r="P210">
            <v>867673.81</v>
          </cell>
          <cell r="Q210">
            <v>3848578.07</v>
          </cell>
          <cell r="R210">
            <v>0</v>
          </cell>
          <cell r="S210">
            <v>219858.24466851167</v>
          </cell>
          <cell r="T210">
            <v>219858.24466851167</v>
          </cell>
          <cell r="U210">
            <v>592326.18999999994</v>
          </cell>
          <cell r="V210">
            <v>0</v>
          </cell>
          <cell r="W210">
            <v>592326.18999999994</v>
          </cell>
          <cell r="X210">
            <v>0</v>
          </cell>
          <cell r="Y210">
            <v>-372467.94533148827</v>
          </cell>
          <cell r="Z210">
            <v>1700000</v>
          </cell>
          <cell r="AA210">
            <v>1196020.3899999999</v>
          </cell>
          <cell r="AB210">
            <v>-4.5623289404062222</v>
          </cell>
          <cell r="AC210">
            <v>50584.559192953006</v>
          </cell>
          <cell r="AD210">
            <v>-321883.38613853528</v>
          </cell>
        </row>
        <row r="211">
          <cell r="A211" t="str">
            <v>Yucaipa</v>
          </cell>
          <cell r="B211">
            <v>3576931.9366017822</v>
          </cell>
          <cell r="C211">
            <v>87768.612041807326</v>
          </cell>
          <cell r="D211">
            <v>3664700.5486435895</v>
          </cell>
          <cell r="E211">
            <v>4000000</v>
          </cell>
          <cell r="F211">
            <v>0</v>
          </cell>
          <cell r="G211">
            <v>4000000</v>
          </cell>
          <cell r="H211">
            <v>7664700.548643589</v>
          </cell>
          <cell r="I211">
            <v>0</v>
          </cell>
          <cell r="J211">
            <v>7816036.5899999999</v>
          </cell>
          <cell r="K211">
            <v>0</v>
          </cell>
          <cell r="L211">
            <v>0</v>
          </cell>
          <cell r="M211">
            <v>0</v>
          </cell>
          <cell r="N211">
            <v>7816036.5899999999</v>
          </cell>
          <cell r="O211">
            <v>7816036.5899999999</v>
          </cell>
          <cell r="P211">
            <v>0</v>
          </cell>
          <cell r="Q211">
            <v>7816036.5899999999</v>
          </cell>
          <cell r="R211">
            <v>-151336.04135641083</v>
          </cell>
          <cell r="S211">
            <v>0</v>
          </cell>
          <cell r="T211">
            <v>-151336.04135641083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-151336.04135641083</v>
          </cell>
          <cell r="Z211">
            <v>0</v>
          </cell>
          <cell r="AA211">
            <v>2952615.48</v>
          </cell>
          <cell r="AB211">
            <v>-1.7242615308115397</v>
          </cell>
          <cell r="AC211">
            <v>51867.489462479614</v>
          </cell>
          <cell r="AD211">
            <v>-99468.551893931217</v>
          </cell>
        </row>
        <row r="212">
          <cell r="A212" t="str">
            <v>Yucca Valley</v>
          </cell>
          <cell r="B212">
            <v>1851959.367582849</v>
          </cell>
          <cell r="C212">
            <v>20447.693893866897</v>
          </cell>
          <cell r="D212">
            <v>1872407.0614767158</v>
          </cell>
          <cell r="E212">
            <v>0</v>
          </cell>
          <cell r="F212">
            <v>0</v>
          </cell>
          <cell r="G212">
            <v>0</v>
          </cell>
          <cell r="H212">
            <v>1872407.0614767158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/>
          <cell r="R212">
            <v>0</v>
          </cell>
          <cell r="S212">
            <v>1872407.0614767158</v>
          </cell>
          <cell r="T212">
            <v>1872407.0614767158</v>
          </cell>
          <cell r="U212">
            <v>0</v>
          </cell>
          <cell r="V212">
            <v>0</v>
          </cell>
          <cell r="W212">
            <v>0</v>
          </cell>
          <cell r="X212">
            <v>1872407.0614767158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1872407.0614767158</v>
          </cell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>
            <v>0</v>
          </cell>
        </row>
        <row r="214">
          <cell r="A214" t="str">
            <v>Grand Totals</v>
          </cell>
          <cell r="B214">
            <v>1508180237.179507</v>
          </cell>
          <cell r="C214">
            <v>30072973.256407958</v>
          </cell>
          <cell r="D214">
            <v>1538253210.4359155</v>
          </cell>
          <cell r="E214">
            <v>0</v>
          </cell>
          <cell r="F214">
            <v>0.46162862982600927</v>
          </cell>
          <cell r="G214">
            <v>0.46162863075733185</v>
          </cell>
          <cell r="H214">
            <v>1538753210.8975444</v>
          </cell>
          <cell r="I214">
            <v>238568</v>
          </cell>
          <cell r="J214">
            <v>1168658817.7695</v>
          </cell>
          <cell r="K214">
            <v>0</v>
          </cell>
          <cell r="L214">
            <v>15280808.630000006</v>
          </cell>
          <cell r="M214"/>
          <cell r="N214">
            <v>1183939626.3994997</v>
          </cell>
          <cell r="O214">
            <v>1183939626.3994997</v>
          </cell>
          <cell r="P214">
            <v>36335107.899900004</v>
          </cell>
          <cell r="Q214">
            <v>1220274734.2993996</v>
          </cell>
          <cell r="R214">
            <v>-18118173.961732414</v>
          </cell>
          <cell r="S214">
            <v>336596650.55987668</v>
          </cell>
          <cell r="T214">
            <v>318478476.59814423</v>
          </cell>
          <cell r="U214">
            <v>36896371.679999992</v>
          </cell>
          <cell r="V214">
            <v>65505053.049999997</v>
          </cell>
          <cell r="W214">
            <v>102401424.72999997</v>
          </cell>
          <cell r="X214">
            <v>246753233.54009524</v>
          </cell>
          <cell r="Y214">
            <v>-30676181.671950951</v>
          </cell>
          <cell r="Z214">
            <v>201414635</v>
          </cell>
          <cell r="AA214">
            <v>136032305.25</v>
          </cell>
          <cell r="AB214"/>
          <cell r="AC214">
            <v>20501809.357410029</v>
          </cell>
          <cell r="AD214">
            <v>236578861.28780934</v>
          </cell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</row>
        <row r="216">
          <cell r="B216"/>
          <cell r="C216"/>
          <cell r="D216"/>
          <cell r="E216"/>
          <cell r="F216"/>
          <cell r="G216"/>
          <cell r="H216"/>
          <cell r="I216" t="str">
            <v>Use for Historical Complete on Exhibit A (4)</v>
          </cell>
          <cell r="J216">
            <v>1168897385.7695</v>
          </cell>
          <cell r="K216"/>
          <cell r="L216">
            <v>15280808.640000006</v>
          </cell>
          <cell r="M216"/>
          <cell r="N216"/>
          <cell r="O216"/>
          <cell r="P216">
            <v>36335107.889899999</v>
          </cell>
          <cell r="Q216"/>
          <cell r="R216"/>
          <cell r="S216"/>
          <cell r="T216">
            <v>318478476.59814477</v>
          </cell>
          <cell r="U216">
            <v>36896371.679999992</v>
          </cell>
          <cell r="V216">
            <v>65505053.049999997</v>
          </cell>
          <cell r="W216">
            <v>102401424.72999999</v>
          </cell>
          <cell r="X216"/>
          <cell r="Y216"/>
          <cell r="Z216">
            <v>201414635</v>
          </cell>
          <cell r="AA216">
            <v>136032305.25</v>
          </cell>
          <cell r="AB216" t="str">
            <v>CK</v>
          </cell>
          <cell r="AD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 t="str">
            <v>Use for Historical Complete on Exhibit A (4)</v>
          </cell>
          <cell r="J217">
            <v>1145352855.5695</v>
          </cell>
          <cell r="K217"/>
          <cell r="L217">
            <v>24434672.210000031</v>
          </cell>
          <cell r="M217"/>
          <cell r="N217"/>
          <cell r="O217"/>
          <cell r="P217">
            <v>36880105.449899986</v>
          </cell>
          <cell r="Q217"/>
          <cell r="R217"/>
          <cell r="S217"/>
          <cell r="T217">
            <v>301751171.95010757</v>
          </cell>
          <cell r="U217">
            <v>13311243.860100001</v>
          </cell>
          <cell r="V217">
            <v>81526407.510000005</v>
          </cell>
          <cell r="W217">
            <v>94837651.370100006</v>
          </cell>
          <cell r="X217"/>
          <cell r="Y217"/>
          <cell r="Z217">
            <v>186314635</v>
          </cell>
          <cell r="AA217">
            <v>133121123.87</v>
          </cell>
          <cell r="AB217" t="str">
            <v>CK</v>
          </cell>
          <cell r="AC217">
            <v>20501809.357410025</v>
          </cell>
          <cell r="AD217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D2B7C-06D7-47CC-A122-5C3CE5C78A95}">
  <dimension ref="A1:XEY365"/>
  <sheetViews>
    <sheetView zoomScale="69" zoomScaleNormal="87" workbookViewId="0">
      <pane xSplit="2" ySplit="6" topLeftCell="S7" activePane="bottomRight" state="frozen"/>
      <selection pane="bottomRight" activeCell="AK356" sqref="AK356"/>
      <selection pane="bottomLeft" activeCell="A7" sqref="A7"/>
      <selection pane="topRight" activeCell="C1" sqref="C1"/>
    </sheetView>
  </sheetViews>
  <sheetFormatPr defaultColWidth="8.85546875" defaultRowHeight="12.95"/>
  <cols>
    <col min="1" max="1" width="36" style="508" customWidth="1"/>
    <col min="2" max="2" width="49.5703125" style="164" bestFit="1" customWidth="1"/>
    <col min="3" max="3" width="16.5703125" style="155" bestFit="1" customWidth="1"/>
    <col min="4" max="7" width="16.5703125" style="153" customWidth="1"/>
    <col min="8" max="8" width="16.5703125" style="674" customWidth="1"/>
    <col min="9" max="9" width="47.42578125" style="508" customWidth="1"/>
    <col min="10" max="10" width="35.140625" style="153" customWidth="1"/>
    <col min="11" max="11" width="25.42578125" style="572" customWidth="1"/>
    <col min="12" max="12" width="23.140625" style="153" customWidth="1"/>
    <col min="13" max="13" width="18.5703125" style="153" customWidth="1"/>
    <col min="14" max="14" width="15.42578125" style="156" customWidth="1"/>
    <col min="15" max="15" width="18.42578125" style="156" customWidth="1"/>
    <col min="16" max="16" width="14.140625" style="156" customWidth="1"/>
    <col min="17" max="17" width="22.42578125" style="149" customWidth="1"/>
    <col min="18" max="19" width="16.140625" style="156" customWidth="1"/>
    <col min="20" max="20" width="14.140625" style="153" customWidth="1"/>
    <col min="21" max="21" width="18.140625" style="153" customWidth="1"/>
    <col min="22" max="22" width="17.42578125" style="590" customWidth="1"/>
    <col min="23" max="23" width="12" style="149" customWidth="1"/>
    <col min="24" max="24" width="11" style="149" customWidth="1"/>
    <col min="25" max="25" width="12.5703125" style="149" customWidth="1"/>
    <col min="26" max="26" width="15.5703125" style="149" customWidth="1"/>
    <col min="27" max="27" width="12" style="149" customWidth="1"/>
    <col min="28" max="28" width="14.5703125" style="153" customWidth="1"/>
    <col min="29" max="29" width="12.85546875" style="594" customWidth="1"/>
    <col min="30" max="31" width="17.5703125" style="149" customWidth="1"/>
    <col min="32" max="32" width="11.42578125" style="153" customWidth="1"/>
    <col min="33" max="33" width="15.42578125" style="153" customWidth="1"/>
    <col min="34" max="34" width="16.140625" style="595" customWidth="1"/>
    <col min="35" max="35" width="16.140625" style="614" customWidth="1"/>
    <col min="36" max="36" width="10.5703125" style="608" customWidth="1"/>
    <col min="37" max="37" width="23" style="153" customWidth="1"/>
    <col min="38" max="38" width="15.5703125" style="153" customWidth="1"/>
    <col min="39" max="39" width="22.85546875" style="153" customWidth="1"/>
    <col min="40" max="40" width="18.42578125" style="153" customWidth="1"/>
    <col min="41" max="41" width="18" style="153" customWidth="1"/>
    <col min="42" max="42" width="14.5703125" style="519" customWidth="1"/>
    <col min="43" max="43" width="13.5703125" style="574" customWidth="1"/>
    <col min="44" max="44" width="11.140625" style="153" customWidth="1"/>
    <col min="45" max="45" width="15.5703125" style="153" customWidth="1"/>
    <col min="46" max="46" width="12.42578125" style="153" customWidth="1"/>
    <col min="47" max="51" width="15.140625" style="153" customWidth="1"/>
    <col min="52" max="52" width="15.85546875" style="153" customWidth="1"/>
    <col min="53" max="53" width="11.140625" style="153" customWidth="1"/>
    <col min="54" max="54" width="16.42578125" style="574" customWidth="1"/>
    <col min="55" max="55" width="13.42578125" style="780" customWidth="1"/>
    <col min="56" max="56" width="24" style="508" customWidth="1"/>
    <col min="57" max="57" width="17" style="680" customWidth="1"/>
    <col min="58" max="58" width="17.140625" style="153" customWidth="1"/>
    <col min="59" max="59" width="22.140625" style="94" customWidth="1"/>
    <col min="60" max="60" width="26" style="766" customWidth="1"/>
    <col min="61" max="61" width="18.5703125" style="770" customWidth="1"/>
    <col min="62" max="62" width="17.5703125" style="770" bestFit="1" customWidth="1"/>
    <col min="63" max="63" width="21.140625" style="153" customWidth="1"/>
    <col min="64" max="64" width="18.5703125" style="153" customWidth="1"/>
    <col min="65" max="65" width="12.85546875" style="94" customWidth="1"/>
    <col min="66" max="66" width="13.42578125" style="155" customWidth="1"/>
    <col min="67" max="67" width="13.42578125" style="153" customWidth="1"/>
    <col min="68" max="68" width="11.5703125" style="153" customWidth="1"/>
    <col min="69" max="69" width="20.140625" style="153" customWidth="1"/>
    <col min="70" max="74" width="18.140625" style="153" bestFit="1" customWidth="1"/>
    <col min="75" max="75" width="18.140625" style="153" customWidth="1"/>
    <col min="76" max="76" width="18.140625" style="153" bestFit="1" customWidth="1"/>
    <col min="77" max="77" width="18" style="153" customWidth="1"/>
    <col min="78" max="78" width="12.85546875" style="153" customWidth="1"/>
    <col min="79" max="79" width="11.85546875" style="616" customWidth="1"/>
    <col min="80" max="80" width="14.5703125" style="153" customWidth="1"/>
    <col min="81" max="83" width="12.85546875" style="153" customWidth="1"/>
    <col min="84" max="16384" width="8.85546875" style="153"/>
  </cols>
  <sheetData>
    <row r="1" spans="1:83" s="150" customFormat="1" ht="18.95" customHeight="1">
      <c r="A1" s="498"/>
      <c r="B1" s="158"/>
      <c r="C1" s="151"/>
      <c r="H1" s="668"/>
      <c r="I1" s="498"/>
      <c r="K1" s="515"/>
      <c r="N1" s="152"/>
      <c r="O1" s="152"/>
      <c r="P1" s="152"/>
      <c r="Q1" s="147"/>
      <c r="R1" s="152"/>
      <c r="S1" s="152"/>
      <c r="V1" s="588"/>
      <c r="W1" s="147"/>
      <c r="X1" s="147"/>
      <c r="Y1" s="147"/>
      <c r="Z1" s="147"/>
      <c r="AA1" s="147"/>
      <c r="AC1" s="591"/>
      <c r="AD1" s="147"/>
      <c r="AE1" s="147"/>
      <c r="AH1" s="599"/>
      <c r="AI1" s="610"/>
      <c r="AJ1" s="600"/>
      <c r="AP1" s="162"/>
      <c r="AQ1" s="574"/>
      <c r="BC1" s="936"/>
      <c r="BE1" s="574"/>
      <c r="BG1" s="94"/>
      <c r="BI1" s="776"/>
      <c r="BM1" s="94"/>
      <c r="BN1" s="151"/>
      <c r="CA1" s="617"/>
    </row>
    <row r="2" spans="1:83" s="150" customFormat="1" ht="9" customHeight="1" thickBot="1">
      <c r="A2" s="498"/>
      <c r="B2" s="158"/>
      <c r="C2" s="151"/>
      <c r="H2" s="668"/>
      <c r="I2" s="498"/>
      <c r="K2" s="515"/>
      <c r="N2" s="152"/>
      <c r="O2" s="152"/>
      <c r="P2" s="152"/>
      <c r="Q2" s="937"/>
      <c r="R2" s="152"/>
      <c r="S2" s="152"/>
      <c r="V2" s="588"/>
      <c r="W2" s="937"/>
      <c r="X2" s="937"/>
      <c r="Y2" s="937"/>
      <c r="Z2" s="937"/>
      <c r="AA2" s="937"/>
      <c r="AB2" s="1096"/>
      <c r="AC2" s="938"/>
      <c r="AD2" s="937"/>
      <c r="AE2" s="937"/>
      <c r="AF2" s="1096"/>
      <c r="AG2" s="1096"/>
      <c r="AH2" s="601"/>
      <c r="AI2" s="611"/>
      <c r="AJ2" s="600"/>
      <c r="AP2" s="162"/>
      <c r="AQ2" s="574"/>
      <c r="BB2" s="939"/>
      <c r="BC2" s="784"/>
      <c r="BD2" s="498"/>
      <c r="BE2" s="574"/>
      <c r="BG2" s="94"/>
      <c r="BH2" s="766"/>
      <c r="BI2" s="770"/>
      <c r="BJ2" s="770"/>
      <c r="BM2" s="94"/>
      <c r="BN2" s="151"/>
      <c r="CA2" s="617"/>
    </row>
    <row r="3" spans="1:83" s="150" customFormat="1" ht="11.1" customHeight="1" thickBot="1">
      <c r="A3" s="498"/>
      <c r="B3" s="522" t="s">
        <v>0</v>
      </c>
      <c r="C3" s="493"/>
      <c r="D3" s="493"/>
      <c r="E3" s="493"/>
      <c r="F3" s="493"/>
      <c r="G3" s="493"/>
      <c r="H3" s="669"/>
      <c r="I3" s="493"/>
      <c r="J3" s="779"/>
      <c r="K3" s="570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589"/>
      <c r="W3" s="497"/>
      <c r="X3" s="497"/>
      <c r="Y3" s="497"/>
      <c r="Z3" s="497"/>
      <c r="AA3" s="497"/>
      <c r="AB3" s="493"/>
      <c r="AC3" s="592"/>
      <c r="AD3" s="497"/>
      <c r="AE3" s="497"/>
      <c r="AF3" s="493"/>
      <c r="AG3" s="493"/>
      <c r="AH3" s="602"/>
      <c r="AI3" s="612"/>
      <c r="AJ3" s="603"/>
      <c r="AK3" s="493"/>
      <c r="AL3" s="493"/>
      <c r="AM3" s="493"/>
      <c r="AN3" s="493"/>
      <c r="AO3" s="493"/>
      <c r="AP3" s="493"/>
      <c r="AQ3" s="575"/>
      <c r="AR3" s="493"/>
      <c r="AS3" s="493"/>
      <c r="AT3" s="779"/>
      <c r="AU3" s="493"/>
      <c r="AV3" s="493"/>
      <c r="AW3" s="493"/>
      <c r="AX3" s="493"/>
      <c r="AY3" s="493"/>
      <c r="AZ3" s="493"/>
      <c r="BA3" s="493"/>
      <c r="BB3" s="575"/>
      <c r="BC3" s="781"/>
      <c r="BD3" s="493"/>
      <c r="BE3" s="575"/>
      <c r="BF3" s="493"/>
      <c r="BG3" s="495"/>
      <c r="BH3" s="767"/>
      <c r="BI3" s="771"/>
      <c r="BJ3" s="771"/>
      <c r="BK3" s="493"/>
      <c r="BL3" s="493"/>
      <c r="BM3" s="495"/>
      <c r="BN3" s="509"/>
      <c r="BO3" s="493"/>
      <c r="BP3" s="493"/>
      <c r="BQ3" s="493"/>
      <c r="BR3" s="493"/>
      <c r="BS3" s="493"/>
      <c r="BT3" s="493"/>
      <c r="BU3" s="493"/>
      <c r="BV3" s="493"/>
      <c r="BW3" s="493"/>
      <c r="BX3" s="493"/>
      <c r="BY3" s="493"/>
      <c r="BZ3" s="493"/>
      <c r="CA3" s="618"/>
      <c r="CB3" s="493"/>
      <c r="CC3" s="493"/>
      <c r="CD3" s="493"/>
      <c r="CE3" s="494"/>
    </row>
    <row r="4" spans="1:83" s="150" customFormat="1" ht="13.35" customHeight="1">
      <c r="A4" s="940"/>
      <c r="B4" s="1123"/>
      <c r="C4" s="1124"/>
      <c r="D4" s="1124"/>
      <c r="E4" s="1124"/>
      <c r="F4" s="1124"/>
      <c r="G4" s="1124"/>
      <c r="H4" s="1125"/>
      <c r="I4" s="1123"/>
      <c r="J4" s="1123"/>
      <c r="K4" s="1126"/>
      <c r="L4" s="1124"/>
      <c r="M4" s="1127"/>
      <c r="N4" s="1128"/>
      <c r="O4" s="1124"/>
      <c r="P4" s="1124"/>
      <c r="Q4" s="1124"/>
      <c r="R4" s="1124"/>
      <c r="S4" s="1124"/>
      <c r="T4" s="1124"/>
      <c r="U4" s="1127"/>
      <c r="V4" s="941"/>
      <c r="W4" s="942"/>
      <c r="X4" s="942"/>
      <c r="Y4" s="942"/>
      <c r="Z4" s="942"/>
      <c r="AA4" s="942"/>
      <c r="AB4" s="942"/>
      <c r="AC4" s="943"/>
      <c r="AD4" s="944"/>
      <c r="AE4" s="945"/>
      <c r="AF4" s="1116"/>
      <c r="AG4" s="1117"/>
      <c r="AH4" s="1129"/>
      <c r="AI4" s="1130"/>
      <c r="AJ4" s="1131"/>
      <c r="AK4" s="1118"/>
      <c r="AL4" s="1116"/>
      <c r="AM4" s="1117"/>
      <c r="AN4" s="1117"/>
      <c r="AO4" s="1117"/>
      <c r="AP4" s="1132"/>
      <c r="AQ4" s="1129"/>
      <c r="AR4" s="1117"/>
      <c r="AS4" s="1117"/>
      <c r="AT4" s="1133"/>
      <c r="AU4" s="1117"/>
      <c r="AV4" s="1117"/>
      <c r="AW4" s="1117"/>
      <c r="AX4" s="1117"/>
      <c r="AY4" s="1117"/>
      <c r="AZ4" s="1117"/>
      <c r="BA4" s="1117"/>
      <c r="BB4" s="1134"/>
      <c r="BC4" s="1135"/>
      <c r="BD4" s="1136"/>
      <c r="BE4" s="576"/>
      <c r="BF4" s="1088"/>
      <c r="BG4" s="1095"/>
      <c r="BH4" s="768"/>
      <c r="BI4" s="772"/>
      <c r="BJ4" s="772"/>
      <c r="BK4" s="942"/>
      <c r="BL4" s="942"/>
      <c r="BM4" s="510"/>
      <c r="BN4" s="942"/>
      <c r="BO4" s="942"/>
      <c r="BP4" s="942"/>
      <c r="BQ4" s="1099"/>
      <c r="BR4" s="1116"/>
      <c r="BS4" s="1117"/>
      <c r="BT4" s="1117"/>
      <c r="BU4" s="1117"/>
      <c r="BV4" s="1117"/>
      <c r="BW4" s="1117"/>
      <c r="BX4" s="1117"/>
      <c r="BY4" s="1118"/>
      <c r="BZ4" s="1105"/>
      <c r="CA4" s="1106"/>
      <c r="CB4" s="1107"/>
      <c r="CC4" s="1107"/>
      <c r="CD4" s="1107"/>
      <c r="CE4" s="1108"/>
    </row>
    <row r="5" spans="1:83" s="150" customFormat="1" ht="12.6" customHeight="1">
      <c r="A5" s="940"/>
      <c r="B5" s="1091"/>
      <c r="C5" s="1092"/>
      <c r="D5" s="1092"/>
      <c r="E5" s="1092"/>
      <c r="F5" s="1092"/>
      <c r="G5" s="1092"/>
      <c r="H5" s="1093"/>
      <c r="I5" s="946"/>
      <c r="J5" s="1092"/>
      <c r="K5" s="947" t="s">
        <v>1</v>
      </c>
      <c r="L5" s="1092"/>
      <c r="M5" s="1094"/>
      <c r="N5" s="948"/>
      <c r="O5" s="949"/>
      <c r="P5" s="949"/>
      <c r="Q5" s="950"/>
      <c r="R5" s="949"/>
      <c r="S5" s="949"/>
      <c r="T5" s="1092"/>
      <c r="U5" s="1094"/>
      <c r="V5" s="951"/>
      <c r="W5" s="950"/>
      <c r="X5" s="950"/>
      <c r="Y5" s="950"/>
      <c r="Z5" s="950"/>
      <c r="AA5" s="950"/>
      <c r="AB5" s="952"/>
      <c r="AC5" s="943"/>
      <c r="AD5" s="950"/>
      <c r="AE5" s="953"/>
      <c r="AF5" s="1087"/>
      <c r="AG5" s="1088"/>
      <c r="AH5" s="604"/>
      <c r="AI5" s="613"/>
      <c r="AJ5" s="605"/>
      <c r="AK5" s="1088"/>
      <c r="AL5" s="1109" t="s">
        <v>2</v>
      </c>
      <c r="AM5" s="1110"/>
      <c r="AN5" s="1110"/>
      <c r="AO5" s="1110"/>
      <c r="AP5" s="764"/>
      <c r="AQ5" s="576"/>
      <c r="AR5" s="1088"/>
      <c r="AS5" s="1088"/>
      <c r="AT5" s="1086"/>
      <c r="AU5" s="954"/>
      <c r="AV5" s="954"/>
      <c r="AW5" s="954"/>
      <c r="AX5" s="1088"/>
      <c r="AY5" s="1088"/>
      <c r="AZ5" s="1088"/>
      <c r="BA5" s="1088"/>
      <c r="BB5" s="1097"/>
      <c r="BC5" s="1098"/>
      <c r="BD5" s="955"/>
      <c r="BE5" s="576"/>
      <c r="BF5" s="1088"/>
      <c r="BG5" s="1095"/>
      <c r="BH5" s="947" t="s">
        <v>1</v>
      </c>
      <c r="BI5" s="773"/>
      <c r="BJ5" s="773"/>
      <c r="BK5" s="1088"/>
      <c r="BL5" s="1111"/>
      <c r="BM5" s="1112"/>
      <c r="BN5" s="1111"/>
      <c r="BO5" s="1088"/>
      <c r="BP5" s="1088"/>
      <c r="BQ5" s="1089"/>
      <c r="BR5" s="1113"/>
      <c r="BS5" s="1111"/>
      <c r="BT5" s="1111"/>
      <c r="BU5" s="1111"/>
      <c r="BV5" s="1111"/>
      <c r="BW5" s="1111"/>
      <c r="BX5" s="1111"/>
      <c r="BY5" s="1089"/>
      <c r="BZ5" s="1087"/>
      <c r="CA5" s="956"/>
      <c r="CB5" s="1088"/>
      <c r="CC5" s="1088"/>
      <c r="CD5" s="1088"/>
      <c r="CE5" s="1089"/>
    </row>
    <row r="6" spans="1:83" s="150" customFormat="1" ht="91.5" customHeight="1">
      <c r="A6" s="135" t="s">
        <v>3</v>
      </c>
      <c r="B6" s="138" t="s">
        <v>4</v>
      </c>
      <c r="C6" s="139" t="s">
        <v>5</v>
      </c>
      <c r="D6" s="139" t="s">
        <v>6</v>
      </c>
      <c r="E6" s="139" t="s">
        <v>7</v>
      </c>
      <c r="F6" s="139" t="s">
        <v>8</v>
      </c>
      <c r="G6" s="139" t="s">
        <v>9</v>
      </c>
      <c r="H6" s="677" t="s">
        <v>10</v>
      </c>
      <c r="I6" s="139" t="s">
        <v>11</v>
      </c>
      <c r="J6" s="138" t="s">
        <v>12</v>
      </c>
      <c r="K6" s="571" t="s">
        <v>13</v>
      </c>
      <c r="L6" s="138" t="s">
        <v>14</v>
      </c>
      <c r="M6" s="138" t="s">
        <v>15</v>
      </c>
      <c r="N6" s="138" t="s">
        <v>16</v>
      </c>
      <c r="O6" s="146" t="s">
        <v>17</v>
      </c>
      <c r="P6" s="146" t="s">
        <v>18</v>
      </c>
      <c r="Q6" s="146" t="s">
        <v>19</v>
      </c>
      <c r="R6" s="146" t="s">
        <v>20</v>
      </c>
      <c r="S6" s="146" t="s">
        <v>21</v>
      </c>
      <c r="T6" s="146" t="s">
        <v>22</v>
      </c>
      <c r="U6" s="138" t="s">
        <v>23</v>
      </c>
      <c r="V6" s="139" t="s">
        <v>24</v>
      </c>
      <c r="W6" s="138" t="s">
        <v>25</v>
      </c>
      <c r="X6" s="138" t="s">
        <v>26</v>
      </c>
      <c r="Y6" s="138" t="s">
        <v>27</v>
      </c>
      <c r="Z6" s="138" t="s">
        <v>28</v>
      </c>
      <c r="AA6" s="136" t="s">
        <v>29</v>
      </c>
      <c r="AB6" s="139" t="s">
        <v>30</v>
      </c>
      <c r="AC6" s="148" t="s">
        <v>31</v>
      </c>
      <c r="AD6" s="148" t="s">
        <v>32</v>
      </c>
      <c r="AE6" s="148" t="s">
        <v>33</v>
      </c>
      <c r="AF6" s="139" t="s">
        <v>34</v>
      </c>
      <c r="AG6" s="139" t="s">
        <v>35</v>
      </c>
      <c r="AH6" s="684" t="s">
        <v>36</v>
      </c>
      <c r="AI6" s="684" t="s">
        <v>37</v>
      </c>
      <c r="AJ6" s="139" t="s">
        <v>38</v>
      </c>
      <c r="AK6" s="788" t="s">
        <v>39</v>
      </c>
      <c r="AL6" s="789" t="s">
        <v>40</v>
      </c>
      <c r="AM6" s="587" t="s">
        <v>41</v>
      </c>
      <c r="AN6" s="587" t="s">
        <v>42</v>
      </c>
      <c r="AO6" s="790" t="s">
        <v>43</v>
      </c>
      <c r="AP6" s="577" t="s">
        <v>44</v>
      </c>
      <c r="AQ6" s="577" t="s">
        <v>45</v>
      </c>
      <c r="AR6" s="139" t="s">
        <v>46</v>
      </c>
      <c r="AS6" s="139" t="s">
        <v>47</v>
      </c>
      <c r="AT6" s="139" t="s">
        <v>48</v>
      </c>
      <c r="AU6" s="139" t="s">
        <v>49</v>
      </c>
      <c r="AV6" s="139" t="s">
        <v>50</v>
      </c>
      <c r="AW6" s="139" t="s">
        <v>51</v>
      </c>
      <c r="AX6" s="139" t="s">
        <v>52</v>
      </c>
      <c r="AY6" s="139" t="s">
        <v>53</v>
      </c>
      <c r="AZ6" s="139" t="s">
        <v>54</v>
      </c>
      <c r="BA6" s="139" t="s">
        <v>55</v>
      </c>
      <c r="BB6" s="587" t="s">
        <v>56</v>
      </c>
      <c r="BC6" s="782" t="s">
        <v>57</v>
      </c>
      <c r="BD6" s="957" t="s">
        <v>58</v>
      </c>
      <c r="BE6" s="582" t="s">
        <v>59</v>
      </c>
      <c r="BF6" s="582" t="s">
        <v>60</v>
      </c>
      <c r="BG6" s="148" t="s">
        <v>61</v>
      </c>
      <c r="BH6" s="577" t="s">
        <v>62</v>
      </c>
      <c r="BI6" s="785" t="s">
        <v>63</v>
      </c>
      <c r="BJ6" s="577" t="s">
        <v>64</v>
      </c>
      <c r="BK6" s="577" t="s">
        <v>65</v>
      </c>
      <c r="BL6" s="148" t="s">
        <v>66</v>
      </c>
      <c r="BM6" s="148" t="s">
        <v>67</v>
      </c>
      <c r="BN6" s="148" t="s">
        <v>68</v>
      </c>
      <c r="BO6" s="148" t="s">
        <v>69</v>
      </c>
      <c r="BP6" s="148" t="s">
        <v>70</v>
      </c>
      <c r="BQ6" s="139" t="s">
        <v>71</v>
      </c>
      <c r="BR6" s="139" t="s">
        <v>72</v>
      </c>
      <c r="BS6" s="139" t="s">
        <v>73</v>
      </c>
      <c r="BT6" s="139" t="s">
        <v>74</v>
      </c>
      <c r="BU6" s="139" t="s">
        <v>75</v>
      </c>
      <c r="BV6" s="139" t="s">
        <v>76</v>
      </c>
      <c r="BW6" s="139" t="s">
        <v>77</v>
      </c>
      <c r="BX6" s="139" t="s">
        <v>78</v>
      </c>
      <c r="BY6" s="139" t="s">
        <v>79</v>
      </c>
      <c r="BZ6" s="139" t="s">
        <v>80</v>
      </c>
      <c r="CA6" s="139" t="s">
        <v>81</v>
      </c>
      <c r="CB6" s="139" t="s">
        <v>82</v>
      </c>
      <c r="CC6" s="139" t="s">
        <v>83</v>
      </c>
      <c r="CD6" s="139" t="s">
        <v>84</v>
      </c>
      <c r="CE6" s="139" t="s">
        <v>85</v>
      </c>
    </row>
    <row r="7" spans="1:83" ht="19.5" customHeight="1">
      <c r="A7" s="965"/>
      <c r="B7" s="966" t="s">
        <v>86</v>
      </c>
      <c r="C7" s="967" t="s">
        <v>86</v>
      </c>
      <c r="D7" s="968" t="s">
        <v>86</v>
      </c>
      <c r="E7" s="968" t="s">
        <v>87</v>
      </c>
      <c r="F7" s="968"/>
      <c r="G7" s="968" t="s">
        <v>88</v>
      </c>
      <c r="H7" s="968" t="s">
        <v>89</v>
      </c>
      <c r="I7" s="965" t="s">
        <v>90</v>
      </c>
      <c r="J7" s="968" t="s">
        <v>91</v>
      </c>
      <c r="K7" s="969" t="s">
        <v>92</v>
      </c>
      <c r="L7" s="968" t="s">
        <v>92</v>
      </c>
      <c r="M7" s="968" t="s">
        <v>93</v>
      </c>
      <c r="N7" s="970" t="s">
        <v>94</v>
      </c>
      <c r="O7" s="970" t="s">
        <v>94</v>
      </c>
      <c r="P7" s="970" t="s">
        <v>94</v>
      </c>
      <c r="Q7" s="970" t="s">
        <v>95</v>
      </c>
      <c r="R7" s="970" t="s">
        <v>94</v>
      </c>
      <c r="S7" s="970" t="s">
        <v>94</v>
      </c>
      <c r="T7" s="968" t="s">
        <v>92</v>
      </c>
      <c r="U7" s="968" t="s">
        <v>93</v>
      </c>
      <c r="V7" s="971" t="s">
        <v>95</v>
      </c>
      <c r="W7" s="971" t="s">
        <v>95</v>
      </c>
      <c r="X7" s="971" t="s">
        <v>95</v>
      </c>
      <c r="Y7" s="971" t="s">
        <v>95</v>
      </c>
      <c r="Z7" s="971" t="s">
        <v>95</v>
      </c>
      <c r="AA7" s="971" t="s">
        <v>95</v>
      </c>
      <c r="AB7" s="968" t="s">
        <v>92</v>
      </c>
      <c r="AC7" s="972" t="s">
        <v>87</v>
      </c>
      <c r="AD7" s="968" t="s">
        <v>95</v>
      </c>
      <c r="AE7" s="968" t="s">
        <v>95</v>
      </c>
      <c r="AF7" s="973" t="s">
        <v>87</v>
      </c>
      <c r="AG7" s="973" t="s">
        <v>87</v>
      </c>
      <c r="AH7" s="974" t="s">
        <v>96</v>
      </c>
      <c r="AI7" s="975"/>
      <c r="AJ7" s="976" t="s">
        <v>97</v>
      </c>
      <c r="AK7" s="973" t="s">
        <v>92</v>
      </c>
      <c r="AL7" s="793" t="s">
        <v>92</v>
      </c>
      <c r="AM7" s="792" t="s">
        <v>98</v>
      </c>
      <c r="AN7" s="792" t="s">
        <v>98</v>
      </c>
      <c r="AO7" s="794" t="s">
        <v>98</v>
      </c>
      <c r="AP7" s="137" t="s">
        <v>99</v>
      </c>
      <c r="AQ7" s="977" t="s">
        <v>99</v>
      </c>
      <c r="AR7" s="973" t="s">
        <v>99</v>
      </c>
      <c r="AS7" s="973" t="s">
        <v>99</v>
      </c>
      <c r="AT7" s="973" t="s">
        <v>99</v>
      </c>
      <c r="AU7" s="973" t="s">
        <v>99</v>
      </c>
      <c r="AV7" s="973" t="s">
        <v>99</v>
      </c>
      <c r="AW7" s="973" t="s">
        <v>98</v>
      </c>
      <c r="AX7" s="973" t="s">
        <v>99</v>
      </c>
      <c r="AY7" s="973" t="s">
        <v>98</v>
      </c>
      <c r="AZ7" s="973" t="s">
        <v>99</v>
      </c>
      <c r="BA7" s="973" t="s">
        <v>99</v>
      </c>
      <c r="BB7" s="973" t="s">
        <v>99</v>
      </c>
      <c r="BC7" s="972" t="s">
        <v>99</v>
      </c>
      <c r="BD7" s="973" t="s">
        <v>100</v>
      </c>
      <c r="BE7" s="977" t="s">
        <v>99</v>
      </c>
      <c r="BF7" s="973" t="s">
        <v>95</v>
      </c>
      <c r="BG7" s="496" t="s">
        <v>99</v>
      </c>
      <c r="BH7" s="973" t="s">
        <v>99</v>
      </c>
      <c r="BI7" s="978" t="s">
        <v>99</v>
      </c>
      <c r="BJ7" s="978" t="s">
        <v>99</v>
      </c>
      <c r="BK7" s="968" t="s">
        <v>92</v>
      </c>
      <c r="BL7" s="968" t="s">
        <v>93</v>
      </c>
      <c r="BM7" s="496" t="s">
        <v>99</v>
      </c>
      <c r="BN7" s="967" t="s">
        <v>92</v>
      </c>
      <c r="BO7" s="968" t="s">
        <v>98</v>
      </c>
      <c r="BP7" s="973" t="s">
        <v>99</v>
      </c>
      <c r="BQ7" s="968" t="s">
        <v>92</v>
      </c>
      <c r="BR7" s="968" t="s">
        <v>93</v>
      </c>
      <c r="BS7" s="968" t="s">
        <v>93</v>
      </c>
      <c r="BT7" s="968" t="s">
        <v>93</v>
      </c>
      <c r="BU7" s="968" t="s">
        <v>93</v>
      </c>
      <c r="BV7" s="968" t="s">
        <v>93</v>
      </c>
      <c r="BW7" s="968" t="s">
        <v>93</v>
      </c>
      <c r="BX7" s="968" t="s">
        <v>93</v>
      </c>
      <c r="BY7" s="968" t="s">
        <v>92</v>
      </c>
      <c r="BZ7" s="968" t="s">
        <v>92</v>
      </c>
      <c r="CA7" s="973" t="s">
        <v>99</v>
      </c>
      <c r="CB7" s="973" t="s">
        <v>99</v>
      </c>
      <c r="CC7" s="968" t="s">
        <v>92</v>
      </c>
      <c r="CD7" s="973" t="s">
        <v>99</v>
      </c>
      <c r="CE7" s="973" t="s">
        <v>99</v>
      </c>
    </row>
    <row r="8" spans="1:83" ht="14.45" customHeight="1">
      <c r="A8" s="979" t="s">
        <v>101</v>
      </c>
      <c r="B8" s="157"/>
      <c r="C8" s="157"/>
      <c r="D8" s="157"/>
      <c r="E8" s="157"/>
      <c r="F8" s="157"/>
      <c r="G8" s="157"/>
      <c r="H8" s="157"/>
      <c r="I8" s="516"/>
      <c r="J8" s="157"/>
      <c r="K8" s="157">
        <v>1</v>
      </c>
      <c r="L8" s="157"/>
      <c r="M8" s="157"/>
      <c r="N8" s="159"/>
      <c r="O8" s="159"/>
      <c r="P8" s="159"/>
      <c r="Q8" s="159"/>
      <c r="R8" s="159"/>
      <c r="S8" s="159"/>
      <c r="T8" s="157"/>
      <c r="U8" s="157"/>
      <c r="V8" s="517"/>
      <c r="W8" s="517"/>
      <c r="X8" s="517"/>
      <c r="Y8" s="517"/>
      <c r="Z8" s="517"/>
      <c r="AA8" s="517"/>
      <c r="AB8" s="160"/>
      <c r="AC8" s="593"/>
      <c r="AD8" s="160"/>
      <c r="AE8" s="160"/>
      <c r="AF8" s="160"/>
      <c r="AG8" s="160"/>
      <c r="AH8" s="606"/>
      <c r="AI8" s="681"/>
      <c r="AJ8" s="606"/>
      <c r="AK8" s="980"/>
      <c r="AL8" s="795"/>
      <c r="AM8" s="160"/>
      <c r="AN8" s="160"/>
      <c r="AO8" s="796"/>
      <c r="AP8" s="161"/>
      <c r="AQ8" s="159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59"/>
      <c r="BF8" s="160"/>
      <c r="BG8" s="161"/>
      <c r="BH8" s="160"/>
      <c r="BI8" s="786"/>
      <c r="BJ8" s="160"/>
      <c r="BK8" s="160"/>
      <c r="BL8" s="160"/>
      <c r="BM8" s="161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980"/>
      <c r="CA8" s="980"/>
      <c r="CB8" s="980"/>
      <c r="CC8" s="980"/>
      <c r="CD8" s="980"/>
      <c r="CE8" s="980"/>
    </row>
    <row r="9" spans="1:83" ht="14.1" customHeight="1">
      <c r="A9" s="503" t="s">
        <v>102</v>
      </c>
      <c r="B9" s="981" t="s">
        <v>103</v>
      </c>
      <c r="C9" s="958" t="s">
        <v>103</v>
      </c>
      <c r="D9" s="958" t="s">
        <v>103</v>
      </c>
      <c r="E9" s="958" t="s">
        <v>103</v>
      </c>
      <c r="F9" s="958" t="s">
        <v>103</v>
      </c>
      <c r="G9" s="958" t="s">
        <v>104</v>
      </c>
      <c r="H9" s="673">
        <v>8.3998320033599333E-3</v>
      </c>
      <c r="I9" s="982" t="s">
        <v>103</v>
      </c>
      <c r="J9" s="958" t="s">
        <v>103</v>
      </c>
      <c r="K9" s="958" t="s">
        <v>103</v>
      </c>
      <c r="L9" s="958" t="s">
        <v>103</v>
      </c>
      <c r="M9" s="155" t="s">
        <v>103</v>
      </c>
      <c r="N9" s="983">
        <v>0</v>
      </c>
      <c r="O9" s="983" t="s">
        <v>103</v>
      </c>
      <c r="P9" s="983">
        <v>0</v>
      </c>
      <c r="Q9" s="958" t="s">
        <v>103</v>
      </c>
      <c r="R9" s="983">
        <v>0</v>
      </c>
      <c r="S9" s="983">
        <v>0</v>
      </c>
      <c r="T9" s="958" t="s">
        <v>105</v>
      </c>
      <c r="U9" s="958" t="s">
        <v>104</v>
      </c>
      <c r="V9" s="518" t="s">
        <v>103</v>
      </c>
      <c r="W9" s="518" t="s">
        <v>103</v>
      </c>
      <c r="X9" s="518" t="s">
        <v>103</v>
      </c>
      <c r="Y9" s="518" t="s">
        <v>103</v>
      </c>
      <c r="Z9" s="518" t="s">
        <v>103</v>
      </c>
      <c r="AA9" s="518" t="s">
        <v>103</v>
      </c>
      <c r="AB9" s="984" t="s">
        <v>103</v>
      </c>
      <c r="AC9" s="959" t="s">
        <v>103</v>
      </c>
      <c r="AD9" s="984" t="s">
        <v>103</v>
      </c>
      <c r="AE9" s="984" t="s">
        <v>103</v>
      </c>
      <c r="AF9" s="984" t="s">
        <v>103</v>
      </c>
      <c r="AG9" s="984" t="s">
        <v>103</v>
      </c>
      <c r="AH9" s="985" t="s">
        <v>103</v>
      </c>
      <c r="AI9" s="960" t="s">
        <v>103</v>
      </c>
      <c r="AJ9" s="985" t="s">
        <v>103</v>
      </c>
      <c r="AK9" s="155" t="s">
        <v>103</v>
      </c>
      <c r="AL9" s="986"/>
      <c r="AM9" s="987"/>
      <c r="AN9" s="987"/>
      <c r="AO9" s="988"/>
      <c r="AP9" s="961">
        <v>0</v>
      </c>
      <c r="AQ9" s="578">
        <v>0</v>
      </c>
      <c r="AR9" s="155" t="s">
        <v>103</v>
      </c>
      <c r="AS9" s="155" t="s">
        <v>103</v>
      </c>
      <c r="AT9" s="155" t="s">
        <v>103</v>
      </c>
      <c r="AU9" s="155" t="s">
        <v>103</v>
      </c>
      <c r="AV9" s="155" t="s">
        <v>103</v>
      </c>
      <c r="AW9" s="155" t="s">
        <v>103</v>
      </c>
      <c r="AX9" s="155" t="s">
        <v>103</v>
      </c>
      <c r="AY9" s="155" t="s">
        <v>103</v>
      </c>
      <c r="AZ9" s="155" t="s">
        <v>103</v>
      </c>
      <c r="BA9" s="155" t="s">
        <v>103</v>
      </c>
      <c r="BB9" s="155" t="s">
        <v>103</v>
      </c>
      <c r="BC9" s="155" t="s">
        <v>103</v>
      </c>
      <c r="BD9" s="155" t="s">
        <v>103</v>
      </c>
      <c r="BE9" s="989" t="s">
        <v>103</v>
      </c>
      <c r="BF9" s="155" t="s">
        <v>103</v>
      </c>
      <c r="BG9" s="961">
        <v>0</v>
      </c>
      <c r="BH9" s="155" t="s">
        <v>103</v>
      </c>
      <c r="BI9" s="990" t="s">
        <v>103</v>
      </c>
      <c r="BJ9" s="155" t="s">
        <v>103</v>
      </c>
      <c r="BK9" s="155" t="s">
        <v>103</v>
      </c>
      <c r="BL9" s="155" t="s">
        <v>103</v>
      </c>
      <c r="BM9" s="155" t="s">
        <v>103</v>
      </c>
      <c r="BN9" s="155" t="s">
        <v>103</v>
      </c>
      <c r="BO9" s="155" t="s">
        <v>103</v>
      </c>
      <c r="BP9" s="155" t="s">
        <v>103</v>
      </c>
      <c r="BQ9" s="155" t="s">
        <v>103</v>
      </c>
      <c r="BR9" s="155" t="s">
        <v>103</v>
      </c>
      <c r="BS9" s="155" t="s">
        <v>103</v>
      </c>
      <c r="BT9" s="155" t="s">
        <v>103</v>
      </c>
      <c r="BU9" s="155" t="s">
        <v>103</v>
      </c>
      <c r="BV9" s="155" t="s">
        <v>103</v>
      </c>
      <c r="BW9" s="155" t="s">
        <v>103</v>
      </c>
      <c r="BX9" s="155" t="s">
        <v>103</v>
      </c>
      <c r="BY9" s="155" t="s">
        <v>103</v>
      </c>
      <c r="BZ9" s="155" t="s">
        <v>103</v>
      </c>
      <c r="CA9" s="155" t="s">
        <v>103</v>
      </c>
      <c r="CB9" s="155" t="s">
        <v>103</v>
      </c>
      <c r="CC9" s="155" t="s">
        <v>103</v>
      </c>
      <c r="CD9" s="155" t="s">
        <v>103</v>
      </c>
      <c r="CE9" s="155" t="s">
        <v>103</v>
      </c>
    </row>
    <row r="10" spans="1:83" s="968" customFormat="1" ht="14.1" customHeight="1">
      <c r="A10" s="1045"/>
      <c r="B10" s="1046"/>
      <c r="C10" s="1046"/>
      <c r="D10" s="1046"/>
      <c r="E10" s="1046"/>
      <c r="F10" s="1046"/>
      <c r="G10" s="1046"/>
      <c r="H10" s="1046"/>
      <c r="I10" s="1047"/>
      <c r="J10" s="1046"/>
      <c r="K10" s="1046"/>
      <c r="L10" s="1046"/>
      <c r="M10" s="1046"/>
      <c r="N10" s="1048"/>
      <c r="O10" s="1048"/>
      <c r="P10" s="1048"/>
      <c r="Q10" s="1048"/>
      <c r="R10" s="1048"/>
      <c r="S10" s="1048"/>
      <c r="T10" s="1046"/>
      <c r="U10" s="1046"/>
      <c r="V10" s="1049"/>
      <c r="W10" s="1049"/>
      <c r="X10" s="1049"/>
      <c r="Y10" s="1049"/>
      <c r="Z10" s="1049"/>
      <c r="AA10" s="1049"/>
      <c r="AB10" s="1050"/>
      <c r="AC10" s="1051"/>
      <c r="AD10" s="1050"/>
      <c r="AE10" s="1050"/>
      <c r="AF10" s="1050"/>
      <c r="AG10" s="1050"/>
      <c r="AH10" s="1052"/>
      <c r="AI10" s="1053"/>
      <c r="AJ10" s="1052"/>
      <c r="AK10" s="1054"/>
      <c r="AL10" s="1055"/>
      <c r="AM10" s="1050"/>
      <c r="AN10" s="1050"/>
      <c r="AO10" s="1056"/>
      <c r="AP10" s="1057"/>
      <c r="AQ10" s="1048"/>
      <c r="AR10" s="1050"/>
      <c r="AS10" s="1050"/>
      <c r="AT10" s="1050"/>
      <c r="AU10" s="1050"/>
      <c r="AV10" s="1050"/>
      <c r="AW10" s="1050"/>
      <c r="AX10" s="1050"/>
      <c r="AY10" s="1050"/>
      <c r="AZ10" s="1050"/>
      <c r="BA10" s="1050"/>
      <c r="BB10" s="1050"/>
      <c r="BC10" s="1050"/>
      <c r="BD10" s="1050"/>
      <c r="BE10" s="1048"/>
      <c r="BF10" s="1050"/>
      <c r="BG10" s="1057"/>
      <c r="BH10" s="1050"/>
      <c r="BI10" s="1058"/>
      <c r="BJ10" s="1050"/>
      <c r="BK10" s="1050"/>
      <c r="BL10" s="1050"/>
      <c r="BM10" s="1057"/>
      <c r="BN10" s="1050"/>
      <c r="BO10" s="1050"/>
      <c r="BP10" s="1050"/>
      <c r="BQ10" s="1050"/>
      <c r="BR10" s="1050"/>
      <c r="BS10" s="1050"/>
      <c r="BT10" s="1050"/>
      <c r="BU10" s="1050"/>
      <c r="BV10" s="1050"/>
      <c r="BW10" s="1050"/>
      <c r="BX10" s="1050"/>
      <c r="BY10" s="1050"/>
      <c r="BZ10" s="1054"/>
      <c r="CA10" s="1054"/>
      <c r="CB10" s="1054"/>
      <c r="CC10" s="1054"/>
      <c r="CD10" s="1054"/>
      <c r="CE10" s="1054"/>
    </row>
    <row r="11" spans="1:83" ht="14.45" customHeight="1">
      <c r="A11" s="979" t="s">
        <v>106</v>
      </c>
      <c r="B11" s="157"/>
      <c r="C11" s="157"/>
      <c r="D11" s="157"/>
      <c r="E11" s="157"/>
      <c r="F11" s="157"/>
      <c r="G11" s="157"/>
      <c r="H11" s="157"/>
      <c r="I11" s="516"/>
      <c r="J11" s="157"/>
      <c r="K11" s="157"/>
      <c r="L11" s="157"/>
      <c r="M11" s="157"/>
      <c r="N11" s="159"/>
      <c r="O11" s="159"/>
      <c r="P11" s="159"/>
      <c r="Q11" s="159"/>
      <c r="R11" s="159"/>
      <c r="S11" s="159"/>
      <c r="T11" s="157"/>
      <c r="U11" s="157"/>
      <c r="V11" s="517"/>
      <c r="W11" s="517"/>
      <c r="X11" s="517"/>
      <c r="Y11" s="517"/>
      <c r="Z11" s="517"/>
      <c r="AA11" s="517"/>
      <c r="AB11" s="160"/>
      <c r="AC11" s="593"/>
      <c r="AD11" s="160"/>
      <c r="AE11" s="160"/>
      <c r="AF11" s="160"/>
      <c r="AG11" s="160"/>
      <c r="AH11" s="606"/>
      <c r="AI11" s="681"/>
      <c r="AJ11" s="606"/>
      <c r="AK11" s="160"/>
      <c r="AL11" s="795"/>
      <c r="AM11" s="160"/>
      <c r="AN11" s="160"/>
      <c r="AO11" s="796"/>
      <c r="AP11" s="161"/>
      <c r="AQ11" s="159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59"/>
      <c r="BF11" s="160"/>
      <c r="BG11" s="161"/>
      <c r="BH11" s="160"/>
      <c r="BI11" s="786"/>
      <c r="BJ11" s="160"/>
      <c r="BK11" s="160"/>
      <c r="BL11" s="160"/>
      <c r="BM11" s="161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980"/>
      <c r="CA11" s="980"/>
      <c r="CB11" s="980"/>
      <c r="CC11" s="980"/>
      <c r="CD11" s="980"/>
      <c r="CE11" s="980"/>
    </row>
    <row r="12" spans="1:83" ht="14.1" customHeight="1">
      <c r="A12" s="503" t="s">
        <v>107</v>
      </c>
      <c r="B12" s="164" t="s">
        <v>103</v>
      </c>
      <c r="C12" s="155" t="s">
        <v>103</v>
      </c>
      <c r="D12" s="153" t="s">
        <v>103</v>
      </c>
      <c r="E12" s="968" t="s">
        <v>103</v>
      </c>
      <c r="F12" s="958" t="s">
        <v>103</v>
      </c>
      <c r="G12" s="153" t="s">
        <v>104</v>
      </c>
      <c r="H12" s="673">
        <v>3.5264483627204031E-2</v>
      </c>
      <c r="I12" s="508" t="s">
        <v>103</v>
      </c>
      <c r="J12" s="958" t="s">
        <v>103</v>
      </c>
      <c r="K12" s="958" t="s">
        <v>103</v>
      </c>
      <c r="L12" s="153" t="s">
        <v>103</v>
      </c>
      <c r="M12" s="155" t="s">
        <v>103</v>
      </c>
      <c r="N12" s="970">
        <v>0</v>
      </c>
      <c r="O12" s="970" t="s">
        <v>103</v>
      </c>
      <c r="P12" s="970">
        <v>0</v>
      </c>
      <c r="Q12" s="958" t="s">
        <v>103</v>
      </c>
      <c r="R12" s="970">
        <v>0</v>
      </c>
      <c r="S12" s="970"/>
      <c r="T12" s="153" t="s">
        <v>105</v>
      </c>
      <c r="U12" s="968" t="s">
        <v>104</v>
      </c>
      <c r="V12" s="518" t="s">
        <v>103</v>
      </c>
      <c r="W12" s="991" t="s">
        <v>103</v>
      </c>
      <c r="X12" s="991" t="s">
        <v>103</v>
      </c>
      <c r="Y12" s="991" t="s">
        <v>103</v>
      </c>
      <c r="Z12" s="518" t="s">
        <v>103</v>
      </c>
      <c r="AA12" s="991" t="s">
        <v>103</v>
      </c>
      <c r="AB12" s="155" t="s">
        <v>103</v>
      </c>
      <c r="AC12" s="959" t="s">
        <v>103</v>
      </c>
      <c r="AD12" s="155" t="s">
        <v>103</v>
      </c>
      <c r="AE12" s="155" t="s">
        <v>103</v>
      </c>
      <c r="AF12" s="155" t="s">
        <v>103</v>
      </c>
      <c r="AG12" s="155" t="s">
        <v>103</v>
      </c>
      <c r="AH12" s="992" t="s">
        <v>103</v>
      </c>
      <c r="AI12" s="960" t="s">
        <v>103</v>
      </c>
      <c r="AJ12" s="992" t="s">
        <v>103</v>
      </c>
      <c r="AK12" s="155" t="s">
        <v>103</v>
      </c>
      <c r="AL12" s="993" t="s">
        <v>103</v>
      </c>
      <c r="AM12" s="155"/>
      <c r="AN12" s="155"/>
      <c r="AO12" s="994"/>
      <c r="AP12" s="519">
        <v>0</v>
      </c>
      <c r="AQ12" s="578">
        <v>0</v>
      </c>
      <c r="AR12" s="155" t="s">
        <v>103</v>
      </c>
      <c r="AS12" s="155" t="s">
        <v>103</v>
      </c>
      <c r="AT12" s="155" t="s">
        <v>103</v>
      </c>
      <c r="AU12" s="155" t="s">
        <v>103</v>
      </c>
      <c r="AV12" s="155" t="s">
        <v>103</v>
      </c>
      <c r="AW12" s="155" t="s">
        <v>103</v>
      </c>
      <c r="AX12" s="155" t="s">
        <v>103</v>
      </c>
      <c r="AY12" s="155" t="s">
        <v>103</v>
      </c>
      <c r="AZ12" s="155" t="s">
        <v>103</v>
      </c>
      <c r="BA12" s="155" t="s">
        <v>103</v>
      </c>
      <c r="BB12" s="155" t="s">
        <v>103</v>
      </c>
      <c r="BC12" s="155" t="s">
        <v>103</v>
      </c>
      <c r="BD12" s="155" t="s">
        <v>103</v>
      </c>
      <c r="BE12" s="989" t="s">
        <v>103</v>
      </c>
      <c r="BF12" s="155" t="s">
        <v>103</v>
      </c>
      <c r="BG12" s="961">
        <v>0</v>
      </c>
      <c r="BH12" s="155" t="s">
        <v>103</v>
      </c>
      <c r="BI12" s="990" t="s">
        <v>103</v>
      </c>
      <c r="BJ12" s="155" t="s">
        <v>103</v>
      </c>
      <c r="BK12" s="155" t="s">
        <v>103</v>
      </c>
      <c r="BL12" s="155" t="s">
        <v>103</v>
      </c>
      <c r="BM12" s="155" t="s">
        <v>103</v>
      </c>
      <c r="BN12" s="155" t="s">
        <v>103</v>
      </c>
      <c r="BO12" s="155" t="s">
        <v>103</v>
      </c>
      <c r="BP12" s="155" t="s">
        <v>103</v>
      </c>
      <c r="BQ12" s="155" t="s">
        <v>103</v>
      </c>
      <c r="BR12" s="155" t="s">
        <v>103</v>
      </c>
      <c r="BS12" s="155" t="s">
        <v>103</v>
      </c>
      <c r="BT12" s="155" t="s">
        <v>103</v>
      </c>
      <c r="BU12" s="155" t="s">
        <v>103</v>
      </c>
      <c r="BV12" s="155" t="s">
        <v>103</v>
      </c>
      <c r="BW12" s="155" t="s">
        <v>103</v>
      </c>
      <c r="BX12" s="155" t="s">
        <v>103</v>
      </c>
      <c r="BY12" s="155" t="s">
        <v>103</v>
      </c>
      <c r="BZ12" s="155" t="s">
        <v>103</v>
      </c>
      <c r="CA12" s="155" t="s">
        <v>103</v>
      </c>
      <c r="CB12" s="155" t="s">
        <v>103</v>
      </c>
      <c r="CC12" s="155" t="s">
        <v>103</v>
      </c>
      <c r="CD12" s="155" t="s">
        <v>103</v>
      </c>
      <c r="CE12" s="155" t="s">
        <v>103</v>
      </c>
    </row>
    <row r="13" spans="1:83" s="968" customFormat="1" ht="14.1" customHeight="1">
      <c r="A13" s="1045"/>
      <c r="B13" s="1046"/>
      <c r="C13" s="1046"/>
      <c r="D13" s="1046"/>
      <c r="E13" s="1046"/>
      <c r="F13" s="1046"/>
      <c r="G13" s="1046"/>
      <c r="H13" s="1046"/>
      <c r="I13" s="1047"/>
      <c r="J13" s="1046"/>
      <c r="K13" s="1046"/>
      <c r="L13" s="1046"/>
      <c r="M13" s="1046"/>
      <c r="N13" s="1048"/>
      <c r="O13" s="1048"/>
      <c r="P13" s="1048"/>
      <c r="Q13" s="1048"/>
      <c r="R13" s="1048"/>
      <c r="S13" s="1048"/>
      <c r="T13" s="1046"/>
      <c r="U13" s="1046"/>
      <c r="V13" s="1049"/>
      <c r="W13" s="1049"/>
      <c r="X13" s="1049"/>
      <c r="Y13" s="1049"/>
      <c r="Z13" s="1049"/>
      <c r="AA13" s="1049"/>
      <c r="AB13" s="1050"/>
      <c r="AC13" s="1051"/>
      <c r="AD13" s="1050"/>
      <c r="AE13" s="1050"/>
      <c r="AF13" s="1050"/>
      <c r="AG13" s="1050"/>
      <c r="AH13" s="1052"/>
      <c r="AI13" s="1053"/>
      <c r="AJ13" s="1052"/>
      <c r="AK13" s="1054"/>
      <c r="AL13" s="1055"/>
      <c r="AM13" s="1050"/>
      <c r="AN13" s="1050"/>
      <c r="AO13" s="1056"/>
      <c r="AP13" s="1057"/>
      <c r="AQ13" s="1048"/>
      <c r="AR13" s="1050"/>
      <c r="AS13" s="1050"/>
      <c r="AT13" s="1050"/>
      <c r="AU13" s="1050"/>
      <c r="AV13" s="1050"/>
      <c r="AW13" s="1050"/>
      <c r="AX13" s="1050"/>
      <c r="AY13" s="1050"/>
      <c r="AZ13" s="1050"/>
      <c r="BA13" s="1050"/>
      <c r="BB13" s="1050"/>
      <c r="BC13" s="1050"/>
      <c r="BD13" s="1050"/>
      <c r="BE13" s="1048"/>
      <c r="BF13" s="1050"/>
      <c r="BG13" s="1057"/>
      <c r="BH13" s="1050"/>
      <c r="BI13" s="1058"/>
      <c r="BJ13" s="1050"/>
      <c r="BK13" s="1050"/>
      <c r="BL13" s="1050"/>
      <c r="BM13" s="1057"/>
      <c r="BN13" s="1050"/>
      <c r="BO13" s="1050"/>
      <c r="BP13" s="1050"/>
      <c r="BQ13" s="1050"/>
      <c r="BR13" s="1050"/>
      <c r="BS13" s="1050"/>
      <c r="BT13" s="1050"/>
      <c r="BU13" s="1050"/>
      <c r="BV13" s="1050"/>
      <c r="BW13" s="1050"/>
      <c r="BX13" s="1050"/>
      <c r="BY13" s="1050"/>
      <c r="BZ13" s="1054"/>
      <c r="CA13" s="1054"/>
      <c r="CB13" s="1054"/>
      <c r="CC13" s="1054"/>
      <c r="CD13" s="1054"/>
      <c r="CE13" s="1054"/>
    </row>
    <row r="14" spans="1:83" ht="14.45" customHeight="1">
      <c r="A14" s="979" t="s">
        <v>108</v>
      </c>
      <c r="B14" s="157"/>
      <c r="C14" s="157"/>
      <c r="D14" s="157"/>
      <c r="E14" s="157"/>
      <c r="F14" s="157"/>
      <c r="G14" s="157"/>
      <c r="H14" s="157"/>
      <c r="I14" s="516"/>
      <c r="J14" s="157"/>
      <c r="K14" s="157"/>
      <c r="L14" s="157"/>
      <c r="M14" s="157"/>
      <c r="N14" s="159"/>
      <c r="O14" s="159"/>
      <c r="P14" s="159"/>
      <c r="Q14" s="159"/>
      <c r="R14" s="159"/>
      <c r="S14" s="159"/>
      <c r="T14" s="157"/>
      <c r="U14" s="157"/>
      <c r="V14" s="517"/>
      <c r="W14" s="517"/>
      <c r="X14" s="517"/>
      <c r="Y14" s="517"/>
      <c r="Z14" s="517"/>
      <c r="AA14" s="517"/>
      <c r="AB14" s="160"/>
      <c r="AC14" s="593"/>
      <c r="AD14" s="160"/>
      <c r="AE14" s="160"/>
      <c r="AF14" s="160"/>
      <c r="AG14" s="160"/>
      <c r="AH14" s="606"/>
      <c r="AI14" s="681"/>
      <c r="AJ14" s="606"/>
      <c r="AK14" s="160"/>
      <c r="AL14" s="795"/>
      <c r="AM14" s="160"/>
      <c r="AN14" s="160"/>
      <c r="AO14" s="796"/>
      <c r="AP14" s="161"/>
      <c r="AQ14" s="159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59"/>
      <c r="BF14" s="160"/>
      <c r="BG14" s="161"/>
      <c r="BH14" s="160"/>
      <c r="BI14" s="786"/>
      <c r="BJ14" s="160"/>
      <c r="BK14" s="160"/>
      <c r="BL14" s="160"/>
      <c r="BM14" s="161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980"/>
      <c r="CA14" s="980"/>
      <c r="CB14" s="980"/>
      <c r="CC14" s="980"/>
      <c r="CD14" s="980"/>
      <c r="CE14" s="980"/>
    </row>
    <row r="15" spans="1:83" ht="14.45" customHeight="1">
      <c r="A15" s="503" t="s">
        <v>109</v>
      </c>
      <c r="B15" s="995" t="s">
        <v>103</v>
      </c>
      <c r="C15" s="155" t="s">
        <v>103</v>
      </c>
      <c r="D15" s="153" t="s">
        <v>103</v>
      </c>
      <c r="E15" s="155" t="s">
        <v>103</v>
      </c>
      <c r="F15" s="958" t="s">
        <v>103</v>
      </c>
      <c r="G15" s="155" t="s">
        <v>110</v>
      </c>
      <c r="H15" s="673">
        <v>0.12947311634598094</v>
      </c>
      <c r="I15" s="996" t="s">
        <v>103</v>
      </c>
      <c r="J15" s="958" t="s">
        <v>103</v>
      </c>
      <c r="K15" s="958" t="s">
        <v>103</v>
      </c>
      <c r="L15" s="155" t="s">
        <v>103</v>
      </c>
      <c r="M15" s="155" t="s">
        <v>103</v>
      </c>
      <c r="N15" s="989">
        <v>0</v>
      </c>
      <c r="O15" s="989" t="s">
        <v>103</v>
      </c>
      <c r="P15" s="989">
        <v>0</v>
      </c>
      <c r="Q15" s="958" t="s">
        <v>103</v>
      </c>
      <c r="R15" s="989">
        <v>0</v>
      </c>
      <c r="S15" s="989"/>
      <c r="T15" s="958" t="s">
        <v>105</v>
      </c>
      <c r="U15" s="155" t="s">
        <v>110</v>
      </c>
      <c r="V15" s="518" t="s">
        <v>103</v>
      </c>
      <c r="W15" s="991" t="s">
        <v>103</v>
      </c>
      <c r="X15" s="991" t="s">
        <v>103</v>
      </c>
      <c r="Y15" s="991" t="s">
        <v>103</v>
      </c>
      <c r="Z15" s="518" t="s">
        <v>103</v>
      </c>
      <c r="AA15" s="991" t="s">
        <v>103</v>
      </c>
      <c r="AB15" s="155" t="s">
        <v>103</v>
      </c>
      <c r="AC15" s="959" t="s">
        <v>103</v>
      </c>
      <c r="AD15" s="155" t="s">
        <v>103</v>
      </c>
      <c r="AE15" s="155" t="s">
        <v>103</v>
      </c>
      <c r="AF15" s="155" t="s">
        <v>103</v>
      </c>
      <c r="AG15" s="155" t="s">
        <v>103</v>
      </c>
      <c r="AH15" s="992" t="s">
        <v>103</v>
      </c>
      <c r="AI15" s="960" t="s">
        <v>103</v>
      </c>
      <c r="AJ15" s="992" t="s">
        <v>103</v>
      </c>
      <c r="AK15" s="155" t="s">
        <v>103</v>
      </c>
      <c r="AL15" s="993" t="s">
        <v>103</v>
      </c>
      <c r="AM15" s="155"/>
      <c r="AN15" s="155"/>
      <c r="AO15" s="994"/>
      <c r="AP15" s="961">
        <v>0</v>
      </c>
      <c r="AQ15" s="581">
        <v>0</v>
      </c>
      <c r="AR15" s="155" t="s">
        <v>103</v>
      </c>
      <c r="AS15" s="155" t="s">
        <v>103</v>
      </c>
      <c r="AT15" s="155" t="s">
        <v>103</v>
      </c>
      <c r="AU15" s="155" t="s">
        <v>103</v>
      </c>
      <c r="AV15" s="155" t="s">
        <v>103</v>
      </c>
      <c r="AW15" s="155" t="s">
        <v>103</v>
      </c>
      <c r="AX15" s="155" t="s">
        <v>103</v>
      </c>
      <c r="AY15" s="155" t="s">
        <v>103</v>
      </c>
      <c r="AZ15" s="155" t="s">
        <v>103</v>
      </c>
      <c r="BA15" s="155" t="s">
        <v>103</v>
      </c>
      <c r="BB15" s="155" t="s">
        <v>103</v>
      </c>
      <c r="BC15" s="155" t="s">
        <v>103</v>
      </c>
      <c r="BD15" s="155" t="s">
        <v>103</v>
      </c>
      <c r="BE15" s="989" t="s">
        <v>103</v>
      </c>
      <c r="BF15" s="155" t="s">
        <v>103</v>
      </c>
      <c r="BG15" s="961">
        <v>0</v>
      </c>
      <c r="BH15" s="155" t="s">
        <v>103</v>
      </c>
      <c r="BI15" s="990" t="s">
        <v>103</v>
      </c>
      <c r="BJ15" s="155" t="s">
        <v>103</v>
      </c>
      <c r="BK15" s="155" t="s">
        <v>103</v>
      </c>
      <c r="BL15" s="155" t="s">
        <v>103</v>
      </c>
      <c r="BM15" s="155" t="s">
        <v>103</v>
      </c>
      <c r="BN15" s="155" t="s">
        <v>103</v>
      </c>
      <c r="BO15" s="155" t="s">
        <v>103</v>
      </c>
      <c r="BP15" s="155" t="s">
        <v>103</v>
      </c>
      <c r="BQ15" s="155" t="s">
        <v>103</v>
      </c>
      <c r="BR15" s="155" t="s">
        <v>103</v>
      </c>
      <c r="BS15" s="155" t="s">
        <v>103</v>
      </c>
      <c r="BT15" s="155" t="s">
        <v>103</v>
      </c>
      <c r="BU15" s="155" t="s">
        <v>103</v>
      </c>
      <c r="BV15" s="155" t="s">
        <v>103</v>
      </c>
      <c r="BW15" s="155" t="s">
        <v>103</v>
      </c>
      <c r="BX15" s="155" t="s">
        <v>103</v>
      </c>
      <c r="BY15" s="155" t="s">
        <v>103</v>
      </c>
      <c r="BZ15" s="155" t="s">
        <v>103</v>
      </c>
      <c r="CA15" s="155" t="s">
        <v>103</v>
      </c>
      <c r="CB15" s="155" t="s">
        <v>103</v>
      </c>
      <c r="CC15" s="155" t="s">
        <v>103</v>
      </c>
      <c r="CD15" s="155" t="s">
        <v>103</v>
      </c>
      <c r="CE15" s="155" t="s">
        <v>103</v>
      </c>
    </row>
    <row r="16" spans="1:83" ht="14.1" customHeight="1">
      <c r="A16" s="503" t="s">
        <v>111</v>
      </c>
      <c r="B16" s="995" t="s">
        <v>103</v>
      </c>
      <c r="C16" s="155" t="s">
        <v>103</v>
      </c>
      <c r="D16" s="153" t="s">
        <v>103</v>
      </c>
      <c r="E16" s="155" t="s">
        <v>103</v>
      </c>
      <c r="F16" s="958" t="s">
        <v>103</v>
      </c>
      <c r="G16" s="155" t="s">
        <v>104</v>
      </c>
      <c r="H16" s="673">
        <v>0.11641929499072357</v>
      </c>
      <c r="I16" s="996" t="s">
        <v>103</v>
      </c>
      <c r="J16" s="958" t="s">
        <v>103</v>
      </c>
      <c r="K16" s="958" t="s">
        <v>103</v>
      </c>
      <c r="L16" s="155" t="s">
        <v>103</v>
      </c>
      <c r="M16" s="155" t="s">
        <v>103</v>
      </c>
      <c r="N16" s="989">
        <v>0</v>
      </c>
      <c r="O16" s="989" t="s">
        <v>103</v>
      </c>
      <c r="P16" s="989">
        <v>0</v>
      </c>
      <c r="Q16" s="958" t="s">
        <v>103</v>
      </c>
      <c r="R16" s="989">
        <v>0</v>
      </c>
      <c r="S16" s="989"/>
      <c r="T16" s="958" t="s">
        <v>105</v>
      </c>
      <c r="U16" s="155" t="s">
        <v>104</v>
      </c>
      <c r="V16" s="518" t="s">
        <v>103</v>
      </c>
      <c r="W16" s="991" t="s">
        <v>103</v>
      </c>
      <c r="X16" s="991" t="s">
        <v>103</v>
      </c>
      <c r="Y16" s="991" t="s">
        <v>103</v>
      </c>
      <c r="Z16" s="518" t="s">
        <v>103</v>
      </c>
      <c r="AA16" s="991" t="s">
        <v>103</v>
      </c>
      <c r="AB16" s="155" t="s">
        <v>103</v>
      </c>
      <c r="AC16" s="959" t="s">
        <v>103</v>
      </c>
      <c r="AD16" s="155" t="s">
        <v>103</v>
      </c>
      <c r="AE16" s="155" t="s">
        <v>103</v>
      </c>
      <c r="AF16" s="155" t="s">
        <v>103</v>
      </c>
      <c r="AG16" s="155" t="s">
        <v>103</v>
      </c>
      <c r="AH16" s="992" t="s">
        <v>103</v>
      </c>
      <c r="AI16" s="960" t="s">
        <v>103</v>
      </c>
      <c r="AJ16" s="992" t="s">
        <v>103</v>
      </c>
      <c r="AK16" s="155" t="s">
        <v>103</v>
      </c>
      <c r="AL16" s="993" t="s">
        <v>103</v>
      </c>
      <c r="AM16" s="155"/>
      <c r="AN16" s="155"/>
      <c r="AO16" s="994"/>
      <c r="AP16" s="961">
        <v>0</v>
      </c>
      <c r="AQ16" s="578">
        <v>0</v>
      </c>
      <c r="AR16" s="155" t="s">
        <v>103</v>
      </c>
      <c r="AS16" s="155" t="s">
        <v>103</v>
      </c>
      <c r="AT16" s="155" t="s">
        <v>103</v>
      </c>
      <c r="AU16" s="155" t="s">
        <v>103</v>
      </c>
      <c r="AV16" s="155" t="s">
        <v>103</v>
      </c>
      <c r="AW16" s="155" t="s">
        <v>103</v>
      </c>
      <c r="AX16" s="155" t="s">
        <v>103</v>
      </c>
      <c r="AY16" s="155" t="s">
        <v>103</v>
      </c>
      <c r="AZ16" s="155" t="s">
        <v>103</v>
      </c>
      <c r="BA16" s="155" t="s">
        <v>103</v>
      </c>
      <c r="BB16" s="155" t="s">
        <v>103</v>
      </c>
      <c r="BC16" s="155" t="s">
        <v>103</v>
      </c>
      <c r="BD16" s="155" t="s">
        <v>103</v>
      </c>
      <c r="BE16" s="989" t="s">
        <v>103</v>
      </c>
      <c r="BF16" s="155" t="s">
        <v>103</v>
      </c>
      <c r="BG16" s="961">
        <v>0</v>
      </c>
      <c r="BH16" s="155" t="s">
        <v>103</v>
      </c>
      <c r="BI16" s="990" t="s">
        <v>103</v>
      </c>
      <c r="BJ16" s="155" t="s">
        <v>103</v>
      </c>
      <c r="BK16" s="155" t="s">
        <v>103</v>
      </c>
      <c r="BL16" s="155" t="s">
        <v>103</v>
      </c>
      <c r="BM16" s="155" t="s">
        <v>103</v>
      </c>
      <c r="BN16" s="155" t="s">
        <v>103</v>
      </c>
      <c r="BO16" s="155" t="s">
        <v>103</v>
      </c>
      <c r="BP16" s="155" t="s">
        <v>103</v>
      </c>
      <c r="BQ16" s="155" t="s">
        <v>103</v>
      </c>
      <c r="BR16" s="155" t="s">
        <v>103</v>
      </c>
      <c r="BS16" s="155" t="s">
        <v>103</v>
      </c>
      <c r="BT16" s="155" t="s">
        <v>103</v>
      </c>
      <c r="BU16" s="155" t="s">
        <v>103</v>
      </c>
      <c r="BV16" s="155" t="s">
        <v>103</v>
      </c>
      <c r="BW16" s="155" t="s">
        <v>103</v>
      </c>
      <c r="BX16" s="155" t="s">
        <v>103</v>
      </c>
      <c r="BY16" s="155" t="s">
        <v>103</v>
      </c>
      <c r="BZ16" s="155" t="s">
        <v>103</v>
      </c>
      <c r="CA16" s="155" t="s">
        <v>103</v>
      </c>
      <c r="CB16" s="155" t="s">
        <v>103</v>
      </c>
      <c r="CC16" s="155" t="s">
        <v>103</v>
      </c>
      <c r="CD16" s="155" t="s">
        <v>103</v>
      </c>
      <c r="CE16" s="155" t="s">
        <v>103</v>
      </c>
    </row>
    <row r="17" spans="1:83" s="968" customFormat="1" ht="14.1" customHeight="1">
      <c r="A17" s="1045"/>
      <c r="B17" s="1059"/>
      <c r="C17" s="1059"/>
      <c r="D17" s="1059"/>
      <c r="E17" s="1059"/>
      <c r="F17" s="1059"/>
      <c r="G17" s="1059"/>
      <c r="H17" s="1059"/>
      <c r="I17" s="1060"/>
      <c r="J17" s="1059"/>
      <c r="K17" s="1059"/>
      <c r="L17" s="1059"/>
      <c r="M17" s="1059"/>
      <c r="N17" s="1061"/>
      <c r="O17" s="1061"/>
      <c r="P17" s="1061"/>
      <c r="Q17" s="1061"/>
      <c r="R17" s="1061"/>
      <c r="S17" s="1061"/>
      <c r="T17" s="1059"/>
      <c r="U17" s="1059"/>
      <c r="V17" s="1062"/>
      <c r="W17" s="1062"/>
      <c r="X17" s="1062"/>
      <c r="Y17" s="1062"/>
      <c r="Z17" s="1062"/>
      <c r="AA17" s="1062"/>
      <c r="AB17" s="1059"/>
      <c r="AC17" s="1063"/>
      <c r="AD17" s="1059"/>
      <c r="AE17" s="1059"/>
      <c r="AF17" s="1059"/>
      <c r="AG17" s="1059"/>
      <c r="AH17" s="1064"/>
      <c r="AI17" s="1065"/>
      <c r="AJ17" s="1064"/>
      <c r="AK17" s="1054"/>
      <c r="AL17" s="1066"/>
      <c r="AM17" s="1054"/>
      <c r="AN17" s="1054"/>
      <c r="AO17" s="1067"/>
      <c r="AP17" s="1057"/>
      <c r="AQ17" s="1068"/>
      <c r="AR17" s="1054"/>
      <c r="AS17" s="1054"/>
      <c r="AT17" s="1054"/>
      <c r="AU17" s="1054"/>
      <c r="AV17" s="1054"/>
      <c r="AW17" s="1054"/>
      <c r="AX17" s="1054"/>
      <c r="AY17" s="1054"/>
      <c r="AZ17" s="1054"/>
      <c r="BA17" s="1054"/>
      <c r="BB17" s="1054"/>
      <c r="BC17" s="1054"/>
      <c r="BD17" s="1054"/>
      <c r="BE17" s="1069"/>
      <c r="BF17" s="1054"/>
      <c r="BG17" s="1070"/>
      <c r="BH17" s="1054"/>
      <c r="BI17" s="1071"/>
      <c r="BJ17" s="1054"/>
      <c r="BK17" s="1054"/>
      <c r="BL17" s="1054"/>
      <c r="BM17" s="1070"/>
      <c r="BN17" s="1059"/>
      <c r="BO17" s="1054"/>
      <c r="BP17" s="1054"/>
      <c r="BQ17" s="1054"/>
      <c r="BR17" s="1054"/>
      <c r="BS17" s="1054"/>
      <c r="BT17" s="1054"/>
      <c r="BU17" s="1054"/>
      <c r="BV17" s="1054"/>
      <c r="BW17" s="1054"/>
      <c r="BX17" s="1054"/>
      <c r="BY17" s="1054"/>
      <c r="BZ17" s="1054"/>
      <c r="CA17" s="1054"/>
      <c r="CB17" s="1054"/>
      <c r="CC17" s="1054"/>
      <c r="CD17" s="1054"/>
      <c r="CE17" s="1054"/>
    </row>
    <row r="18" spans="1:83" ht="14.45" customHeight="1">
      <c r="A18" s="979" t="s">
        <v>112</v>
      </c>
      <c r="B18" s="997"/>
      <c r="C18" s="997"/>
      <c r="D18" s="997"/>
      <c r="E18" s="997"/>
      <c r="F18" s="997"/>
      <c r="G18" s="997"/>
      <c r="H18" s="997"/>
      <c r="I18" s="998"/>
      <c r="J18" s="997"/>
      <c r="K18" s="997"/>
      <c r="L18" s="997"/>
      <c r="M18" s="997"/>
      <c r="N18" s="999"/>
      <c r="O18" s="999"/>
      <c r="P18" s="999"/>
      <c r="Q18" s="999"/>
      <c r="R18" s="999"/>
      <c r="S18" s="999"/>
      <c r="T18" s="997"/>
      <c r="U18" s="997"/>
      <c r="V18" s="1000"/>
      <c r="W18" s="1001"/>
      <c r="X18" s="1001"/>
      <c r="Y18" s="1000"/>
      <c r="Z18" s="1000"/>
      <c r="AA18" s="1000"/>
      <c r="AB18" s="980"/>
      <c r="AC18" s="1002"/>
      <c r="AD18" s="980"/>
      <c r="AE18" s="980"/>
      <c r="AF18" s="980"/>
      <c r="AG18" s="980"/>
      <c r="AH18" s="1003"/>
      <c r="AI18" s="1004"/>
      <c r="AJ18" s="1003"/>
      <c r="AK18" s="980"/>
      <c r="AL18" s="797"/>
      <c r="AM18" s="980"/>
      <c r="AN18" s="980"/>
      <c r="AO18" s="798"/>
      <c r="AP18" s="161"/>
      <c r="AQ18" s="579"/>
      <c r="AR18" s="980"/>
      <c r="AS18" s="980"/>
      <c r="AT18" s="980"/>
      <c r="AU18" s="980"/>
      <c r="AV18" s="980"/>
      <c r="AW18" s="980"/>
      <c r="AX18" s="980"/>
      <c r="AY18" s="980"/>
      <c r="AZ18" s="980"/>
      <c r="BA18" s="980"/>
      <c r="BB18" s="980"/>
      <c r="BC18" s="980"/>
      <c r="BD18" s="980"/>
      <c r="BE18" s="1005"/>
      <c r="BF18" s="980"/>
      <c r="BG18" s="163"/>
      <c r="BH18" s="980"/>
      <c r="BI18" s="1006"/>
      <c r="BJ18" s="980"/>
      <c r="BK18" s="980"/>
      <c r="BL18" s="980"/>
      <c r="BM18" s="163"/>
      <c r="BN18" s="997"/>
      <c r="BO18" s="980"/>
      <c r="BP18" s="980"/>
      <c r="BQ18" s="980"/>
      <c r="BR18" s="980"/>
      <c r="BS18" s="980"/>
      <c r="BT18" s="980"/>
      <c r="BU18" s="980"/>
      <c r="BV18" s="980"/>
      <c r="BW18" s="980"/>
      <c r="BX18" s="980"/>
      <c r="BY18" s="980"/>
      <c r="BZ18" s="980"/>
      <c r="CA18" s="980"/>
      <c r="CB18" s="980"/>
      <c r="CC18" s="980"/>
      <c r="CD18" s="980"/>
      <c r="CE18" s="980"/>
    </row>
    <row r="19" spans="1:83" ht="14.1" customHeight="1">
      <c r="A19" s="503" t="s">
        <v>113</v>
      </c>
      <c r="B19" s="995" t="s">
        <v>114</v>
      </c>
      <c r="C19" s="155" t="s">
        <v>103</v>
      </c>
      <c r="D19" s="155" t="s">
        <v>115</v>
      </c>
      <c r="E19" s="155" t="s">
        <v>116</v>
      </c>
      <c r="F19" s="155">
        <v>6029005507</v>
      </c>
      <c r="G19" s="155" t="s">
        <v>110</v>
      </c>
      <c r="H19" s="673">
        <v>0.25262762762762764</v>
      </c>
      <c r="I19" s="996" t="s">
        <v>114</v>
      </c>
      <c r="J19" s="155" t="s">
        <v>117</v>
      </c>
      <c r="K19" s="1007" t="s">
        <v>118</v>
      </c>
      <c r="L19" s="155" t="s">
        <v>115</v>
      </c>
      <c r="M19" s="155" t="s">
        <v>110</v>
      </c>
      <c r="N19" s="989">
        <v>1</v>
      </c>
      <c r="O19" s="989"/>
      <c r="P19" s="989">
        <v>0</v>
      </c>
      <c r="Q19" s="989" t="s">
        <v>119</v>
      </c>
      <c r="R19" s="989">
        <v>0</v>
      </c>
      <c r="S19" s="989">
        <v>0</v>
      </c>
      <c r="T19" s="958" t="s">
        <v>105</v>
      </c>
      <c r="U19" s="155" t="s">
        <v>104</v>
      </c>
      <c r="V19" s="149">
        <v>40862</v>
      </c>
      <c r="W19" s="991" t="s">
        <v>103</v>
      </c>
      <c r="X19" s="991" t="s">
        <v>103</v>
      </c>
      <c r="Y19" s="149" t="s">
        <v>103</v>
      </c>
      <c r="Z19" s="149" t="s">
        <v>103</v>
      </c>
      <c r="AA19" s="149" t="s">
        <v>103</v>
      </c>
      <c r="AB19" s="153" t="s">
        <v>103</v>
      </c>
      <c r="AC19" s="594" t="s">
        <v>103</v>
      </c>
      <c r="AD19" s="153" t="s">
        <v>103</v>
      </c>
      <c r="AE19" s="149" t="s">
        <v>103</v>
      </c>
      <c r="AF19" s="153" t="s">
        <v>103</v>
      </c>
      <c r="AG19" s="153" t="s">
        <v>103</v>
      </c>
      <c r="AH19" s="596" t="s">
        <v>103</v>
      </c>
      <c r="AI19" s="960" t="s">
        <v>103</v>
      </c>
      <c r="AJ19" s="607">
        <v>1550</v>
      </c>
      <c r="AK19" s="153" t="s">
        <v>120</v>
      </c>
      <c r="AL19" s="791" t="s">
        <v>104</v>
      </c>
      <c r="AO19" s="963"/>
      <c r="AP19" s="961">
        <v>600000</v>
      </c>
      <c r="AQ19" s="574">
        <v>0</v>
      </c>
      <c r="AR19" s="153" t="s">
        <v>116</v>
      </c>
      <c r="AS19" s="153" t="s">
        <v>116</v>
      </c>
      <c r="AT19" s="777" t="s">
        <v>121</v>
      </c>
      <c r="AU19" s="777" t="s">
        <v>122</v>
      </c>
      <c r="AV19" s="777" t="s">
        <v>122</v>
      </c>
      <c r="AW19" s="777" t="s">
        <v>122</v>
      </c>
      <c r="AX19" s="155" t="s">
        <v>103</v>
      </c>
      <c r="AY19" s="155" t="s">
        <v>103</v>
      </c>
      <c r="AZ19" s="155" t="s">
        <v>103</v>
      </c>
      <c r="BB19" s="153"/>
      <c r="BC19" s="783" t="s">
        <v>103</v>
      </c>
      <c r="BD19" s="153" t="s">
        <v>103</v>
      </c>
      <c r="BE19" s="679" t="s">
        <v>103</v>
      </c>
      <c r="BF19" s="156" t="s">
        <v>103</v>
      </c>
      <c r="BG19" s="94">
        <v>0</v>
      </c>
      <c r="BH19" s="766" t="s">
        <v>123</v>
      </c>
      <c r="BI19" s="774">
        <v>0</v>
      </c>
      <c r="BJ19" s="774">
        <v>0</v>
      </c>
      <c r="BK19" s="153" t="s">
        <v>103</v>
      </c>
      <c r="BL19" s="94" t="s">
        <v>124</v>
      </c>
      <c r="BM19" s="94" t="s">
        <v>124</v>
      </c>
      <c r="BN19" s="94" t="s">
        <v>124</v>
      </c>
      <c r="BO19" s="514" t="s">
        <v>124</v>
      </c>
      <c r="BP19" s="153" t="s">
        <v>124</v>
      </c>
      <c r="BQ19" s="153" t="s">
        <v>103</v>
      </c>
      <c r="BR19" s="153" t="s">
        <v>110</v>
      </c>
      <c r="BS19" s="153" t="s">
        <v>110</v>
      </c>
      <c r="BT19" s="153" t="s">
        <v>110</v>
      </c>
      <c r="BU19" s="153" t="s">
        <v>110</v>
      </c>
      <c r="BV19" s="153" t="s">
        <v>104</v>
      </c>
      <c r="BW19" s="153" t="s">
        <v>110</v>
      </c>
      <c r="BX19" s="153" t="s">
        <v>110</v>
      </c>
      <c r="BY19" s="153" t="s">
        <v>125</v>
      </c>
      <c r="BZ19" s="153" t="s">
        <v>110</v>
      </c>
      <c r="CA19" s="616" t="s">
        <v>103</v>
      </c>
      <c r="CB19" s="153" t="s">
        <v>103</v>
      </c>
      <c r="CC19" s="153" t="s">
        <v>103</v>
      </c>
      <c r="CD19" s="153" t="s">
        <v>103</v>
      </c>
      <c r="CE19" s="153" t="s">
        <v>103</v>
      </c>
    </row>
    <row r="20" spans="1:83" ht="27.6" customHeight="1">
      <c r="A20" s="503" t="s">
        <v>126</v>
      </c>
      <c r="B20" s="995" t="s">
        <v>127</v>
      </c>
      <c r="C20" s="155" t="s">
        <v>128</v>
      </c>
      <c r="D20" s="155" t="s">
        <v>129</v>
      </c>
      <c r="E20" s="155">
        <v>93215</v>
      </c>
      <c r="F20" s="155">
        <v>6029004800</v>
      </c>
      <c r="G20" s="155" t="s">
        <v>104</v>
      </c>
      <c r="H20" s="673">
        <v>0.40470162748643762</v>
      </c>
      <c r="I20" s="996" t="s">
        <v>127</v>
      </c>
      <c r="J20" s="155" t="s">
        <v>117</v>
      </c>
      <c r="K20" s="1007" t="s">
        <v>130</v>
      </c>
      <c r="L20" s="155" t="s">
        <v>129</v>
      </c>
      <c r="M20" s="155" t="s">
        <v>104</v>
      </c>
      <c r="N20" s="989">
        <v>1</v>
      </c>
      <c r="O20" s="989"/>
      <c r="P20" s="989">
        <v>0</v>
      </c>
      <c r="Q20" s="989" t="s">
        <v>131</v>
      </c>
      <c r="R20" s="989">
        <v>0</v>
      </c>
      <c r="S20" s="989">
        <v>0</v>
      </c>
      <c r="T20" s="958" t="s">
        <v>105</v>
      </c>
      <c r="U20" s="155" t="s">
        <v>104</v>
      </c>
      <c r="V20" s="149">
        <v>40805</v>
      </c>
      <c r="W20" s="991">
        <v>42401</v>
      </c>
      <c r="X20" s="991">
        <v>42853</v>
      </c>
      <c r="Y20" s="149">
        <v>42971</v>
      </c>
      <c r="Z20" s="149">
        <v>42971</v>
      </c>
      <c r="AA20" s="149">
        <v>40805</v>
      </c>
      <c r="AB20" s="763" t="s">
        <v>121</v>
      </c>
      <c r="AC20" s="594">
        <v>1140</v>
      </c>
      <c r="AD20" s="153"/>
      <c r="AE20" s="149" t="s">
        <v>103</v>
      </c>
      <c r="AF20" s="596">
        <v>22</v>
      </c>
      <c r="AG20" s="596">
        <v>1</v>
      </c>
      <c r="AH20" s="595">
        <v>2482</v>
      </c>
      <c r="AI20" s="614">
        <v>0.47007575757575759</v>
      </c>
      <c r="AJ20" s="607">
        <v>2596</v>
      </c>
      <c r="AK20" s="153" t="s">
        <v>120</v>
      </c>
      <c r="AL20" s="791" t="s">
        <v>104</v>
      </c>
      <c r="AO20" s="963"/>
      <c r="AP20" s="961">
        <v>1500000</v>
      </c>
      <c r="AQ20" s="574">
        <v>1267817.81</v>
      </c>
      <c r="AR20" s="153" t="s">
        <v>116</v>
      </c>
      <c r="AS20" s="153" t="s">
        <v>116</v>
      </c>
      <c r="AT20" s="777" t="s">
        <v>122</v>
      </c>
      <c r="AU20" s="777" t="s">
        <v>122</v>
      </c>
      <c r="AV20" s="777" t="s">
        <v>122</v>
      </c>
      <c r="AW20" s="777" t="s">
        <v>122</v>
      </c>
      <c r="AX20" s="155" t="s">
        <v>103</v>
      </c>
      <c r="AY20" s="155" t="s">
        <v>103</v>
      </c>
      <c r="AZ20" s="155" t="s">
        <v>103</v>
      </c>
      <c r="BA20" s="156">
        <v>0</v>
      </c>
      <c r="BB20" s="153"/>
      <c r="BC20" s="780">
        <v>232182.18999999994</v>
      </c>
      <c r="BD20" s="763" t="s">
        <v>121</v>
      </c>
      <c r="BE20" s="679" t="s">
        <v>103</v>
      </c>
      <c r="BF20" s="156" t="s">
        <v>103</v>
      </c>
      <c r="BG20" s="94">
        <v>0</v>
      </c>
      <c r="BH20" s="766">
        <v>816755</v>
      </c>
      <c r="BI20" s="774">
        <v>310314.23</v>
      </c>
      <c r="BJ20" s="774">
        <v>122930.77</v>
      </c>
      <c r="BK20" s="153" t="s">
        <v>103</v>
      </c>
      <c r="BL20" s="94" t="s">
        <v>124</v>
      </c>
      <c r="BM20" s="94" t="s">
        <v>124</v>
      </c>
      <c r="BN20" s="94" t="s">
        <v>124</v>
      </c>
      <c r="BO20" s="153" t="s">
        <v>124</v>
      </c>
      <c r="BP20" s="153" t="s">
        <v>124</v>
      </c>
      <c r="BQ20" s="153" t="s">
        <v>103</v>
      </c>
      <c r="BR20" s="153" t="s">
        <v>110</v>
      </c>
      <c r="BS20" s="153" t="s">
        <v>104</v>
      </c>
      <c r="BT20" s="153" t="s">
        <v>110</v>
      </c>
      <c r="BU20" s="153" t="s">
        <v>110</v>
      </c>
      <c r="BV20" s="153" t="s">
        <v>110</v>
      </c>
      <c r="BW20" s="153" t="s">
        <v>110</v>
      </c>
      <c r="BX20" s="153" t="s">
        <v>110</v>
      </c>
      <c r="BY20" s="153" t="s">
        <v>103</v>
      </c>
      <c r="BZ20" s="153" t="s">
        <v>110</v>
      </c>
      <c r="CA20" s="616" t="s">
        <v>103</v>
      </c>
      <c r="CB20" s="153" t="s">
        <v>103</v>
      </c>
      <c r="CC20" s="153" t="s">
        <v>103</v>
      </c>
      <c r="CD20" s="153" t="s">
        <v>103</v>
      </c>
      <c r="CE20" s="153" t="s">
        <v>103</v>
      </c>
    </row>
    <row r="21" spans="1:83" ht="15" customHeight="1">
      <c r="A21" s="503" t="s">
        <v>132</v>
      </c>
      <c r="B21" s="995" t="s">
        <v>103</v>
      </c>
      <c r="C21" s="155" t="s">
        <v>103</v>
      </c>
      <c r="D21" s="153" t="s">
        <v>103</v>
      </c>
      <c r="E21" s="153" t="s">
        <v>103</v>
      </c>
      <c r="F21" s="958" t="s">
        <v>103</v>
      </c>
      <c r="G21" s="155" t="s">
        <v>104</v>
      </c>
      <c r="H21" s="673">
        <v>0.46969696969696972</v>
      </c>
      <c r="I21" s="996" t="s">
        <v>103</v>
      </c>
      <c r="J21" s="958" t="s">
        <v>103</v>
      </c>
      <c r="K21" s="958" t="s">
        <v>103</v>
      </c>
      <c r="L21" s="155" t="s">
        <v>103</v>
      </c>
      <c r="M21" s="155" t="s">
        <v>103</v>
      </c>
      <c r="N21" s="989">
        <v>0</v>
      </c>
      <c r="O21" s="989" t="s">
        <v>103</v>
      </c>
      <c r="P21" s="989">
        <v>0</v>
      </c>
      <c r="Q21" s="958" t="s">
        <v>103</v>
      </c>
      <c r="R21" s="989">
        <v>0</v>
      </c>
      <c r="S21" s="989">
        <v>0</v>
      </c>
      <c r="T21" s="958" t="s">
        <v>105</v>
      </c>
      <c r="U21" s="155" t="s">
        <v>104</v>
      </c>
      <c r="V21" s="518" t="s">
        <v>103</v>
      </c>
      <c r="W21" s="991" t="s">
        <v>103</v>
      </c>
      <c r="X21" s="991" t="s">
        <v>103</v>
      </c>
      <c r="Y21" s="991" t="s">
        <v>103</v>
      </c>
      <c r="Z21" s="518" t="s">
        <v>103</v>
      </c>
      <c r="AA21" s="991" t="s">
        <v>103</v>
      </c>
      <c r="AB21" s="155" t="s">
        <v>103</v>
      </c>
      <c r="AC21" s="959" t="s">
        <v>103</v>
      </c>
      <c r="AD21" s="155" t="s">
        <v>103</v>
      </c>
      <c r="AE21" s="155" t="s">
        <v>103</v>
      </c>
      <c r="AF21" s="155" t="s">
        <v>103</v>
      </c>
      <c r="AG21" s="155" t="s">
        <v>103</v>
      </c>
      <c r="AH21" s="992" t="s">
        <v>103</v>
      </c>
      <c r="AI21" s="960" t="s">
        <v>103</v>
      </c>
      <c r="AJ21" s="992" t="s">
        <v>103</v>
      </c>
      <c r="AK21" s="155" t="s">
        <v>103</v>
      </c>
      <c r="AL21" s="993" t="s">
        <v>103</v>
      </c>
      <c r="AM21" s="155"/>
      <c r="AN21" s="155"/>
      <c r="AO21" s="994"/>
      <c r="AP21" s="961">
        <v>0</v>
      </c>
      <c r="AQ21" s="578">
        <v>0</v>
      </c>
      <c r="AR21" s="155" t="s">
        <v>103</v>
      </c>
      <c r="AS21" s="155" t="s">
        <v>103</v>
      </c>
      <c r="AT21" s="155" t="s">
        <v>103</v>
      </c>
      <c r="AU21" s="155" t="s">
        <v>103</v>
      </c>
      <c r="AV21" s="155" t="s">
        <v>103</v>
      </c>
      <c r="AW21" s="155" t="s">
        <v>103</v>
      </c>
      <c r="AX21" s="155" t="s">
        <v>103</v>
      </c>
      <c r="AY21" s="155" t="s">
        <v>103</v>
      </c>
      <c r="AZ21" s="155" t="s">
        <v>103</v>
      </c>
      <c r="BA21" s="155" t="s">
        <v>103</v>
      </c>
      <c r="BB21" s="155" t="s">
        <v>103</v>
      </c>
      <c r="BC21" s="155" t="s">
        <v>103</v>
      </c>
      <c r="BD21" s="155" t="s">
        <v>103</v>
      </c>
      <c r="BE21" s="989" t="s">
        <v>103</v>
      </c>
      <c r="BF21" s="155" t="s">
        <v>103</v>
      </c>
      <c r="BG21" s="961">
        <v>0</v>
      </c>
      <c r="BH21" s="155" t="s">
        <v>103</v>
      </c>
      <c r="BI21" s="990" t="s">
        <v>103</v>
      </c>
      <c r="BJ21" s="155" t="s">
        <v>103</v>
      </c>
      <c r="BK21" s="155" t="s">
        <v>103</v>
      </c>
      <c r="BL21" s="155" t="s">
        <v>103</v>
      </c>
      <c r="BM21" s="155" t="s">
        <v>103</v>
      </c>
      <c r="BN21" s="155" t="s">
        <v>103</v>
      </c>
      <c r="BO21" s="155" t="s">
        <v>103</v>
      </c>
      <c r="BP21" s="155" t="s">
        <v>103</v>
      </c>
      <c r="BQ21" s="155" t="s">
        <v>103</v>
      </c>
      <c r="BR21" s="155" t="s">
        <v>103</v>
      </c>
      <c r="BS21" s="155" t="s">
        <v>103</v>
      </c>
      <c r="BT21" s="155" t="s">
        <v>103</v>
      </c>
      <c r="BU21" s="155" t="s">
        <v>103</v>
      </c>
      <c r="BV21" s="155" t="s">
        <v>103</v>
      </c>
      <c r="BW21" s="155" t="s">
        <v>103</v>
      </c>
      <c r="BX21" s="155" t="s">
        <v>103</v>
      </c>
      <c r="BY21" s="155" t="s">
        <v>103</v>
      </c>
      <c r="BZ21" s="155" t="s">
        <v>103</v>
      </c>
      <c r="CA21" s="155" t="s">
        <v>103</v>
      </c>
      <c r="CB21" s="155" t="s">
        <v>103</v>
      </c>
      <c r="CC21" s="155" t="s">
        <v>103</v>
      </c>
      <c r="CD21" s="155" t="s">
        <v>103</v>
      </c>
      <c r="CE21" s="155" t="s">
        <v>103</v>
      </c>
    </row>
    <row r="22" spans="1:83" ht="14.1" customHeight="1">
      <c r="A22" s="503" t="s">
        <v>133</v>
      </c>
      <c r="B22" s="995" t="s">
        <v>103</v>
      </c>
      <c r="C22" s="155" t="s">
        <v>103</v>
      </c>
      <c r="D22" s="153" t="s">
        <v>103</v>
      </c>
      <c r="E22" s="153" t="s">
        <v>103</v>
      </c>
      <c r="F22" s="958" t="s">
        <v>103</v>
      </c>
      <c r="G22" s="155" t="s">
        <v>110</v>
      </c>
      <c r="H22" s="673">
        <v>0.15941187850648095</v>
      </c>
      <c r="I22" s="996" t="s">
        <v>103</v>
      </c>
      <c r="J22" s="958" t="s">
        <v>103</v>
      </c>
      <c r="K22" s="958" t="s">
        <v>103</v>
      </c>
      <c r="L22" s="155" t="s">
        <v>103</v>
      </c>
      <c r="M22" s="155" t="s">
        <v>103</v>
      </c>
      <c r="N22" s="989">
        <v>0</v>
      </c>
      <c r="O22" s="989" t="s">
        <v>103</v>
      </c>
      <c r="P22" s="989">
        <v>0</v>
      </c>
      <c r="Q22" s="958" t="s">
        <v>103</v>
      </c>
      <c r="R22" s="989">
        <v>0</v>
      </c>
      <c r="S22" s="989">
        <v>0</v>
      </c>
      <c r="T22" s="958" t="s">
        <v>105</v>
      </c>
      <c r="U22" s="155" t="s">
        <v>110</v>
      </c>
      <c r="V22" s="518" t="s">
        <v>103</v>
      </c>
      <c r="W22" s="991" t="s">
        <v>103</v>
      </c>
      <c r="X22" s="991" t="s">
        <v>103</v>
      </c>
      <c r="Y22" s="991" t="s">
        <v>103</v>
      </c>
      <c r="Z22" s="518" t="s">
        <v>103</v>
      </c>
      <c r="AA22" s="991" t="s">
        <v>103</v>
      </c>
      <c r="AB22" s="155" t="s">
        <v>103</v>
      </c>
      <c r="AC22" s="959" t="s">
        <v>103</v>
      </c>
      <c r="AD22" s="155" t="s">
        <v>103</v>
      </c>
      <c r="AE22" s="155" t="s">
        <v>103</v>
      </c>
      <c r="AF22" s="155" t="s">
        <v>103</v>
      </c>
      <c r="AG22" s="155" t="s">
        <v>103</v>
      </c>
      <c r="AH22" s="992" t="s">
        <v>103</v>
      </c>
      <c r="AI22" s="960" t="s">
        <v>103</v>
      </c>
      <c r="AJ22" s="992" t="s">
        <v>103</v>
      </c>
      <c r="AK22" s="155" t="s">
        <v>103</v>
      </c>
      <c r="AL22" s="993" t="s">
        <v>103</v>
      </c>
      <c r="AM22" s="155"/>
      <c r="AN22" s="155"/>
      <c r="AO22" s="994"/>
      <c r="AP22" s="961">
        <v>0</v>
      </c>
      <c r="AQ22" s="578">
        <v>0</v>
      </c>
      <c r="AR22" s="155" t="s">
        <v>103</v>
      </c>
      <c r="AS22" s="155" t="s">
        <v>103</v>
      </c>
      <c r="AT22" s="155" t="s">
        <v>103</v>
      </c>
      <c r="AU22" s="155" t="s">
        <v>103</v>
      </c>
      <c r="AV22" s="155" t="s">
        <v>103</v>
      </c>
      <c r="AW22" s="155" t="s">
        <v>103</v>
      </c>
      <c r="AX22" s="155" t="s">
        <v>103</v>
      </c>
      <c r="AY22" s="155" t="s">
        <v>103</v>
      </c>
      <c r="AZ22" s="155" t="s">
        <v>103</v>
      </c>
      <c r="BA22" s="155" t="s">
        <v>103</v>
      </c>
      <c r="BB22" s="155" t="s">
        <v>103</v>
      </c>
      <c r="BC22" s="155" t="s">
        <v>103</v>
      </c>
      <c r="BD22" s="155" t="s">
        <v>103</v>
      </c>
      <c r="BE22" s="989" t="s">
        <v>103</v>
      </c>
      <c r="BF22" s="155" t="s">
        <v>103</v>
      </c>
      <c r="BG22" s="961">
        <v>0</v>
      </c>
      <c r="BH22" s="155" t="s">
        <v>103</v>
      </c>
      <c r="BI22" s="990" t="s">
        <v>103</v>
      </c>
      <c r="BJ22" s="155" t="s">
        <v>103</v>
      </c>
      <c r="BK22" s="155" t="s">
        <v>103</v>
      </c>
      <c r="BL22" s="155" t="s">
        <v>103</v>
      </c>
      <c r="BM22" s="155" t="s">
        <v>103</v>
      </c>
      <c r="BN22" s="155" t="s">
        <v>103</v>
      </c>
      <c r="BO22" s="155" t="s">
        <v>103</v>
      </c>
      <c r="BP22" s="155" t="s">
        <v>103</v>
      </c>
      <c r="BQ22" s="155" t="s">
        <v>103</v>
      </c>
      <c r="BR22" s="155" t="s">
        <v>103</v>
      </c>
      <c r="BS22" s="155" t="s">
        <v>103</v>
      </c>
      <c r="BT22" s="155" t="s">
        <v>103</v>
      </c>
      <c r="BU22" s="155" t="s">
        <v>103</v>
      </c>
      <c r="BV22" s="155" t="s">
        <v>103</v>
      </c>
      <c r="BW22" s="155" t="s">
        <v>103</v>
      </c>
      <c r="BX22" s="155" t="s">
        <v>103</v>
      </c>
      <c r="BY22" s="155" t="s">
        <v>103</v>
      </c>
      <c r="BZ22" s="155" t="s">
        <v>103</v>
      </c>
      <c r="CA22" s="155" t="s">
        <v>103</v>
      </c>
      <c r="CB22" s="155" t="s">
        <v>103</v>
      </c>
      <c r="CC22" s="155" t="s">
        <v>103</v>
      </c>
      <c r="CD22" s="155" t="s">
        <v>103</v>
      </c>
      <c r="CE22" s="155" t="s">
        <v>103</v>
      </c>
    </row>
    <row r="23" spans="1:83" ht="14.1" customHeight="1">
      <c r="A23" s="503" t="s">
        <v>134</v>
      </c>
      <c r="B23" s="995" t="s">
        <v>103</v>
      </c>
      <c r="C23" s="155" t="s">
        <v>103</v>
      </c>
      <c r="D23" s="153" t="s">
        <v>103</v>
      </c>
      <c r="E23" s="153" t="s">
        <v>103</v>
      </c>
      <c r="F23" s="958" t="s">
        <v>103</v>
      </c>
      <c r="G23" s="155" t="s">
        <v>110</v>
      </c>
      <c r="H23" s="673">
        <v>0.13503698722259583</v>
      </c>
      <c r="I23" s="996" t="s">
        <v>103</v>
      </c>
      <c r="J23" s="958" t="s">
        <v>103</v>
      </c>
      <c r="K23" s="958" t="s">
        <v>103</v>
      </c>
      <c r="L23" s="155" t="s">
        <v>103</v>
      </c>
      <c r="M23" s="155" t="s">
        <v>103</v>
      </c>
      <c r="N23" s="989">
        <v>0</v>
      </c>
      <c r="O23" s="989" t="s">
        <v>103</v>
      </c>
      <c r="P23" s="989">
        <v>0</v>
      </c>
      <c r="Q23" s="958" t="s">
        <v>103</v>
      </c>
      <c r="R23" s="156">
        <v>0</v>
      </c>
      <c r="S23" s="156">
        <v>0</v>
      </c>
      <c r="T23" s="958" t="s">
        <v>105</v>
      </c>
      <c r="U23" s="155" t="s">
        <v>110</v>
      </c>
      <c r="V23" s="518" t="s">
        <v>103</v>
      </c>
      <c r="W23" s="991" t="s">
        <v>103</v>
      </c>
      <c r="X23" s="991" t="s">
        <v>103</v>
      </c>
      <c r="Y23" s="991" t="s">
        <v>103</v>
      </c>
      <c r="Z23" s="518" t="s">
        <v>103</v>
      </c>
      <c r="AA23" s="991" t="s">
        <v>103</v>
      </c>
      <c r="AB23" s="155" t="s">
        <v>103</v>
      </c>
      <c r="AC23" s="959" t="s">
        <v>103</v>
      </c>
      <c r="AD23" s="155" t="s">
        <v>103</v>
      </c>
      <c r="AE23" s="155" t="s">
        <v>103</v>
      </c>
      <c r="AF23" s="155" t="s">
        <v>103</v>
      </c>
      <c r="AG23" s="155" t="s">
        <v>103</v>
      </c>
      <c r="AH23" s="992" t="s">
        <v>103</v>
      </c>
      <c r="AI23" s="960" t="s">
        <v>103</v>
      </c>
      <c r="AJ23" s="992" t="s">
        <v>103</v>
      </c>
      <c r="AK23" s="155" t="s">
        <v>103</v>
      </c>
      <c r="AL23" s="993" t="s">
        <v>103</v>
      </c>
      <c r="AM23" s="155"/>
      <c r="AN23" s="155"/>
      <c r="AO23" s="994"/>
      <c r="AP23" s="961">
        <v>0</v>
      </c>
      <c r="AQ23" s="578">
        <v>0</v>
      </c>
      <c r="AR23" s="155" t="s">
        <v>103</v>
      </c>
      <c r="AS23" s="155" t="s">
        <v>103</v>
      </c>
      <c r="AT23" s="155" t="s">
        <v>103</v>
      </c>
      <c r="AU23" s="155" t="s">
        <v>103</v>
      </c>
      <c r="AV23" s="155" t="s">
        <v>103</v>
      </c>
      <c r="AW23" s="155" t="s">
        <v>103</v>
      </c>
      <c r="AX23" s="155" t="s">
        <v>103</v>
      </c>
      <c r="AY23" s="155" t="s">
        <v>103</v>
      </c>
      <c r="AZ23" s="155" t="s">
        <v>103</v>
      </c>
      <c r="BA23" s="155" t="s">
        <v>103</v>
      </c>
      <c r="BB23" s="155" t="s">
        <v>103</v>
      </c>
      <c r="BC23" s="155" t="s">
        <v>103</v>
      </c>
      <c r="BD23" s="155" t="s">
        <v>103</v>
      </c>
      <c r="BE23" s="989" t="s">
        <v>103</v>
      </c>
      <c r="BF23" s="155" t="s">
        <v>103</v>
      </c>
      <c r="BG23" s="961">
        <v>0</v>
      </c>
      <c r="BH23" s="155" t="s">
        <v>103</v>
      </c>
      <c r="BI23" s="990" t="s">
        <v>103</v>
      </c>
      <c r="BJ23" s="155" t="s">
        <v>103</v>
      </c>
      <c r="BK23" s="155" t="s">
        <v>103</v>
      </c>
      <c r="BL23" s="155" t="s">
        <v>103</v>
      </c>
      <c r="BM23" s="155" t="s">
        <v>103</v>
      </c>
      <c r="BN23" s="155" t="s">
        <v>103</v>
      </c>
      <c r="BO23" s="155" t="s">
        <v>103</v>
      </c>
      <c r="BP23" s="155" t="s">
        <v>103</v>
      </c>
      <c r="BQ23" s="155" t="s">
        <v>103</v>
      </c>
      <c r="BR23" s="155" t="s">
        <v>103</v>
      </c>
      <c r="BS23" s="155" t="s">
        <v>103</v>
      </c>
      <c r="BT23" s="155" t="s">
        <v>103</v>
      </c>
      <c r="BU23" s="155" t="s">
        <v>103</v>
      </c>
      <c r="BV23" s="155" t="s">
        <v>103</v>
      </c>
      <c r="BW23" s="155" t="s">
        <v>103</v>
      </c>
      <c r="BX23" s="155" t="s">
        <v>103</v>
      </c>
      <c r="BY23" s="155" t="s">
        <v>103</v>
      </c>
      <c r="BZ23" s="155" t="s">
        <v>103</v>
      </c>
      <c r="CA23" s="155" t="s">
        <v>103</v>
      </c>
      <c r="CB23" s="155" t="s">
        <v>103</v>
      </c>
      <c r="CC23" s="155" t="s">
        <v>103</v>
      </c>
      <c r="CD23" s="155" t="s">
        <v>103</v>
      </c>
      <c r="CE23" s="155" t="s">
        <v>103</v>
      </c>
    </row>
    <row r="24" spans="1:83" ht="55.35" customHeight="1">
      <c r="A24" s="503" t="s">
        <v>135</v>
      </c>
      <c r="B24" s="164" t="s">
        <v>136</v>
      </c>
      <c r="C24" s="155" t="s">
        <v>137</v>
      </c>
      <c r="D24" s="153" t="s">
        <v>138</v>
      </c>
      <c r="E24" s="153">
        <v>93555</v>
      </c>
      <c r="F24" s="153">
        <v>6029005501</v>
      </c>
      <c r="G24" s="155" t="s">
        <v>110</v>
      </c>
      <c r="H24" s="674">
        <v>0.19737367021276594</v>
      </c>
      <c r="I24" s="508" t="s">
        <v>136</v>
      </c>
      <c r="J24" s="153" t="s">
        <v>117</v>
      </c>
      <c r="K24" s="156">
        <v>0</v>
      </c>
      <c r="L24" s="153" t="s">
        <v>138</v>
      </c>
      <c r="M24" s="153" t="s">
        <v>104</v>
      </c>
      <c r="N24" s="156">
        <v>1</v>
      </c>
      <c r="P24" s="156">
        <v>0</v>
      </c>
      <c r="Q24" s="156" t="s">
        <v>139</v>
      </c>
      <c r="R24" s="156">
        <v>0</v>
      </c>
      <c r="S24" s="156">
        <v>1</v>
      </c>
      <c r="T24" s="958" t="s">
        <v>105</v>
      </c>
      <c r="U24" s="153" t="s">
        <v>104</v>
      </c>
      <c r="V24" s="149">
        <v>36781</v>
      </c>
      <c r="W24" s="149">
        <v>36924</v>
      </c>
      <c r="X24" s="149">
        <v>39993</v>
      </c>
      <c r="Y24" s="149">
        <v>40165</v>
      </c>
      <c r="Z24" s="149">
        <v>40165</v>
      </c>
      <c r="AA24" s="149">
        <v>36781</v>
      </c>
      <c r="AB24" s="763" t="s">
        <v>121</v>
      </c>
      <c r="AC24" s="594">
        <v>102.14285714285714</v>
      </c>
      <c r="AD24" s="153" t="s">
        <v>103</v>
      </c>
      <c r="AE24" s="149" t="s">
        <v>103</v>
      </c>
      <c r="AF24" s="596">
        <v>35</v>
      </c>
      <c r="AG24" s="596">
        <v>25</v>
      </c>
      <c r="AH24" s="595">
        <v>5852.333333333333</v>
      </c>
      <c r="AI24" s="614">
        <v>1.1083964646464646</v>
      </c>
      <c r="AJ24" s="607">
        <v>5832</v>
      </c>
      <c r="AK24" s="153" t="s">
        <v>120</v>
      </c>
      <c r="AL24" s="791" t="s">
        <v>104</v>
      </c>
      <c r="AO24" s="963"/>
      <c r="AP24" s="94">
        <v>1832000</v>
      </c>
      <c r="AQ24" s="574">
        <v>1523324</v>
      </c>
      <c r="AR24" s="153" t="s">
        <v>116</v>
      </c>
      <c r="AS24" s="153" t="s">
        <v>116</v>
      </c>
      <c r="AT24" s="156">
        <v>0</v>
      </c>
      <c r="AU24" s="777" t="s">
        <v>122</v>
      </c>
      <c r="AV24" s="777" t="s">
        <v>122</v>
      </c>
      <c r="AW24" s="777" t="s">
        <v>122</v>
      </c>
      <c r="AX24" s="155" t="s">
        <v>103</v>
      </c>
      <c r="AY24" s="155" t="s">
        <v>103</v>
      </c>
      <c r="AZ24" s="155" t="s">
        <v>103</v>
      </c>
      <c r="BA24" s="156">
        <v>0</v>
      </c>
      <c r="BB24" s="574">
        <f>AQ24</f>
        <v>1523324</v>
      </c>
      <c r="BC24" s="780">
        <v>308676</v>
      </c>
      <c r="BD24" s="1008" t="s">
        <v>121</v>
      </c>
      <c r="BE24" s="679">
        <v>0</v>
      </c>
      <c r="BF24" s="153" t="s">
        <v>103</v>
      </c>
      <c r="BG24" s="94">
        <v>1523324</v>
      </c>
      <c r="BH24" s="766" t="s">
        <v>123</v>
      </c>
      <c r="BI24" s="774">
        <v>0</v>
      </c>
      <c r="BJ24" s="774">
        <v>0</v>
      </c>
      <c r="BK24" s="153" t="s">
        <v>103</v>
      </c>
      <c r="BL24" s="153" t="s">
        <v>124</v>
      </c>
      <c r="BM24" s="94" t="s">
        <v>103</v>
      </c>
      <c r="BN24" s="155" t="s">
        <v>103</v>
      </c>
      <c r="BO24" s="153" t="s">
        <v>103</v>
      </c>
      <c r="BP24" s="153" t="s">
        <v>103</v>
      </c>
      <c r="BQ24" s="153" t="s">
        <v>103</v>
      </c>
      <c r="BR24" s="153" t="s">
        <v>110</v>
      </c>
      <c r="BS24" s="153" t="s">
        <v>104</v>
      </c>
      <c r="BT24" s="153" t="s">
        <v>110</v>
      </c>
      <c r="BU24" s="153" t="s">
        <v>110</v>
      </c>
      <c r="BV24" s="153" t="s">
        <v>110</v>
      </c>
      <c r="BW24" s="153" t="s">
        <v>110</v>
      </c>
      <c r="BX24" s="153" t="s">
        <v>110</v>
      </c>
      <c r="BY24" s="153" t="s">
        <v>103</v>
      </c>
      <c r="BZ24" s="153" t="s">
        <v>110</v>
      </c>
      <c r="CA24" s="616" t="s">
        <v>103</v>
      </c>
      <c r="CB24" s="153" t="s">
        <v>103</v>
      </c>
      <c r="CC24" s="153" t="s">
        <v>103</v>
      </c>
      <c r="CD24" s="153" t="s">
        <v>103</v>
      </c>
      <c r="CE24" s="153" t="s">
        <v>103</v>
      </c>
    </row>
    <row r="25" spans="1:83" s="968" customFormat="1" ht="14.1" customHeight="1">
      <c r="A25" s="1045"/>
      <c r="B25" s="1054"/>
      <c r="C25" s="1059"/>
      <c r="D25" s="1054"/>
      <c r="E25" s="1054"/>
      <c r="F25" s="1054"/>
      <c r="G25" s="1054"/>
      <c r="H25" s="1054"/>
      <c r="I25" s="1072"/>
      <c r="J25" s="1054"/>
      <c r="K25" s="1054"/>
      <c r="L25" s="1054"/>
      <c r="M25" s="1054"/>
      <c r="N25" s="1069"/>
      <c r="O25" s="1069"/>
      <c r="P25" s="1069"/>
      <c r="Q25" s="1069"/>
      <c r="R25" s="1069"/>
      <c r="S25" s="1069"/>
      <c r="T25" s="1054"/>
      <c r="U25" s="1054"/>
      <c r="V25" s="1073"/>
      <c r="W25" s="1073"/>
      <c r="X25" s="1073"/>
      <c r="Y25" s="1073"/>
      <c r="Z25" s="1073"/>
      <c r="AA25" s="1073"/>
      <c r="AB25" s="1054"/>
      <c r="AC25" s="1074"/>
      <c r="AD25" s="1054"/>
      <c r="AE25" s="1054"/>
      <c r="AF25" s="1054"/>
      <c r="AG25" s="1054"/>
      <c r="AH25" s="1064"/>
      <c r="AI25" s="1065"/>
      <c r="AJ25" s="1064"/>
      <c r="AK25" s="1054"/>
      <c r="AL25" s="1066"/>
      <c r="AM25" s="1054"/>
      <c r="AN25" s="1054"/>
      <c r="AO25" s="1067"/>
      <c r="AP25" s="1070"/>
      <c r="AQ25" s="1068"/>
      <c r="AR25" s="1054"/>
      <c r="AS25" s="1054"/>
      <c r="AT25" s="1054"/>
      <c r="AU25" s="1054"/>
      <c r="AV25" s="1054"/>
      <c r="AW25" s="1054"/>
      <c r="AX25" s="1054"/>
      <c r="AY25" s="1054"/>
      <c r="AZ25" s="1054"/>
      <c r="BA25" s="1054"/>
      <c r="BB25" s="1054"/>
      <c r="BC25" s="1054"/>
      <c r="BD25" s="1054"/>
      <c r="BE25" s="1069"/>
      <c r="BF25" s="1054"/>
      <c r="BG25" s="1070"/>
      <c r="BH25" s="1054"/>
      <c r="BI25" s="1071"/>
      <c r="BJ25" s="1054"/>
      <c r="BK25" s="1054"/>
      <c r="BL25" s="1054"/>
      <c r="BM25" s="1070"/>
      <c r="BN25" s="1059"/>
      <c r="BO25" s="1054"/>
      <c r="BP25" s="1054"/>
      <c r="BQ25" s="1054"/>
      <c r="BR25" s="1054"/>
      <c r="BS25" s="1054"/>
      <c r="BT25" s="1054"/>
      <c r="BU25" s="1054"/>
      <c r="BV25" s="1054"/>
      <c r="BW25" s="1054"/>
      <c r="BX25" s="1054"/>
      <c r="BY25" s="1054"/>
      <c r="BZ25" s="1054"/>
      <c r="CA25" s="1054"/>
      <c r="CB25" s="1054"/>
      <c r="CC25" s="1054"/>
      <c r="CD25" s="1054"/>
      <c r="CE25" s="1054"/>
    </row>
    <row r="26" spans="1:83" ht="14.45" customHeight="1">
      <c r="A26" s="1009" t="s">
        <v>140</v>
      </c>
      <c r="B26" s="980"/>
      <c r="C26" s="997"/>
      <c r="D26" s="980"/>
      <c r="E26" s="980"/>
      <c r="F26" s="980"/>
      <c r="G26" s="980"/>
      <c r="H26" s="980"/>
      <c r="I26" s="1010"/>
      <c r="J26" s="980"/>
      <c r="K26" s="980"/>
      <c r="L26" s="980"/>
      <c r="M26" s="980"/>
      <c r="N26" s="1005"/>
      <c r="O26" s="1005"/>
      <c r="P26" s="1005"/>
      <c r="Q26" s="1005"/>
      <c r="R26" s="1005"/>
      <c r="S26" s="1005"/>
      <c r="T26" s="980"/>
      <c r="U26" s="980"/>
      <c r="V26" s="1000"/>
      <c r="W26" s="1000"/>
      <c r="X26" s="1000"/>
      <c r="Y26" s="1000"/>
      <c r="Z26" s="1000"/>
      <c r="AA26" s="1000"/>
      <c r="AB26" s="980"/>
      <c r="AC26" s="1002"/>
      <c r="AD26" s="980"/>
      <c r="AE26" s="980"/>
      <c r="AF26" s="980"/>
      <c r="AG26" s="980"/>
      <c r="AH26" s="1003"/>
      <c r="AI26" s="1004"/>
      <c r="AJ26" s="1003"/>
      <c r="AK26" s="980"/>
      <c r="AL26" s="797"/>
      <c r="AM26" s="980"/>
      <c r="AN26" s="980"/>
      <c r="AO26" s="798"/>
      <c r="AP26" s="163"/>
      <c r="AQ26" s="579"/>
      <c r="AR26" s="980"/>
      <c r="AS26" s="980"/>
      <c r="AT26" s="980"/>
      <c r="AU26" s="980"/>
      <c r="AV26" s="980"/>
      <c r="AW26" s="980"/>
      <c r="AX26" s="980"/>
      <c r="AY26" s="980"/>
      <c r="AZ26" s="980"/>
      <c r="BA26" s="980"/>
      <c r="BB26" s="980"/>
      <c r="BC26" s="980"/>
      <c r="BD26" s="980"/>
      <c r="BE26" s="1005"/>
      <c r="BF26" s="980"/>
      <c r="BG26" s="163"/>
      <c r="BH26" s="980"/>
      <c r="BI26" s="1006"/>
      <c r="BJ26" s="980"/>
      <c r="BK26" s="980"/>
      <c r="BL26" s="980"/>
      <c r="BM26" s="163"/>
      <c r="BN26" s="997"/>
      <c r="BO26" s="980"/>
      <c r="BP26" s="980"/>
      <c r="BQ26" s="980"/>
      <c r="BR26" s="980"/>
      <c r="BS26" s="980"/>
      <c r="BT26" s="980"/>
      <c r="BU26" s="980"/>
      <c r="BV26" s="980"/>
      <c r="BW26" s="980"/>
      <c r="BX26" s="980"/>
      <c r="BY26" s="980"/>
      <c r="BZ26" s="980"/>
      <c r="CA26" s="980"/>
      <c r="CB26" s="980"/>
      <c r="CC26" s="980"/>
      <c r="CD26" s="980"/>
      <c r="CE26" s="980"/>
    </row>
    <row r="27" spans="1:83" ht="14.1" customHeight="1">
      <c r="A27" s="503" t="s">
        <v>141</v>
      </c>
      <c r="B27" s="164" t="s">
        <v>103</v>
      </c>
      <c r="C27" s="155" t="s">
        <v>103</v>
      </c>
      <c r="D27" s="153" t="s">
        <v>103</v>
      </c>
      <c r="E27" s="153" t="s">
        <v>103</v>
      </c>
      <c r="F27" s="958" t="s">
        <v>103</v>
      </c>
      <c r="G27" s="153" t="s">
        <v>104</v>
      </c>
      <c r="H27" s="673">
        <v>0.26470926444095211</v>
      </c>
      <c r="I27" s="508" t="s">
        <v>103</v>
      </c>
      <c r="J27" s="958" t="s">
        <v>103</v>
      </c>
      <c r="K27" s="958" t="s">
        <v>103</v>
      </c>
      <c r="L27" s="153" t="s">
        <v>103</v>
      </c>
      <c r="M27" s="155" t="s">
        <v>103</v>
      </c>
      <c r="N27" s="156">
        <v>0</v>
      </c>
      <c r="O27" s="156" t="s">
        <v>103</v>
      </c>
      <c r="P27" s="156">
        <v>0</v>
      </c>
      <c r="Q27" s="958" t="s">
        <v>103</v>
      </c>
      <c r="R27" s="156">
        <v>0</v>
      </c>
      <c r="S27" s="156">
        <v>0</v>
      </c>
      <c r="T27" s="958" t="s">
        <v>105</v>
      </c>
      <c r="U27" s="153" t="s">
        <v>104</v>
      </c>
      <c r="V27" s="518" t="s">
        <v>103</v>
      </c>
      <c r="W27" s="991" t="s">
        <v>103</v>
      </c>
      <c r="X27" s="991" t="s">
        <v>103</v>
      </c>
      <c r="Y27" s="991" t="s">
        <v>103</v>
      </c>
      <c r="Z27" s="518" t="s">
        <v>103</v>
      </c>
      <c r="AA27" s="991" t="s">
        <v>103</v>
      </c>
      <c r="AB27" s="155" t="s">
        <v>103</v>
      </c>
      <c r="AC27" s="959" t="s">
        <v>103</v>
      </c>
      <c r="AD27" s="155" t="s">
        <v>103</v>
      </c>
      <c r="AE27" s="155" t="s">
        <v>103</v>
      </c>
      <c r="AF27" s="155" t="s">
        <v>103</v>
      </c>
      <c r="AG27" s="155" t="s">
        <v>103</v>
      </c>
      <c r="AH27" s="992" t="s">
        <v>103</v>
      </c>
      <c r="AI27" s="960" t="s">
        <v>103</v>
      </c>
      <c r="AJ27" s="992" t="s">
        <v>103</v>
      </c>
      <c r="AK27" s="155" t="s">
        <v>103</v>
      </c>
      <c r="AL27" s="993" t="s">
        <v>103</v>
      </c>
      <c r="AM27" s="155"/>
      <c r="AN27" s="155"/>
      <c r="AO27" s="994"/>
      <c r="AP27" s="94">
        <v>0</v>
      </c>
      <c r="AQ27" s="578">
        <v>0</v>
      </c>
      <c r="AR27" s="155" t="s">
        <v>103</v>
      </c>
      <c r="AS27" s="155" t="s">
        <v>103</v>
      </c>
      <c r="AT27" s="155" t="s">
        <v>103</v>
      </c>
      <c r="AU27" s="155" t="s">
        <v>103</v>
      </c>
      <c r="AV27" s="155" t="s">
        <v>103</v>
      </c>
      <c r="AW27" s="155" t="s">
        <v>103</v>
      </c>
      <c r="AX27" s="155" t="s">
        <v>103</v>
      </c>
      <c r="AY27" s="155" t="s">
        <v>103</v>
      </c>
      <c r="AZ27" s="155" t="s">
        <v>103</v>
      </c>
      <c r="BA27" s="155" t="s">
        <v>103</v>
      </c>
      <c r="BB27" s="155" t="s">
        <v>103</v>
      </c>
      <c r="BC27" s="155" t="s">
        <v>103</v>
      </c>
      <c r="BD27" s="155" t="s">
        <v>103</v>
      </c>
      <c r="BE27" s="989" t="s">
        <v>103</v>
      </c>
      <c r="BF27" s="155" t="s">
        <v>103</v>
      </c>
      <c r="BG27" s="961">
        <v>0</v>
      </c>
      <c r="BH27" s="155" t="s">
        <v>103</v>
      </c>
      <c r="BI27" s="990" t="s">
        <v>103</v>
      </c>
      <c r="BJ27" s="155" t="s">
        <v>103</v>
      </c>
      <c r="BK27" s="155" t="s">
        <v>103</v>
      </c>
      <c r="BL27" s="155" t="s">
        <v>103</v>
      </c>
      <c r="BM27" s="155" t="s">
        <v>103</v>
      </c>
      <c r="BN27" s="155" t="s">
        <v>103</v>
      </c>
      <c r="BO27" s="155" t="s">
        <v>103</v>
      </c>
      <c r="BP27" s="155" t="s">
        <v>103</v>
      </c>
      <c r="BQ27" s="155" t="s">
        <v>103</v>
      </c>
      <c r="BR27" s="155" t="s">
        <v>103</v>
      </c>
      <c r="BS27" s="155" t="s">
        <v>103</v>
      </c>
      <c r="BT27" s="155" t="s">
        <v>103</v>
      </c>
      <c r="BU27" s="155" t="s">
        <v>103</v>
      </c>
      <c r="BV27" s="155" t="s">
        <v>103</v>
      </c>
      <c r="BW27" s="155" t="s">
        <v>103</v>
      </c>
      <c r="BX27" s="155" t="s">
        <v>103</v>
      </c>
      <c r="BY27" s="155" t="s">
        <v>103</v>
      </c>
      <c r="BZ27" s="155" t="s">
        <v>103</v>
      </c>
      <c r="CA27" s="155" t="s">
        <v>103</v>
      </c>
      <c r="CB27" s="155" t="s">
        <v>103</v>
      </c>
      <c r="CC27" s="155" t="s">
        <v>103</v>
      </c>
      <c r="CD27" s="155" t="s">
        <v>103</v>
      </c>
      <c r="CE27" s="155" t="s">
        <v>103</v>
      </c>
    </row>
    <row r="28" spans="1:83" ht="14.1" customHeight="1">
      <c r="A28" s="503" t="s">
        <v>142</v>
      </c>
      <c r="B28" s="164" t="s">
        <v>103</v>
      </c>
      <c r="C28" s="155" t="s">
        <v>103</v>
      </c>
      <c r="D28" s="153" t="s">
        <v>103</v>
      </c>
      <c r="E28" s="153" t="s">
        <v>103</v>
      </c>
      <c r="F28" s="958" t="s">
        <v>103</v>
      </c>
      <c r="G28" s="153" t="s">
        <v>104</v>
      </c>
      <c r="H28" s="673">
        <v>0.3430930930930931</v>
      </c>
      <c r="I28" s="508" t="s">
        <v>103</v>
      </c>
      <c r="J28" s="958" t="s">
        <v>103</v>
      </c>
      <c r="K28" s="958" t="s">
        <v>103</v>
      </c>
      <c r="L28" s="153" t="s">
        <v>103</v>
      </c>
      <c r="M28" s="155" t="s">
        <v>103</v>
      </c>
      <c r="N28" s="156">
        <v>0</v>
      </c>
      <c r="O28" s="156" t="s">
        <v>103</v>
      </c>
      <c r="P28" s="156">
        <v>0</v>
      </c>
      <c r="Q28" s="958" t="s">
        <v>103</v>
      </c>
      <c r="R28" s="156">
        <v>0</v>
      </c>
      <c r="S28" s="156">
        <v>0</v>
      </c>
      <c r="T28" s="958" t="s">
        <v>105</v>
      </c>
      <c r="U28" s="153" t="s">
        <v>104</v>
      </c>
      <c r="V28" s="518" t="s">
        <v>103</v>
      </c>
      <c r="W28" s="991" t="s">
        <v>103</v>
      </c>
      <c r="X28" s="991" t="s">
        <v>103</v>
      </c>
      <c r="Y28" s="991" t="s">
        <v>103</v>
      </c>
      <c r="Z28" s="518" t="s">
        <v>103</v>
      </c>
      <c r="AA28" s="991" t="s">
        <v>103</v>
      </c>
      <c r="AB28" s="155" t="s">
        <v>103</v>
      </c>
      <c r="AC28" s="959" t="s">
        <v>103</v>
      </c>
      <c r="AD28" s="155" t="s">
        <v>103</v>
      </c>
      <c r="AE28" s="155" t="s">
        <v>103</v>
      </c>
      <c r="AF28" s="155" t="s">
        <v>103</v>
      </c>
      <c r="AG28" s="155" t="s">
        <v>103</v>
      </c>
      <c r="AH28" s="992" t="s">
        <v>103</v>
      </c>
      <c r="AI28" s="960" t="s">
        <v>103</v>
      </c>
      <c r="AJ28" s="992" t="s">
        <v>103</v>
      </c>
      <c r="AK28" s="155" t="s">
        <v>103</v>
      </c>
      <c r="AL28" s="993" t="s">
        <v>103</v>
      </c>
      <c r="AM28" s="155"/>
      <c r="AN28" s="155"/>
      <c r="AO28" s="994"/>
      <c r="AP28" s="94">
        <v>0</v>
      </c>
      <c r="AQ28" s="578">
        <v>0</v>
      </c>
      <c r="AR28" s="155" t="s">
        <v>103</v>
      </c>
      <c r="AS28" s="155" t="s">
        <v>103</v>
      </c>
      <c r="AT28" s="155" t="s">
        <v>103</v>
      </c>
      <c r="AU28" s="155" t="s">
        <v>103</v>
      </c>
      <c r="AV28" s="155" t="s">
        <v>103</v>
      </c>
      <c r="AW28" s="155" t="s">
        <v>103</v>
      </c>
      <c r="AX28" s="155" t="s">
        <v>103</v>
      </c>
      <c r="AY28" s="155" t="s">
        <v>103</v>
      </c>
      <c r="AZ28" s="155" t="s">
        <v>103</v>
      </c>
      <c r="BA28" s="155" t="s">
        <v>103</v>
      </c>
      <c r="BB28" s="155" t="s">
        <v>103</v>
      </c>
      <c r="BC28" s="155" t="s">
        <v>103</v>
      </c>
      <c r="BD28" s="155" t="s">
        <v>103</v>
      </c>
      <c r="BE28" s="989" t="s">
        <v>103</v>
      </c>
      <c r="BF28" s="155" t="s">
        <v>103</v>
      </c>
      <c r="BG28" s="961">
        <v>0</v>
      </c>
      <c r="BH28" s="155" t="s">
        <v>103</v>
      </c>
      <c r="BI28" s="990" t="s">
        <v>103</v>
      </c>
      <c r="BJ28" s="155" t="s">
        <v>103</v>
      </c>
      <c r="BK28" s="155" t="s">
        <v>103</v>
      </c>
      <c r="BL28" s="155" t="s">
        <v>103</v>
      </c>
      <c r="BM28" s="155" t="s">
        <v>103</v>
      </c>
      <c r="BN28" s="155" t="s">
        <v>103</v>
      </c>
      <c r="BO28" s="155" t="s">
        <v>103</v>
      </c>
      <c r="BP28" s="155" t="s">
        <v>103</v>
      </c>
      <c r="BQ28" s="155" t="s">
        <v>103</v>
      </c>
      <c r="BR28" s="155" t="s">
        <v>103</v>
      </c>
      <c r="BS28" s="155" t="s">
        <v>103</v>
      </c>
      <c r="BT28" s="155" t="s">
        <v>103</v>
      </c>
      <c r="BU28" s="155" t="s">
        <v>103</v>
      </c>
      <c r="BV28" s="155" t="s">
        <v>103</v>
      </c>
      <c r="BW28" s="155" t="s">
        <v>103</v>
      </c>
      <c r="BX28" s="155" t="s">
        <v>103</v>
      </c>
      <c r="BY28" s="155" t="s">
        <v>103</v>
      </c>
      <c r="BZ28" s="155" t="s">
        <v>103</v>
      </c>
      <c r="CA28" s="155" t="s">
        <v>103</v>
      </c>
      <c r="CB28" s="155" t="s">
        <v>103</v>
      </c>
      <c r="CC28" s="155" t="s">
        <v>103</v>
      </c>
      <c r="CD28" s="155" t="s">
        <v>103</v>
      </c>
      <c r="CE28" s="155" t="s">
        <v>103</v>
      </c>
    </row>
    <row r="29" spans="1:83" s="968" customFormat="1" ht="14.1" customHeight="1">
      <c r="A29" s="1045"/>
      <c r="B29" s="1054"/>
      <c r="C29" s="1059"/>
      <c r="D29" s="1054"/>
      <c r="E29" s="1054"/>
      <c r="F29" s="1054"/>
      <c r="G29" s="1054"/>
      <c r="H29" s="1054"/>
      <c r="I29" s="1072"/>
      <c r="J29" s="1054"/>
      <c r="K29" s="1054"/>
      <c r="L29" s="1054"/>
      <c r="M29" s="1054"/>
      <c r="N29" s="1069"/>
      <c r="O29" s="1069"/>
      <c r="P29" s="1069"/>
      <c r="Q29" s="1069"/>
      <c r="R29" s="1069"/>
      <c r="S29" s="1069"/>
      <c r="T29" s="1054"/>
      <c r="U29" s="1054"/>
      <c r="V29" s="1073"/>
      <c r="W29" s="1073"/>
      <c r="X29" s="1073"/>
      <c r="Y29" s="1073"/>
      <c r="Z29" s="1073"/>
      <c r="AA29" s="1073"/>
      <c r="AB29" s="1054"/>
      <c r="AC29" s="1074"/>
      <c r="AD29" s="1054"/>
      <c r="AE29" s="1054"/>
      <c r="AF29" s="1054"/>
      <c r="AG29" s="1054"/>
      <c r="AH29" s="1064"/>
      <c r="AI29" s="1065"/>
      <c r="AJ29" s="1064"/>
      <c r="AK29" s="1054"/>
      <c r="AL29" s="1066"/>
      <c r="AM29" s="1054"/>
      <c r="AN29" s="1054"/>
      <c r="AO29" s="1067"/>
      <c r="AP29" s="1070"/>
      <c r="AQ29" s="1068"/>
      <c r="AR29" s="1054"/>
      <c r="AS29" s="1054"/>
      <c r="AT29" s="1054"/>
      <c r="AU29" s="1054"/>
      <c r="AV29" s="1054"/>
      <c r="AW29" s="1054"/>
      <c r="AX29" s="1054"/>
      <c r="AY29" s="1054"/>
      <c r="AZ29" s="1054"/>
      <c r="BA29" s="1054"/>
      <c r="BB29" s="1054"/>
      <c r="BC29" s="1054"/>
      <c r="BD29" s="1054"/>
      <c r="BE29" s="1069"/>
      <c r="BF29" s="1054"/>
      <c r="BG29" s="1070"/>
      <c r="BH29" s="1054"/>
      <c r="BI29" s="1071"/>
      <c r="BJ29" s="1054"/>
      <c r="BK29" s="1054"/>
      <c r="BL29" s="1054"/>
      <c r="BM29" s="1070"/>
      <c r="BN29" s="1059"/>
      <c r="BO29" s="1054"/>
      <c r="BP29" s="1054"/>
      <c r="BQ29" s="1054"/>
      <c r="BR29" s="1054"/>
      <c r="BS29" s="1054"/>
      <c r="BT29" s="1054"/>
      <c r="BU29" s="1054"/>
      <c r="BV29" s="1054"/>
      <c r="BW29" s="1054"/>
      <c r="BX29" s="1054"/>
      <c r="BY29" s="1054"/>
      <c r="BZ29" s="1054"/>
      <c r="CA29" s="1054"/>
      <c r="CB29" s="1054"/>
      <c r="CC29" s="1054"/>
      <c r="CD29" s="1054"/>
      <c r="CE29" s="1054"/>
    </row>
    <row r="30" spans="1:83" ht="14.45" customHeight="1">
      <c r="A30" s="1009" t="s">
        <v>143</v>
      </c>
      <c r="B30" s="980"/>
      <c r="C30" s="997"/>
      <c r="D30" s="980"/>
      <c r="E30" s="980"/>
      <c r="F30" s="980"/>
      <c r="G30" s="980"/>
      <c r="H30" s="980"/>
      <c r="I30" s="1010"/>
      <c r="J30" s="980"/>
      <c r="K30" s="980"/>
      <c r="L30" s="980"/>
      <c r="M30" s="980"/>
      <c r="N30" s="1005"/>
      <c r="O30" s="1005"/>
      <c r="P30" s="1005"/>
      <c r="Q30" s="1005"/>
      <c r="R30" s="1005"/>
      <c r="S30" s="1005"/>
      <c r="T30" s="980"/>
      <c r="U30" s="980"/>
      <c r="V30" s="1000"/>
      <c r="W30" s="1000"/>
      <c r="X30" s="1000"/>
      <c r="Y30" s="1000"/>
      <c r="Z30" s="1000"/>
      <c r="AA30" s="1000"/>
      <c r="AB30" s="980"/>
      <c r="AC30" s="1002"/>
      <c r="AD30" s="980"/>
      <c r="AE30" s="980"/>
      <c r="AF30" s="980"/>
      <c r="AG30" s="980"/>
      <c r="AH30" s="1003"/>
      <c r="AI30" s="1004"/>
      <c r="AJ30" s="1003"/>
      <c r="AK30" s="980"/>
      <c r="AL30" s="797"/>
      <c r="AM30" s="980"/>
      <c r="AN30" s="980"/>
      <c r="AO30" s="798"/>
      <c r="AP30" s="163"/>
      <c r="AQ30" s="579"/>
      <c r="AR30" s="980"/>
      <c r="AS30" s="980"/>
      <c r="AT30" s="980"/>
      <c r="AU30" s="980"/>
      <c r="AV30" s="980"/>
      <c r="AW30" s="980"/>
      <c r="AX30" s="980"/>
      <c r="AY30" s="980"/>
      <c r="AZ30" s="980"/>
      <c r="BA30" s="980"/>
      <c r="BB30" s="980"/>
      <c r="BC30" s="980"/>
      <c r="BD30" s="980"/>
      <c r="BE30" s="1005"/>
      <c r="BF30" s="980"/>
      <c r="BG30" s="163"/>
      <c r="BH30" s="980"/>
      <c r="BI30" s="1006"/>
      <c r="BJ30" s="980"/>
      <c r="BK30" s="980"/>
      <c r="BL30" s="980"/>
      <c r="BM30" s="163"/>
      <c r="BN30" s="997"/>
      <c r="BO30" s="980"/>
      <c r="BP30" s="980"/>
      <c r="BQ30" s="980"/>
      <c r="BR30" s="980"/>
      <c r="BS30" s="980"/>
      <c r="BT30" s="980"/>
      <c r="BU30" s="980"/>
      <c r="BV30" s="980"/>
      <c r="BW30" s="980"/>
      <c r="BX30" s="980"/>
      <c r="BY30" s="980"/>
      <c r="BZ30" s="980"/>
      <c r="CA30" s="980"/>
      <c r="CB30" s="980"/>
      <c r="CC30" s="980"/>
      <c r="CD30" s="980"/>
      <c r="CE30" s="980"/>
    </row>
    <row r="31" spans="1:83" ht="14.1" customHeight="1">
      <c r="A31" s="503" t="s">
        <v>144</v>
      </c>
      <c r="B31" s="164" t="s">
        <v>103</v>
      </c>
      <c r="C31" s="155" t="s">
        <v>103</v>
      </c>
      <c r="D31" s="153" t="s">
        <v>103</v>
      </c>
      <c r="E31" s="153" t="s">
        <v>103</v>
      </c>
      <c r="F31" s="958" t="s">
        <v>103</v>
      </c>
      <c r="G31" s="153" t="s">
        <v>110</v>
      </c>
      <c r="H31" s="673">
        <v>6.2870370370370368E-2</v>
      </c>
      <c r="I31" s="508" t="s">
        <v>103</v>
      </c>
      <c r="J31" s="958" t="s">
        <v>103</v>
      </c>
      <c r="K31" s="958" t="s">
        <v>103</v>
      </c>
      <c r="L31" s="155" t="s">
        <v>103</v>
      </c>
      <c r="M31" s="155" t="s">
        <v>103</v>
      </c>
      <c r="N31" s="156">
        <v>0</v>
      </c>
      <c r="O31" s="156" t="s">
        <v>103</v>
      </c>
      <c r="P31" s="156">
        <v>0</v>
      </c>
      <c r="Q31" s="958" t="s">
        <v>103</v>
      </c>
      <c r="R31" s="156">
        <v>0</v>
      </c>
      <c r="T31" s="958" t="s">
        <v>105</v>
      </c>
      <c r="U31" s="153" t="s">
        <v>110</v>
      </c>
      <c r="V31" s="518" t="s">
        <v>103</v>
      </c>
      <c r="W31" s="991" t="s">
        <v>103</v>
      </c>
      <c r="X31" s="991" t="s">
        <v>103</v>
      </c>
      <c r="Y31" s="991" t="s">
        <v>103</v>
      </c>
      <c r="Z31" s="518" t="s">
        <v>103</v>
      </c>
      <c r="AA31" s="991" t="s">
        <v>103</v>
      </c>
      <c r="AB31" s="155" t="s">
        <v>103</v>
      </c>
      <c r="AC31" s="959" t="s">
        <v>103</v>
      </c>
      <c r="AD31" s="155" t="s">
        <v>103</v>
      </c>
      <c r="AE31" s="155" t="s">
        <v>103</v>
      </c>
      <c r="AF31" s="155" t="s">
        <v>103</v>
      </c>
      <c r="AG31" s="155" t="s">
        <v>103</v>
      </c>
      <c r="AH31" s="992" t="s">
        <v>103</v>
      </c>
      <c r="AI31" s="960" t="s">
        <v>103</v>
      </c>
      <c r="AJ31" s="992" t="s">
        <v>103</v>
      </c>
      <c r="AK31" s="155" t="s">
        <v>103</v>
      </c>
      <c r="AL31" s="993" t="s">
        <v>103</v>
      </c>
      <c r="AM31" s="155"/>
      <c r="AN31" s="155"/>
      <c r="AO31" s="994"/>
      <c r="AP31" s="94">
        <v>0</v>
      </c>
      <c r="AQ31" s="578">
        <v>0</v>
      </c>
      <c r="AR31" s="155" t="s">
        <v>103</v>
      </c>
      <c r="AS31" s="155" t="s">
        <v>103</v>
      </c>
      <c r="AT31" s="155" t="s">
        <v>103</v>
      </c>
      <c r="AU31" s="155" t="s">
        <v>103</v>
      </c>
      <c r="AV31" s="155" t="s">
        <v>103</v>
      </c>
      <c r="AW31" s="155" t="s">
        <v>103</v>
      </c>
      <c r="AX31" s="155" t="s">
        <v>103</v>
      </c>
      <c r="AY31" s="155" t="s">
        <v>103</v>
      </c>
      <c r="AZ31" s="155" t="s">
        <v>103</v>
      </c>
      <c r="BA31" s="155" t="s">
        <v>103</v>
      </c>
      <c r="BB31" s="155" t="s">
        <v>103</v>
      </c>
      <c r="BC31" s="155" t="s">
        <v>103</v>
      </c>
      <c r="BD31" s="155" t="s">
        <v>103</v>
      </c>
      <c r="BE31" s="989" t="s">
        <v>103</v>
      </c>
      <c r="BF31" s="155" t="s">
        <v>103</v>
      </c>
      <c r="BG31" s="961">
        <v>0</v>
      </c>
      <c r="BH31" s="155" t="s">
        <v>103</v>
      </c>
      <c r="BI31" s="990" t="s">
        <v>103</v>
      </c>
      <c r="BJ31" s="155" t="s">
        <v>103</v>
      </c>
      <c r="BK31" s="155" t="s">
        <v>103</v>
      </c>
      <c r="BL31" s="155" t="s">
        <v>103</v>
      </c>
      <c r="BM31" s="155" t="s">
        <v>103</v>
      </c>
      <c r="BN31" s="155" t="s">
        <v>103</v>
      </c>
      <c r="BO31" s="155" t="s">
        <v>103</v>
      </c>
      <c r="BP31" s="155" t="s">
        <v>103</v>
      </c>
      <c r="BQ31" s="155" t="s">
        <v>103</v>
      </c>
      <c r="BR31" s="155" t="s">
        <v>103</v>
      </c>
      <c r="BS31" s="155" t="s">
        <v>103</v>
      </c>
      <c r="BT31" s="155" t="s">
        <v>103</v>
      </c>
      <c r="BU31" s="155" t="s">
        <v>103</v>
      </c>
      <c r="BV31" s="155" t="s">
        <v>103</v>
      </c>
      <c r="BW31" s="155" t="s">
        <v>103</v>
      </c>
      <c r="BX31" s="155" t="s">
        <v>103</v>
      </c>
      <c r="BY31" s="155" t="s">
        <v>103</v>
      </c>
      <c r="BZ31" s="155" t="s">
        <v>103</v>
      </c>
      <c r="CA31" s="155" t="s">
        <v>103</v>
      </c>
      <c r="CB31" s="155" t="s">
        <v>103</v>
      </c>
      <c r="CC31" s="155" t="s">
        <v>103</v>
      </c>
      <c r="CD31" s="155" t="s">
        <v>103</v>
      </c>
      <c r="CE31" s="155" t="s">
        <v>103</v>
      </c>
    </row>
    <row r="32" spans="1:83" ht="10.35" customHeight="1">
      <c r="A32" s="503" t="s">
        <v>145</v>
      </c>
      <c r="B32" s="164" t="s">
        <v>146</v>
      </c>
      <c r="C32" s="155" t="s">
        <v>147</v>
      </c>
      <c r="D32" s="153" t="s">
        <v>103</v>
      </c>
      <c r="E32" s="153" t="s">
        <v>116</v>
      </c>
      <c r="F32" s="153">
        <v>6037480802</v>
      </c>
      <c r="G32" s="155" t="s">
        <v>110</v>
      </c>
      <c r="H32" s="674">
        <v>0.2580445718461063</v>
      </c>
      <c r="I32" s="508" t="s">
        <v>146</v>
      </c>
      <c r="J32" s="153" t="s">
        <v>117</v>
      </c>
      <c r="K32" s="572" t="s">
        <v>148</v>
      </c>
      <c r="L32" s="153" t="s">
        <v>149</v>
      </c>
      <c r="M32" s="153" t="s">
        <v>104</v>
      </c>
      <c r="N32" s="156">
        <v>2</v>
      </c>
      <c r="P32" s="156">
        <v>0</v>
      </c>
      <c r="Q32" s="156" t="s">
        <v>139</v>
      </c>
      <c r="R32" s="156">
        <v>0</v>
      </c>
      <c r="S32" s="156">
        <v>2</v>
      </c>
      <c r="T32" s="958" t="s">
        <v>105</v>
      </c>
      <c r="U32" s="153" t="s">
        <v>104</v>
      </c>
      <c r="V32" s="149" t="s">
        <v>150</v>
      </c>
      <c r="Y32" s="149">
        <v>38565</v>
      </c>
      <c r="Z32" s="149">
        <v>38565</v>
      </c>
      <c r="AA32" s="149" t="s">
        <v>150</v>
      </c>
      <c r="AB32" s="763" t="s">
        <v>151</v>
      </c>
      <c r="AC32" s="594" t="s">
        <v>116</v>
      </c>
      <c r="AD32" s="153" t="s">
        <v>103</v>
      </c>
      <c r="AE32" s="149" t="s">
        <v>103</v>
      </c>
      <c r="AF32" s="596" t="s">
        <v>103</v>
      </c>
      <c r="AG32" s="596" t="s">
        <v>103</v>
      </c>
      <c r="AH32" s="595" t="s">
        <v>103</v>
      </c>
      <c r="AI32" s="614" t="s">
        <v>103</v>
      </c>
      <c r="AJ32" s="607" t="s">
        <v>103</v>
      </c>
      <c r="AK32" s="153" t="s">
        <v>152</v>
      </c>
      <c r="AL32" s="791" t="s">
        <v>103</v>
      </c>
      <c r="AO32" s="963"/>
      <c r="AP32" s="94">
        <v>312000</v>
      </c>
      <c r="AQ32" s="574">
        <v>398583.47</v>
      </c>
      <c r="AR32" s="153" t="s">
        <v>116</v>
      </c>
      <c r="AS32" s="153" t="s">
        <v>116</v>
      </c>
      <c r="AT32" s="156">
        <v>0</v>
      </c>
      <c r="AU32" s="777" t="s">
        <v>122</v>
      </c>
      <c r="AV32" s="777" t="s">
        <v>122</v>
      </c>
      <c r="AW32" s="777" t="s">
        <v>122</v>
      </c>
      <c r="AX32" s="155" t="s">
        <v>103</v>
      </c>
      <c r="AY32" s="155" t="s">
        <v>103</v>
      </c>
      <c r="AZ32" s="155" t="s">
        <v>103</v>
      </c>
      <c r="BA32" s="156">
        <v>0</v>
      </c>
      <c r="BB32" s="574">
        <f t="shared" ref="BB32:BB34" si="0">AQ32</f>
        <v>398583.47</v>
      </c>
      <c r="BC32" s="780">
        <v>-86583.469999999972</v>
      </c>
      <c r="BD32" s="1008" t="s">
        <v>151</v>
      </c>
      <c r="BE32" s="679">
        <v>0</v>
      </c>
      <c r="BF32" s="153" t="s">
        <v>103</v>
      </c>
      <c r="BG32" s="94">
        <v>398583.47</v>
      </c>
      <c r="BH32" s="766" t="s">
        <v>123</v>
      </c>
      <c r="BI32" s="774">
        <v>0</v>
      </c>
      <c r="BJ32" s="774">
        <v>0</v>
      </c>
      <c r="BK32" s="153" t="s">
        <v>103</v>
      </c>
      <c r="BL32" s="153" t="s">
        <v>124</v>
      </c>
      <c r="BM32" s="94" t="s">
        <v>103</v>
      </c>
      <c r="BN32" s="155" t="s">
        <v>103</v>
      </c>
      <c r="BO32" s="153" t="s">
        <v>103</v>
      </c>
      <c r="BP32" s="153" t="s">
        <v>103</v>
      </c>
      <c r="BQ32" s="153" t="s">
        <v>103</v>
      </c>
      <c r="BR32" s="153" t="s">
        <v>103</v>
      </c>
      <c r="BS32" s="153" t="s">
        <v>103</v>
      </c>
      <c r="BT32" s="153" t="s">
        <v>103</v>
      </c>
      <c r="BU32" s="153" t="s">
        <v>103</v>
      </c>
      <c r="BV32" s="153" t="s">
        <v>103</v>
      </c>
      <c r="BW32" s="153" t="s">
        <v>103</v>
      </c>
      <c r="BX32" s="153" t="s">
        <v>103</v>
      </c>
      <c r="BY32" s="153" t="s">
        <v>103</v>
      </c>
      <c r="BZ32" s="153" t="s">
        <v>103</v>
      </c>
      <c r="CA32" s="616" t="s">
        <v>103</v>
      </c>
      <c r="CB32" s="153" t="s">
        <v>103</v>
      </c>
      <c r="CC32" s="153" t="s">
        <v>103</v>
      </c>
      <c r="CD32" s="153" t="s">
        <v>103</v>
      </c>
      <c r="CE32" s="153" t="s">
        <v>103</v>
      </c>
    </row>
    <row r="33" spans="1:83" ht="41.45" customHeight="1">
      <c r="A33" s="503"/>
      <c r="B33" s="164" t="s">
        <v>153</v>
      </c>
      <c r="C33" s="155" t="s">
        <v>154</v>
      </c>
      <c r="D33" s="153" t="s">
        <v>155</v>
      </c>
      <c r="E33" s="153">
        <v>91801</v>
      </c>
      <c r="F33" s="153">
        <v>6037480302</v>
      </c>
      <c r="G33" s="153" t="s">
        <v>110</v>
      </c>
      <c r="H33" s="153" t="s">
        <v>150</v>
      </c>
      <c r="I33" s="508" t="s">
        <v>153</v>
      </c>
      <c r="J33" s="153" t="s">
        <v>117</v>
      </c>
      <c r="K33" s="572" t="s">
        <v>156</v>
      </c>
      <c r="L33" s="153" t="s">
        <v>155</v>
      </c>
      <c r="M33" s="153" t="s">
        <v>104</v>
      </c>
      <c r="Q33" s="156" t="s">
        <v>139</v>
      </c>
      <c r="V33" s="149">
        <v>39377</v>
      </c>
      <c r="W33" s="149">
        <v>39423</v>
      </c>
      <c r="X33" s="149">
        <v>39748</v>
      </c>
      <c r="Y33" s="149">
        <v>39930</v>
      </c>
      <c r="Z33" s="149">
        <v>39930</v>
      </c>
      <c r="AA33" s="149">
        <v>39377</v>
      </c>
      <c r="AB33" s="763" t="s">
        <v>151</v>
      </c>
      <c r="AC33" s="594">
        <v>32.857142857142854</v>
      </c>
      <c r="AD33" s="153" t="s">
        <v>103</v>
      </c>
      <c r="AE33" s="149" t="s">
        <v>103</v>
      </c>
      <c r="AF33" s="596">
        <v>16</v>
      </c>
      <c r="AG33" s="596">
        <v>3</v>
      </c>
      <c r="AH33" s="595">
        <v>3239.6666666666665</v>
      </c>
      <c r="AI33" s="614">
        <v>0.61357323232323224</v>
      </c>
      <c r="AJ33" s="607">
        <v>2600</v>
      </c>
      <c r="AK33" s="153" t="s">
        <v>152</v>
      </c>
      <c r="AL33" s="791" t="s">
        <v>110</v>
      </c>
      <c r="AO33" s="963"/>
      <c r="AP33" s="519">
        <v>1300000</v>
      </c>
      <c r="AQ33" s="574">
        <v>1369528</v>
      </c>
      <c r="AR33" s="153" t="s">
        <v>116</v>
      </c>
      <c r="AS33" s="153" t="s">
        <v>116</v>
      </c>
      <c r="AT33" s="156">
        <v>0</v>
      </c>
      <c r="AU33" s="777" t="s">
        <v>122</v>
      </c>
      <c r="AV33" s="777" t="s">
        <v>122</v>
      </c>
      <c r="AW33" s="777" t="s">
        <v>122</v>
      </c>
      <c r="AX33" s="155" t="s">
        <v>103</v>
      </c>
      <c r="AY33" s="155" t="s">
        <v>103</v>
      </c>
      <c r="AZ33" s="155" t="s">
        <v>103</v>
      </c>
      <c r="BA33" s="156">
        <v>0</v>
      </c>
      <c r="BB33" s="574">
        <f t="shared" si="0"/>
        <v>1369528</v>
      </c>
      <c r="BC33" s="780">
        <v>-69528</v>
      </c>
      <c r="BD33" s="1008" t="s">
        <v>151</v>
      </c>
      <c r="BE33" s="679">
        <v>69.19</v>
      </c>
      <c r="BF33" s="153">
        <v>2015</v>
      </c>
      <c r="BG33" s="94">
        <v>1369528</v>
      </c>
      <c r="BH33" s="766">
        <v>3788259</v>
      </c>
      <c r="BI33" s="774">
        <v>0</v>
      </c>
      <c r="BJ33" s="774">
        <v>0</v>
      </c>
      <c r="BK33" s="153" t="s">
        <v>103</v>
      </c>
      <c r="BL33" s="153" t="s">
        <v>124</v>
      </c>
      <c r="BM33" s="94" t="s">
        <v>103</v>
      </c>
      <c r="BN33" s="155" t="s">
        <v>103</v>
      </c>
      <c r="BO33" s="153" t="s">
        <v>103</v>
      </c>
      <c r="BP33" s="153" t="s">
        <v>103</v>
      </c>
      <c r="BQ33" s="153" t="s">
        <v>103</v>
      </c>
      <c r="BR33" s="153" t="s">
        <v>110</v>
      </c>
      <c r="BS33" s="153" t="s">
        <v>110</v>
      </c>
      <c r="BT33" s="153" t="s">
        <v>110</v>
      </c>
      <c r="BU33" s="153" t="s">
        <v>110</v>
      </c>
      <c r="BV33" s="153" t="s">
        <v>103</v>
      </c>
      <c r="BW33" s="153" t="s">
        <v>110</v>
      </c>
      <c r="BX33" s="153" t="s">
        <v>110</v>
      </c>
      <c r="BY33" s="153" t="s">
        <v>110</v>
      </c>
      <c r="BZ33" s="153" t="s">
        <v>110</v>
      </c>
      <c r="CA33" s="616" t="s">
        <v>110</v>
      </c>
      <c r="CB33" s="153" t="s">
        <v>110</v>
      </c>
      <c r="CC33" s="153" t="s">
        <v>110</v>
      </c>
      <c r="CD33" s="153" t="s">
        <v>110</v>
      </c>
      <c r="CE33" s="153" t="s">
        <v>110</v>
      </c>
    </row>
    <row r="34" spans="1:83" ht="41.45" customHeight="1">
      <c r="A34" s="503" t="s">
        <v>157</v>
      </c>
      <c r="B34" s="164" t="s">
        <v>158</v>
      </c>
      <c r="C34" s="155" t="s">
        <v>159</v>
      </c>
      <c r="D34" s="153">
        <v>6413</v>
      </c>
      <c r="E34" s="153">
        <v>91016</v>
      </c>
      <c r="F34" s="153">
        <v>6037431700</v>
      </c>
      <c r="G34" s="155" t="s">
        <v>110</v>
      </c>
      <c r="H34" s="675">
        <v>0.12910771552537256</v>
      </c>
      <c r="I34" s="508" t="s">
        <v>158</v>
      </c>
      <c r="J34" s="153" t="s">
        <v>117</v>
      </c>
      <c r="K34" s="572" t="s">
        <v>130</v>
      </c>
      <c r="L34" s="153">
        <v>6413</v>
      </c>
      <c r="M34" s="153" t="s">
        <v>104</v>
      </c>
      <c r="N34" s="156">
        <v>1</v>
      </c>
      <c r="P34" s="156">
        <v>0</v>
      </c>
      <c r="Q34" s="156" t="s">
        <v>139</v>
      </c>
      <c r="R34" s="156">
        <v>0</v>
      </c>
      <c r="S34" s="156">
        <v>1</v>
      </c>
      <c r="T34" s="958" t="s">
        <v>105</v>
      </c>
      <c r="U34" s="153" t="s">
        <v>110</v>
      </c>
      <c r="V34" s="149">
        <v>38006</v>
      </c>
      <c r="W34" s="149">
        <v>38121</v>
      </c>
      <c r="X34" s="149">
        <v>39020</v>
      </c>
      <c r="Y34" s="149">
        <v>39672</v>
      </c>
      <c r="Z34" s="149">
        <v>39672</v>
      </c>
      <c r="AA34" s="149">
        <v>38006</v>
      </c>
      <c r="AB34" s="763" t="s">
        <v>151</v>
      </c>
      <c r="AC34" s="594">
        <v>82.142857142857139</v>
      </c>
      <c r="AD34" s="153" t="s">
        <v>103</v>
      </c>
      <c r="AE34" s="149" t="s">
        <v>103</v>
      </c>
      <c r="AF34" s="596">
        <v>0</v>
      </c>
      <c r="AG34" s="596" t="s">
        <v>103</v>
      </c>
      <c r="AH34" s="597" t="s">
        <v>103</v>
      </c>
      <c r="AI34" s="614">
        <v>2.9214015151515151</v>
      </c>
      <c r="AJ34" s="607">
        <v>15425</v>
      </c>
      <c r="AK34" s="153" t="s">
        <v>152</v>
      </c>
      <c r="AL34" s="791" t="s">
        <v>110</v>
      </c>
      <c r="AO34" s="963"/>
      <c r="AP34" s="519">
        <v>4560000</v>
      </c>
      <c r="AQ34" s="580">
        <v>5187831</v>
      </c>
      <c r="AR34" s="153" t="s">
        <v>116</v>
      </c>
      <c r="AS34" s="153" t="s">
        <v>116</v>
      </c>
      <c r="AT34" s="156">
        <v>0</v>
      </c>
      <c r="AU34" s="777" t="s">
        <v>122</v>
      </c>
      <c r="AV34" s="777" t="s">
        <v>122</v>
      </c>
      <c r="AW34" s="777" t="s">
        <v>122</v>
      </c>
      <c r="AX34" s="155" t="s">
        <v>103</v>
      </c>
      <c r="AY34" s="155" t="s">
        <v>103</v>
      </c>
      <c r="AZ34" s="155" t="s">
        <v>103</v>
      </c>
      <c r="BA34" s="156">
        <v>0</v>
      </c>
      <c r="BB34" s="574">
        <f t="shared" si="0"/>
        <v>5187831</v>
      </c>
      <c r="BC34" s="780">
        <v>-627831</v>
      </c>
      <c r="BD34" s="1008" t="s">
        <v>151</v>
      </c>
      <c r="BE34" s="679">
        <v>4318</v>
      </c>
      <c r="BF34" s="153">
        <v>2011</v>
      </c>
      <c r="BG34" s="519">
        <v>5187831</v>
      </c>
      <c r="BH34" s="769" t="s">
        <v>123</v>
      </c>
      <c r="BI34" s="774">
        <v>0</v>
      </c>
      <c r="BJ34" s="774">
        <v>0</v>
      </c>
      <c r="BK34" s="153" t="s">
        <v>103</v>
      </c>
      <c r="BL34" s="519" t="s">
        <v>124</v>
      </c>
      <c r="BM34" s="519" t="s">
        <v>124</v>
      </c>
      <c r="BN34" s="519" t="s">
        <v>124</v>
      </c>
      <c r="BO34" s="153" t="s">
        <v>116</v>
      </c>
      <c r="BP34" s="153" t="s">
        <v>124</v>
      </c>
      <c r="BQ34" s="153" t="s">
        <v>103</v>
      </c>
      <c r="BR34" s="153" t="s">
        <v>110</v>
      </c>
      <c r="BS34" s="153" t="s">
        <v>110</v>
      </c>
      <c r="BT34" s="153" t="s">
        <v>110</v>
      </c>
      <c r="BU34" s="153" t="s">
        <v>110</v>
      </c>
      <c r="BV34" s="153" t="s">
        <v>103</v>
      </c>
      <c r="BW34" s="153" t="s">
        <v>110</v>
      </c>
      <c r="BX34" s="153" t="s">
        <v>110</v>
      </c>
      <c r="BY34" s="153" t="s">
        <v>110</v>
      </c>
      <c r="BZ34" s="153" t="s">
        <v>110</v>
      </c>
      <c r="CA34" s="616" t="s">
        <v>110</v>
      </c>
      <c r="CB34" s="153" t="s">
        <v>110</v>
      </c>
      <c r="CC34" s="153" t="s">
        <v>110</v>
      </c>
      <c r="CD34" s="153" t="s">
        <v>110</v>
      </c>
      <c r="CE34" s="153" t="s">
        <v>110</v>
      </c>
    </row>
    <row r="35" spans="1:83" ht="14.1" customHeight="1">
      <c r="A35" s="503" t="s">
        <v>160</v>
      </c>
      <c r="B35" s="164" t="s">
        <v>103</v>
      </c>
      <c r="C35" s="155" t="s">
        <v>103</v>
      </c>
      <c r="D35" s="153" t="s">
        <v>103</v>
      </c>
      <c r="E35" s="153" t="s">
        <v>103</v>
      </c>
      <c r="F35" s="958" t="s">
        <v>103</v>
      </c>
      <c r="G35" s="153" t="s">
        <v>104</v>
      </c>
      <c r="H35" s="673">
        <v>0.1994718309859155</v>
      </c>
      <c r="I35" s="508" t="s">
        <v>103</v>
      </c>
      <c r="J35" s="958" t="s">
        <v>103</v>
      </c>
      <c r="K35" s="958" t="s">
        <v>103</v>
      </c>
      <c r="L35" s="155" t="s">
        <v>103</v>
      </c>
      <c r="M35" s="155" t="s">
        <v>103</v>
      </c>
      <c r="N35" s="156">
        <v>0</v>
      </c>
      <c r="O35" s="156" t="s">
        <v>103</v>
      </c>
      <c r="P35" s="156">
        <v>0</v>
      </c>
      <c r="Q35" s="958" t="s">
        <v>103</v>
      </c>
      <c r="R35" s="156">
        <v>0</v>
      </c>
      <c r="S35" s="156">
        <v>0</v>
      </c>
      <c r="T35" s="958" t="s">
        <v>105</v>
      </c>
      <c r="U35" s="153" t="s">
        <v>104</v>
      </c>
      <c r="V35" s="518" t="s">
        <v>103</v>
      </c>
      <c r="W35" s="991" t="s">
        <v>103</v>
      </c>
      <c r="X35" s="991" t="s">
        <v>103</v>
      </c>
      <c r="Y35" s="991" t="s">
        <v>103</v>
      </c>
      <c r="Z35" s="518" t="s">
        <v>103</v>
      </c>
      <c r="AA35" s="991" t="s">
        <v>103</v>
      </c>
      <c r="AB35" s="155" t="s">
        <v>103</v>
      </c>
      <c r="AC35" s="959" t="s">
        <v>103</v>
      </c>
      <c r="AD35" s="155" t="s">
        <v>103</v>
      </c>
      <c r="AE35" s="155" t="s">
        <v>103</v>
      </c>
      <c r="AF35" s="155" t="s">
        <v>103</v>
      </c>
      <c r="AG35" s="155" t="s">
        <v>103</v>
      </c>
      <c r="AH35" s="992" t="s">
        <v>103</v>
      </c>
      <c r="AI35" s="960" t="s">
        <v>103</v>
      </c>
      <c r="AJ35" s="992" t="s">
        <v>103</v>
      </c>
      <c r="AK35" s="155" t="s">
        <v>103</v>
      </c>
      <c r="AL35" s="993" t="s">
        <v>103</v>
      </c>
      <c r="AM35" s="155"/>
      <c r="AN35" s="155"/>
      <c r="AO35" s="994"/>
      <c r="AP35" s="94">
        <v>0</v>
      </c>
      <c r="AQ35" s="578">
        <v>0</v>
      </c>
      <c r="AR35" s="155" t="s">
        <v>103</v>
      </c>
      <c r="AS35" s="155" t="s">
        <v>103</v>
      </c>
      <c r="AT35" s="155" t="s">
        <v>103</v>
      </c>
      <c r="AU35" s="155" t="s">
        <v>103</v>
      </c>
      <c r="AV35" s="155" t="s">
        <v>103</v>
      </c>
      <c r="AW35" s="155" t="s">
        <v>103</v>
      </c>
      <c r="AX35" s="155" t="s">
        <v>103</v>
      </c>
      <c r="AY35" s="155" t="s">
        <v>103</v>
      </c>
      <c r="AZ35" s="155" t="s">
        <v>103</v>
      </c>
      <c r="BA35" s="155" t="s">
        <v>103</v>
      </c>
      <c r="BB35" s="155" t="s">
        <v>103</v>
      </c>
      <c r="BC35" s="155" t="s">
        <v>103</v>
      </c>
      <c r="BD35" s="155" t="s">
        <v>103</v>
      </c>
      <c r="BE35" s="989" t="s">
        <v>103</v>
      </c>
      <c r="BF35" s="155" t="s">
        <v>103</v>
      </c>
      <c r="BG35" s="961">
        <v>0</v>
      </c>
      <c r="BH35" s="155" t="s">
        <v>103</v>
      </c>
      <c r="BI35" s="990" t="s">
        <v>103</v>
      </c>
      <c r="BJ35" s="155" t="s">
        <v>103</v>
      </c>
      <c r="BK35" s="155" t="s">
        <v>103</v>
      </c>
      <c r="BL35" s="155" t="s">
        <v>103</v>
      </c>
      <c r="BM35" s="155" t="s">
        <v>103</v>
      </c>
      <c r="BN35" s="155" t="s">
        <v>103</v>
      </c>
      <c r="BO35" s="155" t="s">
        <v>103</v>
      </c>
      <c r="BP35" s="155" t="s">
        <v>103</v>
      </c>
      <c r="BQ35" s="155" t="s">
        <v>103</v>
      </c>
      <c r="BR35" s="155" t="s">
        <v>103</v>
      </c>
      <c r="BS35" s="155" t="s">
        <v>103</v>
      </c>
      <c r="BT35" s="155" t="s">
        <v>103</v>
      </c>
      <c r="BU35" s="155" t="s">
        <v>103</v>
      </c>
      <c r="BV35" s="155" t="s">
        <v>103</v>
      </c>
      <c r="BW35" s="155" t="s">
        <v>103</v>
      </c>
      <c r="BX35" s="155" t="s">
        <v>103</v>
      </c>
      <c r="BY35" s="155" t="s">
        <v>103</v>
      </c>
      <c r="BZ35" s="155" t="s">
        <v>103</v>
      </c>
      <c r="CA35" s="155" t="s">
        <v>103</v>
      </c>
      <c r="CB35" s="155" t="s">
        <v>103</v>
      </c>
      <c r="CC35" s="155" t="s">
        <v>103</v>
      </c>
      <c r="CD35" s="155" t="s">
        <v>103</v>
      </c>
      <c r="CE35" s="155" t="s">
        <v>103</v>
      </c>
    </row>
    <row r="36" spans="1:83" ht="14.1" customHeight="1">
      <c r="A36" s="505" t="s">
        <v>161</v>
      </c>
      <c r="B36" s="164" t="s">
        <v>103</v>
      </c>
      <c r="C36" s="155" t="s">
        <v>103</v>
      </c>
      <c r="D36" s="153" t="s">
        <v>103</v>
      </c>
      <c r="E36" s="153" t="s">
        <v>103</v>
      </c>
      <c r="F36" s="958" t="s">
        <v>103</v>
      </c>
      <c r="G36" s="153" t="s">
        <v>110</v>
      </c>
      <c r="H36" s="673">
        <v>6.8235294117647061E-2</v>
      </c>
      <c r="I36" s="508" t="s">
        <v>103</v>
      </c>
      <c r="J36" s="958" t="s">
        <v>103</v>
      </c>
      <c r="K36" s="958" t="s">
        <v>103</v>
      </c>
      <c r="L36" s="155" t="s">
        <v>103</v>
      </c>
      <c r="M36" s="155" t="s">
        <v>103</v>
      </c>
      <c r="N36" s="156">
        <v>0</v>
      </c>
      <c r="O36" s="156" t="s">
        <v>103</v>
      </c>
      <c r="P36" s="156">
        <v>0</v>
      </c>
      <c r="Q36" s="958" t="s">
        <v>103</v>
      </c>
      <c r="R36" s="156">
        <v>0</v>
      </c>
      <c r="S36" s="156">
        <v>0</v>
      </c>
      <c r="T36" s="958" t="s">
        <v>105</v>
      </c>
      <c r="U36" s="153" t="s">
        <v>110</v>
      </c>
      <c r="V36" s="518" t="s">
        <v>103</v>
      </c>
      <c r="W36" s="991" t="s">
        <v>103</v>
      </c>
      <c r="X36" s="991" t="s">
        <v>103</v>
      </c>
      <c r="Y36" s="991" t="s">
        <v>103</v>
      </c>
      <c r="Z36" s="518" t="s">
        <v>103</v>
      </c>
      <c r="AA36" s="991" t="s">
        <v>103</v>
      </c>
      <c r="AB36" s="155" t="s">
        <v>103</v>
      </c>
      <c r="AC36" s="959" t="s">
        <v>103</v>
      </c>
      <c r="AD36" s="155" t="s">
        <v>103</v>
      </c>
      <c r="AE36" s="155" t="s">
        <v>103</v>
      </c>
      <c r="AF36" s="155" t="s">
        <v>103</v>
      </c>
      <c r="AG36" s="155" t="s">
        <v>103</v>
      </c>
      <c r="AH36" s="992" t="s">
        <v>103</v>
      </c>
      <c r="AI36" s="960" t="s">
        <v>103</v>
      </c>
      <c r="AJ36" s="992" t="s">
        <v>103</v>
      </c>
      <c r="AK36" s="155" t="s">
        <v>103</v>
      </c>
      <c r="AL36" s="993" t="s">
        <v>103</v>
      </c>
      <c r="AM36" s="155"/>
      <c r="AN36" s="155"/>
      <c r="AO36" s="994"/>
      <c r="AP36" s="94">
        <v>0</v>
      </c>
      <c r="AQ36" s="578">
        <v>0</v>
      </c>
      <c r="AR36" s="155" t="s">
        <v>103</v>
      </c>
      <c r="AS36" s="155" t="s">
        <v>103</v>
      </c>
      <c r="AT36" s="155" t="s">
        <v>103</v>
      </c>
      <c r="AU36" s="155" t="s">
        <v>103</v>
      </c>
      <c r="AV36" s="155" t="s">
        <v>103</v>
      </c>
      <c r="AW36" s="155" t="s">
        <v>103</v>
      </c>
      <c r="AX36" s="155" t="s">
        <v>103</v>
      </c>
      <c r="AY36" s="155" t="s">
        <v>103</v>
      </c>
      <c r="AZ36" s="155" t="s">
        <v>103</v>
      </c>
      <c r="BA36" s="155" t="s">
        <v>103</v>
      </c>
      <c r="BB36" s="155" t="s">
        <v>103</v>
      </c>
      <c r="BC36" s="155" t="s">
        <v>103</v>
      </c>
      <c r="BD36" s="155" t="s">
        <v>103</v>
      </c>
      <c r="BE36" s="989" t="s">
        <v>103</v>
      </c>
      <c r="BF36" s="155" t="s">
        <v>103</v>
      </c>
      <c r="BG36" s="961">
        <v>0</v>
      </c>
      <c r="BH36" s="155" t="s">
        <v>103</v>
      </c>
      <c r="BI36" s="990" t="s">
        <v>103</v>
      </c>
      <c r="BJ36" s="155" t="s">
        <v>103</v>
      </c>
      <c r="BK36" s="155" t="s">
        <v>103</v>
      </c>
      <c r="BL36" s="155" t="s">
        <v>103</v>
      </c>
      <c r="BM36" s="155" t="s">
        <v>103</v>
      </c>
      <c r="BN36" s="155" t="s">
        <v>103</v>
      </c>
      <c r="BO36" s="155" t="s">
        <v>103</v>
      </c>
      <c r="BP36" s="155" t="s">
        <v>103</v>
      </c>
      <c r="BQ36" s="155" t="s">
        <v>103</v>
      </c>
      <c r="BR36" s="155" t="s">
        <v>103</v>
      </c>
      <c r="BS36" s="155" t="s">
        <v>103</v>
      </c>
      <c r="BT36" s="155" t="s">
        <v>103</v>
      </c>
      <c r="BU36" s="155" t="s">
        <v>103</v>
      </c>
      <c r="BV36" s="155" t="s">
        <v>103</v>
      </c>
      <c r="BW36" s="155" t="s">
        <v>103</v>
      </c>
      <c r="BX36" s="155" t="s">
        <v>103</v>
      </c>
      <c r="BY36" s="155" t="s">
        <v>103</v>
      </c>
      <c r="BZ36" s="155" t="s">
        <v>103</v>
      </c>
      <c r="CA36" s="155" t="s">
        <v>103</v>
      </c>
      <c r="CB36" s="155" t="s">
        <v>103</v>
      </c>
      <c r="CC36" s="155" t="s">
        <v>103</v>
      </c>
      <c r="CD36" s="155" t="s">
        <v>103</v>
      </c>
      <c r="CE36" s="155" t="s">
        <v>103</v>
      </c>
    </row>
    <row r="37" spans="1:83" ht="14.1" customHeight="1">
      <c r="A37" s="503" t="s">
        <v>162</v>
      </c>
      <c r="B37" s="164" t="s">
        <v>103</v>
      </c>
      <c r="C37" s="155" t="s">
        <v>103</v>
      </c>
      <c r="D37" s="153" t="s">
        <v>103</v>
      </c>
      <c r="E37" s="153" t="s">
        <v>103</v>
      </c>
      <c r="F37" s="958" t="s">
        <v>103</v>
      </c>
      <c r="G37" s="153" t="s">
        <v>104</v>
      </c>
      <c r="H37" s="673">
        <v>0.33997547516860821</v>
      </c>
      <c r="I37" s="508" t="s">
        <v>103</v>
      </c>
      <c r="J37" s="958" t="s">
        <v>103</v>
      </c>
      <c r="K37" s="958" t="s">
        <v>103</v>
      </c>
      <c r="L37" s="155" t="s">
        <v>103</v>
      </c>
      <c r="M37" s="155" t="s">
        <v>103</v>
      </c>
      <c r="N37" s="156">
        <v>0</v>
      </c>
      <c r="O37" s="156" t="s">
        <v>103</v>
      </c>
      <c r="P37" s="156">
        <v>0</v>
      </c>
      <c r="Q37" s="958" t="s">
        <v>103</v>
      </c>
      <c r="R37" s="156">
        <v>0</v>
      </c>
      <c r="S37" s="156">
        <v>0</v>
      </c>
      <c r="T37" s="958" t="s">
        <v>105</v>
      </c>
      <c r="U37" s="153" t="s">
        <v>104</v>
      </c>
      <c r="V37" s="518" t="s">
        <v>103</v>
      </c>
      <c r="W37" s="991" t="s">
        <v>103</v>
      </c>
      <c r="X37" s="991" t="s">
        <v>103</v>
      </c>
      <c r="Y37" s="991" t="s">
        <v>103</v>
      </c>
      <c r="Z37" s="518" t="s">
        <v>103</v>
      </c>
      <c r="AA37" s="991" t="s">
        <v>103</v>
      </c>
      <c r="AB37" s="155" t="s">
        <v>103</v>
      </c>
      <c r="AC37" s="959" t="s">
        <v>103</v>
      </c>
      <c r="AD37" s="155" t="s">
        <v>103</v>
      </c>
      <c r="AE37" s="155" t="s">
        <v>103</v>
      </c>
      <c r="AF37" s="155" t="s">
        <v>103</v>
      </c>
      <c r="AG37" s="155" t="s">
        <v>103</v>
      </c>
      <c r="AH37" s="992" t="s">
        <v>103</v>
      </c>
      <c r="AI37" s="960" t="s">
        <v>103</v>
      </c>
      <c r="AJ37" s="992" t="s">
        <v>103</v>
      </c>
      <c r="AK37" s="155" t="s">
        <v>103</v>
      </c>
      <c r="AL37" s="993" t="s">
        <v>103</v>
      </c>
      <c r="AM37" s="155"/>
      <c r="AN37" s="155"/>
      <c r="AO37" s="994"/>
      <c r="AP37" s="94">
        <v>0</v>
      </c>
      <c r="AQ37" s="578">
        <v>0</v>
      </c>
      <c r="AR37" s="155" t="s">
        <v>103</v>
      </c>
      <c r="AS37" s="155" t="s">
        <v>103</v>
      </c>
      <c r="AT37" s="155" t="s">
        <v>103</v>
      </c>
      <c r="AU37" s="155" t="s">
        <v>103</v>
      </c>
      <c r="AV37" s="155" t="s">
        <v>103</v>
      </c>
      <c r="AW37" s="155" t="s">
        <v>103</v>
      </c>
      <c r="AX37" s="155" t="s">
        <v>103</v>
      </c>
      <c r="AY37" s="155" t="s">
        <v>103</v>
      </c>
      <c r="AZ37" s="155" t="s">
        <v>103</v>
      </c>
      <c r="BA37" s="155" t="s">
        <v>103</v>
      </c>
      <c r="BB37" s="155" t="s">
        <v>103</v>
      </c>
      <c r="BC37" s="155" t="s">
        <v>103</v>
      </c>
      <c r="BD37" s="155" t="s">
        <v>103</v>
      </c>
      <c r="BE37" s="989" t="s">
        <v>103</v>
      </c>
      <c r="BF37" s="155" t="s">
        <v>103</v>
      </c>
      <c r="BG37" s="961">
        <v>0</v>
      </c>
      <c r="BH37" s="155" t="s">
        <v>103</v>
      </c>
      <c r="BI37" s="990" t="s">
        <v>103</v>
      </c>
      <c r="BJ37" s="155" t="s">
        <v>103</v>
      </c>
      <c r="BK37" s="155" t="s">
        <v>103</v>
      </c>
      <c r="BL37" s="155" t="s">
        <v>103</v>
      </c>
      <c r="BM37" s="155" t="s">
        <v>103</v>
      </c>
      <c r="BN37" s="155" t="s">
        <v>103</v>
      </c>
      <c r="BO37" s="155" t="s">
        <v>103</v>
      </c>
      <c r="BP37" s="155" t="s">
        <v>103</v>
      </c>
      <c r="BQ37" s="155" t="s">
        <v>103</v>
      </c>
      <c r="BR37" s="155" t="s">
        <v>103</v>
      </c>
      <c r="BS37" s="155" t="s">
        <v>103</v>
      </c>
      <c r="BT37" s="155" t="s">
        <v>103</v>
      </c>
      <c r="BU37" s="155" t="s">
        <v>103</v>
      </c>
      <c r="BV37" s="155" t="s">
        <v>103</v>
      </c>
      <c r="BW37" s="155" t="s">
        <v>103</v>
      </c>
      <c r="BX37" s="155" t="s">
        <v>103</v>
      </c>
      <c r="BY37" s="155" t="s">
        <v>103</v>
      </c>
      <c r="BZ37" s="155" t="s">
        <v>103</v>
      </c>
      <c r="CA37" s="155" t="s">
        <v>103</v>
      </c>
      <c r="CB37" s="155" t="s">
        <v>103</v>
      </c>
      <c r="CC37" s="155" t="s">
        <v>103</v>
      </c>
      <c r="CD37" s="155" t="s">
        <v>103</v>
      </c>
      <c r="CE37" s="155" t="s">
        <v>103</v>
      </c>
    </row>
    <row r="38" spans="1:83" ht="27.6" customHeight="1">
      <c r="A38" s="503" t="s">
        <v>163</v>
      </c>
      <c r="B38" s="164" t="s">
        <v>164</v>
      </c>
      <c r="C38" s="155" t="s">
        <v>165</v>
      </c>
      <c r="D38" s="153" t="s">
        <v>166</v>
      </c>
      <c r="E38" s="153">
        <v>91706</v>
      </c>
      <c r="F38" s="153">
        <v>6037404801</v>
      </c>
      <c r="G38" s="155" t="s">
        <v>104</v>
      </c>
      <c r="H38" s="675">
        <v>0.41174710809732751</v>
      </c>
      <c r="I38" s="508" t="s">
        <v>164</v>
      </c>
      <c r="J38" s="153" t="s">
        <v>117</v>
      </c>
      <c r="K38" s="572" t="s">
        <v>167</v>
      </c>
      <c r="L38" s="153" t="s">
        <v>166</v>
      </c>
      <c r="M38" s="153" t="s">
        <v>110</v>
      </c>
      <c r="N38" s="156">
        <v>1</v>
      </c>
      <c r="P38" s="156">
        <v>0</v>
      </c>
      <c r="Q38" s="989" t="s">
        <v>131</v>
      </c>
      <c r="R38" s="156">
        <v>0</v>
      </c>
      <c r="S38" s="156">
        <v>0</v>
      </c>
      <c r="T38" s="958" t="s">
        <v>105</v>
      </c>
      <c r="U38" s="153" t="s">
        <v>104</v>
      </c>
      <c r="V38" s="149">
        <v>42431</v>
      </c>
      <c r="W38" s="149">
        <v>42447</v>
      </c>
      <c r="X38" s="149">
        <v>43852</v>
      </c>
      <c r="Y38" s="149">
        <v>43984</v>
      </c>
      <c r="Z38" s="149" t="s">
        <v>103</v>
      </c>
      <c r="AA38" s="149">
        <v>42431</v>
      </c>
      <c r="AB38" s="153" t="s">
        <v>103</v>
      </c>
      <c r="AC38" s="594">
        <f>W38-V38</f>
        <v>16</v>
      </c>
      <c r="AD38" s="149">
        <v>43984</v>
      </c>
      <c r="AE38" s="149" t="s">
        <v>103</v>
      </c>
      <c r="AF38" s="153" t="s">
        <v>103</v>
      </c>
      <c r="AG38" s="153" t="s">
        <v>103</v>
      </c>
      <c r="AH38" s="596" t="s">
        <v>103</v>
      </c>
      <c r="AI38" s="960" t="s">
        <v>103</v>
      </c>
      <c r="AJ38" s="607">
        <v>5210</v>
      </c>
      <c r="AK38" s="153" t="s">
        <v>152</v>
      </c>
      <c r="AL38" s="791" t="s">
        <v>104</v>
      </c>
      <c r="AO38" s="963"/>
      <c r="AP38" s="519">
        <v>3000000</v>
      </c>
      <c r="AQ38" s="580">
        <v>0</v>
      </c>
      <c r="AR38" s="153" t="s">
        <v>116</v>
      </c>
      <c r="AS38" s="153" t="s">
        <v>116</v>
      </c>
      <c r="AT38" s="777" t="s">
        <v>122</v>
      </c>
      <c r="AU38" s="777" t="s">
        <v>122</v>
      </c>
      <c r="AV38" s="777" t="s">
        <v>122</v>
      </c>
      <c r="AW38" s="777" t="s">
        <v>122</v>
      </c>
      <c r="AX38" s="155" t="s">
        <v>103</v>
      </c>
      <c r="AY38" s="155" t="s">
        <v>103</v>
      </c>
      <c r="AZ38" s="155" t="s">
        <v>103</v>
      </c>
      <c r="BA38" s="156">
        <v>0</v>
      </c>
      <c r="BB38" s="156">
        <v>0</v>
      </c>
      <c r="BC38" s="780" t="s">
        <v>103</v>
      </c>
      <c r="BD38" s="153" t="s">
        <v>103</v>
      </c>
      <c r="BE38" s="679" t="s">
        <v>103</v>
      </c>
      <c r="BF38" s="156" t="s">
        <v>103</v>
      </c>
      <c r="BG38" s="519">
        <v>40320.660000000003</v>
      </c>
      <c r="BH38" s="769">
        <v>2586528</v>
      </c>
      <c r="BI38" s="774">
        <v>0</v>
      </c>
      <c r="BJ38" s="774">
        <v>0</v>
      </c>
      <c r="BK38" s="153" t="s">
        <v>103</v>
      </c>
      <c r="BL38" s="153" t="s">
        <v>124</v>
      </c>
      <c r="BM38" s="519" t="s">
        <v>103</v>
      </c>
      <c r="BN38" s="155" t="s">
        <v>103</v>
      </c>
      <c r="BO38" s="153" t="s">
        <v>103</v>
      </c>
      <c r="BP38" s="153" t="s">
        <v>103</v>
      </c>
      <c r="BQ38" s="153" t="s">
        <v>103</v>
      </c>
      <c r="BR38" s="153" t="s">
        <v>110</v>
      </c>
      <c r="BS38" s="153" t="s">
        <v>104</v>
      </c>
      <c r="BT38" s="153" t="s">
        <v>110</v>
      </c>
      <c r="BU38" s="153" t="s">
        <v>110</v>
      </c>
      <c r="BV38" s="153" t="s">
        <v>103</v>
      </c>
      <c r="BW38" s="153" t="s">
        <v>110</v>
      </c>
      <c r="BX38" s="153" t="s">
        <v>110</v>
      </c>
      <c r="BY38" s="153" t="s">
        <v>110</v>
      </c>
      <c r="BZ38" s="153" t="s">
        <v>110</v>
      </c>
      <c r="CA38" s="616" t="s">
        <v>110</v>
      </c>
      <c r="CB38" s="153" t="s">
        <v>110</v>
      </c>
      <c r="CC38" s="153" t="s">
        <v>110</v>
      </c>
      <c r="CD38" s="153" t="s">
        <v>110</v>
      </c>
      <c r="CE38" s="153" t="s">
        <v>110</v>
      </c>
    </row>
    <row r="39" spans="1:83" ht="27.6" customHeight="1">
      <c r="A39" s="503" t="s">
        <v>168</v>
      </c>
      <c r="B39" s="164" t="s">
        <v>169</v>
      </c>
      <c r="C39" s="155" t="s">
        <v>170</v>
      </c>
      <c r="D39" s="153" t="s">
        <v>171</v>
      </c>
      <c r="E39" s="153">
        <v>90201</v>
      </c>
      <c r="F39" s="153">
        <v>6037533806</v>
      </c>
      <c r="G39" s="155" t="s">
        <v>104</v>
      </c>
      <c r="H39" s="674">
        <v>0.51202363969839004</v>
      </c>
      <c r="I39" s="508" t="s">
        <v>169</v>
      </c>
      <c r="J39" s="153" t="s">
        <v>117</v>
      </c>
      <c r="K39" s="156">
        <v>0</v>
      </c>
      <c r="L39" s="153" t="s">
        <v>171</v>
      </c>
      <c r="M39" s="153" t="s">
        <v>104</v>
      </c>
      <c r="N39" s="156">
        <v>2</v>
      </c>
      <c r="P39" s="156">
        <v>0</v>
      </c>
      <c r="Q39" s="156" t="s">
        <v>139</v>
      </c>
      <c r="R39" s="156">
        <v>0</v>
      </c>
      <c r="S39" s="156">
        <v>2</v>
      </c>
      <c r="T39" s="958" t="s">
        <v>105</v>
      </c>
      <c r="U39" s="153" t="s">
        <v>104</v>
      </c>
      <c r="V39" s="590">
        <v>39510</v>
      </c>
      <c r="W39" s="149">
        <v>39509</v>
      </c>
      <c r="X39" s="149">
        <v>40441</v>
      </c>
      <c r="Y39" s="149">
        <v>40695</v>
      </c>
      <c r="Z39" s="149">
        <v>40695</v>
      </c>
      <c r="AA39" s="149">
        <v>39510</v>
      </c>
      <c r="AB39" s="763" t="s">
        <v>151</v>
      </c>
      <c r="AC39" s="594">
        <v>-1</v>
      </c>
      <c r="AD39" s="153" t="s">
        <v>103</v>
      </c>
      <c r="AE39" s="149" t="s">
        <v>103</v>
      </c>
      <c r="AF39" s="596">
        <v>16</v>
      </c>
      <c r="AG39" s="596">
        <v>0</v>
      </c>
      <c r="AH39" s="595">
        <v>4542.666666666667</v>
      </c>
      <c r="AI39" s="614">
        <v>0.86035353535353543</v>
      </c>
      <c r="AJ39" s="607">
        <v>2670</v>
      </c>
      <c r="AK39" s="153" t="s">
        <v>152</v>
      </c>
      <c r="AL39" s="791" t="s">
        <v>116</v>
      </c>
      <c r="AO39" s="963"/>
      <c r="AP39" s="519">
        <v>1400000</v>
      </c>
      <c r="AQ39" s="574">
        <v>1701176</v>
      </c>
      <c r="AR39" s="153" t="s">
        <v>116</v>
      </c>
      <c r="AS39" s="153" t="s">
        <v>116</v>
      </c>
      <c r="AT39" s="777" t="s">
        <v>122</v>
      </c>
      <c r="AU39" s="777" t="s">
        <v>122</v>
      </c>
      <c r="AV39" s="777" t="s">
        <v>122</v>
      </c>
      <c r="AW39" s="777" t="s">
        <v>122</v>
      </c>
      <c r="AX39" s="155" t="s">
        <v>103</v>
      </c>
      <c r="AY39" s="155" t="s">
        <v>103</v>
      </c>
      <c r="AZ39" s="155" t="s">
        <v>103</v>
      </c>
      <c r="BA39" s="156">
        <v>0</v>
      </c>
      <c r="BB39" s="574">
        <f t="shared" ref="BB39:BB43" si="1">AQ39</f>
        <v>1701176</v>
      </c>
      <c r="BC39" s="780">
        <v>-301176</v>
      </c>
      <c r="BD39" s="1008" t="s">
        <v>151</v>
      </c>
      <c r="BE39" s="679">
        <v>0</v>
      </c>
      <c r="BF39" s="153" t="s">
        <v>103</v>
      </c>
      <c r="BG39" s="94">
        <v>1701176</v>
      </c>
      <c r="BH39" s="766">
        <v>430694</v>
      </c>
      <c r="BI39" s="774">
        <v>690986</v>
      </c>
      <c r="BJ39" s="774">
        <v>278320</v>
      </c>
      <c r="BK39" s="153" t="s">
        <v>103</v>
      </c>
      <c r="BL39" s="153" t="s">
        <v>124</v>
      </c>
      <c r="BM39" s="94" t="s">
        <v>103</v>
      </c>
      <c r="BN39" s="155" t="s">
        <v>103</v>
      </c>
      <c r="BO39" s="153" t="s">
        <v>103</v>
      </c>
      <c r="BP39" s="153" t="s">
        <v>103</v>
      </c>
      <c r="BQ39" s="153" t="s">
        <v>103</v>
      </c>
      <c r="BR39" s="153" t="s">
        <v>116</v>
      </c>
      <c r="BS39" s="153" t="s">
        <v>116</v>
      </c>
      <c r="BT39" s="153" t="s">
        <v>116</v>
      </c>
      <c r="BU39" s="153" t="s">
        <v>116</v>
      </c>
      <c r="BV39" s="153" t="s">
        <v>116</v>
      </c>
      <c r="BW39" s="153" t="s">
        <v>116</v>
      </c>
      <c r="BX39" s="153" t="s">
        <v>116</v>
      </c>
      <c r="BY39" s="153" t="s">
        <v>116</v>
      </c>
      <c r="BZ39" s="153" t="s">
        <v>116</v>
      </c>
      <c r="CA39" s="616" t="s">
        <v>116</v>
      </c>
      <c r="CB39" s="153" t="s">
        <v>116</v>
      </c>
      <c r="CC39" s="153" t="s">
        <v>116</v>
      </c>
      <c r="CD39" s="153" t="s">
        <v>116</v>
      </c>
      <c r="CE39" s="153" t="s">
        <v>116</v>
      </c>
    </row>
    <row r="40" spans="1:83" ht="14.1" customHeight="1">
      <c r="A40" s="503"/>
      <c r="B40" s="164" t="s">
        <v>172</v>
      </c>
      <c r="C40" s="155">
        <v>800060254</v>
      </c>
      <c r="D40" s="153" t="s">
        <v>173</v>
      </c>
      <c r="E40" s="153">
        <v>90201</v>
      </c>
      <c r="F40" s="153">
        <v>6037533806</v>
      </c>
      <c r="G40" s="153" t="s">
        <v>104</v>
      </c>
      <c r="H40" s="153"/>
      <c r="I40" s="508" t="s">
        <v>172</v>
      </c>
      <c r="J40" s="153" t="s">
        <v>117</v>
      </c>
      <c r="K40" s="156">
        <v>0</v>
      </c>
      <c r="L40" s="153" t="s">
        <v>173</v>
      </c>
      <c r="M40" s="153" t="s">
        <v>104</v>
      </c>
      <c r="Q40" s="156" t="s">
        <v>139</v>
      </c>
      <c r="V40" s="149">
        <v>37879</v>
      </c>
      <c r="W40" s="149">
        <v>37939</v>
      </c>
      <c r="X40" s="149">
        <v>38775</v>
      </c>
      <c r="Y40" s="149">
        <v>39612</v>
      </c>
      <c r="Z40" s="149">
        <v>39612</v>
      </c>
      <c r="AA40" s="149">
        <v>37879</v>
      </c>
      <c r="AB40" s="763" t="s">
        <v>151</v>
      </c>
      <c r="AC40" s="594">
        <v>42.857142857142854</v>
      </c>
      <c r="AD40" s="153" t="s">
        <v>103</v>
      </c>
      <c r="AE40" s="149" t="s">
        <v>103</v>
      </c>
      <c r="AF40" s="596">
        <v>0</v>
      </c>
      <c r="AG40" s="596">
        <v>0</v>
      </c>
      <c r="AH40" s="595">
        <v>2128</v>
      </c>
      <c r="AI40" s="614">
        <v>0.40303030303030302</v>
      </c>
      <c r="AJ40" s="607">
        <v>7000</v>
      </c>
      <c r="AK40" s="153" t="s">
        <v>120</v>
      </c>
      <c r="AL40" s="791" t="s">
        <v>116</v>
      </c>
      <c r="AO40" s="963"/>
      <c r="AP40" s="519">
        <v>1820000</v>
      </c>
      <c r="AQ40" s="574">
        <v>1877845</v>
      </c>
      <c r="AR40" s="153" t="s">
        <v>116</v>
      </c>
      <c r="AS40" s="153" t="s">
        <v>116</v>
      </c>
      <c r="AT40" s="777" t="s">
        <v>122</v>
      </c>
      <c r="AU40" s="777" t="s">
        <v>122</v>
      </c>
      <c r="AV40" s="777" t="s">
        <v>122</v>
      </c>
      <c r="AW40" s="777" t="s">
        <v>122</v>
      </c>
      <c r="AX40" s="155" t="s">
        <v>103</v>
      </c>
      <c r="AY40" s="155" t="s">
        <v>103</v>
      </c>
      <c r="AZ40" s="155" t="s">
        <v>103</v>
      </c>
      <c r="BB40" s="574">
        <f t="shared" si="1"/>
        <v>1877845</v>
      </c>
      <c r="BC40" s="780">
        <v>-57845</v>
      </c>
      <c r="BD40" s="1008" t="s">
        <v>151</v>
      </c>
      <c r="BE40" s="680">
        <v>-30547</v>
      </c>
      <c r="BF40" s="153">
        <v>2010</v>
      </c>
      <c r="BG40" s="94">
        <v>1877845</v>
      </c>
      <c r="BH40" s="766" t="s">
        <v>123</v>
      </c>
      <c r="BI40" s="774">
        <v>0</v>
      </c>
      <c r="BJ40" s="774">
        <v>0</v>
      </c>
      <c r="BK40" s="153" t="s">
        <v>103</v>
      </c>
      <c r="BL40" s="153" t="s">
        <v>124</v>
      </c>
      <c r="BM40" s="94" t="s">
        <v>103</v>
      </c>
      <c r="BN40" s="155" t="s">
        <v>103</v>
      </c>
      <c r="BO40" s="153" t="s">
        <v>103</v>
      </c>
      <c r="BP40" s="153" t="s">
        <v>103</v>
      </c>
      <c r="BQ40" s="153" t="s">
        <v>103</v>
      </c>
      <c r="BR40" s="153" t="s">
        <v>116</v>
      </c>
      <c r="BS40" s="153" t="s">
        <v>116</v>
      </c>
      <c r="BT40" s="153" t="s">
        <v>116</v>
      </c>
      <c r="BU40" s="153" t="s">
        <v>116</v>
      </c>
      <c r="BV40" s="153" t="s">
        <v>116</v>
      </c>
      <c r="BW40" s="153" t="s">
        <v>116</v>
      </c>
      <c r="BX40" s="153" t="s">
        <v>116</v>
      </c>
      <c r="BY40" s="153" t="s">
        <v>116</v>
      </c>
      <c r="BZ40" s="153" t="s">
        <v>116</v>
      </c>
      <c r="CA40" s="616" t="s">
        <v>116</v>
      </c>
      <c r="CB40" s="153" t="s">
        <v>116</v>
      </c>
      <c r="CC40" s="153" t="s">
        <v>116</v>
      </c>
      <c r="CD40" s="153" t="s">
        <v>116</v>
      </c>
      <c r="CE40" s="153" t="s">
        <v>116</v>
      </c>
    </row>
    <row r="41" spans="1:83" ht="14.1" customHeight="1">
      <c r="A41" s="503" t="s">
        <v>174</v>
      </c>
      <c r="B41" s="164" t="s">
        <v>175</v>
      </c>
      <c r="C41" s="155" t="s">
        <v>176</v>
      </c>
      <c r="D41" s="153" t="s">
        <v>177</v>
      </c>
      <c r="E41" s="153">
        <v>90201</v>
      </c>
      <c r="F41" s="153">
        <v>6037534202</v>
      </c>
      <c r="G41" s="153" t="s">
        <v>104</v>
      </c>
      <c r="H41" s="153">
        <v>0.4836238268530933</v>
      </c>
      <c r="I41" s="508" t="s">
        <v>175</v>
      </c>
      <c r="J41" s="153" t="s">
        <v>117</v>
      </c>
      <c r="K41" s="156" t="s">
        <v>178</v>
      </c>
      <c r="L41" s="153" t="s">
        <v>177</v>
      </c>
      <c r="M41" s="153" t="s">
        <v>110</v>
      </c>
      <c r="N41" s="156">
        <v>1</v>
      </c>
      <c r="P41" s="156">
        <v>0</v>
      </c>
      <c r="Q41" s="156" t="s">
        <v>139</v>
      </c>
      <c r="R41" s="156">
        <v>0</v>
      </c>
      <c r="S41" s="156">
        <v>1</v>
      </c>
      <c r="T41" s="958" t="s">
        <v>105</v>
      </c>
      <c r="U41" s="153" t="s">
        <v>104</v>
      </c>
      <c r="V41" s="149">
        <v>40189</v>
      </c>
      <c r="W41" s="149">
        <v>40344</v>
      </c>
      <c r="X41" s="149">
        <v>43155</v>
      </c>
      <c r="Y41" s="149">
        <v>43609</v>
      </c>
      <c r="Z41" s="149">
        <v>43609</v>
      </c>
      <c r="AA41" s="149">
        <v>40189</v>
      </c>
      <c r="AB41" s="763" t="s">
        <v>121</v>
      </c>
      <c r="AC41" s="594">
        <f>W41-V41</f>
        <v>155</v>
      </c>
      <c r="AD41" s="153">
        <v>43609</v>
      </c>
      <c r="AE41" s="149" t="s">
        <v>103</v>
      </c>
      <c r="AF41" s="596">
        <v>23</v>
      </c>
      <c r="AG41" s="596">
        <v>0</v>
      </c>
      <c r="AH41" s="595">
        <v>5192</v>
      </c>
      <c r="AI41" s="614">
        <v>0.98333333329999995</v>
      </c>
      <c r="AJ41" s="607">
        <v>5192</v>
      </c>
      <c r="AK41" s="153" t="s">
        <v>152</v>
      </c>
      <c r="AL41" s="791" t="s">
        <v>104</v>
      </c>
      <c r="AO41" s="963"/>
      <c r="AP41" s="519">
        <v>3300000</v>
      </c>
      <c r="AQ41" s="574">
        <v>2071075.5</v>
      </c>
      <c r="AR41" s="153" t="s">
        <v>116</v>
      </c>
      <c r="AS41" s="153" t="s">
        <v>116</v>
      </c>
      <c r="AT41" s="156" t="s">
        <v>150</v>
      </c>
      <c r="AU41" s="777" t="s">
        <v>122</v>
      </c>
      <c r="AV41" s="777" t="s">
        <v>122</v>
      </c>
      <c r="AW41" s="777" t="s">
        <v>122</v>
      </c>
      <c r="AX41" s="155" t="s">
        <v>103</v>
      </c>
      <c r="AY41" s="155" t="s">
        <v>103</v>
      </c>
      <c r="AZ41" s="155" t="s">
        <v>103</v>
      </c>
      <c r="BA41" s="153">
        <v>0</v>
      </c>
      <c r="BB41" s="574">
        <f t="shared" si="1"/>
        <v>2071075.5</v>
      </c>
      <c r="BC41" s="780">
        <f>AP41-AQ41</f>
        <v>1228924.5</v>
      </c>
      <c r="BD41" s="1008" t="s">
        <v>121</v>
      </c>
      <c r="BE41" s="680">
        <v>0</v>
      </c>
      <c r="BF41" s="153" t="s">
        <v>103</v>
      </c>
      <c r="BG41" s="94">
        <v>2071075.5</v>
      </c>
      <c r="BH41" s="766">
        <v>2234972</v>
      </c>
      <c r="BI41" s="774">
        <v>0</v>
      </c>
      <c r="BJ41" s="774">
        <v>0</v>
      </c>
      <c r="BK41" s="153" t="s">
        <v>103</v>
      </c>
      <c r="BL41" s="153" t="s">
        <v>124</v>
      </c>
      <c r="BM41" s="94" t="s">
        <v>103</v>
      </c>
      <c r="BN41" s="155" t="s">
        <v>103</v>
      </c>
      <c r="BO41" s="153" t="s">
        <v>103</v>
      </c>
      <c r="BP41" s="153" t="s">
        <v>103</v>
      </c>
      <c r="BQ41" s="153" t="s">
        <v>103</v>
      </c>
      <c r="BR41" s="153" t="s">
        <v>104</v>
      </c>
      <c r="BS41" s="153" t="s">
        <v>104</v>
      </c>
      <c r="BT41" s="153" t="s">
        <v>104</v>
      </c>
      <c r="BU41" s="153" t="s">
        <v>104</v>
      </c>
      <c r="BV41" s="153" t="s">
        <v>110</v>
      </c>
      <c r="BW41" s="153" t="s">
        <v>104</v>
      </c>
      <c r="BX41" s="153" t="s">
        <v>104</v>
      </c>
      <c r="BY41" s="153" t="s">
        <v>110</v>
      </c>
      <c r="BZ41" s="153" t="s">
        <v>110</v>
      </c>
      <c r="CA41" s="616">
        <v>0</v>
      </c>
      <c r="CB41" s="153">
        <v>0</v>
      </c>
      <c r="CC41" s="153" t="s">
        <v>110</v>
      </c>
      <c r="CD41" s="153" t="s">
        <v>110</v>
      </c>
      <c r="CE41" s="153" t="s">
        <v>110</v>
      </c>
    </row>
    <row r="42" spans="1:83" ht="27.6" customHeight="1">
      <c r="A42" s="503" t="s">
        <v>179</v>
      </c>
      <c r="B42" s="164" t="s">
        <v>180</v>
      </c>
      <c r="C42" s="155" t="s">
        <v>181</v>
      </c>
      <c r="D42" s="153" t="s">
        <v>182</v>
      </c>
      <c r="E42" s="153">
        <v>90706</v>
      </c>
      <c r="F42" s="153">
        <v>6037554302</v>
      </c>
      <c r="G42" s="155" t="s">
        <v>104</v>
      </c>
      <c r="H42" s="674">
        <v>0.31084237492465339</v>
      </c>
      <c r="I42" s="508" t="s">
        <v>180</v>
      </c>
      <c r="J42" s="153" t="s">
        <v>117</v>
      </c>
      <c r="K42" s="572" t="s">
        <v>156</v>
      </c>
      <c r="L42" s="153" t="s">
        <v>182</v>
      </c>
      <c r="M42" s="153" t="s">
        <v>104</v>
      </c>
      <c r="N42" s="156">
        <v>1</v>
      </c>
      <c r="P42" s="156">
        <v>0</v>
      </c>
      <c r="Q42" s="156" t="s">
        <v>139</v>
      </c>
      <c r="R42" s="156">
        <v>0</v>
      </c>
      <c r="S42" s="156">
        <v>1</v>
      </c>
      <c r="T42" s="958" t="s">
        <v>105</v>
      </c>
      <c r="U42" s="153" t="s">
        <v>104</v>
      </c>
      <c r="V42" s="149">
        <v>39349</v>
      </c>
      <c r="W42" s="149">
        <v>39387</v>
      </c>
      <c r="X42" s="149">
        <v>41928</v>
      </c>
      <c r="Y42" s="149">
        <v>42608</v>
      </c>
      <c r="Z42" s="149">
        <v>42608</v>
      </c>
      <c r="AA42" s="149">
        <v>39349</v>
      </c>
      <c r="AB42" s="763" t="s">
        <v>121</v>
      </c>
      <c r="AC42" s="594">
        <v>27.142857142857146</v>
      </c>
      <c r="AD42" s="153" t="s">
        <v>103</v>
      </c>
      <c r="AE42" s="149" t="s">
        <v>103</v>
      </c>
      <c r="AF42" s="596">
        <v>15</v>
      </c>
      <c r="AG42" s="596">
        <v>13</v>
      </c>
      <c r="AH42" s="595">
        <v>5219</v>
      </c>
      <c r="AI42" s="614">
        <v>0.98844696969696966</v>
      </c>
      <c r="AJ42" s="607">
        <v>6820</v>
      </c>
      <c r="AK42" s="153" t="s">
        <v>120</v>
      </c>
      <c r="AL42" s="791" t="s">
        <v>104</v>
      </c>
      <c r="AO42" s="963"/>
      <c r="AP42" s="519">
        <v>3600000</v>
      </c>
      <c r="AQ42" s="574">
        <v>3511691.9199999636</v>
      </c>
      <c r="AR42" s="153" t="s">
        <v>116</v>
      </c>
      <c r="AS42" s="153" t="s">
        <v>116</v>
      </c>
      <c r="AT42" s="777" t="s">
        <v>122</v>
      </c>
      <c r="AU42" s="777" t="s">
        <v>122</v>
      </c>
      <c r="AV42" s="777" t="s">
        <v>122</v>
      </c>
      <c r="AW42" s="777" t="s">
        <v>122</v>
      </c>
      <c r="AX42" s="155" t="s">
        <v>103</v>
      </c>
      <c r="AY42" s="155" t="s">
        <v>103</v>
      </c>
      <c r="AZ42" s="155" t="s">
        <v>103</v>
      </c>
      <c r="BA42" s="156">
        <v>0</v>
      </c>
      <c r="BB42" s="574">
        <f t="shared" si="1"/>
        <v>3511691.9199999636</v>
      </c>
      <c r="BC42" s="780">
        <v>88308.080000036396</v>
      </c>
      <c r="BD42" s="1008" t="s">
        <v>121</v>
      </c>
      <c r="BE42" s="680">
        <v>403352</v>
      </c>
      <c r="BF42" s="153">
        <v>2017</v>
      </c>
      <c r="BG42" s="94">
        <v>16453.849999999999</v>
      </c>
      <c r="BH42" s="766">
        <v>1789240</v>
      </c>
      <c r="BI42" s="774">
        <v>1536946</v>
      </c>
      <c r="BJ42" s="774">
        <v>273814</v>
      </c>
      <c r="BK42" s="153" t="s">
        <v>103</v>
      </c>
      <c r="BL42" s="94" t="s">
        <v>124</v>
      </c>
      <c r="BM42" s="94" t="s">
        <v>124</v>
      </c>
      <c r="BN42" s="94" t="s">
        <v>124</v>
      </c>
      <c r="BO42" s="153" t="s">
        <v>116</v>
      </c>
      <c r="BP42" s="153" t="s">
        <v>124</v>
      </c>
      <c r="BQ42" s="153" t="s">
        <v>103</v>
      </c>
      <c r="BR42" s="153" t="s">
        <v>104</v>
      </c>
      <c r="BS42" s="153" t="s">
        <v>104</v>
      </c>
      <c r="BT42" s="153" t="s">
        <v>104</v>
      </c>
      <c r="BU42" s="153" t="s">
        <v>183</v>
      </c>
      <c r="BV42" s="153" t="s">
        <v>183</v>
      </c>
      <c r="BW42" s="153" t="s">
        <v>104</v>
      </c>
      <c r="BX42" s="153" t="s">
        <v>110</v>
      </c>
      <c r="BY42" s="153" t="s">
        <v>110</v>
      </c>
      <c r="BZ42" s="153" t="s">
        <v>110</v>
      </c>
    </row>
    <row r="43" spans="1:83" ht="41.45" customHeight="1">
      <c r="A43" s="503" t="s">
        <v>184</v>
      </c>
      <c r="B43" s="164" t="s">
        <v>185</v>
      </c>
      <c r="C43" s="155" t="s">
        <v>186</v>
      </c>
      <c r="D43" s="153" t="s">
        <v>187</v>
      </c>
      <c r="E43" s="153">
        <v>90210</v>
      </c>
      <c r="F43" s="153">
        <v>6037700802</v>
      </c>
      <c r="G43" s="155" t="s">
        <v>110</v>
      </c>
      <c r="H43" s="674">
        <v>6.2145448970204936E-2</v>
      </c>
      <c r="I43" s="508" t="s">
        <v>185</v>
      </c>
      <c r="J43" s="153" t="s">
        <v>117</v>
      </c>
      <c r="K43" s="572" t="s">
        <v>118</v>
      </c>
      <c r="L43" s="153" t="s">
        <v>187</v>
      </c>
      <c r="M43" s="153" t="s">
        <v>104</v>
      </c>
      <c r="N43" s="156">
        <v>1</v>
      </c>
      <c r="P43" s="156">
        <v>0</v>
      </c>
      <c r="Q43" s="156" t="s">
        <v>139</v>
      </c>
      <c r="R43" s="156">
        <v>0</v>
      </c>
      <c r="S43" s="156">
        <v>1</v>
      </c>
      <c r="T43" s="958" t="s">
        <v>105</v>
      </c>
      <c r="U43" s="153" t="s">
        <v>110</v>
      </c>
      <c r="V43" s="149">
        <v>40239</v>
      </c>
      <c r="W43" s="149">
        <v>40344</v>
      </c>
      <c r="X43" s="149">
        <v>41645</v>
      </c>
      <c r="Y43" s="149">
        <v>42269</v>
      </c>
      <c r="Z43" s="149">
        <v>42269</v>
      </c>
      <c r="AA43" s="149">
        <v>40239</v>
      </c>
      <c r="AB43" s="763" t="s">
        <v>151</v>
      </c>
      <c r="AC43" s="594">
        <v>75</v>
      </c>
      <c r="AD43" s="153" t="s">
        <v>103</v>
      </c>
      <c r="AE43" s="149" t="s">
        <v>103</v>
      </c>
      <c r="AF43" s="596">
        <v>19</v>
      </c>
      <c r="AG43" s="596">
        <v>71</v>
      </c>
      <c r="AH43" s="595">
        <v>4058.3333333333335</v>
      </c>
      <c r="AI43" s="614">
        <v>0.76862373737373735</v>
      </c>
      <c r="AJ43" s="607">
        <v>3005</v>
      </c>
      <c r="AK43" s="153" t="s">
        <v>120</v>
      </c>
      <c r="AL43" s="791" t="s">
        <v>104</v>
      </c>
      <c r="AO43" s="963"/>
      <c r="AP43" s="519">
        <v>2500000</v>
      </c>
      <c r="AQ43" s="574">
        <v>2695268.22</v>
      </c>
      <c r="AR43" s="153" t="s">
        <v>116</v>
      </c>
      <c r="AS43" s="153" t="s">
        <v>116</v>
      </c>
      <c r="AT43" s="156">
        <v>0</v>
      </c>
      <c r="AU43" s="777" t="s">
        <v>122</v>
      </c>
      <c r="AV43" s="777" t="s">
        <v>122</v>
      </c>
      <c r="AW43" s="777" t="s">
        <v>122</v>
      </c>
      <c r="AX43" s="155" t="s">
        <v>103</v>
      </c>
      <c r="AY43" s="155" t="s">
        <v>103</v>
      </c>
      <c r="AZ43" s="155" t="s">
        <v>103</v>
      </c>
      <c r="BA43" s="156">
        <v>0</v>
      </c>
      <c r="BB43" s="574">
        <f t="shared" si="1"/>
        <v>2695268.22</v>
      </c>
      <c r="BC43" s="780">
        <v>-195268.2200000002</v>
      </c>
      <c r="BD43" s="1008" t="s">
        <v>151</v>
      </c>
      <c r="BE43" s="679">
        <v>0</v>
      </c>
      <c r="BF43" s="153" t="s">
        <v>103</v>
      </c>
      <c r="BG43" s="94">
        <v>2467783</v>
      </c>
      <c r="BH43" s="766">
        <v>1183819</v>
      </c>
      <c r="BI43" s="774">
        <v>266181</v>
      </c>
      <c r="BJ43" s="774">
        <v>0</v>
      </c>
      <c r="BK43" s="153" t="s">
        <v>103</v>
      </c>
      <c r="BL43" s="153" t="s">
        <v>124</v>
      </c>
      <c r="BM43" s="94" t="s">
        <v>103</v>
      </c>
      <c r="BN43" s="155" t="s">
        <v>103</v>
      </c>
      <c r="BO43" s="153" t="s">
        <v>103</v>
      </c>
      <c r="BP43" s="153" t="s">
        <v>103</v>
      </c>
      <c r="BQ43" s="153" t="s">
        <v>103</v>
      </c>
      <c r="BR43" s="153" t="s">
        <v>110</v>
      </c>
      <c r="BS43" s="153" t="s">
        <v>104</v>
      </c>
      <c r="BT43" s="153" t="s">
        <v>104</v>
      </c>
      <c r="BV43" s="153" t="s">
        <v>183</v>
      </c>
      <c r="BW43" s="153" t="s">
        <v>183</v>
      </c>
      <c r="BX43" s="153" t="s">
        <v>110</v>
      </c>
      <c r="BY43" s="153" t="s">
        <v>110</v>
      </c>
      <c r="BZ43" s="153" t="s">
        <v>110</v>
      </c>
    </row>
    <row r="44" spans="1:83" ht="14.1" customHeight="1">
      <c r="A44" s="503" t="s">
        <v>188</v>
      </c>
      <c r="B44" s="164" t="s">
        <v>103</v>
      </c>
      <c r="C44" s="155" t="s">
        <v>103</v>
      </c>
      <c r="D44" s="153" t="s">
        <v>103</v>
      </c>
      <c r="E44" s="153" t="s">
        <v>103</v>
      </c>
      <c r="F44" s="958" t="s">
        <v>103</v>
      </c>
      <c r="G44" s="153" t="s">
        <v>110</v>
      </c>
      <c r="H44" s="673">
        <v>4.7227926078028747E-2</v>
      </c>
      <c r="I44" s="508" t="s">
        <v>103</v>
      </c>
      <c r="J44" s="958" t="s">
        <v>103</v>
      </c>
      <c r="K44" s="958" t="s">
        <v>103</v>
      </c>
      <c r="L44" s="155" t="s">
        <v>103</v>
      </c>
      <c r="M44" s="155" t="s">
        <v>103</v>
      </c>
      <c r="N44" s="156">
        <v>0</v>
      </c>
      <c r="O44" s="156" t="s">
        <v>103</v>
      </c>
      <c r="P44" s="156">
        <v>0</v>
      </c>
      <c r="Q44" s="958" t="s">
        <v>103</v>
      </c>
      <c r="R44" s="156">
        <v>0</v>
      </c>
      <c r="S44" s="156">
        <v>0</v>
      </c>
      <c r="T44" s="958" t="s">
        <v>105</v>
      </c>
      <c r="U44" s="153" t="s">
        <v>110</v>
      </c>
      <c r="V44" s="518" t="s">
        <v>103</v>
      </c>
      <c r="W44" s="991" t="s">
        <v>103</v>
      </c>
      <c r="X44" s="991" t="s">
        <v>103</v>
      </c>
      <c r="Y44" s="991" t="s">
        <v>103</v>
      </c>
      <c r="Z44" s="518" t="s">
        <v>103</v>
      </c>
      <c r="AA44" s="991" t="s">
        <v>103</v>
      </c>
      <c r="AB44" s="155" t="s">
        <v>103</v>
      </c>
      <c r="AC44" s="959" t="s">
        <v>103</v>
      </c>
      <c r="AD44" s="155" t="s">
        <v>103</v>
      </c>
      <c r="AE44" s="155" t="s">
        <v>103</v>
      </c>
      <c r="AF44" s="155" t="s">
        <v>103</v>
      </c>
      <c r="AG44" s="155" t="s">
        <v>103</v>
      </c>
      <c r="AH44" s="992" t="s">
        <v>103</v>
      </c>
      <c r="AI44" s="960" t="s">
        <v>103</v>
      </c>
      <c r="AJ44" s="992" t="s">
        <v>103</v>
      </c>
      <c r="AK44" s="155" t="s">
        <v>103</v>
      </c>
      <c r="AL44" s="993" t="s">
        <v>103</v>
      </c>
      <c r="AM44" s="155"/>
      <c r="AN44" s="155"/>
      <c r="AO44" s="994"/>
      <c r="AP44" s="94">
        <v>0</v>
      </c>
      <c r="AQ44" s="578">
        <v>0</v>
      </c>
      <c r="AR44" s="155" t="s">
        <v>103</v>
      </c>
      <c r="AS44" s="155" t="s">
        <v>103</v>
      </c>
      <c r="AT44" s="155" t="s">
        <v>103</v>
      </c>
      <c r="AU44" s="155" t="s">
        <v>103</v>
      </c>
      <c r="AV44" s="155" t="s">
        <v>103</v>
      </c>
      <c r="AW44" s="155" t="s">
        <v>103</v>
      </c>
      <c r="AX44" s="155" t="s">
        <v>103</v>
      </c>
      <c r="AY44" s="155" t="s">
        <v>103</v>
      </c>
      <c r="AZ44" s="155" t="s">
        <v>103</v>
      </c>
      <c r="BA44" s="155" t="s">
        <v>103</v>
      </c>
      <c r="BB44" s="155" t="s">
        <v>103</v>
      </c>
      <c r="BC44" s="155" t="s">
        <v>103</v>
      </c>
      <c r="BD44" s="155" t="s">
        <v>103</v>
      </c>
      <c r="BE44" s="989" t="s">
        <v>103</v>
      </c>
      <c r="BF44" s="155" t="s">
        <v>103</v>
      </c>
      <c r="BG44" s="961">
        <v>0</v>
      </c>
      <c r="BH44" s="155" t="s">
        <v>103</v>
      </c>
      <c r="BI44" s="990" t="s">
        <v>103</v>
      </c>
      <c r="BJ44" s="155" t="s">
        <v>103</v>
      </c>
      <c r="BK44" s="155" t="s">
        <v>103</v>
      </c>
      <c r="BL44" s="155" t="s">
        <v>103</v>
      </c>
      <c r="BM44" s="155" t="s">
        <v>103</v>
      </c>
      <c r="BN44" s="155" t="s">
        <v>103</v>
      </c>
      <c r="BO44" s="155" t="s">
        <v>103</v>
      </c>
      <c r="BP44" s="155" t="s">
        <v>103</v>
      </c>
      <c r="BQ44" s="155" t="s">
        <v>103</v>
      </c>
      <c r="BR44" s="155" t="s">
        <v>103</v>
      </c>
      <c r="BS44" s="155" t="s">
        <v>103</v>
      </c>
      <c r="BT44" s="155" t="s">
        <v>103</v>
      </c>
      <c r="BU44" s="155" t="s">
        <v>103</v>
      </c>
      <c r="BV44" s="155" t="s">
        <v>103</v>
      </c>
      <c r="BW44" s="155" t="s">
        <v>103</v>
      </c>
      <c r="BX44" s="155" t="s">
        <v>103</v>
      </c>
      <c r="BY44" s="155" t="s">
        <v>103</v>
      </c>
      <c r="BZ44" s="155" t="s">
        <v>103</v>
      </c>
      <c r="CA44" s="155" t="s">
        <v>103</v>
      </c>
      <c r="CB44" s="155" t="s">
        <v>103</v>
      </c>
      <c r="CC44" s="155" t="s">
        <v>103</v>
      </c>
      <c r="CD44" s="155" t="s">
        <v>103</v>
      </c>
      <c r="CE44" s="155" t="s">
        <v>103</v>
      </c>
    </row>
    <row r="45" spans="1:83" ht="14.1" customHeight="1">
      <c r="A45" s="503" t="s">
        <v>189</v>
      </c>
      <c r="B45" s="164" t="s">
        <v>103</v>
      </c>
      <c r="C45" s="155" t="s">
        <v>103</v>
      </c>
      <c r="D45" s="153" t="s">
        <v>103</v>
      </c>
      <c r="E45" s="153" t="s">
        <v>103</v>
      </c>
      <c r="F45" s="958" t="s">
        <v>103</v>
      </c>
      <c r="G45" s="153" t="s">
        <v>110</v>
      </c>
      <c r="H45" s="673">
        <v>5.5713109505077303E-2</v>
      </c>
      <c r="I45" s="508" t="s">
        <v>103</v>
      </c>
      <c r="J45" s="958" t="s">
        <v>103</v>
      </c>
      <c r="K45" s="958" t="s">
        <v>103</v>
      </c>
      <c r="L45" s="155" t="s">
        <v>103</v>
      </c>
      <c r="M45" s="155" t="s">
        <v>103</v>
      </c>
      <c r="N45" s="156">
        <v>0</v>
      </c>
      <c r="O45" s="156" t="s">
        <v>103</v>
      </c>
      <c r="P45" s="156">
        <v>0</v>
      </c>
      <c r="Q45" s="958" t="s">
        <v>103</v>
      </c>
      <c r="R45" s="156">
        <v>0</v>
      </c>
      <c r="S45" s="156">
        <v>0</v>
      </c>
      <c r="T45" s="958" t="s">
        <v>105</v>
      </c>
      <c r="U45" s="153" t="s">
        <v>110</v>
      </c>
      <c r="V45" s="518" t="s">
        <v>103</v>
      </c>
      <c r="W45" s="991" t="s">
        <v>103</v>
      </c>
      <c r="X45" s="991" t="s">
        <v>103</v>
      </c>
      <c r="Y45" s="991" t="s">
        <v>103</v>
      </c>
      <c r="Z45" s="518" t="s">
        <v>103</v>
      </c>
      <c r="AA45" s="991" t="s">
        <v>103</v>
      </c>
      <c r="AB45" s="155" t="s">
        <v>103</v>
      </c>
      <c r="AC45" s="959" t="s">
        <v>103</v>
      </c>
      <c r="AD45" s="155" t="s">
        <v>103</v>
      </c>
      <c r="AE45" s="155" t="s">
        <v>103</v>
      </c>
      <c r="AF45" s="155" t="s">
        <v>103</v>
      </c>
      <c r="AG45" s="155" t="s">
        <v>103</v>
      </c>
      <c r="AH45" s="992" t="s">
        <v>103</v>
      </c>
      <c r="AI45" s="960" t="s">
        <v>103</v>
      </c>
      <c r="AJ45" s="992" t="s">
        <v>103</v>
      </c>
      <c r="AK45" s="155" t="s">
        <v>103</v>
      </c>
      <c r="AL45" s="993" t="s">
        <v>103</v>
      </c>
      <c r="AM45" s="155"/>
      <c r="AN45" s="155"/>
      <c r="AO45" s="994"/>
      <c r="AP45" s="94">
        <v>0</v>
      </c>
      <c r="AQ45" s="578">
        <v>0</v>
      </c>
      <c r="AR45" s="155" t="s">
        <v>103</v>
      </c>
      <c r="AS45" s="155" t="s">
        <v>103</v>
      </c>
      <c r="AT45" s="155" t="s">
        <v>103</v>
      </c>
      <c r="AU45" s="155" t="s">
        <v>103</v>
      </c>
      <c r="AV45" s="155" t="s">
        <v>103</v>
      </c>
      <c r="AW45" s="155" t="s">
        <v>103</v>
      </c>
      <c r="AX45" s="155" t="s">
        <v>103</v>
      </c>
      <c r="AY45" s="155" t="s">
        <v>103</v>
      </c>
      <c r="AZ45" s="155" t="s">
        <v>103</v>
      </c>
      <c r="BA45" s="155" t="s">
        <v>103</v>
      </c>
      <c r="BB45" s="155" t="s">
        <v>103</v>
      </c>
      <c r="BC45" s="155" t="s">
        <v>103</v>
      </c>
      <c r="BD45" s="155" t="s">
        <v>103</v>
      </c>
      <c r="BE45" s="989" t="s">
        <v>103</v>
      </c>
      <c r="BF45" s="155" t="s">
        <v>103</v>
      </c>
      <c r="BG45" s="961">
        <v>0</v>
      </c>
      <c r="BH45" s="155" t="s">
        <v>103</v>
      </c>
      <c r="BI45" s="990" t="s">
        <v>103</v>
      </c>
      <c r="BJ45" s="155" t="s">
        <v>103</v>
      </c>
      <c r="BK45" s="155" t="s">
        <v>103</v>
      </c>
      <c r="BL45" s="155" t="s">
        <v>103</v>
      </c>
      <c r="BM45" s="155" t="s">
        <v>103</v>
      </c>
      <c r="BN45" s="155" t="s">
        <v>103</v>
      </c>
      <c r="BO45" s="155" t="s">
        <v>103</v>
      </c>
      <c r="BP45" s="155" t="s">
        <v>103</v>
      </c>
      <c r="BQ45" s="155" t="s">
        <v>103</v>
      </c>
      <c r="BR45" s="155" t="s">
        <v>103</v>
      </c>
      <c r="BS45" s="155" t="s">
        <v>103</v>
      </c>
      <c r="BT45" s="155" t="s">
        <v>103</v>
      </c>
      <c r="BU45" s="155" t="s">
        <v>103</v>
      </c>
      <c r="BV45" s="155" t="s">
        <v>103</v>
      </c>
      <c r="BW45" s="155" t="s">
        <v>103</v>
      </c>
      <c r="BX45" s="155" t="s">
        <v>103</v>
      </c>
      <c r="BY45" s="155" t="s">
        <v>103</v>
      </c>
      <c r="BZ45" s="155" t="s">
        <v>103</v>
      </c>
      <c r="CA45" s="155" t="s">
        <v>103</v>
      </c>
      <c r="CB45" s="155" t="s">
        <v>103</v>
      </c>
      <c r="CC45" s="155" t="s">
        <v>103</v>
      </c>
      <c r="CD45" s="155" t="s">
        <v>103</v>
      </c>
      <c r="CE45" s="155" t="s">
        <v>103</v>
      </c>
    </row>
    <row r="46" spans="1:83" ht="14.1" customHeight="1">
      <c r="A46" s="503" t="s">
        <v>190</v>
      </c>
      <c r="B46" s="164" t="s">
        <v>191</v>
      </c>
      <c r="C46" s="155">
        <v>800060255</v>
      </c>
      <c r="D46" s="153" t="s">
        <v>192</v>
      </c>
      <c r="E46" s="153">
        <v>90745</v>
      </c>
      <c r="F46" s="153">
        <v>6037543903</v>
      </c>
      <c r="G46" s="155" t="s">
        <v>104</v>
      </c>
      <c r="H46" s="674">
        <v>0.21158752657689581</v>
      </c>
      <c r="I46" s="508" t="s">
        <v>191</v>
      </c>
      <c r="J46" s="153" t="s">
        <v>117</v>
      </c>
      <c r="K46" s="572" t="s">
        <v>156</v>
      </c>
      <c r="L46" s="153" t="s">
        <v>192</v>
      </c>
      <c r="M46" s="153" t="s">
        <v>104</v>
      </c>
      <c r="N46" s="156">
        <v>3</v>
      </c>
      <c r="P46" s="156">
        <v>0</v>
      </c>
      <c r="Q46" s="156" t="s">
        <v>139</v>
      </c>
      <c r="R46" s="156">
        <v>0</v>
      </c>
      <c r="S46" s="156">
        <v>3</v>
      </c>
      <c r="T46" s="958" t="s">
        <v>105</v>
      </c>
      <c r="U46" s="153" t="s">
        <v>104</v>
      </c>
      <c r="V46" s="149">
        <v>39890</v>
      </c>
      <c r="W46" s="149">
        <v>40187</v>
      </c>
      <c r="X46" s="149">
        <v>41228</v>
      </c>
      <c r="Y46" s="149">
        <v>41609</v>
      </c>
      <c r="Z46" s="149">
        <v>41609</v>
      </c>
      <c r="AA46" s="149">
        <v>39890</v>
      </c>
      <c r="AB46" s="763" t="s">
        <v>151</v>
      </c>
      <c r="AC46" s="594">
        <v>212.14285714285717</v>
      </c>
      <c r="AD46" s="153" t="s">
        <v>103</v>
      </c>
      <c r="AE46" s="149" t="s">
        <v>103</v>
      </c>
      <c r="AF46" s="596">
        <v>9</v>
      </c>
      <c r="AG46" s="596">
        <v>0</v>
      </c>
      <c r="AH46" s="595">
        <v>3214</v>
      </c>
      <c r="AI46" s="614">
        <v>0.60871212121212126</v>
      </c>
      <c r="AJ46" s="607">
        <v>2000</v>
      </c>
      <c r="AK46" s="153" t="s">
        <v>120</v>
      </c>
      <c r="AL46" s="791" t="s">
        <v>103</v>
      </c>
      <c r="AO46" s="963"/>
      <c r="AP46" s="519">
        <v>2032872</v>
      </c>
      <c r="AQ46" s="574">
        <v>3561518</v>
      </c>
      <c r="AR46" s="153" t="s">
        <v>116</v>
      </c>
      <c r="AS46" s="153" t="s">
        <v>116</v>
      </c>
      <c r="AT46" s="156">
        <v>0</v>
      </c>
      <c r="AU46" s="777" t="s">
        <v>122</v>
      </c>
      <c r="AV46" s="777" t="s">
        <v>122</v>
      </c>
      <c r="AW46" s="777" t="s">
        <v>122</v>
      </c>
      <c r="AX46" s="155" t="s">
        <v>103</v>
      </c>
      <c r="AY46" s="155" t="s">
        <v>103</v>
      </c>
      <c r="AZ46" s="155" t="s">
        <v>103</v>
      </c>
      <c r="BA46" s="156">
        <v>0</v>
      </c>
      <c r="BB46" s="574">
        <f t="shared" ref="BB46:BB48" si="2">AQ46</f>
        <v>3561518</v>
      </c>
      <c r="BC46" s="780">
        <v>-1528646</v>
      </c>
      <c r="BD46" s="508" t="s">
        <v>193</v>
      </c>
      <c r="BE46" s="679">
        <v>0</v>
      </c>
      <c r="BF46" s="153" t="s">
        <v>103</v>
      </c>
      <c r="BG46" s="94">
        <v>3561518</v>
      </c>
      <c r="BH46" s="766">
        <v>6632900</v>
      </c>
      <c r="BI46" s="774">
        <v>0</v>
      </c>
      <c r="BJ46" s="774">
        <v>0</v>
      </c>
      <c r="BK46" s="153" t="s">
        <v>103</v>
      </c>
      <c r="BL46" s="94" t="s">
        <v>124</v>
      </c>
      <c r="BM46" s="94" t="s">
        <v>124</v>
      </c>
      <c r="BN46" s="94" t="s">
        <v>124</v>
      </c>
      <c r="BP46" s="153" t="s">
        <v>124</v>
      </c>
      <c r="BQ46" s="153" t="s">
        <v>103</v>
      </c>
      <c r="BR46" s="153" t="s">
        <v>110</v>
      </c>
      <c r="BS46" s="153" t="s">
        <v>110</v>
      </c>
      <c r="BT46" s="153" t="s">
        <v>104</v>
      </c>
      <c r="BU46" s="153" t="s">
        <v>110</v>
      </c>
      <c r="BV46" s="153" t="s">
        <v>183</v>
      </c>
      <c r="BW46" s="153" t="s">
        <v>183</v>
      </c>
      <c r="BX46" s="153" t="s">
        <v>110</v>
      </c>
      <c r="BY46" s="153" t="s">
        <v>110</v>
      </c>
      <c r="BZ46" s="153" t="s">
        <v>104</v>
      </c>
    </row>
    <row r="47" spans="1:83" ht="41.45" customHeight="1">
      <c r="A47" s="503"/>
      <c r="B47" s="164" t="s">
        <v>194</v>
      </c>
      <c r="C47" s="155" t="s">
        <v>195</v>
      </c>
      <c r="D47" s="153" t="s">
        <v>192</v>
      </c>
      <c r="E47" s="153">
        <v>90745</v>
      </c>
      <c r="F47" s="153">
        <v>6037543903</v>
      </c>
      <c r="G47" s="153" t="s">
        <v>104</v>
      </c>
      <c r="H47" s="153" t="s">
        <v>150</v>
      </c>
      <c r="I47" s="508" t="s">
        <v>194</v>
      </c>
      <c r="J47" s="153" t="s">
        <v>117</v>
      </c>
      <c r="K47" s="572" t="s">
        <v>156</v>
      </c>
      <c r="L47" s="153" t="s">
        <v>192</v>
      </c>
      <c r="M47" s="153" t="s">
        <v>104</v>
      </c>
      <c r="Q47" s="156" t="s">
        <v>139</v>
      </c>
      <c r="V47" s="590">
        <v>39890</v>
      </c>
      <c r="W47" s="149">
        <v>39476</v>
      </c>
      <c r="X47" s="149">
        <v>40575</v>
      </c>
      <c r="Y47" s="149">
        <v>41029</v>
      </c>
      <c r="Z47" s="149">
        <v>41029</v>
      </c>
      <c r="AA47" s="149">
        <v>39890</v>
      </c>
      <c r="AB47" s="763" t="s">
        <v>121</v>
      </c>
      <c r="AC47" s="594">
        <v>-295.71428571428572</v>
      </c>
      <c r="AD47" s="153" t="s">
        <v>103</v>
      </c>
      <c r="AE47" s="149" t="s">
        <v>103</v>
      </c>
      <c r="AF47" s="596">
        <v>44</v>
      </c>
      <c r="AG47" s="596">
        <v>27</v>
      </c>
      <c r="AH47" s="595">
        <v>5423.666666666667</v>
      </c>
      <c r="AI47" s="614">
        <v>1.0272095959595959</v>
      </c>
      <c r="AJ47" s="607">
        <v>6000</v>
      </c>
      <c r="AK47" s="153" t="s">
        <v>120</v>
      </c>
      <c r="AL47" s="791" t="s">
        <v>116</v>
      </c>
      <c r="AO47" s="963"/>
      <c r="AP47" s="519">
        <v>5500000</v>
      </c>
      <c r="AQ47" s="574">
        <v>3877519</v>
      </c>
      <c r="AR47" s="153" t="s">
        <v>116</v>
      </c>
      <c r="AS47" s="153" t="s">
        <v>116</v>
      </c>
      <c r="AT47" s="777" t="s">
        <v>122</v>
      </c>
      <c r="AU47" s="777" t="s">
        <v>122</v>
      </c>
      <c r="AV47" s="777" t="s">
        <v>122</v>
      </c>
      <c r="AW47" s="777" t="s">
        <v>122</v>
      </c>
      <c r="AX47" s="155" t="s">
        <v>103</v>
      </c>
      <c r="AY47" s="155" t="s">
        <v>103</v>
      </c>
      <c r="AZ47" s="155" t="s">
        <v>103</v>
      </c>
      <c r="BB47" s="574">
        <f t="shared" si="2"/>
        <v>3877519</v>
      </c>
      <c r="BC47" s="780">
        <v>1622481</v>
      </c>
      <c r="BD47" s="1008" t="s">
        <v>151</v>
      </c>
      <c r="BE47" s="679">
        <v>-5365</v>
      </c>
      <c r="BF47" s="153">
        <v>2016</v>
      </c>
      <c r="BG47" s="94">
        <v>3872514</v>
      </c>
      <c r="BH47" s="766">
        <v>4600028</v>
      </c>
      <c r="BI47" s="774">
        <v>899972</v>
      </c>
      <c r="BJ47" s="774">
        <v>0</v>
      </c>
      <c r="BK47" s="153" t="s">
        <v>103</v>
      </c>
      <c r="BL47" s="153" t="s">
        <v>124</v>
      </c>
      <c r="BM47" s="94" t="s">
        <v>124</v>
      </c>
      <c r="BN47" s="155" t="s">
        <v>116</v>
      </c>
      <c r="BO47" s="153" t="s">
        <v>116</v>
      </c>
      <c r="BP47" s="153" t="s">
        <v>124</v>
      </c>
      <c r="BQ47" s="153" t="s">
        <v>103</v>
      </c>
      <c r="BR47" s="153" t="s">
        <v>110</v>
      </c>
      <c r="BS47" s="153" t="s">
        <v>110</v>
      </c>
      <c r="BT47" s="153" t="s">
        <v>104</v>
      </c>
      <c r="BU47" s="153" t="s">
        <v>183</v>
      </c>
      <c r="BV47" s="153" t="s">
        <v>110</v>
      </c>
      <c r="BW47" s="153" t="s">
        <v>183</v>
      </c>
      <c r="BX47" s="153" t="s">
        <v>110</v>
      </c>
      <c r="BY47" s="153" t="s">
        <v>110</v>
      </c>
      <c r="BZ47" s="153" t="s">
        <v>196</v>
      </c>
      <c r="CA47" s="616" t="s">
        <v>116</v>
      </c>
      <c r="CB47" s="153" t="s">
        <v>116</v>
      </c>
      <c r="CC47" s="153" t="s">
        <v>116</v>
      </c>
      <c r="CD47" s="153" t="s">
        <v>116</v>
      </c>
      <c r="CE47" s="153" t="s">
        <v>116</v>
      </c>
    </row>
    <row r="48" spans="1:83" ht="41.45" customHeight="1">
      <c r="A48" s="503"/>
      <c r="B48" s="573" t="s">
        <v>197</v>
      </c>
      <c r="C48" s="155" t="s">
        <v>198</v>
      </c>
      <c r="D48" s="153" t="s">
        <v>199</v>
      </c>
      <c r="E48" s="153">
        <v>90745</v>
      </c>
      <c r="F48" s="153">
        <v>6037543400</v>
      </c>
      <c r="G48" s="153" t="s">
        <v>104</v>
      </c>
      <c r="H48" s="153" t="s">
        <v>150</v>
      </c>
      <c r="I48" s="508" t="s">
        <v>197</v>
      </c>
      <c r="J48" s="153" t="s">
        <v>117</v>
      </c>
      <c r="K48" s="572" t="s">
        <v>156</v>
      </c>
      <c r="L48" s="153" t="s">
        <v>199</v>
      </c>
      <c r="M48" s="153" t="s">
        <v>104</v>
      </c>
      <c r="Q48" s="156" t="s">
        <v>139</v>
      </c>
      <c r="V48" s="590">
        <v>39910</v>
      </c>
      <c r="W48" s="149">
        <v>39815</v>
      </c>
      <c r="X48" s="149">
        <v>40679</v>
      </c>
      <c r="Y48" s="149">
        <v>40787</v>
      </c>
      <c r="Z48" s="149">
        <v>40787</v>
      </c>
      <c r="AA48" s="149">
        <v>39910</v>
      </c>
      <c r="AB48" s="763" t="s">
        <v>121</v>
      </c>
      <c r="AC48" s="594">
        <v>-67.857142857142861</v>
      </c>
      <c r="AD48" s="153" t="s">
        <v>103</v>
      </c>
      <c r="AE48" s="149" t="s">
        <v>103</v>
      </c>
      <c r="AF48" s="596">
        <v>10</v>
      </c>
      <c r="AG48" s="596">
        <v>0</v>
      </c>
      <c r="AH48" s="595">
        <v>2172</v>
      </c>
      <c r="AI48" s="614">
        <v>0.41136363636363638</v>
      </c>
      <c r="AJ48" s="607">
        <v>1690</v>
      </c>
      <c r="AK48" s="153" t="s">
        <v>200</v>
      </c>
      <c r="AL48" s="791" t="s">
        <v>116</v>
      </c>
      <c r="AO48" s="963"/>
      <c r="AP48" s="519">
        <v>1200000</v>
      </c>
      <c r="AQ48" s="574">
        <v>1075643</v>
      </c>
      <c r="AR48" s="153" t="s">
        <v>116</v>
      </c>
      <c r="AS48" s="153" t="s">
        <v>116</v>
      </c>
      <c r="AT48" s="777" t="s">
        <v>122</v>
      </c>
      <c r="AU48" s="777" t="s">
        <v>122</v>
      </c>
      <c r="AV48" s="777" t="s">
        <v>122</v>
      </c>
      <c r="AW48" s="777" t="s">
        <v>122</v>
      </c>
      <c r="AX48" s="155" t="s">
        <v>103</v>
      </c>
      <c r="AY48" s="155" t="s">
        <v>103</v>
      </c>
      <c r="AZ48" s="155" t="s">
        <v>103</v>
      </c>
      <c r="BB48" s="574">
        <f t="shared" si="2"/>
        <v>1075643</v>
      </c>
      <c r="BC48" s="780">
        <v>124357</v>
      </c>
      <c r="BD48" s="1008" t="s">
        <v>121</v>
      </c>
      <c r="BE48" s="679">
        <v>0</v>
      </c>
      <c r="BF48" s="153" t="s">
        <v>103</v>
      </c>
      <c r="BG48" s="94">
        <v>1075643</v>
      </c>
      <c r="BH48" s="766">
        <v>0</v>
      </c>
      <c r="BI48" s="775">
        <v>1200000</v>
      </c>
      <c r="BJ48" s="775">
        <v>0</v>
      </c>
      <c r="BK48" s="153" t="s">
        <v>103</v>
      </c>
      <c r="BL48" s="153" t="s">
        <v>124</v>
      </c>
      <c r="BM48" s="94" t="s">
        <v>124</v>
      </c>
      <c r="BN48" s="155" t="s">
        <v>124</v>
      </c>
      <c r="BO48" s="153" t="s">
        <v>116</v>
      </c>
      <c r="BP48" s="153" t="s">
        <v>124</v>
      </c>
      <c r="BQ48" s="153" t="s">
        <v>103</v>
      </c>
      <c r="BR48" s="153" t="s">
        <v>116</v>
      </c>
      <c r="BS48" s="153" t="s">
        <v>116</v>
      </c>
      <c r="BT48" s="153" t="s">
        <v>116</v>
      </c>
      <c r="BU48" s="153" t="s">
        <v>116</v>
      </c>
      <c r="BV48" s="153" t="s">
        <v>116</v>
      </c>
      <c r="BW48" s="153" t="s">
        <v>116</v>
      </c>
      <c r="BX48" s="153" t="s">
        <v>116</v>
      </c>
      <c r="BY48" s="153" t="s">
        <v>116</v>
      </c>
      <c r="BZ48" s="153" t="s">
        <v>116</v>
      </c>
      <c r="CA48" s="616" t="s">
        <v>116</v>
      </c>
      <c r="CB48" s="153" t="s">
        <v>116</v>
      </c>
      <c r="CC48" s="153" t="s">
        <v>116</v>
      </c>
      <c r="CD48" s="153" t="s">
        <v>116</v>
      </c>
      <c r="CE48" s="153" t="s">
        <v>116</v>
      </c>
    </row>
    <row r="49" spans="1:83" ht="24.6" customHeight="1">
      <c r="A49" s="503" t="s">
        <v>201</v>
      </c>
      <c r="B49" s="164" t="s">
        <v>202</v>
      </c>
      <c r="C49" s="155" t="s">
        <v>203</v>
      </c>
      <c r="D49" s="153" t="s">
        <v>204</v>
      </c>
      <c r="E49" s="153">
        <v>90703</v>
      </c>
      <c r="F49" s="153">
        <v>6037554517</v>
      </c>
      <c r="G49" s="155" t="s">
        <v>110</v>
      </c>
      <c r="H49" s="674">
        <v>9.9602663230240543E-2</v>
      </c>
      <c r="I49" s="508" t="s">
        <v>202</v>
      </c>
      <c r="J49" s="153" t="s">
        <v>117</v>
      </c>
      <c r="K49" s="572" t="s">
        <v>205</v>
      </c>
      <c r="L49" s="153" t="s">
        <v>204</v>
      </c>
      <c r="M49" s="153" t="s">
        <v>110</v>
      </c>
      <c r="N49" s="156">
        <v>1</v>
      </c>
      <c r="P49" s="156">
        <v>0</v>
      </c>
      <c r="Q49" s="989" t="s">
        <v>131</v>
      </c>
      <c r="R49" s="156">
        <v>0</v>
      </c>
      <c r="S49" s="156">
        <v>0</v>
      </c>
      <c r="T49" s="958" t="s">
        <v>105</v>
      </c>
      <c r="U49" s="153" t="s">
        <v>110</v>
      </c>
      <c r="V49" s="149">
        <v>41648</v>
      </c>
      <c r="W49" s="149">
        <v>41663</v>
      </c>
      <c r="X49" s="149">
        <v>44084</v>
      </c>
      <c r="Y49" s="149">
        <v>44326</v>
      </c>
      <c r="Z49" s="149" t="s">
        <v>103</v>
      </c>
      <c r="AA49" s="149">
        <v>41648</v>
      </c>
      <c r="AB49" s="153" t="s">
        <v>103</v>
      </c>
      <c r="AC49" s="594">
        <f>W49-V49</f>
        <v>15</v>
      </c>
      <c r="AD49" s="149">
        <v>44326</v>
      </c>
      <c r="AE49" s="149" t="s">
        <v>103</v>
      </c>
      <c r="AF49" s="153" t="s">
        <v>103</v>
      </c>
      <c r="AG49" s="153" t="s">
        <v>103</v>
      </c>
      <c r="AH49" s="596" t="s">
        <v>103</v>
      </c>
      <c r="AI49" s="960" t="s">
        <v>103</v>
      </c>
      <c r="AJ49" s="607">
        <v>1740</v>
      </c>
      <c r="AK49" s="153" t="s">
        <v>152</v>
      </c>
      <c r="AL49" s="791" t="s">
        <v>104</v>
      </c>
      <c r="AO49" s="963"/>
      <c r="AP49" s="94">
        <v>900000</v>
      </c>
      <c r="AQ49" s="574">
        <v>0</v>
      </c>
      <c r="AR49" s="153" t="s">
        <v>116</v>
      </c>
      <c r="AS49" s="153" t="s">
        <v>116</v>
      </c>
      <c r="AT49" s="777" t="s">
        <v>122</v>
      </c>
      <c r="AU49" s="777" t="s">
        <v>122</v>
      </c>
      <c r="AV49" s="777" t="s">
        <v>122</v>
      </c>
      <c r="AW49" s="777" t="s">
        <v>122</v>
      </c>
      <c r="AX49" s="155" t="s">
        <v>103</v>
      </c>
      <c r="AY49" s="155" t="s">
        <v>103</v>
      </c>
      <c r="AZ49" s="155" t="s">
        <v>103</v>
      </c>
      <c r="BA49" s="156">
        <v>0</v>
      </c>
      <c r="BB49" s="153"/>
      <c r="BC49" s="780" t="s">
        <v>103</v>
      </c>
      <c r="BD49" s="153" t="s">
        <v>103</v>
      </c>
      <c r="BE49" s="679" t="s">
        <v>103</v>
      </c>
      <c r="BF49" s="156" t="s">
        <v>103</v>
      </c>
      <c r="BG49" s="94">
        <v>112993.83</v>
      </c>
      <c r="BH49" s="766">
        <v>496947</v>
      </c>
      <c r="BI49" s="774">
        <v>403052.69</v>
      </c>
      <c r="BJ49" s="774">
        <v>0</v>
      </c>
      <c r="BK49" s="153" t="s">
        <v>103</v>
      </c>
      <c r="BL49" s="94" t="s">
        <v>124</v>
      </c>
      <c r="BM49" s="94" t="s">
        <v>124</v>
      </c>
      <c r="BN49" s="94" t="s">
        <v>124</v>
      </c>
      <c r="BO49" s="153" t="s">
        <v>116</v>
      </c>
      <c r="BP49" s="153" t="s">
        <v>124</v>
      </c>
      <c r="BQ49" s="153" t="s">
        <v>103</v>
      </c>
      <c r="BR49" s="153" t="s">
        <v>104</v>
      </c>
      <c r="BS49" s="153" t="s">
        <v>110</v>
      </c>
      <c r="BT49" s="153" t="s">
        <v>104</v>
      </c>
      <c r="BU49" s="153" t="s">
        <v>104</v>
      </c>
      <c r="BV49" s="153" t="s">
        <v>104</v>
      </c>
      <c r="BW49" s="153" t="s">
        <v>104</v>
      </c>
      <c r="BX49" s="153" t="s">
        <v>104</v>
      </c>
      <c r="BY49" s="153" t="s">
        <v>104</v>
      </c>
      <c r="BZ49" s="153" t="s">
        <v>110</v>
      </c>
      <c r="CA49" s="616" t="s">
        <v>103</v>
      </c>
      <c r="CB49" s="153" t="s">
        <v>103</v>
      </c>
      <c r="CC49" s="153" t="s">
        <v>110</v>
      </c>
      <c r="CD49" s="153" t="s">
        <v>103</v>
      </c>
      <c r="CE49" s="153" t="s">
        <v>103</v>
      </c>
    </row>
    <row r="50" spans="1:83" ht="22.35" customHeight="1">
      <c r="A50" s="503" t="s">
        <v>206</v>
      </c>
      <c r="B50" s="164" t="s">
        <v>103</v>
      </c>
      <c r="C50" s="155" t="s">
        <v>103</v>
      </c>
      <c r="D50" s="153" t="s">
        <v>103</v>
      </c>
      <c r="E50" s="153" t="s">
        <v>103</v>
      </c>
      <c r="F50" s="958" t="s">
        <v>103</v>
      </c>
      <c r="G50" s="153" t="s">
        <v>110</v>
      </c>
      <c r="H50" s="673">
        <v>0.10535080732749258</v>
      </c>
      <c r="I50" s="508" t="s">
        <v>103</v>
      </c>
      <c r="J50" s="958" t="s">
        <v>103</v>
      </c>
      <c r="K50" s="958" t="s">
        <v>103</v>
      </c>
      <c r="L50" s="155" t="s">
        <v>103</v>
      </c>
      <c r="M50" s="155" t="s">
        <v>103</v>
      </c>
      <c r="N50" s="156">
        <v>0</v>
      </c>
      <c r="O50" s="156" t="s">
        <v>103</v>
      </c>
      <c r="P50" s="156">
        <v>0</v>
      </c>
      <c r="Q50" s="958" t="s">
        <v>103</v>
      </c>
      <c r="R50" s="156">
        <v>0</v>
      </c>
      <c r="S50" s="156">
        <v>0</v>
      </c>
      <c r="T50" s="958" t="s">
        <v>105</v>
      </c>
      <c r="U50" s="153" t="s">
        <v>110</v>
      </c>
      <c r="V50" s="518" t="s">
        <v>103</v>
      </c>
      <c r="W50" s="991" t="s">
        <v>103</v>
      </c>
      <c r="X50" s="991" t="s">
        <v>103</v>
      </c>
      <c r="Y50" s="991" t="s">
        <v>103</v>
      </c>
      <c r="Z50" s="518" t="s">
        <v>103</v>
      </c>
      <c r="AA50" s="991" t="s">
        <v>103</v>
      </c>
      <c r="AB50" s="155" t="s">
        <v>103</v>
      </c>
      <c r="AC50" s="959" t="s">
        <v>103</v>
      </c>
      <c r="AD50" s="155" t="s">
        <v>103</v>
      </c>
      <c r="AE50" s="155" t="s">
        <v>103</v>
      </c>
      <c r="AF50" s="155" t="s">
        <v>103</v>
      </c>
      <c r="AG50" s="155" t="s">
        <v>103</v>
      </c>
      <c r="AH50" s="992" t="s">
        <v>103</v>
      </c>
      <c r="AI50" s="960" t="s">
        <v>103</v>
      </c>
      <c r="AJ50" s="992" t="s">
        <v>103</v>
      </c>
      <c r="AK50" s="155" t="s">
        <v>103</v>
      </c>
      <c r="AL50" s="993" t="s">
        <v>103</v>
      </c>
      <c r="AM50" s="155"/>
      <c r="AN50" s="155"/>
      <c r="AO50" s="994"/>
      <c r="AP50" s="94">
        <v>0</v>
      </c>
      <c r="AQ50" s="578">
        <v>0</v>
      </c>
      <c r="AR50" s="155" t="s">
        <v>103</v>
      </c>
      <c r="AS50" s="155" t="s">
        <v>103</v>
      </c>
      <c r="AT50" s="155" t="s">
        <v>103</v>
      </c>
      <c r="AU50" s="155" t="s">
        <v>103</v>
      </c>
      <c r="AV50" s="155" t="s">
        <v>103</v>
      </c>
      <c r="AW50" s="155" t="s">
        <v>103</v>
      </c>
      <c r="AX50" s="155" t="s">
        <v>103</v>
      </c>
      <c r="AY50" s="155" t="s">
        <v>103</v>
      </c>
      <c r="AZ50" s="155" t="s">
        <v>103</v>
      </c>
      <c r="BA50" s="155" t="s">
        <v>103</v>
      </c>
      <c r="BB50" s="155" t="s">
        <v>103</v>
      </c>
      <c r="BC50" s="155" t="s">
        <v>103</v>
      </c>
      <c r="BD50" s="155" t="s">
        <v>103</v>
      </c>
      <c r="BE50" s="989" t="s">
        <v>103</v>
      </c>
      <c r="BF50" s="155" t="s">
        <v>103</v>
      </c>
      <c r="BG50" s="961">
        <v>0</v>
      </c>
      <c r="BH50" s="155" t="s">
        <v>103</v>
      </c>
      <c r="BI50" s="990" t="s">
        <v>103</v>
      </c>
      <c r="BJ50" s="155" t="s">
        <v>103</v>
      </c>
      <c r="BK50" s="155" t="s">
        <v>103</v>
      </c>
      <c r="BL50" s="155" t="s">
        <v>103</v>
      </c>
      <c r="BM50" s="155" t="s">
        <v>103</v>
      </c>
      <c r="BN50" s="155" t="s">
        <v>103</v>
      </c>
      <c r="BO50" s="155" t="s">
        <v>103</v>
      </c>
      <c r="BP50" s="155" t="s">
        <v>103</v>
      </c>
      <c r="BQ50" s="155" t="s">
        <v>103</v>
      </c>
      <c r="BR50" s="155" t="s">
        <v>103</v>
      </c>
      <c r="BS50" s="155" t="s">
        <v>103</v>
      </c>
      <c r="BT50" s="155" t="s">
        <v>103</v>
      </c>
      <c r="BU50" s="155" t="s">
        <v>103</v>
      </c>
      <c r="BV50" s="155" t="s">
        <v>103</v>
      </c>
      <c r="BW50" s="155" t="s">
        <v>103</v>
      </c>
      <c r="BX50" s="155" t="s">
        <v>103</v>
      </c>
      <c r="BY50" s="155" t="s">
        <v>103</v>
      </c>
      <c r="BZ50" s="155" t="s">
        <v>103</v>
      </c>
      <c r="CA50" s="155" t="s">
        <v>103</v>
      </c>
      <c r="CB50" s="155" t="s">
        <v>103</v>
      </c>
      <c r="CC50" s="155" t="s">
        <v>103</v>
      </c>
      <c r="CD50" s="155" t="s">
        <v>103</v>
      </c>
      <c r="CE50" s="155" t="s">
        <v>103</v>
      </c>
    </row>
    <row r="51" spans="1:83" ht="16.350000000000001" customHeight="1">
      <c r="A51" s="503" t="s">
        <v>207</v>
      </c>
      <c r="B51" s="164" t="s">
        <v>103</v>
      </c>
      <c r="C51" s="155" t="s">
        <v>103</v>
      </c>
      <c r="D51" s="153" t="s">
        <v>103</v>
      </c>
      <c r="E51" s="153" t="s">
        <v>103</v>
      </c>
      <c r="F51" s="958" t="s">
        <v>103</v>
      </c>
      <c r="G51" s="153" t="s">
        <v>104</v>
      </c>
      <c r="H51" s="673">
        <v>0.28171021377672206</v>
      </c>
      <c r="I51" s="508" t="s">
        <v>103</v>
      </c>
      <c r="J51" s="958" t="s">
        <v>103</v>
      </c>
      <c r="K51" s="958" t="s">
        <v>103</v>
      </c>
      <c r="L51" s="155" t="s">
        <v>103</v>
      </c>
      <c r="M51" s="155" t="s">
        <v>103</v>
      </c>
      <c r="N51" s="156">
        <v>0</v>
      </c>
      <c r="O51" s="156" t="s">
        <v>103</v>
      </c>
      <c r="P51" s="156">
        <v>0</v>
      </c>
      <c r="Q51" s="958" t="s">
        <v>103</v>
      </c>
      <c r="R51" s="156">
        <v>0</v>
      </c>
      <c r="S51" s="156">
        <v>0</v>
      </c>
      <c r="T51" s="958" t="s">
        <v>105</v>
      </c>
      <c r="U51" s="153" t="s">
        <v>104</v>
      </c>
      <c r="V51" s="518" t="s">
        <v>103</v>
      </c>
      <c r="W51" s="991" t="s">
        <v>103</v>
      </c>
      <c r="X51" s="991" t="s">
        <v>103</v>
      </c>
      <c r="Y51" s="991" t="s">
        <v>103</v>
      </c>
      <c r="Z51" s="518" t="s">
        <v>103</v>
      </c>
      <c r="AA51" s="991" t="s">
        <v>103</v>
      </c>
      <c r="AB51" s="155" t="s">
        <v>103</v>
      </c>
      <c r="AC51" s="959" t="s">
        <v>103</v>
      </c>
      <c r="AD51" s="155" t="s">
        <v>103</v>
      </c>
      <c r="AE51" s="155" t="s">
        <v>103</v>
      </c>
      <c r="AF51" s="155" t="s">
        <v>103</v>
      </c>
      <c r="AG51" s="155" t="s">
        <v>103</v>
      </c>
      <c r="AH51" s="992" t="s">
        <v>103</v>
      </c>
      <c r="AI51" s="960" t="s">
        <v>103</v>
      </c>
      <c r="AJ51" s="992" t="s">
        <v>103</v>
      </c>
      <c r="AK51" s="155" t="s">
        <v>103</v>
      </c>
      <c r="AL51" s="993" t="s">
        <v>103</v>
      </c>
      <c r="AM51" s="155"/>
      <c r="AN51" s="155"/>
      <c r="AO51" s="994"/>
      <c r="AP51" s="94">
        <v>0</v>
      </c>
      <c r="AQ51" s="578">
        <v>0</v>
      </c>
      <c r="AR51" s="155" t="s">
        <v>103</v>
      </c>
      <c r="AS51" s="155" t="s">
        <v>103</v>
      </c>
      <c r="AT51" s="155" t="s">
        <v>103</v>
      </c>
      <c r="AU51" s="155" t="s">
        <v>103</v>
      </c>
      <c r="AV51" s="155" t="s">
        <v>103</v>
      </c>
      <c r="AW51" s="155" t="s">
        <v>103</v>
      </c>
      <c r="AX51" s="155" t="s">
        <v>103</v>
      </c>
      <c r="AY51" s="155" t="s">
        <v>103</v>
      </c>
      <c r="AZ51" s="155" t="s">
        <v>103</v>
      </c>
      <c r="BA51" s="155" t="s">
        <v>103</v>
      </c>
      <c r="BB51" s="155" t="s">
        <v>103</v>
      </c>
      <c r="BC51" s="155" t="s">
        <v>103</v>
      </c>
      <c r="BD51" s="155" t="s">
        <v>103</v>
      </c>
      <c r="BE51" s="989" t="s">
        <v>103</v>
      </c>
      <c r="BF51" s="155" t="s">
        <v>103</v>
      </c>
      <c r="BG51" s="961">
        <v>0</v>
      </c>
      <c r="BH51" s="155" t="s">
        <v>103</v>
      </c>
      <c r="BI51" s="990" t="s">
        <v>103</v>
      </c>
      <c r="BJ51" s="155" t="s">
        <v>103</v>
      </c>
      <c r="BK51" s="155" t="s">
        <v>103</v>
      </c>
      <c r="BL51" s="155" t="s">
        <v>103</v>
      </c>
      <c r="BM51" s="155" t="s">
        <v>103</v>
      </c>
      <c r="BN51" s="155" t="s">
        <v>103</v>
      </c>
      <c r="BO51" s="155" t="s">
        <v>103</v>
      </c>
      <c r="BP51" s="155" t="s">
        <v>103</v>
      </c>
      <c r="BQ51" s="155" t="s">
        <v>103</v>
      </c>
      <c r="BR51" s="155" t="s">
        <v>103</v>
      </c>
      <c r="BS51" s="155" t="s">
        <v>103</v>
      </c>
      <c r="BT51" s="155" t="s">
        <v>103</v>
      </c>
      <c r="BU51" s="155" t="s">
        <v>103</v>
      </c>
      <c r="BV51" s="155" t="s">
        <v>103</v>
      </c>
      <c r="BW51" s="155" t="s">
        <v>103</v>
      </c>
      <c r="BX51" s="155" t="s">
        <v>103</v>
      </c>
      <c r="BY51" s="155" t="s">
        <v>103</v>
      </c>
      <c r="BZ51" s="155" t="s">
        <v>103</v>
      </c>
      <c r="CA51" s="155" t="s">
        <v>103</v>
      </c>
      <c r="CB51" s="155" t="s">
        <v>103</v>
      </c>
      <c r="CC51" s="155" t="s">
        <v>103</v>
      </c>
      <c r="CD51" s="155" t="s">
        <v>103</v>
      </c>
      <c r="CE51" s="155" t="s">
        <v>103</v>
      </c>
    </row>
    <row r="52" spans="1:83" ht="27.6" customHeight="1">
      <c r="A52" s="503" t="s">
        <v>208</v>
      </c>
      <c r="B52" s="164" t="s">
        <v>209</v>
      </c>
      <c r="C52" s="155" t="s">
        <v>210</v>
      </c>
      <c r="D52" s="153">
        <v>17924</v>
      </c>
      <c r="E52" s="153">
        <v>90059</v>
      </c>
      <c r="F52" s="153">
        <v>6037541200</v>
      </c>
      <c r="G52" s="155" t="s">
        <v>104</v>
      </c>
      <c r="H52" s="674">
        <v>0.45302116063732167</v>
      </c>
      <c r="I52" s="508" t="s">
        <v>209</v>
      </c>
      <c r="J52" s="153" t="s">
        <v>117</v>
      </c>
      <c r="K52" s="156">
        <v>0</v>
      </c>
      <c r="L52" s="153">
        <v>17924</v>
      </c>
      <c r="M52" s="153" t="s">
        <v>104</v>
      </c>
      <c r="N52" s="156">
        <v>1</v>
      </c>
      <c r="P52" s="156">
        <v>0</v>
      </c>
      <c r="Q52" s="156" t="s">
        <v>139</v>
      </c>
      <c r="R52" s="156">
        <v>0</v>
      </c>
      <c r="S52" s="156">
        <v>1</v>
      </c>
      <c r="T52" s="958" t="s">
        <v>105</v>
      </c>
      <c r="U52" s="153" t="s">
        <v>104</v>
      </c>
      <c r="V52" s="590">
        <v>38390</v>
      </c>
      <c r="W52" s="149">
        <v>38306</v>
      </c>
      <c r="X52" s="149">
        <v>38943</v>
      </c>
      <c r="Y52" s="149">
        <v>39211</v>
      </c>
      <c r="Z52" s="149">
        <v>39211</v>
      </c>
      <c r="AA52" s="149">
        <v>38390</v>
      </c>
      <c r="AB52" s="763" t="s">
        <v>151</v>
      </c>
      <c r="AC52" s="594">
        <v>-60</v>
      </c>
      <c r="AD52" s="153" t="s">
        <v>103</v>
      </c>
      <c r="AE52" s="149" t="s">
        <v>103</v>
      </c>
      <c r="AF52" s="596">
        <v>70</v>
      </c>
      <c r="AG52" s="596">
        <v>137</v>
      </c>
      <c r="AH52" s="595">
        <v>28175.333333333332</v>
      </c>
      <c r="AI52" s="683">
        <v>1.9886363636363635</v>
      </c>
      <c r="AJ52" s="607">
        <v>10500</v>
      </c>
      <c r="AK52" s="153" t="s">
        <v>152</v>
      </c>
      <c r="AL52" s="791" t="s">
        <v>116</v>
      </c>
      <c r="AO52" s="963"/>
      <c r="AP52" s="519">
        <v>3400000</v>
      </c>
      <c r="AQ52" s="574">
        <v>5660935</v>
      </c>
      <c r="AR52" s="153" t="s">
        <v>116</v>
      </c>
      <c r="AS52" s="153" t="s">
        <v>116</v>
      </c>
      <c r="AT52" s="777" t="s">
        <v>122</v>
      </c>
      <c r="AU52" s="777" t="s">
        <v>122</v>
      </c>
      <c r="AV52" s="777" t="s">
        <v>122</v>
      </c>
      <c r="AW52" s="777" t="s">
        <v>122</v>
      </c>
      <c r="AX52" s="155" t="s">
        <v>103</v>
      </c>
      <c r="AY52" s="155" t="s">
        <v>103</v>
      </c>
      <c r="AZ52" s="155" t="s">
        <v>103</v>
      </c>
      <c r="BB52" s="574">
        <f>AQ52</f>
        <v>5660935</v>
      </c>
      <c r="BC52" s="780">
        <v>-2260935</v>
      </c>
      <c r="BD52" s="1090" t="s">
        <v>121</v>
      </c>
      <c r="BE52" s="679">
        <v>0</v>
      </c>
      <c r="BF52" s="153" t="s">
        <v>103</v>
      </c>
      <c r="BG52" s="94">
        <v>5660935</v>
      </c>
      <c r="BH52" s="766" t="s">
        <v>123</v>
      </c>
      <c r="BI52" s="774">
        <v>0</v>
      </c>
      <c r="BJ52" s="774">
        <v>0</v>
      </c>
      <c r="BK52" s="153" t="s">
        <v>103</v>
      </c>
      <c r="BL52" s="94" t="s">
        <v>124</v>
      </c>
      <c r="BM52" s="94" t="s">
        <v>124</v>
      </c>
      <c r="BN52" s="94" t="s">
        <v>124</v>
      </c>
      <c r="BO52" s="153" t="s">
        <v>116</v>
      </c>
      <c r="BP52" s="153" t="s">
        <v>124</v>
      </c>
      <c r="BQ52" s="153" t="s">
        <v>103</v>
      </c>
      <c r="BR52" s="153" t="s">
        <v>116</v>
      </c>
      <c r="BS52" s="153" t="s">
        <v>116</v>
      </c>
      <c r="BT52" s="153" t="s">
        <v>116</v>
      </c>
      <c r="BU52" s="153" t="s">
        <v>116</v>
      </c>
      <c r="BV52" s="153" t="s">
        <v>116</v>
      </c>
      <c r="BW52" s="153" t="s">
        <v>116</v>
      </c>
      <c r="BX52" s="153" t="s">
        <v>116</v>
      </c>
      <c r="BY52" s="153" t="s">
        <v>116</v>
      </c>
      <c r="BZ52" s="153" t="s">
        <v>116</v>
      </c>
      <c r="CA52" s="616" t="s">
        <v>116</v>
      </c>
      <c r="CB52" s="153" t="s">
        <v>116</v>
      </c>
      <c r="CC52" s="153" t="s">
        <v>116</v>
      </c>
      <c r="CD52" s="153" t="s">
        <v>116</v>
      </c>
      <c r="CE52" s="153" t="s">
        <v>116</v>
      </c>
    </row>
    <row r="53" spans="1:83" ht="14.1" customHeight="1">
      <c r="A53" s="503" t="s">
        <v>211</v>
      </c>
      <c r="B53" s="164" t="s">
        <v>103</v>
      </c>
      <c r="C53" s="155" t="s">
        <v>103</v>
      </c>
      <c r="D53" s="153" t="s">
        <v>103</v>
      </c>
      <c r="E53" s="153" t="s">
        <v>103</v>
      </c>
      <c r="F53" s="958" t="s">
        <v>103</v>
      </c>
      <c r="G53" s="153" t="s">
        <v>104</v>
      </c>
      <c r="H53" s="673">
        <v>0.23435535689342088</v>
      </c>
      <c r="I53" s="508" t="s">
        <v>103</v>
      </c>
      <c r="J53" s="958" t="s">
        <v>103</v>
      </c>
      <c r="K53" s="958" t="s">
        <v>103</v>
      </c>
      <c r="L53" s="155" t="s">
        <v>103</v>
      </c>
      <c r="M53" s="155" t="s">
        <v>103</v>
      </c>
      <c r="N53" s="156">
        <v>0</v>
      </c>
      <c r="O53" s="156" t="s">
        <v>103</v>
      </c>
      <c r="P53" s="156">
        <v>0</v>
      </c>
      <c r="Q53" s="958" t="s">
        <v>103</v>
      </c>
      <c r="R53" s="156">
        <v>0</v>
      </c>
      <c r="S53" s="156">
        <v>0</v>
      </c>
      <c r="T53" s="958" t="s">
        <v>105</v>
      </c>
      <c r="U53" s="153" t="s">
        <v>104</v>
      </c>
      <c r="V53" s="518" t="s">
        <v>103</v>
      </c>
      <c r="W53" s="991" t="s">
        <v>103</v>
      </c>
      <c r="X53" s="991" t="s">
        <v>103</v>
      </c>
      <c r="Y53" s="991" t="s">
        <v>103</v>
      </c>
      <c r="Z53" s="518" t="s">
        <v>103</v>
      </c>
      <c r="AA53" s="991" t="s">
        <v>103</v>
      </c>
      <c r="AB53" s="155" t="s">
        <v>103</v>
      </c>
      <c r="AC53" s="959" t="s">
        <v>103</v>
      </c>
      <c r="AD53" s="155" t="s">
        <v>103</v>
      </c>
      <c r="AE53" s="155" t="s">
        <v>103</v>
      </c>
      <c r="AF53" s="155" t="s">
        <v>103</v>
      </c>
      <c r="AG53" s="155" t="s">
        <v>103</v>
      </c>
      <c r="AH53" s="992" t="s">
        <v>103</v>
      </c>
      <c r="AI53" s="960" t="s">
        <v>103</v>
      </c>
      <c r="AJ53" s="992" t="s">
        <v>103</v>
      </c>
      <c r="AK53" s="155" t="s">
        <v>103</v>
      </c>
      <c r="AL53" s="993" t="s">
        <v>103</v>
      </c>
      <c r="AM53" s="155"/>
      <c r="AN53" s="155"/>
      <c r="AO53" s="994"/>
      <c r="AP53" s="94">
        <v>0</v>
      </c>
      <c r="AQ53" s="578">
        <v>0</v>
      </c>
      <c r="AR53" s="155" t="s">
        <v>103</v>
      </c>
      <c r="AS53" s="155" t="s">
        <v>103</v>
      </c>
      <c r="AT53" s="155" t="s">
        <v>103</v>
      </c>
      <c r="AU53" s="155" t="s">
        <v>103</v>
      </c>
      <c r="AV53" s="155" t="s">
        <v>103</v>
      </c>
      <c r="AW53" s="155" t="s">
        <v>103</v>
      </c>
      <c r="AX53" s="155" t="s">
        <v>103</v>
      </c>
      <c r="AY53" s="155" t="s">
        <v>103</v>
      </c>
      <c r="AZ53" s="155" t="s">
        <v>103</v>
      </c>
      <c r="BA53" s="155" t="s">
        <v>103</v>
      </c>
      <c r="BB53" s="155" t="s">
        <v>103</v>
      </c>
      <c r="BC53" s="155" t="s">
        <v>103</v>
      </c>
      <c r="BD53" s="155" t="s">
        <v>103</v>
      </c>
      <c r="BE53" s="989" t="s">
        <v>103</v>
      </c>
      <c r="BF53" s="155" t="s">
        <v>103</v>
      </c>
      <c r="BG53" s="961">
        <v>0</v>
      </c>
      <c r="BH53" s="155" t="s">
        <v>103</v>
      </c>
      <c r="BI53" s="990" t="s">
        <v>103</v>
      </c>
      <c r="BJ53" s="155" t="s">
        <v>103</v>
      </c>
      <c r="BK53" s="155" t="s">
        <v>103</v>
      </c>
      <c r="BL53" s="155" t="s">
        <v>103</v>
      </c>
      <c r="BM53" s="155" t="s">
        <v>103</v>
      </c>
      <c r="BN53" s="155" t="s">
        <v>103</v>
      </c>
      <c r="BO53" s="155" t="s">
        <v>103</v>
      </c>
      <c r="BP53" s="155" t="s">
        <v>103</v>
      </c>
      <c r="BQ53" s="155" t="s">
        <v>103</v>
      </c>
      <c r="BR53" s="155" t="s">
        <v>103</v>
      </c>
      <c r="BS53" s="155" t="s">
        <v>103</v>
      </c>
      <c r="BT53" s="155" t="s">
        <v>103</v>
      </c>
      <c r="BU53" s="155" t="s">
        <v>103</v>
      </c>
      <c r="BV53" s="155" t="s">
        <v>103</v>
      </c>
      <c r="BW53" s="155" t="s">
        <v>103</v>
      </c>
      <c r="BX53" s="155" t="s">
        <v>103</v>
      </c>
      <c r="BY53" s="155" t="s">
        <v>103</v>
      </c>
      <c r="BZ53" s="155" t="s">
        <v>103</v>
      </c>
      <c r="CA53" s="155" t="s">
        <v>103</v>
      </c>
      <c r="CB53" s="155" t="s">
        <v>103</v>
      </c>
      <c r="CC53" s="155" t="s">
        <v>103</v>
      </c>
      <c r="CD53" s="155" t="s">
        <v>103</v>
      </c>
      <c r="CE53" s="155" t="s">
        <v>103</v>
      </c>
    </row>
    <row r="54" spans="1:83" ht="12" customHeight="1">
      <c r="A54" s="503" t="s">
        <v>212</v>
      </c>
      <c r="B54" s="164" t="s">
        <v>213</v>
      </c>
      <c r="C54" s="155" t="s">
        <v>214</v>
      </c>
      <c r="D54" s="153" t="s">
        <v>215</v>
      </c>
      <c r="E54" s="153">
        <v>90201</v>
      </c>
      <c r="F54" s="153">
        <v>6037534301</v>
      </c>
      <c r="G54" s="155" t="s">
        <v>216</v>
      </c>
      <c r="H54" s="674">
        <v>0.48940609951845909</v>
      </c>
      <c r="I54" s="508" t="s">
        <v>213</v>
      </c>
      <c r="J54" s="153" t="s">
        <v>117</v>
      </c>
      <c r="K54" s="572" t="s">
        <v>217</v>
      </c>
      <c r="L54" s="153" t="s">
        <v>215</v>
      </c>
      <c r="M54" s="153" t="s">
        <v>110</v>
      </c>
      <c r="N54" s="156">
        <v>1</v>
      </c>
      <c r="P54" s="156">
        <v>0</v>
      </c>
      <c r="Q54" s="989" t="s">
        <v>131</v>
      </c>
      <c r="R54" s="156">
        <v>0</v>
      </c>
      <c r="S54" s="156">
        <v>0</v>
      </c>
      <c r="T54" s="958" t="s">
        <v>105</v>
      </c>
      <c r="U54" s="153" t="s">
        <v>104</v>
      </c>
      <c r="V54" s="149">
        <v>38174</v>
      </c>
      <c r="W54" s="149">
        <v>41848</v>
      </c>
      <c r="X54" s="149">
        <v>43535</v>
      </c>
      <c r="Y54" s="149">
        <v>43808</v>
      </c>
      <c r="Z54" s="149" t="s">
        <v>103</v>
      </c>
      <c r="AA54" s="149">
        <v>38174</v>
      </c>
      <c r="AB54" s="153" t="s">
        <v>103</v>
      </c>
      <c r="AC54" s="594">
        <f t="shared" ref="AC54:AC55" si="3">W54-V54</f>
        <v>3674</v>
      </c>
      <c r="AD54" s="149" t="s">
        <v>116</v>
      </c>
      <c r="AE54" s="149" t="s">
        <v>103</v>
      </c>
      <c r="AF54" s="153" t="s">
        <v>103</v>
      </c>
      <c r="AG54" s="153" t="s">
        <v>103</v>
      </c>
      <c r="AH54" s="596" t="s">
        <v>103</v>
      </c>
      <c r="AI54" s="960" t="s">
        <v>103</v>
      </c>
      <c r="AJ54" s="607">
        <v>3960</v>
      </c>
      <c r="AK54" s="153" t="s">
        <v>152</v>
      </c>
      <c r="AL54" s="791" t="s">
        <v>110</v>
      </c>
      <c r="AO54" s="963"/>
      <c r="AP54" s="94">
        <v>1700000</v>
      </c>
      <c r="AQ54" s="574">
        <v>0</v>
      </c>
      <c r="AR54" s="153" t="s">
        <v>116</v>
      </c>
      <c r="AS54" s="153" t="s">
        <v>116</v>
      </c>
      <c r="AT54" s="777" t="s">
        <v>122</v>
      </c>
      <c r="AU54" s="777" t="s">
        <v>122</v>
      </c>
      <c r="AV54" s="777" t="s">
        <v>122</v>
      </c>
      <c r="AW54" s="777" t="s">
        <v>122</v>
      </c>
      <c r="AX54" s="155" t="s">
        <v>103</v>
      </c>
      <c r="AY54" s="155" t="s">
        <v>103</v>
      </c>
      <c r="AZ54" s="155" t="s">
        <v>103</v>
      </c>
      <c r="BA54" s="156">
        <v>0</v>
      </c>
      <c r="BB54" s="153"/>
      <c r="BC54" s="780" t="s">
        <v>103</v>
      </c>
      <c r="BD54" s="153" t="s">
        <v>103</v>
      </c>
      <c r="BE54" s="679" t="s">
        <v>103</v>
      </c>
      <c r="BF54" s="156" t="s">
        <v>103</v>
      </c>
      <c r="BG54" s="94">
        <v>258265.85</v>
      </c>
      <c r="BH54" s="766" t="s">
        <v>123</v>
      </c>
      <c r="BI54" s="774">
        <v>0</v>
      </c>
      <c r="BJ54" s="774">
        <v>0</v>
      </c>
      <c r="BK54" s="153" t="s">
        <v>103</v>
      </c>
      <c r="BL54" s="94" t="s">
        <v>124</v>
      </c>
      <c r="BM54" s="94" t="s">
        <v>124</v>
      </c>
      <c r="BN54" s="94" t="s">
        <v>124</v>
      </c>
      <c r="BO54" s="153" t="s">
        <v>116</v>
      </c>
      <c r="BP54" s="153" t="s">
        <v>124</v>
      </c>
      <c r="BQ54" s="153" t="s">
        <v>103</v>
      </c>
      <c r="BR54" s="153" t="s">
        <v>110</v>
      </c>
      <c r="BS54" s="153" t="s">
        <v>104</v>
      </c>
      <c r="BT54" s="153" t="s">
        <v>103</v>
      </c>
      <c r="BU54" s="153" t="s">
        <v>104</v>
      </c>
      <c r="BV54" s="153" t="s">
        <v>104</v>
      </c>
      <c r="BW54" s="153" t="s">
        <v>104</v>
      </c>
      <c r="BX54" s="153" t="s">
        <v>104</v>
      </c>
      <c r="BY54" s="153" t="s">
        <v>104</v>
      </c>
      <c r="BZ54" s="153" t="s">
        <v>110</v>
      </c>
      <c r="CA54" s="616" t="s">
        <v>103</v>
      </c>
      <c r="CB54" s="153" t="s">
        <v>103</v>
      </c>
      <c r="CC54" s="153" t="s">
        <v>110</v>
      </c>
      <c r="CD54" s="153" t="s">
        <v>103</v>
      </c>
      <c r="CE54" s="153" t="s">
        <v>103</v>
      </c>
    </row>
    <row r="55" spans="1:83" ht="13.35" customHeight="1">
      <c r="A55" s="505" t="s">
        <v>218</v>
      </c>
      <c r="B55" s="164" t="s">
        <v>219</v>
      </c>
      <c r="C55" s="155" t="s">
        <v>220</v>
      </c>
      <c r="D55" s="153" t="s">
        <v>221</v>
      </c>
      <c r="E55" s="153">
        <v>90232</v>
      </c>
      <c r="F55" s="153">
        <v>6037702801</v>
      </c>
      <c r="G55" s="155" t="s">
        <v>110</v>
      </c>
      <c r="H55" s="674">
        <v>8.2882178936205836E-2</v>
      </c>
      <c r="I55" s="508" t="s">
        <v>219</v>
      </c>
      <c r="J55" s="153" t="s">
        <v>117</v>
      </c>
      <c r="K55" s="572" t="s">
        <v>222</v>
      </c>
      <c r="L55" s="153" t="s">
        <v>221</v>
      </c>
      <c r="M55" s="153" t="s">
        <v>110</v>
      </c>
      <c r="N55" s="156">
        <v>2</v>
      </c>
      <c r="P55" s="156">
        <v>0</v>
      </c>
      <c r="Q55" s="989" t="s">
        <v>131</v>
      </c>
      <c r="R55" s="156">
        <v>0</v>
      </c>
      <c r="S55" s="156">
        <v>1</v>
      </c>
      <c r="T55" s="958" t="s">
        <v>105</v>
      </c>
      <c r="U55" s="153" t="s">
        <v>110</v>
      </c>
      <c r="V55" s="149">
        <v>42058</v>
      </c>
      <c r="W55" s="149">
        <v>42689</v>
      </c>
      <c r="X55" s="149">
        <v>43602</v>
      </c>
      <c r="Y55" s="149">
        <v>43904</v>
      </c>
      <c r="Z55" s="149" t="s">
        <v>103</v>
      </c>
      <c r="AA55" s="149">
        <v>42058</v>
      </c>
      <c r="AB55" s="153" t="s">
        <v>103</v>
      </c>
      <c r="AC55" s="594">
        <f t="shared" si="3"/>
        <v>631</v>
      </c>
      <c r="AD55" s="149">
        <v>43904</v>
      </c>
      <c r="AE55" s="149" t="s">
        <v>103</v>
      </c>
      <c r="AF55" s="153" t="s">
        <v>103</v>
      </c>
      <c r="AG55" s="153" t="s">
        <v>103</v>
      </c>
      <c r="AH55" s="596" t="s">
        <v>103</v>
      </c>
      <c r="AI55" s="960" t="s">
        <v>103</v>
      </c>
      <c r="AJ55" s="607">
        <v>2030</v>
      </c>
      <c r="AK55" s="153" t="s">
        <v>120</v>
      </c>
      <c r="AL55" s="791" t="s">
        <v>103</v>
      </c>
      <c r="AO55" s="963"/>
      <c r="AP55" s="94">
        <v>1500000</v>
      </c>
      <c r="AQ55" s="574">
        <v>0</v>
      </c>
      <c r="AR55" s="153" t="s">
        <v>116</v>
      </c>
      <c r="AS55" s="153" t="s">
        <v>116</v>
      </c>
      <c r="AT55" s="777" t="s">
        <v>122</v>
      </c>
      <c r="AU55" s="777" t="s">
        <v>122</v>
      </c>
      <c r="AV55" s="777" t="s">
        <v>122</v>
      </c>
      <c r="AW55" s="777" t="s">
        <v>122</v>
      </c>
      <c r="AX55" s="155" t="s">
        <v>103</v>
      </c>
      <c r="AY55" s="155" t="s">
        <v>103</v>
      </c>
      <c r="AZ55" s="155" t="s">
        <v>103</v>
      </c>
      <c r="BA55" s="156">
        <v>0</v>
      </c>
      <c r="BB55" s="153"/>
      <c r="BC55" s="780" t="s">
        <v>103</v>
      </c>
      <c r="BD55" s="153" t="s">
        <v>103</v>
      </c>
      <c r="BE55" s="679" t="s">
        <v>103</v>
      </c>
      <c r="BF55" s="156" t="s">
        <v>103</v>
      </c>
      <c r="BG55" s="94">
        <v>73337.55</v>
      </c>
      <c r="BH55" s="766">
        <v>742100.01521899179</v>
      </c>
      <c r="BI55" s="774">
        <v>0</v>
      </c>
      <c r="BJ55" s="774">
        <v>0</v>
      </c>
      <c r="BK55" s="153" t="s">
        <v>103</v>
      </c>
      <c r="BL55" s="153" t="s">
        <v>124</v>
      </c>
      <c r="BM55" s="94" t="s">
        <v>103</v>
      </c>
      <c r="BN55" s="155" t="s">
        <v>103</v>
      </c>
      <c r="BO55" s="153" t="s">
        <v>103</v>
      </c>
      <c r="BP55" s="153" t="s">
        <v>103</v>
      </c>
      <c r="BQ55" s="153" t="s">
        <v>103</v>
      </c>
      <c r="BR55" s="153" t="s">
        <v>104</v>
      </c>
      <c r="BS55" s="153" t="s">
        <v>104</v>
      </c>
      <c r="BT55" s="153" t="s">
        <v>103</v>
      </c>
      <c r="BU55" s="153" t="s">
        <v>104</v>
      </c>
      <c r="BV55" s="153" t="s">
        <v>110</v>
      </c>
      <c r="BW55" s="153" t="s">
        <v>104</v>
      </c>
      <c r="BX55" s="153" t="s">
        <v>104</v>
      </c>
      <c r="BY55" s="153" t="s">
        <v>104</v>
      </c>
      <c r="BZ55" s="153" t="s">
        <v>110</v>
      </c>
      <c r="CA55" s="616" t="s">
        <v>103</v>
      </c>
      <c r="CB55" s="153" t="s">
        <v>103</v>
      </c>
      <c r="CC55" s="153" t="s">
        <v>110</v>
      </c>
      <c r="CD55" s="153" t="s">
        <v>103</v>
      </c>
      <c r="CE55" s="153" t="s">
        <v>103</v>
      </c>
    </row>
    <row r="56" spans="1:83" ht="11.45" customHeight="1">
      <c r="A56" s="505"/>
      <c r="B56" s="164" t="s">
        <v>223</v>
      </c>
      <c r="C56" s="155">
        <v>800060266</v>
      </c>
      <c r="D56" s="153" t="s">
        <v>224</v>
      </c>
      <c r="E56" s="153">
        <v>90232</v>
      </c>
      <c r="G56" s="153" t="s">
        <v>110</v>
      </c>
      <c r="H56" s="153" t="s">
        <v>150</v>
      </c>
      <c r="I56" s="508" t="s">
        <v>223</v>
      </c>
      <c r="J56" s="153" t="s">
        <v>117</v>
      </c>
      <c r="K56" s="572" t="s">
        <v>217</v>
      </c>
      <c r="L56" s="153" t="s">
        <v>224</v>
      </c>
      <c r="M56" s="153" t="s">
        <v>104</v>
      </c>
      <c r="Q56" s="156" t="s">
        <v>139</v>
      </c>
      <c r="V56" s="149">
        <v>39090</v>
      </c>
      <c r="W56" s="149">
        <v>39111</v>
      </c>
      <c r="X56" s="149">
        <v>39860</v>
      </c>
      <c r="Y56" s="149">
        <v>40317</v>
      </c>
      <c r="Z56" s="149">
        <v>40317</v>
      </c>
      <c r="AA56" s="149">
        <v>39090</v>
      </c>
      <c r="AB56" s="763" t="s">
        <v>121</v>
      </c>
      <c r="AC56" s="594">
        <v>15</v>
      </c>
      <c r="AD56" s="153" t="s">
        <v>103</v>
      </c>
      <c r="AE56" s="149" t="s">
        <v>103</v>
      </c>
      <c r="AF56" s="596">
        <v>12</v>
      </c>
      <c r="AG56" s="596">
        <v>0</v>
      </c>
      <c r="AH56" s="595">
        <v>1460</v>
      </c>
      <c r="AI56" s="614">
        <v>0.27651515151515149</v>
      </c>
      <c r="AJ56" s="607">
        <v>7730</v>
      </c>
      <c r="AK56" s="153" t="s">
        <v>120</v>
      </c>
      <c r="AL56" s="791" t="s">
        <v>116</v>
      </c>
      <c r="AO56" s="963"/>
      <c r="AP56" s="519">
        <v>2055600</v>
      </c>
      <c r="AQ56" s="574">
        <v>1920221</v>
      </c>
      <c r="AR56" s="153" t="s">
        <v>116</v>
      </c>
      <c r="AS56" s="153" t="s">
        <v>116</v>
      </c>
      <c r="AT56" s="777" t="s">
        <v>122</v>
      </c>
      <c r="AU56" s="777" t="s">
        <v>122</v>
      </c>
      <c r="AV56" s="777" t="s">
        <v>122</v>
      </c>
      <c r="AW56" s="777" t="s">
        <v>122</v>
      </c>
      <c r="AX56" s="155" t="s">
        <v>103</v>
      </c>
      <c r="AY56" s="155" t="s">
        <v>103</v>
      </c>
      <c r="AZ56" s="155" t="s">
        <v>103</v>
      </c>
      <c r="BB56" s="574">
        <f>AQ56</f>
        <v>1920221</v>
      </c>
      <c r="BC56" s="780">
        <v>135379</v>
      </c>
      <c r="BD56" s="1008" t="s">
        <v>121</v>
      </c>
      <c r="BE56" s="679">
        <v>2657</v>
      </c>
      <c r="BF56" s="153">
        <v>2011</v>
      </c>
      <c r="BG56" s="94">
        <v>1920221</v>
      </c>
      <c r="BH56" s="766">
        <v>1227077</v>
      </c>
      <c r="BI56" s="774">
        <v>828523</v>
      </c>
      <c r="BJ56" s="774">
        <v>0</v>
      </c>
      <c r="BK56" s="153" t="s">
        <v>103</v>
      </c>
      <c r="BL56" s="153" t="s">
        <v>124</v>
      </c>
      <c r="BM56" s="94" t="s">
        <v>103</v>
      </c>
      <c r="BN56" s="155" t="s">
        <v>103</v>
      </c>
      <c r="BO56" s="153" t="s">
        <v>103</v>
      </c>
      <c r="BP56" s="153" t="s">
        <v>103</v>
      </c>
      <c r="BQ56" s="153" t="s">
        <v>103</v>
      </c>
      <c r="BR56" s="153" t="s">
        <v>116</v>
      </c>
      <c r="BS56" s="153" t="s">
        <v>116</v>
      </c>
      <c r="BT56" s="153" t="s">
        <v>116</v>
      </c>
      <c r="BU56" s="153" t="s">
        <v>116</v>
      </c>
      <c r="BV56" s="153" t="s">
        <v>116</v>
      </c>
      <c r="BW56" s="153" t="s">
        <v>116</v>
      </c>
      <c r="BX56" s="153" t="s">
        <v>116</v>
      </c>
      <c r="BY56" s="153" t="s">
        <v>116</v>
      </c>
      <c r="BZ56" s="153" t="s">
        <v>116</v>
      </c>
      <c r="CA56" s="616" t="s">
        <v>116</v>
      </c>
      <c r="CB56" s="153" t="s">
        <v>116</v>
      </c>
      <c r="CC56" s="153" t="s">
        <v>116</v>
      </c>
      <c r="CD56" s="153" t="s">
        <v>116</v>
      </c>
      <c r="CE56" s="153" t="s">
        <v>116</v>
      </c>
    </row>
    <row r="57" spans="1:83" ht="11.45" customHeight="1">
      <c r="A57" s="505"/>
      <c r="B57" s="164" t="s">
        <v>225</v>
      </c>
      <c r="C57" s="155" t="s">
        <v>103</v>
      </c>
      <c r="D57" s="153" t="s">
        <v>103</v>
      </c>
      <c r="E57" s="153">
        <v>90066</v>
      </c>
      <c r="G57" s="153" t="s">
        <v>110</v>
      </c>
      <c r="H57" s="153" t="s">
        <v>150</v>
      </c>
      <c r="I57" s="508" t="s">
        <v>225</v>
      </c>
      <c r="J57" s="153" t="s">
        <v>117</v>
      </c>
      <c r="K57" s="572" t="s">
        <v>178</v>
      </c>
      <c r="L57" s="153" t="s">
        <v>103</v>
      </c>
      <c r="M57" s="153" t="s">
        <v>110</v>
      </c>
      <c r="Q57" s="156"/>
      <c r="V57" s="149" t="s">
        <v>103</v>
      </c>
      <c r="W57" s="149" t="s">
        <v>103</v>
      </c>
      <c r="X57" s="149" t="s">
        <v>103</v>
      </c>
      <c r="Y57" s="149" t="s">
        <v>103</v>
      </c>
      <c r="Z57" s="149" t="s">
        <v>103</v>
      </c>
      <c r="AA57" s="149" t="s">
        <v>103</v>
      </c>
      <c r="AB57" s="153" t="s">
        <v>103</v>
      </c>
      <c r="AC57" s="594" t="s">
        <v>103</v>
      </c>
      <c r="AD57" s="153" t="s">
        <v>103</v>
      </c>
      <c r="AE57" s="149" t="s">
        <v>103</v>
      </c>
      <c r="AF57" s="153" t="s">
        <v>103</v>
      </c>
      <c r="AG57" s="153" t="s">
        <v>103</v>
      </c>
      <c r="AH57" s="596" t="s">
        <v>103</v>
      </c>
      <c r="AI57" s="960" t="s">
        <v>103</v>
      </c>
      <c r="AJ57" s="607">
        <v>575</v>
      </c>
      <c r="AK57" s="153" t="s">
        <v>120</v>
      </c>
      <c r="AL57" s="791" t="s">
        <v>103</v>
      </c>
      <c r="AO57" s="963"/>
      <c r="AP57" s="519">
        <v>500000</v>
      </c>
      <c r="AQ57" s="580">
        <v>0</v>
      </c>
      <c r="AR57" s="153" t="s">
        <v>116</v>
      </c>
      <c r="AS57" s="153" t="s">
        <v>116</v>
      </c>
      <c r="AT57" s="777" t="s">
        <v>122</v>
      </c>
      <c r="AU57" s="777" t="s">
        <v>122</v>
      </c>
      <c r="AV57" s="777" t="s">
        <v>122</v>
      </c>
      <c r="AW57" s="777" t="s">
        <v>122</v>
      </c>
      <c r="AX57" s="155" t="s">
        <v>103</v>
      </c>
      <c r="AY57" s="155" t="s">
        <v>103</v>
      </c>
      <c r="AZ57" s="155" t="s">
        <v>103</v>
      </c>
      <c r="BB57" s="153"/>
      <c r="BC57" s="780" t="s">
        <v>103</v>
      </c>
      <c r="BD57" s="153" t="s">
        <v>103</v>
      </c>
      <c r="BE57" s="679" t="s">
        <v>103</v>
      </c>
      <c r="BF57" s="153" t="s">
        <v>103</v>
      </c>
      <c r="BG57" s="519">
        <v>0</v>
      </c>
      <c r="BH57" s="149" t="s">
        <v>103</v>
      </c>
      <c r="BI57" s="774" t="s">
        <v>103</v>
      </c>
      <c r="BJ57" s="149" t="s">
        <v>103</v>
      </c>
      <c r="BK57" s="149" t="s">
        <v>103</v>
      </c>
      <c r="BL57" s="153" t="s">
        <v>124</v>
      </c>
      <c r="BM57" s="519" t="s">
        <v>103</v>
      </c>
      <c r="BN57" s="155" t="s">
        <v>103</v>
      </c>
      <c r="BO57" s="153" t="s">
        <v>103</v>
      </c>
      <c r="BP57" s="153" t="s">
        <v>103</v>
      </c>
      <c r="BQ57" s="153" t="s">
        <v>103</v>
      </c>
      <c r="BR57" s="153" t="s">
        <v>103</v>
      </c>
      <c r="BS57" s="153" t="s">
        <v>103</v>
      </c>
      <c r="BT57" s="153" t="s">
        <v>103</v>
      </c>
      <c r="BU57" s="153" t="s">
        <v>103</v>
      </c>
      <c r="BV57" s="153" t="s">
        <v>103</v>
      </c>
      <c r="BW57" s="153" t="s">
        <v>103</v>
      </c>
      <c r="BX57" s="153" t="s">
        <v>103</v>
      </c>
      <c r="BY57" s="153" t="s">
        <v>103</v>
      </c>
      <c r="BZ57" s="153" t="s">
        <v>103</v>
      </c>
      <c r="CA57" s="616" t="s">
        <v>103</v>
      </c>
      <c r="CB57" s="153" t="s">
        <v>103</v>
      </c>
      <c r="CC57" s="153" t="s">
        <v>103</v>
      </c>
      <c r="CD57" s="153" t="s">
        <v>103</v>
      </c>
      <c r="CE57" s="153" t="s">
        <v>103</v>
      </c>
    </row>
    <row r="58" spans="1:83" ht="17.100000000000001" customHeight="1">
      <c r="A58" s="503" t="s">
        <v>226</v>
      </c>
      <c r="B58" s="164" t="s">
        <v>103</v>
      </c>
      <c r="C58" s="155" t="s">
        <v>103</v>
      </c>
      <c r="D58" s="153" t="s">
        <v>103</v>
      </c>
      <c r="E58" s="153" t="s">
        <v>103</v>
      </c>
      <c r="F58" s="958" t="s">
        <v>103</v>
      </c>
      <c r="G58" s="153" t="s">
        <v>110</v>
      </c>
      <c r="H58" s="673">
        <v>0.13382077877911919</v>
      </c>
      <c r="I58" s="508" t="s">
        <v>103</v>
      </c>
      <c r="J58" s="958" t="s">
        <v>103</v>
      </c>
      <c r="K58" s="958" t="s">
        <v>103</v>
      </c>
      <c r="L58" s="155" t="s">
        <v>103</v>
      </c>
      <c r="M58" s="155" t="s">
        <v>103</v>
      </c>
      <c r="N58" s="156">
        <v>0</v>
      </c>
      <c r="O58" s="156" t="s">
        <v>103</v>
      </c>
      <c r="P58" s="156">
        <v>0</v>
      </c>
      <c r="Q58" s="958" t="s">
        <v>103</v>
      </c>
      <c r="R58" s="156">
        <v>0</v>
      </c>
      <c r="S58" s="156">
        <v>0</v>
      </c>
      <c r="T58" s="958" t="s">
        <v>105</v>
      </c>
      <c r="U58" s="153" t="s">
        <v>110</v>
      </c>
      <c r="V58" s="518" t="s">
        <v>103</v>
      </c>
      <c r="W58" s="991" t="s">
        <v>103</v>
      </c>
      <c r="X58" s="991" t="s">
        <v>103</v>
      </c>
      <c r="Y58" s="991" t="s">
        <v>103</v>
      </c>
      <c r="Z58" s="518" t="s">
        <v>103</v>
      </c>
      <c r="AA58" s="991" t="s">
        <v>103</v>
      </c>
      <c r="AB58" s="155" t="s">
        <v>103</v>
      </c>
      <c r="AC58" s="959" t="s">
        <v>103</v>
      </c>
      <c r="AD58" s="155" t="s">
        <v>103</v>
      </c>
      <c r="AE58" s="155" t="s">
        <v>103</v>
      </c>
      <c r="AF58" s="155" t="s">
        <v>103</v>
      </c>
      <c r="AG58" s="155" t="s">
        <v>103</v>
      </c>
      <c r="AH58" s="992" t="s">
        <v>103</v>
      </c>
      <c r="AI58" s="960" t="s">
        <v>103</v>
      </c>
      <c r="AJ58" s="992" t="s">
        <v>103</v>
      </c>
      <c r="AK58" s="155" t="s">
        <v>103</v>
      </c>
      <c r="AL58" s="993" t="s">
        <v>103</v>
      </c>
      <c r="AM58" s="155"/>
      <c r="AN58" s="155"/>
      <c r="AO58" s="994"/>
      <c r="AP58" s="94">
        <v>0</v>
      </c>
      <c r="AQ58" s="578">
        <v>0</v>
      </c>
      <c r="AR58" s="155" t="s">
        <v>103</v>
      </c>
      <c r="AS58" s="155" t="s">
        <v>103</v>
      </c>
      <c r="AT58" s="155" t="s">
        <v>103</v>
      </c>
      <c r="AU58" s="155" t="s">
        <v>103</v>
      </c>
      <c r="AV58" s="155" t="s">
        <v>103</v>
      </c>
      <c r="AW58" s="155" t="s">
        <v>103</v>
      </c>
      <c r="AX58" s="155" t="s">
        <v>103</v>
      </c>
      <c r="AY58" s="155" t="s">
        <v>103</v>
      </c>
      <c r="AZ58" s="155" t="s">
        <v>103</v>
      </c>
      <c r="BA58" s="155" t="s">
        <v>103</v>
      </c>
      <c r="BB58" s="155" t="s">
        <v>103</v>
      </c>
      <c r="BC58" s="155" t="s">
        <v>103</v>
      </c>
      <c r="BD58" s="155" t="s">
        <v>103</v>
      </c>
      <c r="BE58" s="989" t="s">
        <v>103</v>
      </c>
      <c r="BF58" s="155" t="s">
        <v>103</v>
      </c>
      <c r="BG58" s="961">
        <v>0</v>
      </c>
      <c r="BH58" s="155" t="s">
        <v>103</v>
      </c>
      <c r="BI58" s="990" t="s">
        <v>103</v>
      </c>
      <c r="BJ58" s="155" t="s">
        <v>103</v>
      </c>
      <c r="BK58" s="155" t="s">
        <v>103</v>
      </c>
      <c r="BL58" s="155" t="s">
        <v>103</v>
      </c>
      <c r="BM58" s="155" t="s">
        <v>103</v>
      </c>
      <c r="BN58" s="155" t="s">
        <v>103</v>
      </c>
      <c r="BO58" s="155" t="s">
        <v>103</v>
      </c>
      <c r="BP58" s="155" t="s">
        <v>103</v>
      </c>
      <c r="BQ58" s="155" t="s">
        <v>103</v>
      </c>
      <c r="BR58" s="155" t="s">
        <v>103</v>
      </c>
      <c r="BS58" s="155" t="s">
        <v>103</v>
      </c>
      <c r="BT58" s="155" t="s">
        <v>103</v>
      </c>
      <c r="BU58" s="155" t="s">
        <v>103</v>
      </c>
      <c r="BV58" s="155" t="s">
        <v>103</v>
      </c>
      <c r="BW58" s="155" t="s">
        <v>103</v>
      </c>
      <c r="BX58" s="155" t="s">
        <v>103</v>
      </c>
      <c r="BY58" s="155" t="s">
        <v>103</v>
      </c>
      <c r="BZ58" s="155" t="s">
        <v>103</v>
      </c>
      <c r="CA58" s="155" t="s">
        <v>103</v>
      </c>
      <c r="CB58" s="155" t="s">
        <v>103</v>
      </c>
      <c r="CC58" s="155" t="s">
        <v>103</v>
      </c>
      <c r="CD58" s="155" t="s">
        <v>103</v>
      </c>
      <c r="CE58" s="155" t="s">
        <v>103</v>
      </c>
    </row>
    <row r="59" spans="1:83" ht="12" customHeight="1">
      <c r="A59" s="503" t="s">
        <v>227</v>
      </c>
      <c r="B59" s="164" t="s">
        <v>228</v>
      </c>
      <c r="C59" s="155" t="s">
        <v>229</v>
      </c>
      <c r="D59" s="153" t="s">
        <v>230</v>
      </c>
      <c r="E59" s="153">
        <v>90241</v>
      </c>
      <c r="F59" s="153">
        <v>6037550901</v>
      </c>
      <c r="G59" s="155" t="s">
        <v>110</v>
      </c>
      <c r="H59" s="674">
        <v>0.26643089472869019</v>
      </c>
      <c r="I59" s="508" t="s">
        <v>228</v>
      </c>
      <c r="J59" s="153" t="s">
        <v>117</v>
      </c>
      <c r="K59" s="572" t="s">
        <v>217</v>
      </c>
      <c r="L59" s="153" t="s">
        <v>230</v>
      </c>
      <c r="M59" s="153" t="s">
        <v>104</v>
      </c>
      <c r="N59" s="156">
        <v>3</v>
      </c>
      <c r="P59" s="156">
        <v>0</v>
      </c>
      <c r="Q59" s="156" t="s">
        <v>139</v>
      </c>
      <c r="R59" s="156">
        <v>0</v>
      </c>
      <c r="S59" s="156">
        <v>2</v>
      </c>
      <c r="T59" s="958" t="s">
        <v>105</v>
      </c>
      <c r="U59" s="153" t="s">
        <v>104</v>
      </c>
      <c r="V59" s="149">
        <v>38860</v>
      </c>
      <c r="W59" s="149">
        <v>39279</v>
      </c>
      <c r="X59" s="149">
        <v>40413</v>
      </c>
      <c r="Y59" s="149">
        <v>40664</v>
      </c>
      <c r="Z59" s="149">
        <v>40664</v>
      </c>
      <c r="AA59" s="149">
        <v>38860</v>
      </c>
      <c r="AB59" s="763" t="s">
        <v>121</v>
      </c>
      <c r="AC59" s="594">
        <v>299.28571428571428</v>
      </c>
      <c r="AD59" s="153" t="s">
        <v>103</v>
      </c>
      <c r="AE59" s="149" t="s">
        <v>103</v>
      </c>
      <c r="AF59" s="596">
        <v>22</v>
      </c>
      <c r="AG59" s="596">
        <v>21</v>
      </c>
      <c r="AH59" s="595">
        <v>6870.666666666667</v>
      </c>
      <c r="AI59" s="614">
        <v>1.3012626262626263</v>
      </c>
      <c r="AJ59" s="607">
        <v>6000</v>
      </c>
      <c r="AK59" s="153" t="s">
        <v>120</v>
      </c>
      <c r="AL59" s="791" t="s">
        <v>116</v>
      </c>
      <c r="AO59" s="963"/>
      <c r="AP59" s="519">
        <v>2081000</v>
      </c>
      <c r="AQ59" s="574">
        <v>1493888</v>
      </c>
      <c r="AR59" s="153" t="s">
        <v>116</v>
      </c>
      <c r="AS59" s="153" t="s">
        <v>116</v>
      </c>
      <c r="AT59" s="777" t="s">
        <v>122</v>
      </c>
      <c r="AU59" s="777" t="s">
        <v>122</v>
      </c>
      <c r="AV59" s="777" t="s">
        <v>122</v>
      </c>
      <c r="AW59" s="777" t="s">
        <v>122</v>
      </c>
      <c r="AX59" s="155" t="s">
        <v>103</v>
      </c>
      <c r="AY59" s="155" t="s">
        <v>103</v>
      </c>
      <c r="AZ59" s="155" t="s">
        <v>103</v>
      </c>
      <c r="BB59" s="574">
        <f t="shared" ref="BB59:BB60" si="4">AQ59</f>
        <v>1493888</v>
      </c>
      <c r="BC59" s="780">
        <v>587112</v>
      </c>
      <c r="BD59" s="1008" t="s">
        <v>121</v>
      </c>
      <c r="BE59" s="679">
        <v>0</v>
      </c>
      <c r="BF59" s="153" t="s">
        <v>103</v>
      </c>
      <c r="BG59" s="94">
        <v>1493888</v>
      </c>
      <c r="BH59" s="766">
        <v>760240</v>
      </c>
      <c r="BI59" s="774"/>
      <c r="BJ59" s="774"/>
      <c r="BL59" s="94" t="s">
        <v>124</v>
      </c>
      <c r="BM59" s="94" t="s">
        <v>124</v>
      </c>
      <c r="BN59" s="94" t="s">
        <v>124</v>
      </c>
      <c r="BO59" s="153" t="s">
        <v>116</v>
      </c>
      <c r="BP59" s="153" t="s">
        <v>124</v>
      </c>
      <c r="BQ59" s="153" t="s">
        <v>103</v>
      </c>
      <c r="BR59" s="153" t="s">
        <v>116</v>
      </c>
      <c r="BS59" s="153" t="s">
        <v>116</v>
      </c>
      <c r="BT59" s="153" t="s">
        <v>116</v>
      </c>
      <c r="BU59" s="153" t="s">
        <v>116</v>
      </c>
      <c r="BV59" s="153" t="s">
        <v>116</v>
      </c>
      <c r="BW59" s="153" t="s">
        <v>116</v>
      </c>
      <c r="BX59" s="153" t="s">
        <v>116</v>
      </c>
      <c r="BY59" s="153" t="s">
        <v>116</v>
      </c>
      <c r="BZ59" s="153" t="s">
        <v>116</v>
      </c>
      <c r="CA59" s="616" t="s">
        <v>116</v>
      </c>
      <c r="CB59" s="153" t="s">
        <v>116</v>
      </c>
      <c r="CC59" s="153" t="s">
        <v>116</v>
      </c>
      <c r="CD59" s="153" t="s">
        <v>116</v>
      </c>
      <c r="CE59" s="153" t="s">
        <v>116</v>
      </c>
    </row>
    <row r="60" spans="1:83" ht="10.35" customHeight="1">
      <c r="A60" s="503"/>
      <c r="B60" s="164" t="s">
        <v>231</v>
      </c>
      <c r="C60" s="155" t="s">
        <v>232</v>
      </c>
      <c r="D60" s="153">
        <v>6784</v>
      </c>
      <c r="E60" s="153">
        <v>92705</v>
      </c>
      <c r="F60" s="153">
        <v>6037702400</v>
      </c>
      <c r="G60" s="153" t="s">
        <v>104</v>
      </c>
      <c r="H60" s="153" t="s">
        <v>150</v>
      </c>
      <c r="I60" s="508" t="s">
        <v>231</v>
      </c>
      <c r="J60" s="153" t="s">
        <v>117</v>
      </c>
      <c r="K60" s="572" t="s">
        <v>217</v>
      </c>
      <c r="L60" s="153">
        <v>6784</v>
      </c>
      <c r="M60" s="153" t="s">
        <v>104</v>
      </c>
      <c r="Q60" s="156" t="s">
        <v>139</v>
      </c>
      <c r="V60" s="149">
        <v>38195</v>
      </c>
      <c r="W60" s="149">
        <v>38399</v>
      </c>
      <c r="X60" s="149">
        <v>39042</v>
      </c>
      <c r="Y60" s="149">
        <v>39311</v>
      </c>
      <c r="Z60" s="149">
        <v>39311</v>
      </c>
      <c r="AA60" s="149">
        <v>38195</v>
      </c>
      <c r="AB60" s="763" t="s">
        <v>151</v>
      </c>
      <c r="AC60" s="594">
        <v>145.71428571428572</v>
      </c>
      <c r="AD60" s="153" t="s">
        <v>103</v>
      </c>
      <c r="AE60" s="149" t="s">
        <v>103</v>
      </c>
      <c r="AF60" s="596" t="s">
        <v>103</v>
      </c>
      <c r="AG60" s="596" t="s">
        <v>103</v>
      </c>
      <c r="AH60" s="595" t="s">
        <v>103</v>
      </c>
      <c r="AI60" s="614">
        <v>0.32196969696969696</v>
      </c>
      <c r="AJ60" s="607">
        <v>1700</v>
      </c>
      <c r="AK60" s="153" t="s">
        <v>120</v>
      </c>
      <c r="AL60" s="791" t="s">
        <v>116</v>
      </c>
      <c r="AO60" s="963"/>
      <c r="AP60" s="519">
        <v>580000</v>
      </c>
      <c r="AQ60" s="574">
        <v>685314.73</v>
      </c>
      <c r="AR60" s="153" t="s">
        <v>116</v>
      </c>
      <c r="AS60" s="153" t="s">
        <v>116</v>
      </c>
      <c r="AT60" s="777" t="s">
        <v>122</v>
      </c>
      <c r="AU60" s="777" t="s">
        <v>122</v>
      </c>
      <c r="AV60" s="777" t="s">
        <v>122</v>
      </c>
      <c r="AW60" s="777" t="s">
        <v>122</v>
      </c>
      <c r="AX60" s="155" t="s">
        <v>103</v>
      </c>
      <c r="AY60" s="155" t="s">
        <v>103</v>
      </c>
      <c r="AZ60" s="155" t="s">
        <v>103</v>
      </c>
      <c r="BB60" s="574">
        <f t="shared" si="4"/>
        <v>685314.73</v>
      </c>
      <c r="BC60" s="780">
        <v>-105314.72999999998</v>
      </c>
      <c r="BD60" s="1008" t="s">
        <v>151</v>
      </c>
      <c r="BE60" s="679">
        <v>0</v>
      </c>
      <c r="BF60" s="153" t="s">
        <v>103</v>
      </c>
      <c r="BG60" s="94">
        <v>1870628</v>
      </c>
      <c r="BH60" s="766" t="s">
        <v>123</v>
      </c>
      <c r="BI60" s="774">
        <v>0</v>
      </c>
      <c r="BJ60" s="774">
        <v>0</v>
      </c>
      <c r="BK60" s="153" t="s">
        <v>103</v>
      </c>
      <c r="BL60" s="94" t="s">
        <v>124</v>
      </c>
      <c r="BM60" s="94" t="s">
        <v>124</v>
      </c>
      <c r="BN60" s="155" t="s">
        <v>124</v>
      </c>
      <c r="BO60" s="153" t="s">
        <v>116</v>
      </c>
      <c r="BP60" s="153" t="s">
        <v>124</v>
      </c>
      <c r="BQ60" s="153" t="s">
        <v>103</v>
      </c>
      <c r="BR60" s="153" t="s">
        <v>116</v>
      </c>
      <c r="BS60" s="153" t="s">
        <v>116</v>
      </c>
      <c r="BT60" s="153" t="s">
        <v>116</v>
      </c>
      <c r="BU60" s="153" t="s">
        <v>116</v>
      </c>
      <c r="BV60" s="153" t="s">
        <v>116</v>
      </c>
      <c r="BW60" s="153" t="s">
        <v>116</v>
      </c>
      <c r="BX60" s="153" t="s">
        <v>116</v>
      </c>
      <c r="BY60" s="153" t="s">
        <v>116</v>
      </c>
      <c r="BZ60" s="153" t="s">
        <v>116</v>
      </c>
      <c r="CA60" s="616" t="s">
        <v>116</v>
      </c>
      <c r="CB60" s="153" t="s">
        <v>116</v>
      </c>
      <c r="CC60" s="153" t="s">
        <v>116</v>
      </c>
      <c r="CD60" s="153" t="s">
        <v>116</v>
      </c>
      <c r="CE60" s="153" t="s">
        <v>116</v>
      </c>
    </row>
    <row r="61" spans="1:83" ht="41.45" customHeight="1">
      <c r="A61" s="503"/>
      <c r="B61" s="164" t="s">
        <v>233</v>
      </c>
      <c r="C61" s="155" t="s">
        <v>234</v>
      </c>
      <c r="D61" s="1011">
        <v>1832575</v>
      </c>
      <c r="E61" s="153">
        <v>90242</v>
      </c>
      <c r="F61" s="153">
        <v>6037550902</v>
      </c>
      <c r="G61" s="153" t="s">
        <v>110</v>
      </c>
      <c r="H61" s="153" t="s">
        <v>150</v>
      </c>
      <c r="I61" s="508" t="s">
        <v>233</v>
      </c>
      <c r="J61" s="153" t="s">
        <v>117</v>
      </c>
      <c r="K61" s="572" t="s">
        <v>217</v>
      </c>
      <c r="L61" s="153" t="s">
        <v>230</v>
      </c>
      <c r="M61" s="153" t="s">
        <v>110</v>
      </c>
      <c r="Q61" s="156"/>
      <c r="V61" s="149">
        <v>38860</v>
      </c>
      <c r="W61" s="149" t="s">
        <v>103</v>
      </c>
      <c r="X61" s="149" t="s">
        <v>103</v>
      </c>
      <c r="Y61" s="149" t="s">
        <v>103</v>
      </c>
      <c r="Z61" s="149" t="s">
        <v>103</v>
      </c>
      <c r="AA61" s="149" t="s">
        <v>103</v>
      </c>
      <c r="AB61" s="153" t="s">
        <v>103</v>
      </c>
      <c r="AC61" s="594" t="s">
        <v>103</v>
      </c>
      <c r="AD61" s="153" t="s">
        <v>103</v>
      </c>
      <c r="AE61" s="149">
        <v>41974</v>
      </c>
      <c r="AF61" s="153" t="s">
        <v>103</v>
      </c>
      <c r="AG61" s="153" t="s">
        <v>103</v>
      </c>
      <c r="AH61" s="596" t="s">
        <v>103</v>
      </c>
      <c r="AI61" s="960" t="s">
        <v>103</v>
      </c>
      <c r="AJ61" s="607">
        <v>5820</v>
      </c>
      <c r="AK61" s="153" t="s">
        <v>152</v>
      </c>
      <c r="AL61" s="791" t="s">
        <v>116</v>
      </c>
      <c r="AO61" s="963"/>
      <c r="AP61" s="94">
        <v>3000000</v>
      </c>
      <c r="AQ61" s="574">
        <v>0</v>
      </c>
      <c r="AR61" s="153" t="s">
        <v>103</v>
      </c>
      <c r="AS61" s="153" t="s">
        <v>103</v>
      </c>
      <c r="AT61" s="156">
        <v>0</v>
      </c>
      <c r="AU61" s="777" t="s">
        <v>122</v>
      </c>
      <c r="AV61" s="777" t="s">
        <v>122</v>
      </c>
      <c r="AW61" s="777" t="s">
        <v>122</v>
      </c>
      <c r="AX61" s="155" t="s">
        <v>103</v>
      </c>
      <c r="AY61" s="155" t="s">
        <v>103</v>
      </c>
      <c r="AZ61" s="155" t="s">
        <v>103</v>
      </c>
      <c r="BA61" s="156">
        <v>0</v>
      </c>
      <c r="BB61" s="153" t="s">
        <v>103</v>
      </c>
      <c r="BC61" s="780" t="s">
        <v>103</v>
      </c>
      <c r="BD61" s="153" t="s">
        <v>103</v>
      </c>
      <c r="BE61" s="156" t="s">
        <v>103</v>
      </c>
      <c r="BF61" s="153" t="s">
        <v>103</v>
      </c>
      <c r="BG61" s="94">
        <v>112255.56000000003</v>
      </c>
      <c r="BH61" s="153" t="s">
        <v>103</v>
      </c>
      <c r="BI61" s="774" t="s">
        <v>103</v>
      </c>
      <c r="BJ61" s="774" t="s">
        <v>103</v>
      </c>
      <c r="BK61" s="153" t="s">
        <v>103</v>
      </c>
      <c r="BL61" s="153" t="s">
        <v>116</v>
      </c>
      <c r="BM61" s="94" t="s">
        <v>124</v>
      </c>
      <c r="BN61" s="155" t="s">
        <v>116</v>
      </c>
      <c r="BO61" s="153" t="s">
        <v>116</v>
      </c>
      <c r="BP61" s="153" t="s">
        <v>124</v>
      </c>
      <c r="BQ61" s="153" t="s">
        <v>103</v>
      </c>
      <c r="BR61" s="97" t="s">
        <v>110</v>
      </c>
      <c r="BS61" s="97" t="s">
        <v>104</v>
      </c>
      <c r="BT61" s="153" t="s">
        <v>103</v>
      </c>
      <c r="BU61" s="97" t="s">
        <v>104</v>
      </c>
      <c r="BV61" s="97" t="s">
        <v>104</v>
      </c>
      <c r="BW61" s="97" t="s">
        <v>110</v>
      </c>
      <c r="BX61" s="97" t="s">
        <v>110</v>
      </c>
      <c r="BY61" s="97" t="s">
        <v>104</v>
      </c>
      <c r="BZ61" s="97" t="s">
        <v>110</v>
      </c>
    </row>
    <row r="62" spans="1:83" ht="14.1" customHeight="1">
      <c r="A62" s="503" t="s">
        <v>235</v>
      </c>
      <c r="B62" s="164" t="s">
        <v>103</v>
      </c>
      <c r="C62" s="155" t="s">
        <v>103</v>
      </c>
      <c r="D62" s="153" t="s">
        <v>103</v>
      </c>
      <c r="E62" s="153" t="s">
        <v>103</v>
      </c>
      <c r="F62" s="958" t="s">
        <v>103</v>
      </c>
      <c r="G62" s="153" t="s">
        <v>104</v>
      </c>
      <c r="H62" s="673">
        <v>0.24902276385375949</v>
      </c>
      <c r="I62" s="508" t="s">
        <v>103</v>
      </c>
      <c r="J62" s="958" t="s">
        <v>103</v>
      </c>
      <c r="K62" s="958" t="s">
        <v>103</v>
      </c>
      <c r="L62" s="155" t="s">
        <v>103</v>
      </c>
      <c r="M62" s="155" t="s">
        <v>103</v>
      </c>
      <c r="N62" s="156">
        <v>0</v>
      </c>
      <c r="O62" s="156" t="s">
        <v>103</v>
      </c>
      <c r="P62" s="156">
        <v>0</v>
      </c>
      <c r="Q62" s="958" t="s">
        <v>103</v>
      </c>
      <c r="R62" s="156">
        <v>0</v>
      </c>
      <c r="S62" s="156">
        <v>0</v>
      </c>
      <c r="T62" s="958" t="s">
        <v>105</v>
      </c>
      <c r="U62" s="153" t="s">
        <v>104</v>
      </c>
      <c r="V62" s="518" t="s">
        <v>103</v>
      </c>
      <c r="W62" s="991" t="s">
        <v>103</v>
      </c>
      <c r="X62" s="991" t="s">
        <v>103</v>
      </c>
      <c r="Y62" s="991" t="s">
        <v>103</v>
      </c>
      <c r="Z62" s="518" t="s">
        <v>103</v>
      </c>
      <c r="AA62" s="991" t="s">
        <v>103</v>
      </c>
      <c r="AB62" s="155" t="s">
        <v>103</v>
      </c>
      <c r="AC62" s="959" t="s">
        <v>103</v>
      </c>
      <c r="AD62" s="155" t="s">
        <v>103</v>
      </c>
      <c r="AE62" s="155" t="s">
        <v>103</v>
      </c>
      <c r="AF62" s="155" t="s">
        <v>103</v>
      </c>
      <c r="AG62" s="155" t="s">
        <v>103</v>
      </c>
      <c r="AH62" s="992" t="s">
        <v>103</v>
      </c>
      <c r="AI62" s="960" t="s">
        <v>103</v>
      </c>
      <c r="AJ62" s="992" t="s">
        <v>103</v>
      </c>
      <c r="AK62" s="155" t="s">
        <v>103</v>
      </c>
      <c r="AL62" s="993" t="s">
        <v>103</v>
      </c>
      <c r="AM62" s="155"/>
      <c r="AN62" s="155"/>
      <c r="AO62" s="994"/>
      <c r="AP62" s="94">
        <v>0</v>
      </c>
      <c r="AQ62" s="578">
        <v>0</v>
      </c>
      <c r="AR62" s="155" t="s">
        <v>103</v>
      </c>
      <c r="AS62" s="155" t="s">
        <v>103</v>
      </c>
      <c r="AT62" s="155" t="s">
        <v>103</v>
      </c>
      <c r="AU62" s="155" t="s">
        <v>103</v>
      </c>
      <c r="AV62" s="155" t="s">
        <v>103</v>
      </c>
      <c r="AW62" s="155" t="s">
        <v>103</v>
      </c>
      <c r="AX62" s="155" t="s">
        <v>103</v>
      </c>
      <c r="AY62" s="155" t="s">
        <v>103</v>
      </c>
      <c r="AZ62" s="155" t="s">
        <v>103</v>
      </c>
      <c r="BA62" s="155" t="s">
        <v>103</v>
      </c>
      <c r="BB62" s="155" t="s">
        <v>103</v>
      </c>
      <c r="BC62" s="155" t="s">
        <v>103</v>
      </c>
      <c r="BD62" s="155" t="s">
        <v>103</v>
      </c>
      <c r="BE62" s="989" t="s">
        <v>103</v>
      </c>
      <c r="BF62" s="155" t="s">
        <v>103</v>
      </c>
      <c r="BG62" s="961">
        <v>0</v>
      </c>
      <c r="BH62" s="155" t="s">
        <v>103</v>
      </c>
      <c r="BI62" s="990" t="s">
        <v>103</v>
      </c>
      <c r="BJ62" s="155" t="s">
        <v>103</v>
      </c>
      <c r="BK62" s="155" t="s">
        <v>103</v>
      </c>
      <c r="BL62" s="155" t="s">
        <v>103</v>
      </c>
      <c r="BM62" s="155" t="s">
        <v>103</v>
      </c>
      <c r="BN62" s="155" t="s">
        <v>103</v>
      </c>
      <c r="BO62" s="155" t="s">
        <v>103</v>
      </c>
      <c r="BP62" s="155" t="s">
        <v>103</v>
      </c>
      <c r="BQ62" s="155" t="s">
        <v>103</v>
      </c>
      <c r="BR62" s="155" t="s">
        <v>103</v>
      </c>
      <c r="BS62" s="155" t="s">
        <v>103</v>
      </c>
      <c r="BT62" s="155" t="s">
        <v>103</v>
      </c>
      <c r="BU62" s="155" t="s">
        <v>103</v>
      </c>
      <c r="BV62" s="155" t="s">
        <v>103</v>
      </c>
      <c r="BW62" s="155" t="s">
        <v>103</v>
      </c>
      <c r="BX62" s="155" t="s">
        <v>103</v>
      </c>
      <c r="BY62" s="155" t="s">
        <v>103</v>
      </c>
      <c r="BZ62" s="155" t="s">
        <v>103</v>
      </c>
      <c r="CA62" s="155" t="s">
        <v>103</v>
      </c>
      <c r="CB62" s="155" t="s">
        <v>103</v>
      </c>
      <c r="CC62" s="155" t="s">
        <v>103</v>
      </c>
      <c r="CD62" s="155" t="s">
        <v>103</v>
      </c>
      <c r="CE62" s="155" t="s">
        <v>103</v>
      </c>
    </row>
    <row r="63" spans="1:83" ht="14.1" customHeight="1">
      <c r="A63" s="503" t="s">
        <v>236</v>
      </c>
      <c r="B63" s="164" t="s">
        <v>103</v>
      </c>
      <c r="C63" s="155" t="s">
        <v>103</v>
      </c>
      <c r="D63" s="153" t="s">
        <v>103</v>
      </c>
      <c r="E63" s="153" t="s">
        <v>103</v>
      </c>
      <c r="F63" s="958" t="s">
        <v>103</v>
      </c>
      <c r="G63" s="153" t="s">
        <v>104</v>
      </c>
      <c r="H63" s="673">
        <v>0.42034291292940384</v>
      </c>
      <c r="I63" s="508" t="s">
        <v>103</v>
      </c>
      <c r="J63" s="958" t="s">
        <v>103</v>
      </c>
      <c r="K63" s="958" t="s">
        <v>103</v>
      </c>
      <c r="L63" s="155" t="s">
        <v>103</v>
      </c>
      <c r="M63" s="155" t="s">
        <v>103</v>
      </c>
      <c r="N63" s="156">
        <v>0</v>
      </c>
      <c r="O63" s="156" t="s">
        <v>103</v>
      </c>
      <c r="P63" s="156">
        <v>0</v>
      </c>
      <c r="Q63" s="958" t="s">
        <v>103</v>
      </c>
      <c r="R63" s="156">
        <v>0</v>
      </c>
      <c r="S63" s="156">
        <v>0</v>
      </c>
      <c r="T63" s="958" t="s">
        <v>105</v>
      </c>
      <c r="U63" s="153" t="s">
        <v>104</v>
      </c>
      <c r="V63" s="518" t="s">
        <v>103</v>
      </c>
      <c r="W63" s="991" t="s">
        <v>103</v>
      </c>
      <c r="X63" s="991" t="s">
        <v>103</v>
      </c>
      <c r="Y63" s="991" t="s">
        <v>103</v>
      </c>
      <c r="Z63" s="518" t="s">
        <v>103</v>
      </c>
      <c r="AA63" s="991" t="s">
        <v>103</v>
      </c>
      <c r="AB63" s="155" t="s">
        <v>103</v>
      </c>
      <c r="AC63" s="959" t="s">
        <v>103</v>
      </c>
      <c r="AD63" s="155" t="s">
        <v>103</v>
      </c>
      <c r="AE63" s="155" t="s">
        <v>103</v>
      </c>
      <c r="AF63" s="155" t="s">
        <v>103</v>
      </c>
      <c r="AG63" s="155" t="s">
        <v>103</v>
      </c>
      <c r="AH63" s="992" t="s">
        <v>103</v>
      </c>
      <c r="AI63" s="960" t="s">
        <v>103</v>
      </c>
      <c r="AJ63" s="992" t="s">
        <v>103</v>
      </c>
      <c r="AK63" s="155" t="s">
        <v>103</v>
      </c>
      <c r="AL63" s="993" t="s">
        <v>103</v>
      </c>
      <c r="AM63" s="155"/>
      <c r="AN63" s="155"/>
      <c r="AO63" s="994"/>
      <c r="AP63" s="94">
        <v>0</v>
      </c>
      <c r="AQ63" s="578">
        <v>0</v>
      </c>
      <c r="AR63" s="155" t="s">
        <v>103</v>
      </c>
      <c r="AS63" s="155" t="s">
        <v>103</v>
      </c>
      <c r="AT63" s="155" t="s">
        <v>103</v>
      </c>
      <c r="AU63" s="155" t="s">
        <v>103</v>
      </c>
      <c r="AV63" s="155" t="s">
        <v>103</v>
      </c>
      <c r="AW63" s="155" t="s">
        <v>103</v>
      </c>
      <c r="AX63" s="155" t="s">
        <v>103</v>
      </c>
      <c r="AY63" s="155" t="s">
        <v>103</v>
      </c>
      <c r="AZ63" s="155" t="s">
        <v>103</v>
      </c>
      <c r="BA63" s="155" t="s">
        <v>103</v>
      </c>
      <c r="BB63" s="155" t="s">
        <v>103</v>
      </c>
      <c r="BC63" s="155" t="s">
        <v>103</v>
      </c>
      <c r="BD63" s="155" t="s">
        <v>103</v>
      </c>
      <c r="BE63" s="989" t="s">
        <v>103</v>
      </c>
      <c r="BF63" s="155" t="s">
        <v>103</v>
      </c>
      <c r="BG63" s="961">
        <v>0</v>
      </c>
      <c r="BH63" s="155" t="s">
        <v>103</v>
      </c>
      <c r="BI63" s="990" t="s">
        <v>103</v>
      </c>
      <c r="BJ63" s="155" t="s">
        <v>103</v>
      </c>
      <c r="BK63" s="155" t="s">
        <v>103</v>
      </c>
      <c r="BL63" s="155" t="s">
        <v>103</v>
      </c>
      <c r="BM63" s="155" t="s">
        <v>103</v>
      </c>
      <c r="BN63" s="155" t="s">
        <v>103</v>
      </c>
      <c r="BO63" s="155" t="s">
        <v>103</v>
      </c>
      <c r="BP63" s="155" t="s">
        <v>103</v>
      </c>
      <c r="BQ63" s="155" t="s">
        <v>103</v>
      </c>
      <c r="BR63" s="155" t="s">
        <v>103</v>
      </c>
      <c r="BS63" s="155" t="s">
        <v>103</v>
      </c>
      <c r="BT63" s="155" t="s">
        <v>103</v>
      </c>
      <c r="BU63" s="155" t="s">
        <v>103</v>
      </c>
      <c r="BV63" s="155" t="s">
        <v>103</v>
      </c>
      <c r="BW63" s="155" t="s">
        <v>103</v>
      </c>
      <c r="BX63" s="155" t="s">
        <v>103</v>
      </c>
      <c r="BY63" s="155" t="s">
        <v>103</v>
      </c>
      <c r="BZ63" s="155" t="s">
        <v>103</v>
      </c>
      <c r="CA63" s="155" t="s">
        <v>103</v>
      </c>
      <c r="CB63" s="155" t="s">
        <v>103</v>
      </c>
      <c r="CC63" s="155" t="s">
        <v>103</v>
      </c>
      <c r="CD63" s="155" t="s">
        <v>103</v>
      </c>
      <c r="CE63" s="155" t="s">
        <v>103</v>
      </c>
    </row>
    <row r="64" spans="1:83" ht="14.1" customHeight="1">
      <c r="A64" s="503" t="s">
        <v>237</v>
      </c>
      <c r="B64" s="164" t="s">
        <v>103</v>
      </c>
      <c r="C64" s="155" t="s">
        <v>103</v>
      </c>
      <c r="D64" s="153" t="s">
        <v>103</v>
      </c>
      <c r="E64" s="153" t="s">
        <v>103</v>
      </c>
      <c r="F64" s="958" t="s">
        <v>103</v>
      </c>
      <c r="G64" s="153" t="s">
        <v>110</v>
      </c>
      <c r="H64" s="673">
        <v>4.633493846976993E-2</v>
      </c>
      <c r="I64" s="508" t="s">
        <v>103</v>
      </c>
      <c r="J64" s="958" t="s">
        <v>103</v>
      </c>
      <c r="K64" s="958" t="s">
        <v>103</v>
      </c>
      <c r="L64" s="155" t="s">
        <v>103</v>
      </c>
      <c r="M64" s="155" t="s">
        <v>103</v>
      </c>
      <c r="N64" s="156">
        <v>0</v>
      </c>
      <c r="O64" s="156" t="s">
        <v>103</v>
      </c>
      <c r="P64" s="156">
        <v>0</v>
      </c>
      <c r="Q64" s="958" t="s">
        <v>103</v>
      </c>
      <c r="R64" s="156">
        <v>0</v>
      </c>
      <c r="S64" s="156">
        <v>0</v>
      </c>
      <c r="T64" s="958" t="s">
        <v>105</v>
      </c>
      <c r="U64" s="153" t="s">
        <v>110</v>
      </c>
      <c r="V64" s="518" t="s">
        <v>103</v>
      </c>
      <c r="W64" s="991" t="s">
        <v>103</v>
      </c>
      <c r="X64" s="991" t="s">
        <v>103</v>
      </c>
      <c r="Y64" s="991" t="s">
        <v>103</v>
      </c>
      <c r="Z64" s="518" t="s">
        <v>103</v>
      </c>
      <c r="AA64" s="991" t="s">
        <v>103</v>
      </c>
      <c r="AB64" s="155" t="s">
        <v>103</v>
      </c>
      <c r="AC64" s="959" t="s">
        <v>103</v>
      </c>
      <c r="AD64" s="155" t="s">
        <v>103</v>
      </c>
      <c r="AE64" s="155" t="s">
        <v>103</v>
      </c>
      <c r="AF64" s="155" t="s">
        <v>103</v>
      </c>
      <c r="AG64" s="155" t="s">
        <v>103</v>
      </c>
      <c r="AH64" s="992" t="s">
        <v>103</v>
      </c>
      <c r="AI64" s="960" t="s">
        <v>103</v>
      </c>
      <c r="AJ64" s="992" t="s">
        <v>103</v>
      </c>
      <c r="AK64" s="155" t="s">
        <v>103</v>
      </c>
      <c r="AL64" s="993" t="s">
        <v>103</v>
      </c>
      <c r="AM64" s="155"/>
      <c r="AN64" s="155"/>
      <c r="AO64" s="994"/>
      <c r="AP64" s="94">
        <v>0</v>
      </c>
      <c r="AQ64" s="578">
        <v>0</v>
      </c>
      <c r="AR64" s="155" t="s">
        <v>103</v>
      </c>
      <c r="AS64" s="155" t="s">
        <v>103</v>
      </c>
      <c r="AT64" s="155" t="s">
        <v>103</v>
      </c>
      <c r="AU64" s="155" t="s">
        <v>103</v>
      </c>
      <c r="AV64" s="155" t="s">
        <v>103</v>
      </c>
      <c r="AW64" s="155" t="s">
        <v>103</v>
      </c>
      <c r="AX64" s="155" t="s">
        <v>103</v>
      </c>
      <c r="AY64" s="155" t="s">
        <v>103</v>
      </c>
      <c r="AZ64" s="155" t="s">
        <v>103</v>
      </c>
      <c r="BA64" s="155" t="s">
        <v>103</v>
      </c>
      <c r="BB64" s="155" t="s">
        <v>103</v>
      </c>
      <c r="BC64" s="155" t="s">
        <v>103</v>
      </c>
      <c r="BD64" s="155" t="s">
        <v>103</v>
      </c>
      <c r="BE64" s="989" t="s">
        <v>103</v>
      </c>
      <c r="BF64" s="155" t="s">
        <v>103</v>
      </c>
      <c r="BG64" s="961">
        <v>0</v>
      </c>
      <c r="BH64" s="155" t="s">
        <v>103</v>
      </c>
      <c r="BI64" s="990" t="s">
        <v>103</v>
      </c>
      <c r="BJ64" s="155" t="s">
        <v>103</v>
      </c>
      <c r="BK64" s="155" t="s">
        <v>103</v>
      </c>
      <c r="BL64" s="155" t="s">
        <v>103</v>
      </c>
      <c r="BM64" s="155" t="s">
        <v>103</v>
      </c>
      <c r="BN64" s="155" t="s">
        <v>103</v>
      </c>
      <c r="BO64" s="155" t="s">
        <v>103</v>
      </c>
      <c r="BP64" s="155" t="s">
        <v>103</v>
      </c>
      <c r="BQ64" s="155" t="s">
        <v>103</v>
      </c>
      <c r="BR64" s="155" t="s">
        <v>103</v>
      </c>
      <c r="BS64" s="155" t="s">
        <v>103</v>
      </c>
      <c r="BT64" s="155" t="s">
        <v>103</v>
      </c>
      <c r="BU64" s="155" t="s">
        <v>103</v>
      </c>
      <c r="BV64" s="155" t="s">
        <v>103</v>
      </c>
      <c r="BW64" s="155" t="s">
        <v>103</v>
      </c>
      <c r="BX64" s="155" t="s">
        <v>103</v>
      </c>
      <c r="BY64" s="155" t="s">
        <v>103</v>
      </c>
      <c r="BZ64" s="155" t="s">
        <v>103</v>
      </c>
      <c r="CA64" s="155" t="s">
        <v>103</v>
      </c>
      <c r="CB64" s="155" t="s">
        <v>103</v>
      </c>
      <c r="CC64" s="155" t="s">
        <v>103</v>
      </c>
      <c r="CD64" s="155" t="s">
        <v>103</v>
      </c>
      <c r="CE64" s="155" t="s">
        <v>103</v>
      </c>
    </row>
    <row r="65" spans="1:83" ht="15.6" customHeight="1">
      <c r="A65" s="503" t="s">
        <v>238</v>
      </c>
      <c r="B65" s="164" t="s">
        <v>239</v>
      </c>
      <c r="C65" s="155" t="s">
        <v>240</v>
      </c>
      <c r="D65" s="153">
        <v>4552</v>
      </c>
      <c r="E65" s="153">
        <v>90247</v>
      </c>
      <c r="F65" s="153">
        <v>6037603005</v>
      </c>
      <c r="G65" s="155" t="s">
        <v>104</v>
      </c>
      <c r="H65" s="674">
        <v>0.24459865502933181</v>
      </c>
      <c r="I65" s="508" t="s">
        <v>239</v>
      </c>
      <c r="J65" s="153" t="s">
        <v>117</v>
      </c>
      <c r="K65" s="572" t="s">
        <v>156</v>
      </c>
      <c r="L65" s="153">
        <v>4552</v>
      </c>
      <c r="M65" s="153" t="s">
        <v>104</v>
      </c>
      <c r="N65" s="156">
        <v>3</v>
      </c>
      <c r="P65" s="156">
        <v>0</v>
      </c>
      <c r="Q65" s="156" t="s">
        <v>139</v>
      </c>
      <c r="R65" s="156">
        <v>0</v>
      </c>
      <c r="S65" s="156">
        <v>1</v>
      </c>
      <c r="T65" s="958" t="s">
        <v>105</v>
      </c>
      <c r="U65" s="153" t="s">
        <v>104</v>
      </c>
      <c r="V65" s="149">
        <v>36508</v>
      </c>
      <c r="W65" s="149">
        <v>39089</v>
      </c>
      <c r="X65" s="149">
        <v>41269</v>
      </c>
      <c r="Y65" s="149">
        <v>41771</v>
      </c>
      <c r="Z65" s="149">
        <v>41771</v>
      </c>
      <c r="AA65" s="149">
        <v>36508</v>
      </c>
      <c r="AB65" s="763" t="s">
        <v>151</v>
      </c>
      <c r="AC65" s="594">
        <v>1843.5714285714287</v>
      </c>
      <c r="AD65" s="153" t="s">
        <v>103</v>
      </c>
      <c r="AE65" s="149" t="s">
        <v>103</v>
      </c>
      <c r="AF65" s="596">
        <v>67</v>
      </c>
      <c r="AG65" s="596">
        <v>0</v>
      </c>
      <c r="AH65" s="595">
        <v>11605.333333333334</v>
      </c>
      <c r="AI65" s="614">
        <v>2.1979797979797979</v>
      </c>
      <c r="AJ65" s="607">
        <v>10500</v>
      </c>
      <c r="AK65" s="153" t="s">
        <v>120</v>
      </c>
      <c r="AL65" s="791" t="s">
        <v>104</v>
      </c>
      <c r="AO65" s="963"/>
      <c r="AP65" s="519">
        <v>3089272</v>
      </c>
      <c r="AQ65" s="574">
        <v>9025315</v>
      </c>
      <c r="AR65" s="153" t="s">
        <v>116</v>
      </c>
      <c r="AS65" s="153" t="s">
        <v>116</v>
      </c>
      <c r="AT65" s="777" t="s">
        <v>122</v>
      </c>
      <c r="AU65" s="777" t="s">
        <v>122</v>
      </c>
      <c r="AV65" s="777" t="s">
        <v>122</v>
      </c>
      <c r="AW65" s="777" t="s">
        <v>122</v>
      </c>
      <c r="AX65" s="155" t="s">
        <v>103</v>
      </c>
      <c r="AY65" s="155" t="s">
        <v>103</v>
      </c>
      <c r="AZ65" s="155" t="s">
        <v>103</v>
      </c>
      <c r="BB65" s="574">
        <f>AQ65</f>
        <v>9025315</v>
      </c>
      <c r="BC65" s="780">
        <v>-5936043</v>
      </c>
      <c r="BD65" s="996" t="s">
        <v>241</v>
      </c>
      <c r="BE65" s="679">
        <v>0</v>
      </c>
      <c r="BF65" s="153" t="s">
        <v>103</v>
      </c>
      <c r="BG65" s="94">
        <v>9025315</v>
      </c>
      <c r="BH65" s="766" t="s">
        <v>123</v>
      </c>
      <c r="BI65" s="774">
        <v>0</v>
      </c>
      <c r="BJ65" s="774">
        <v>0</v>
      </c>
      <c r="BK65" s="153" t="s">
        <v>103</v>
      </c>
      <c r="BL65" s="94" t="s">
        <v>124</v>
      </c>
      <c r="BM65" s="94" t="s">
        <v>124</v>
      </c>
      <c r="BN65" s="155" t="s">
        <v>116</v>
      </c>
      <c r="BO65" s="153" t="s">
        <v>116</v>
      </c>
      <c r="BP65" s="153" t="s">
        <v>124</v>
      </c>
      <c r="BQ65" s="153" t="s">
        <v>103</v>
      </c>
      <c r="BR65" s="153" t="s">
        <v>110</v>
      </c>
      <c r="BS65" s="153" t="s">
        <v>110</v>
      </c>
      <c r="BT65" s="153" t="s">
        <v>104</v>
      </c>
      <c r="BU65" s="153" t="s">
        <v>104</v>
      </c>
      <c r="BV65" s="153" t="s">
        <v>104</v>
      </c>
      <c r="BW65" s="153" t="s">
        <v>104</v>
      </c>
      <c r="BX65" s="153" t="s">
        <v>110</v>
      </c>
      <c r="BY65" s="153" t="s">
        <v>104</v>
      </c>
      <c r="BZ65" s="153" t="s">
        <v>104</v>
      </c>
    </row>
    <row r="66" spans="1:83" ht="83.1" customHeight="1">
      <c r="A66" s="503"/>
      <c r="B66" s="164" t="s">
        <v>242</v>
      </c>
      <c r="C66" s="155" t="s">
        <v>243</v>
      </c>
      <c r="D66" s="153">
        <v>4553</v>
      </c>
      <c r="E66" s="153">
        <v>90247</v>
      </c>
      <c r="F66" s="153">
        <v>6037291220</v>
      </c>
      <c r="G66" s="153" t="s">
        <v>104</v>
      </c>
      <c r="H66" s="153" t="s">
        <v>150</v>
      </c>
      <c r="I66" s="508" t="s">
        <v>242</v>
      </c>
      <c r="J66" s="153" t="s">
        <v>117</v>
      </c>
      <c r="K66" s="572" t="s">
        <v>130</v>
      </c>
      <c r="L66" s="153">
        <v>4553</v>
      </c>
      <c r="M66" s="153" t="s">
        <v>110</v>
      </c>
      <c r="Q66" s="156" t="s">
        <v>244</v>
      </c>
      <c r="V66" s="149"/>
      <c r="W66" s="149" t="s">
        <v>103</v>
      </c>
      <c r="X66" s="149" t="s">
        <v>103</v>
      </c>
      <c r="Y66" s="149" t="s">
        <v>103</v>
      </c>
      <c r="Z66" s="149" t="s">
        <v>103</v>
      </c>
      <c r="AA66" s="149" t="s">
        <v>103</v>
      </c>
      <c r="AB66" s="153" t="s">
        <v>103</v>
      </c>
      <c r="AC66" s="594" t="s">
        <v>103</v>
      </c>
      <c r="AD66" s="153" t="s">
        <v>103</v>
      </c>
      <c r="AE66" s="149" t="s">
        <v>103</v>
      </c>
      <c r="AF66" s="153" t="s">
        <v>103</v>
      </c>
      <c r="AG66" s="153" t="s">
        <v>103</v>
      </c>
      <c r="AH66" s="596" t="s">
        <v>103</v>
      </c>
      <c r="AI66" s="960" t="s">
        <v>103</v>
      </c>
      <c r="AJ66" s="607">
        <v>2600</v>
      </c>
      <c r="AK66" s="153" t="s">
        <v>120</v>
      </c>
      <c r="AL66" s="791" t="s">
        <v>116</v>
      </c>
      <c r="AO66" s="963"/>
      <c r="AP66" s="94">
        <v>0</v>
      </c>
      <c r="AQ66" s="574">
        <v>0</v>
      </c>
      <c r="AR66" s="153" t="s">
        <v>116</v>
      </c>
      <c r="AS66" s="153" t="s">
        <v>116</v>
      </c>
      <c r="AT66" s="777" t="s">
        <v>122</v>
      </c>
      <c r="AU66" s="777" t="s">
        <v>122</v>
      </c>
      <c r="AV66" s="777" t="s">
        <v>122</v>
      </c>
      <c r="AW66" s="777" t="s">
        <v>122</v>
      </c>
      <c r="AX66" s="155" t="s">
        <v>103</v>
      </c>
      <c r="AY66" s="155" t="s">
        <v>103</v>
      </c>
      <c r="AZ66" s="155" t="s">
        <v>103</v>
      </c>
      <c r="BA66" s="153" t="s">
        <v>103</v>
      </c>
      <c r="BB66" s="153" t="s">
        <v>103</v>
      </c>
      <c r="BC66" s="780" t="s">
        <v>103</v>
      </c>
      <c r="BD66" s="153" t="s">
        <v>103</v>
      </c>
      <c r="BE66" s="680" t="s">
        <v>103</v>
      </c>
      <c r="BF66" s="153" t="s">
        <v>103</v>
      </c>
      <c r="BG66" s="94">
        <v>30820.76</v>
      </c>
      <c r="BH66" s="153" t="s">
        <v>103</v>
      </c>
      <c r="BI66" s="774" t="s">
        <v>103</v>
      </c>
      <c r="BJ66" s="774" t="s">
        <v>103</v>
      </c>
      <c r="BK66" s="153" t="s">
        <v>103</v>
      </c>
      <c r="BL66" s="153" t="s">
        <v>124</v>
      </c>
      <c r="BM66" s="94" t="s">
        <v>103</v>
      </c>
      <c r="BN66" s="155" t="s">
        <v>103</v>
      </c>
      <c r="BO66" s="153" t="s">
        <v>103</v>
      </c>
      <c r="BP66" s="153" t="s">
        <v>103</v>
      </c>
      <c r="BQ66" s="153" t="s">
        <v>103</v>
      </c>
      <c r="BR66" s="153" t="s">
        <v>116</v>
      </c>
      <c r="BS66" s="153" t="s">
        <v>116</v>
      </c>
      <c r="BT66" s="153" t="s">
        <v>116</v>
      </c>
      <c r="BU66" s="153" t="s">
        <v>116</v>
      </c>
      <c r="BV66" s="153" t="s">
        <v>116</v>
      </c>
      <c r="BW66" s="153" t="s">
        <v>116</v>
      </c>
      <c r="BX66" s="153" t="s">
        <v>116</v>
      </c>
      <c r="BY66" s="153" t="s">
        <v>116</v>
      </c>
      <c r="BZ66" s="153" t="s">
        <v>116</v>
      </c>
      <c r="CA66" s="616" t="s">
        <v>116</v>
      </c>
      <c r="CB66" s="153" t="s">
        <v>116</v>
      </c>
      <c r="CC66" s="153" t="s">
        <v>116</v>
      </c>
      <c r="CD66" s="153" t="s">
        <v>116</v>
      </c>
      <c r="CE66" s="153" t="s">
        <v>116</v>
      </c>
    </row>
    <row r="67" spans="1:83" ht="55.35" customHeight="1">
      <c r="A67" s="503"/>
      <c r="B67" s="164" t="s">
        <v>245</v>
      </c>
      <c r="C67" s="155" t="s">
        <v>246</v>
      </c>
      <c r="D67" s="153">
        <v>4551</v>
      </c>
      <c r="E67" s="153">
        <v>90247</v>
      </c>
      <c r="F67" s="153">
        <v>6037602507</v>
      </c>
      <c r="G67" s="153" t="s">
        <v>104</v>
      </c>
      <c r="H67" s="153" t="s">
        <v>150</v>
      </c>
      <c r="I67" s="508" t="s">
        <v>245</v>
      </c>
      <c r="J67" s="153" t="s">
        <v>117</v>
      </c>
      <c r="K67" s="572" t="s">
        <v>130</v>
      </c>
      <c r="L67" s="153">
        <v>4551</v>
      </c>
      <c r="M67" s="153" t="s">
        <v>110</v>
      </c>
      <c r="N67" s="149"/>
      <c r="Q67" s="156" t="s">
        <v>244</v>
      </c>
      <c r="V67" s="149">
        <v>36508</v>
      </c>
      <c r="W67" s="149">
        <v>37876</v>
      </c>
      <c r="X67" s="149" t="s">
        <v>103</v>
      </c>
      <c r="Y67" s="149" t="s">
        <v>103</v>
      </c>
      <c r="Z67" s="149" t="s">
        <v>103</v>
      </c>
      <c r="AA67" s="149" t="s">
        <v>103</v>
      </c>
      <c r="AB67" s="153" t="s">
        <v>103</v>
      </c>
      <c r="AC67" s="594">
        <f>W67-V67</f>
        <v>1368</v>
      </c>
      <c r="AD67" s="153" t="s">
        <v>103</v>
      </c>
      <c r="AE67" s="149">
        <v>40148</v>
      </c>
      <c r="AF67" s="153" t="s">
        <v>103</v>
      </c>
      <c r="AG67" s="153" t="s">
        <v>103</v>
      </c>
      <c r="AH67" s="596" t="s">
        <v>103</v>
      </c>
      <c r="AI67" s="960" t="s">
        <v>103</v>
      </c>
      <c r="AJ67" s="607">
        <v>10715</v>
      </c>
      <c r="AK67" s="153" t="s">
        <v>120</v>
      </c>
      <c r="AL67" s="791" t="s">
        <v>116</v>
      </c>
      <c r="AO67" s="963"/>
      <c r="AP67" s="94">
        <v>0</v>
      </c>
      <c r="AQ67" s="574">
        <v>0</v>
      </c>
      <c r="AR67" s="153" t="s">
        <v>116</v>
      </c>
      <c r="AS67" s="153" t="s">
        <v>116</v>
      </c>
      <c r="AT67" s="777" t="s">
        <v>122</v>
      </c>
      <c r="AU67" s="777" t="s">
        <v>122</v>
      </c>
      <c r="AV67" s="777" t="s">
        <v>122</v>
      </c>
      <c r="AW67" s="777" t="s">
        <v>122</v>
      </c>
      <c r="AX67" s="155" t="s">
        <v>103</v>
      </c>
      <c r="AY67" s="155" t="s">
        <v>103</v>
      </c>
      <c r="AZ67" s="155" t="s">
        <v>103</v>
      </c>
      <c r="BA67" s="153" t="s">
        <v>103</v>
      </c>
      <c r="BB67" s="153" t="s">
        <v>103</v>
      </c>
      <c r="BC67" s="780" t="s">
        <v>103</v>
      </c>
      <c r="BD67" s="153" t="s">
        <v>103</v>
      </c>
      <c r="BE67" s="679" t="s">
        <v>103</v>
      </c>
      <c r="BF67" s="153" t="s">
        <v>103</v>
      </c>
      <c r="BG67" s="94">
        <v>0</v>
      </c>
      <c r="BH67" s="153" t="s">
        <v>103</v>
      </c>
      <c r="BI67" s="774" t="s">
        <v>103</v>
      </c>
      <c r="BJ67" s="774" t="s">
        <v>103</v>
      </c>
      <c r="BK67" s="153" t="s">
        <v>103</v>
      </c>
      <c r="BL67" s="153" t="s">
        <v>124</v>
      </c>
      <c r="BM67" s="94" t="s">
        <v>103</v>
      </c>
      <c r="BN67" s="155" t="s">
        <v>103</v>
      </c>
      <c r="BO67" s="153" t="s">
        <v>103</v>
      </c>
      <c r="BP67" s="153" t="s">
        <v>103</v>
      </c>
      <c r="BQ67" s="153" t="s">
        <v>103</v>
      </c>
      <c r="BR67" s="153" t="s">
        <v>116</v>
      </c>
      <c r="BS67" s="153" t="s">
        <v>116</v>
      </c>
      <c r="BT67" s="153" t="s">
        <v>116</v>
      </c>
      <c r="BU67" s="153" t="s">
        <v>116</v>
      </c>
      <c r="BV67" s="153" t="s">
        <v>116</v>
      </c>
      <c r="BW67" s="153" t="s">
        <v>116</v>
      </c>
      <c r="BX67" s="153" t="s">
        <v>116</v>
      </c>
      <c r="BY67" s="153" t="s">
        <v>116</v>
      </c>
      <c r="BZ67" s="153" t="s">
        <v>116</v>
      </c>
      <c r="CA67" s="616" t="s">
        <v>116</v>
      </c>
      <c r="CB67" s="153" t="s">
        <v>116</v>
      </c>
      <c r="CC67" s="153" t="s">
        <v>116</v>
      </c>
      <c r="CD67" s="153" t="s">
        <v>116</v>
      </c>
      <c r="CE67" s="153" t="s">
        <v>116</v>
      </c>
    </row>
    <row r="68" spans="1:83" ht="14.1" customHeight="1">
      <c r="A68" s="503" t="s">
        <v>247</v>
      </c>
      <c r="B68" s="164" t="s">
        <v>103</v>
      </c>
      <c r="C68" s="155" t="s">
        <v>103</v>
      </c>
      <c r="D68" s="153" t="s">
        <v>103</v>
      </c>
      <c r="E68" s="153" t="s">
        <v>103</v>
      </c>
      <c r="F68" s="958" t="s">
        <v>103</v>
      </c>
      <c r="G68" s="153" t="s">
        <v>104</v>
      </c>
      <c r="H68" s="673">
        <v>0</v>
      </c>
      <c r="I68" s="508" t="s">
        <v>103</v>
      </c>
      <c r="J68" s="958" t="s">
        <v>103</v>
      </c>
      <c r="K68" s="958" t="s">
        <v>103</v>
      </c>
      <c r="L68" s="155" t="s">
        <v>103</v>
      </c>
      <c r="M68" s="155" t="s">
        <v>103</v>
      </c>
      <c r="N68" s="156">
        <v>0</v>
      </c>
      <c r="O68" s="156" t="s">
        <v>103</v>
      </c>
      <c r="P68" s="156">
        <v>0</v>
      </c>
      <c r="Q68" s="958" t="s">
        <v>103</v>
      </c>
      <c r="R68" s="156">
        <v>0</v>
      </c>
      <c r="S68" s="156">
        <v>0</v>
      </c>
      <c r="T68" s="958" t="s">
        <v>105</v>
      </c>
      <c r="U68" s="153" t="s">
        <v>104</v>
      </c>
      <c r="V68" s="518" t="s">
        <v>103</v>
      </c>
      <c r="W68" s="991" t="s">
        <v>103</v>
      </c>
      <c r="X68" s="991" t="s">
        <v>103</v>
      </c>
      <c r="Y68" s="991" t="s">
        <v>103</v>
      </c>
      <c r="Z68" s="518" t="s">
        <v>103</v>
      </c>
      <c r="AA68" s="991" t="s">
        <v>103</v>
      </c>
      <c r="AB68" s="155" t="s">
        <v>103</v>
      </c>
      <c r="AC68" s="959" t="s">
        <v>103</v>
      </c>
      <c r="AD68" s="155" t="s">
        <v>103</v>
      </c>
      <c r="AE68" s="155" t="s">
        <v>103</v>
      </c>
      <c r="AF68" s="155" t="s">
        <v>103</v>
      </c>
      <c r="AG68" s="155" t="s">
        <v>103</v>
      </c>
      <c r="AH68" s="992" t="s">
        <v>103</v>
      </c>
      <c r="AI68" s="960" t="s">
        <v>103</v>
      </c>
      <c r="AJ68" s="992" t="s">
        <v>103</v>
      </c>
      <c r="AK68" s="155" t="s">
        <v>103</v>
      </c>
      <c r="AL68" s="993" t="s">
        <v>103</v>
      </c>
      <c r="AM68" s="155"/>
      <c r="AN68" s="155"/>
      <c r="AO68" s="994"/>
      <c r="AP68" s="94">
        <v>0</v>
      </c>
      <c r="AQ68" s="578">
        <v>0</v>
      </c>
      <c r="AR68" s="155" t="s">
        <v>103</v>
      </c>
      <c r="AS68" s="155" t="s">
        <v>103</v>
      </c>
      <c r="AT68" s="155" t="s">
        <v>103</v>
      </c>
      <c r="AU68" s="155" t="s">
        <v>103</v>
      </c>
      <c r="AV68" s="155" t="s">
        <v>103</v>
      </c>
      <c r="AW68" s="155" t="s">
        <v>103</v>
      </c>
      <c r="AX68" s="155" t="s">
        <v>103</v>
      </c>
      <c r="AY68" s="155" t="s">
        <v>103</v>
      </c>
      <c r="AZ68" s="155" t="s">
        <v>103</v>
      </c>
      <c r="BA68" s="155" t="s">
        <v>103</v>
      </c>
      <c r="BB68" s="155" t="s">
        <v>103</v>
      </c>
      <c r="BC68" s="155" t="s">
        <v>103</v>
      </c>
      <c r="BD68" s="155" t="s">
        <v>103</v>
      </c>
      <c r="BE68" s="989" t="s">
        <v>103</v>
      </c>
      <c r="BF68" s="155" t="s">
        <v>103</v>
      </c>
      <c r="BG68" s="961">
        <v>0</v>
      </c>
      <c r="BH68" s="155" t="s">
        <v>103</v>
      </c>
      <c r="BI68" s="990" t="s">
        <v>103</v>
      </c>
      <c r="BJ68" s="155" t="s">
        <v>103</v>
      </c>
      <c r="BK68" s="155" t="s">
        <v>103</v>
      </c>
      <c r="BL68" s="155" t="s">
        <v>103</v>
      </c>
      <c r="BM68" s="155" t="s">
        <v>103</v>
      </c>
      <c r="BN68" s="155" t="s">
        <v>103</v>
      </c>
      <c r="BO68" s="155" t="s">
        <v>103</v>
      </c>
      <c r="BP68" s="155" t="s">
        <v>103</v>
      </c>
      <c r="BQ68" s="155" t="s">
        <v>103</v>
      </c>
      <c r="BR68" s="155" t="s">
        <v>103</v>
      </c>
      <c r="BS68" s="155" t="s">
        <v>103</v>
      </c>
      <c r="BT68" s="155" t="s">
        <v>103</v>
      </c>
      <c r="BU68" s="155" t="s">
        <v>103</v>
      </c>
      <c r="BV68" s="155" t="s">
        <v>103</v>
      </c>
      <c r="BW68" s="155" t="s">
        <v>103</v>
      </c>
      <c r="BX68" s="155" t="s">
        <v>103</v>
      </c>
      <c r="BY68" s="155" t="s">
        <v>103</v>
      </c>
      <c r="BZ68" s="155" t="s">
        <v>103</v>
      </c>
      <c r="CA68" s="155" t="s">
        <v>103</v>
      </c>
      <c r="CB68" s="155" t="s">
        <v>103</v>
      </c>
      <c r="CC68" s="155" t="s">
        <v>103</v>
      </c>
      <c r="CD68" s="155" t="s">
        <v>103</v>
      </c>
      <c r="CE68" s="155" t="s">
        <v>103</v>
      </c>
    </row>
    <row r="69" spans="1:83" ht="26.1">
      <c r="A69" s="503" t="s">
        <v>248</v>
      </c>
      <c r="B69" s="164" t="s">
        <v>249</v>
      </c>
      <c r="C69" s="155" t="s">
        <v>250</v>
      </c>
      <c r="D69" s="153" t="s">
        <v>251</v>
      </c>
      <c r="E69" s="153">
        <v>91741</v>
      </c>
      <c r="F69" s="153">
        <v>6037400900</v>
      </c>
      <c r="G69" s="155" t="s">
        <v>110</v>
      </c>
      <c r="H69" s="674">
        <v>0.1279972818172993</v>
      </c>
      <c r="I69" s="508" t="s">
        <v>249</v>
      </c>
      <c r="J69" s="153" t="s">
        <v>117</v>
      </c>
      <c r="K69" s="572" t="s">
        <v>252</v>
      </c>
      <c r="L69" s="153" t="s">
        <v>251</v>
      </c>
      <c r="M69" s="153" t="s">
        <v>104</v>
      </c>
      <c r="N69" s="156">
        <v>2</v>
      </c>
      <c r="O69" s="156">
        <v>0</v>
      </c>
      <c r="P69" s="156">
        <v>0</v>
      </c>
      <c r="Q69" s="156" t="s">
        <v>139</v>
      </c>
      <c r="R69" s="156">
        <v>0</v>
      </c>
      <c r="S69" s="156">
        <v>2</v>
      </c>
      <c r="T69" s="958" t="s">
        <v>105</v>
      </c>
      <c r="U69" s="153" t="s">
        <v>110</v>
      </c>
      <c r="V69" s="149">
        <v>42179</v>
      </c>
      <c r="W69" s="149">
        <v>42192</v>
      </c>
      <c r="X69" s="149">
        <v>43399</v>
      </c>
      <c r="Y69" s="149">
        <v>43769</v>
      </c>
      <c r="Z69" s="149" t="s">
        <v>103</v>
      </c>
      <c r="AA69" s="149">
        <v>42179</v>
      </c>
      <c r="AB69" s="763" t="s">
        <v>121</v>
      </c>
      <c r="AD69" s="149" t="s">
        <v>103</v>
      </c>
      <c r="AE69" s="149" t="s">
        <v>103</v>
      </c>
      <c r="AF69" s="153">
        <v>14</v>
      </c>
      <c r="AG69" s="153" t="s">
        <v>150</v>
      </c>
      <c r="AH69" s="595">
        <v>2868</v>
      </c>
      <c r="AI69" s="960">
        <v>0.54602272699999999</v>
      </c>
      <c r="AJ69" s="607">
        <v>2883</v>
      </c>
      <c r="AK69" s="153" t="s">
        <v>152</v>
      </c>
      <c r="AL69" s="791" t="s">
        <v>104</v>
      </c>
      <c r="AO69" s="963"/>
      <c r="AP69" s="94">
        <v>1200000</v>
      </c>
      <c r="AQ69" s="574">
        <v>1166406.98</v>
      </c>
      <c r="AR69" s="153" t="s">
        <v>116</v>
      </c>
      <c r="AS69" s="153" t="s">
        <v>116</v>
      </c>
      <c r="AT69" s="156">
        <v>0</v>
      </c>
      <c r="AU69" s="777" t="s">
        <v>122</v>
      </c>
      <c r="AV69" s="777" t="s">
        <v>122</v>
      </c>
      <c r="AW69" s="777" t="s">
        <v>122</v>
      </c>
      <c r="AX69" s="155" t="s">
        <v>103</v>
      </c>
      <c r="AY69" s="155" t="s">
        <v>103</v>
      </c>
      <c r="AZ69" s="155" t="s">
        <v>103</v>
      </c>
      <c r="BA69" s="156">
        <v>0</v>
      </c>
      <c r="BB69" s="514">
        <f>AP69-AQ69</f>
        <v>33593.020000000019</v>
      </c>
      <c r="BC69" s="780" t="s">
        <v>103</v>
      </c>
      <c r="BD69" s="153" t="s">
        <v>103</v>
      </c>
      <c r="BE69" s="679" t="s">
        <v>103</v>
      </c>
      <c r="BF69" s="156" t="s">
        <v>103</v>
      </c>
      <c r="BG69" s="94">
        <v>108410.15</v>
      </c>
      <c r="BH69" s="766">
        <v>476279</v>
      </c>
      <c r="BI69" s="774">
        <v>0</v>
      </c>
      <c r="BJ69" s="774">
        <v>0</v>
      </c>
      <c r="BK69" s="153" t="s">
        <v>103</v>
      </c>
      <c r="BL69" s="153" t="s">
        <v>124</v>
      </c>
      <c r="BM69" s="94" t="s">
        <v>103</v>
      </c>
      <c r="BN69" s="155" t="s">
        <v>103</v>
      </c>
      <c r="BO69" s="153" t="s">
        <v>103</v>
      </c>
      <c r="BP69" s="153" t="s">
        <v>103</v>
      </c>
      <c r="BQ69" s="153" t="s">
        <v>103</v>
      </c>
      <c r="BR69" s="153" t="s">
        <v>110</v>
      </c>
      <c r="BS69" s="153" t="s">
        <v>110</v>
      </c>
      <c r="BT69" s="153" t="s">
        <v>110</v>
      </c>
      <c r="BU69" s="153" t="s">
        <v>110</v>
      </c>
      <c r="BV69" s="153" t="s">
        <v>103</v>
      </c>
      <c r="BW69" s="153" t="s">
        <v>110</v>
      </c>
      <c r="BX69" s="153" t="s">
        <v>110</v>
      </c>
      <c r="BY69" s="153" t="s">
        <v>110</v>
      </c>
      <c r="BZ69" s="153" t="s">
        <v>110</v>
      </c>
      <c r="CA69" s="616" t="s">
        <v>110</v>
      </c>
      <c r="CB69" s="153" t="s">
        <v>110</v>
      </c>
      <c r="CC69" s="153" t="s">
        <v>110</v>
      </c>
      <c r="CD69" s="153" t="s">
        <v>110</v>
      </c>
      <c r="CE69" s="153" t="s">
        <v>110</v>
      </c>
    </row>
    <row r="70" spans="1:83" ht="41.45" customHeight="1">
      <c r="A70" s="503"/>
      <c r="B70" s="164" t="s">
        <v>253</v>
      </c>
      <c r="C70" s="155" t="s">
        <v>254</v>
      </c>
      <c r="D70" s="153" t="s">
        <v>255</v>
      </c>
      <c r="E70" s="153" t="s">
        <v>116</v>
      </c>
      <c r="F70" s="153" t="s">
        <v>256</v>
      </c>
      <c r="G70" s="153" t="s">
        <v>110</v>
      </c>
      <c r="H70" s="153" t="s">
        <v>150</v>
      </c>
      <c r="I70" s="508" t="s">
        <v>253</v>
      </c>
      <c r="J70" s="153" t="s">
        <v>257</v>
      </c>
      <c r="K70" s="156">
        <v>0</v>
      </c>
      <c r="L70" s="153" t="s">
        <v>255</v>
      </c>
      <c r="M70" s="153" t="s">
        <v>104</v>
      </c>
      <c r="Q70" s="156" t="s">
        <v>139</v>
      </c>
      <c r="V70" s="149">
        <v>36861</v>
      </c>
      <c r="Y70" s="149">
        <v>38849</v>
      </c>
      <c r="Z70" s="149">
        <v>38849</v>
      </c>
      <c r="AA70" s="149">
        <v>36861</v>
      </c>
      <c r="AB70" s="763" t="s">
        <v>151</v>
      </c>
      <c r="AC70" s="594" t="s">
        <v>116</v>
      </c>
      <c r="AD70" s="153" t="s">
        <v>103</v>
      </c>
      <c r="AE70" s="149" t="s">
        <v>103</v>
      </c>
      <c r="AF70" s="596" t="s">
        <v>103</v>
      </c>
      <c r="AG70" s="596" t="s">
        <v>103</v>
      </c>
      <c r="AH70" s="597" t="s">
        <v>103</v>
      </c>
      <c r="AI70" s="614">
        <v>2.0134469696969699</v>
      </c>
      <c r="AJ70" s="607">
        <v>10631</v>
      </c>
      <c r="AK70" s="153" t="s">
        <v>152</v>
      </c>
      <c r="AL70" s="791" t="s">
        <v>116</v>
      </c>
      <c r="AO70" s="963"/>
      <c r="AP70" s="519">
        <v>2686000</v>
      </c>
      <c r="AQ70" s="580">
        <v>3392541</v>
      </c>
      <c r="AR70" s="153" t="s">
        <v>116</v>
      </c>
      <c r="AS70" s="153" t="s">
        <v>116</v>
      </c>
      <c r="AT70" s="777" t="s">
        <v>122</v>
      </c>
      <c r="AU70" s="777" t="s">
        <v>122</v>
      </c>
      <c r="AV70" s="777" t="s">
        <v>122</v>
      </c>
      <c r="AW70" s="777" t="s">
        <v>122</v>
      </c>
      <c r="AX70" s="155" t="s">
        <v>103</v>
      </c>
      <c r="AY70" s="155" t="s">
        <v>103</v>
      </c>
      <c r="AZ70" s="155" t="s">
        <v>103</v>
      </c>
      <c r="BB70" s="574">
        <f>AQ70</f>
        <v>3392541</v>
      </c>
      <c r="BC70" s="780">
        <v>-706541</v>
      </c>
      <c r="BD70" s="1008" t="s">
        <v>151</v>
      </c>
      <c r="BE70" s="679" t="s">
        <v>256</v>
      </c>
      <c r="BF70" s="153" t="s">
        <v>258</v>
      </c>
      <c r="BG70" s="519">
        <v>3392541</v>
      </c>
      <c r="BH70" s="769" t="s">
        <v>123</v>
      </c>
      <c r="BI70" s="774">
        <v>0</v>
      </c>
      <c r="BJ70" s="774">
        <v>0</v>
      </c>
      <c r="BK70" s="153" t="s">
        <v>103</v>
      </c>
      <c r="BL70" s="153" t="s">
        <v>116</v>
      </c>
      <c r="BM70" s="519" t="s">
        <v>124</v>
      </c>
      <c r="BN70" s="155" t="s">
        <v>124</v>
      </c>
      <c r="BO70" s="153" t="s">
        <v>116</v>
      </c>
      <c r="BP70" s="153" t="s">
        <v>124</v>
      </c>
      <c r="BQ70" s="153" t="s">
        <v>103</v>
      </c>
      <c r="BR70" s="153" t="s">
        <v>110</v>
      </c>
      <c r="BS70" s="153" t="s">
        <v>110</v>
      </c>
      <c r="BT70" s="153" t="s">
        <v>110</v>
      </c>
      <c r="BU70" s="153" t="s">
        <v>110</v>
      </c>
      <c r="BV70" s="153" t="s">
        <v>103</v>
      </c>
      <c r="BW70" s="153" t="s">
        <v>110</v>
      </c>
      <c r="BX70" s="153" t="s">
        <v>110</v>
      </c>
      <c r="BY70" s="153" t="s">
        <v>110</v>
      </c>
      <c r="BZ70" s="153" t="s">
        <v>110</v>
      </c>
      <c r="CA70" s="616" t="s">
        <v>110</v>
      </c>
      <c r="CB70" s="153" t="s">
        <v>110</v>
      </c>
      <c r="CC70" s="153" t="s">
        <v>110</v>
      </c>
      <c r="CD70" s="153" t="s">
        <v>110</v>
      </c>
      <c r="CE70" s="153" t="s">
        <v>110</v>
      </c>
    </row>
    <row r="71" spans="1:83" ht="14.1" customHeight="1">
      <c r="A71" s="503" t="s">
        <v>259</v>
      </c>
      <c r="B71" s="164" t="s">
        <v>103</v>
      </c>
      <c r="C71" s="155" t="s">
        <v>103</v>
      </c>
      <c r="D71" s="153" t="s">
        <v>103</v>
      </c>
      <c r="E71" s="153" t="s">
        <v>103</v>
      </c>
      <c r="F71" s="958" t="s">
        <v>103</v>
      </c>
      <c r="G71" s="153" t="s">
        <v>104</v>
      </c>
      <c r="H71" s="673">
        <v>0.40432742440041708</v>
      </c>
      <c r="I71" s="508" t="s">
        <v>103</v>
      </c>
      <c r="J71" s="958" t="s">
        <v>103</v>
      </c>
      <c r="K71" s="958" t="s">
        <v>103</v>
      </c>
      <c r="L71" s="155" t="s">
        <v>103</v>
      </c>
      <c r="M71" s="155" t="s">
        <v>103</v>
      </c>
      <c r="N71" s="156">
        <v>1</v>
      </c>
      <c r="O71" s="156" t="s">
        <v>103</v>
      </c>
      <c r="P71" s="156">
        <v>0</v>
      </c>
      <c r="Q71" s="958" t="s">
        <v>103</v>
      </c>
      <c r="R71" s="156">
        <v>0</v>
      </c>
      <c r="S71" s="156">
        <v>0</v>
      </c>
      <c r="T71" s="958" t="s">
        <v>105</v>
      </c>
      <c r="U71" s="153" t="s">
        <v>104</v>
      </c>
      <c r="V71" s="518" t="s">
        <v>103</v>
      </c>
      <c r="W71" s="991" t="s">
        <v>103</v>
      </c>
      <c r="X71" s="991" t="s">
        <v>103</v>
      </c>
      <c r="Y71" s="991" t="s">
        <v>103</v>
      </c>
      <c r="Z71" s="518" t="s">
        <v>103</v>
      </c>
      <c r="AA71" s="991" t="s">
        <v>103</v>
      </c>
      <c r="AB71" s="155" t="s">
        <v>103</v>
      </c>
      <c r="AC71" s="959" t="s">
        <v>103</v>
      </c>
      <c r="AD71" s="155" t="s">
        <v>103</v>
      </c>
      <c r="AE71" s="155" t="s">
        <v>103</v>
      </c>
      <c r="AF71" s="155" t="s">
        <v>103</v>
      </c>
      <c r="AG71" s="155" t="s">
        <v>103</v>
      </c>
      <c r="AH71" s="992" t="s">
        <v>103</v>
      </c>
      <c r="AI71" s="960" t="s">
        <v>103</v>
      </c>
      <c r="AJ71" s="992" t="s">
        <v>103</v>
      </c>
      <c r="AK71" s="155" t="s">
        <v>103</v>
      </c>
      <c r="AL71" s="993" t="s">
        <v>103</v>
      </c>
      <c r="AM71" s="155"/>
      <c r="AN71" s="155"/>
      <c r="AO71" s="994"/>
      <c r="AP71" s="94">
        <v>0</v>
      </c>
      <c r="AQ71" s="578">
        <v>0</v>
      </c>
      <c r="AR71" s="155" t="s">
        <v>103</v>
      </c>
      <c r="AS71" s="155" t="s">
        <v>103</v>
      </c>
      <c r="AT71" s="155" t="s">
        <v>103</v>
      </c>
      <c r="AU71" s="155" t="s">
        <v>103</v>
      </c>
      <c r="AV71" s="155" t="s">
        <v>103</v>
      </c>
      <c r="AW71" s="155" t="s">
        <v>103</v>
      </c>
      <c r="AX71" s="155" t="s">
        <v>103</v>
      </c>
      <c r="AY71" s="155" t="s">
        <v>103</v>
      </c>
      <c r="AZ71" s="155" t="s">
        <v>103</v>
      </c>
      <c r="BA71" s="155" t="s">
        <v>103</v>
      </c>
      <c r="BB71" s="155" t="s">
        <v>103</v>
      </c>
      <c r="BC71" s="155" t="s">
        <v>103</v>
      </c>
      <c r="BD71" s="155" t="s">
        <v>103</v>
      </c>
      <c r="BE71" s="989" t="s">
        <v>103</v>
      </c>
      <c r="BF71" s="155" t="s">
        <v>103</v>
      </c>
      <c r="BG71" s="961">
        <v>0</v>
      </c>
      <c r="BH71" s="155" t="s">
        <v>103</v>
      </c>
      <c r="BI71" s="990" t="s">
        <v>103</v>
      </c>
      <c r="BJ71" s="155" t="s">
        <v>103</v>
      </c>
      <c r="BK71" s="155" t="s">
        <v>103</v>
      </c>
      <c r="BL71" s="155" t="s">
        <v>103</v>
      </c>
      <c r="BM71" s="155" t="s">
        <v>103</v>
      </c>
      <c r="BN71" s="155" t="s">
        <v>103</v>
      </c>
      <c r="BO71" s="155" t="s">
        <v>103</v>
      </c>
      <c r="BP71" s="155" t="s">
        <v>103</v>
      </c>
      <c r="BQ71" s="155" t="s">
        <v>103</v>
      </c>
      <c r="BR71" s="155" t="s">
        <v>103</v>
      </c>
      <c r="BS71" s="155" t="s">
        <v>103</v>
      </c>
      <c r="BT71" s="155" t="s">
        <v>103</v>
      </c>
      <c r="BU71" s="155" t="s">
        <v>103</v>
      </c>
      <c r="BV71" s="155" t="s">
        <v>103</v>
      </c>
      <c r="BW71" s="155" t="s">
        <v>103</v>
      </c>
      <c r="BX71" s="155" t="s">
        <v>103</v>
      </c>
      <c r="BY71" s="155" t="s">
        <v>103</v>
      </c>
      <c r="BZ71" s="155" t="s">
        <v>103</v>
      </c>
      <c r="CA71" s="155" t="s">
        <v>103</v>
      </c>
      <c r="CB71" s="155" t="s">
        <v>103</v>
      </c>
      <c r="CC71" s="155" t="s">
        <v>103</v>
      </c>
      <c r="CD71" s="155" t="s">
        <v>103</v>
      </c>
      <c r="CE71" s="155" t="s">
        <v>103</v>
      </c>
    </row>
    <row r="72" spans="1:83" ht="10.35" customHeight="1">
      <c r="A72" s="503" t="s">
        <v>260</v>
      </c>
      <c r="B72" s="164" t="s">
        <v>261</v>
      </c>
      <c r="C72" s="155" t="s">
        <v>262</v>
      </c>
      <c r="D72" s="153">
        <v>6866</v>
      </c>
      <c r="E72" s="153">
        <v>90250</v>
      </c>
      <c r="F72" s="153">
        <v>6037602105</v>
      </c>
      <c r="G72" s="155" t="s">
        <v>104</v>
      </c>
      <c r="H72" s="674">
        <v>0.3046879831776857</v>
      </c>
      <c r="I72" s="508" t="s">
        <v>261</v>
      </c>
      <c r="J72" s="153" t="s">
        <v>117</v>
      </c>
      <c r="K72" s="572" t="s">
        <v>130</v>
      </c>
      <c r="L72" s="153">
        <v>6866</v>
      </c>
      <c r="M72" s="153" t="s">
        <v>104</v>
      </c>
      <c r="N72" s="156">
        <v>2</v>
      </c>
      <c r="P72" s="156">
        <v>0</v>
      </c>
      <c r="Q72" s="156" t="s">
        <v>139</v>
      </c>
      <c r="R72" s="156">
        <v>0</v>
      </c>
      <c r="S72" s="156">
        <v>2</v>
      </c>
      <c r="T72" s="958" t="s">
        <v>105</v>
      </c>
      <c r="U72" s="153" t="s">
        <v>104</v>
      </c>
      <c r="V72" s="590">
        <v>39890</v>
      </c>
      <c r="W72" s="149">
        <v>39234</v>
      </c>
      <c r="X72" s="149">
        <v>39797</v>
      </c>
      <c r="Y72" s="149">
        <v>40400</v>
      </c>
      <c r="Z72" s="149">
        <v>40400</v>
      </c>
      <c r="AA72" s="149">
        <v>39890</v>
      </c>
      <c r="AB72" s="763" t="s">
        <v>151</v>
      </c>
      <c r="AC72" s="594">
        <v>-468.57142857142856</v>
      </c>
      <c r="AD72" s="153" t="s">
        <v>103</v>
      </c>
      <c r="AE72" s="149" t="s">
        <v>103</v>
      </c>
      <c r="AF72" s="596">
        <v>33</v>
      </c>
      <c r="AG72" s="596" t="s">
        <v>150</v>
      </c>
      <c r="AH72" s="595">
        <v>16517</v>
      </c>
      <c r="AI72" s="614">
        <v>1.893939393939394</v>
      </c>
      <c r="AJ72" s="607">
        <v>10000</v>
      </c>
      <c r="AK72" s="153" t="s">
        <v>120</v>
      </c>
      <c r="AL72" s="791" t="s">
        <v>116</v>
      </c>
      <c r="AO72" s="963"/>
      <c r="AP72" s="519">
        <v>4500000</v>
      </c>
      <c r="AQ72" s="574">
        <v>4927524</v>
      </c>
      <c r="AR72" s="153" t="s">
        <v>116</v>
      </c>
      <c r="AS72" s="153" t="s">
        <v>116</v>
      </c>
      <c r="AT72" s="777" t="s">
        <v>122</v>
      </c>
      <c r="AU72" s="777" t="s">
        <v>122</v>
      </c>
      <c r="AV72" s="777" t="s">
        <v>122</v>
      </c>
      <c r="AW72" s="777" t="s">
        <v>122</v>
      </c>
      <c r="AX72" s="155" t="s">
        <v>103</v>
      </c>
      <c r="AY72" s="155" t="s">
        <v>103</v>
      </c>
      <c r="AZ72" s="155" t="s">
        <v>103</v>
      </c>
      <c r="BB72" s="574">
        <f t="shared" ref="BB72:BB73" si="5">AQ72</f>
        <v>4927524</v>
      </c>
      <c r="BC72" s="780">
        <v>-427524</v>
      </c>
      <c r="BD72" s="1008" t="s">
        <v>151</v>
      </c>
      <c r="BE72" s="679">
        <v>0</v>
      </c>
      <c r="BF72" s="153" t="s">
        <v>103</v>
      </c>
      <c r="BG72" s="94">
        <v>4927524</v>
      </c>
      <c r="BH72" s="766">
        <v>3405837</v>
      </c>
      <c r="BI72" s="774">
        <v>1094163</v>
      </c>
      <c r="BJ72" s="774">
        <v>0</v>
      </c>
      <c r="BK72" s="153" t="s">
        <v>103</v>
      </c>
      <c r="BL72" s="153" t="s">
        <v>124</v>
      </c>
      <c r="BM72" s="94" t="s">
        <v>103</v>
      </c>
      <c r="BN72" s="155" t="s">
        <v>103</v>
      </c>
      <c r="BO72" s="153" t="s">
        <v>103</v>
      </c>
      <c r="BP72" s="153" t="s">
        <v>103</v>
      </c>
      <c r="BQ72" s="153" t="s">
        <v>103</v>
      </c>
      <c r="BR72" s="153" t="s">
        <v>116</v>
      </c>
      <c r="BS72" s="153" t="s">
        <v>116</v>
      </c>
      <c r="BT72" s="153" t="s">
        <v>116</v>
      </c>
      <c r="BU72" s="153" t="s">
        <v>116</v>
      </c>
      <c r="BV72" s="153" t="s">
        <v>116</v>
      </c>
      <c r="BW72" s="153" t="s">
        <v>116</v>
      </c>
      <c r="BX72" s="153" t="s">
        <v>116</v>
      </c>
      <c r="BY72" s="153" t="s">
        <v>116</v>
      </c>
      <c r="BZ72" s="153" t="s">
        <v>116</v>
      </c>
      <c r="CA72" s="616" t="s">
        <v>116</v>
      </c>
      <c r="CB72" s="153" t="s">
        <v>116</v>
      </c>
      <c r="CC72" s="153" t="s">
        <v>116</v>
      </c>
      <c r="CD72" s="153" t="s">
        <v>116</v>
      </c>
      <c r="CE72" s="153" t="s">
        <v>116</v>
      </c>
    </row>
    <row r="73" spans="1:83" ht="21" customHeight="1">
      <c r="A73" s="503"/>
      <c r="B73" s="164" t="s">
        <v>263</v>
      </c>
      <c r="C73" s="155">
        <v>800060258</v>
      </c>
      <c r="D73" s="153">
        <v>6866</v>
      </c>
      <c r="E73" s="153">
        <v>90250</v>
      </c>
      <c r="F73" s="153">
        <v>6037602105</v>
      </c>
      <c r="G73" s="153" t="s">
        <v>104</v>
      </c>
      <c r="H73" s="153" t="s">
        <v>150</v>
      </c>
      <c r="I73" s="508" t="s">
        <v>263</v>
      </c>
      <c r="J73" s="153" t="s">
        <v>117</v>
      </c>
      <c r="K73" s="572" t="s">
        <v>130</v>
      </c>
      <c r="L73" s="153">
        <v>6866</v>
      </c>
      <c r="M73" s="153" t="s">
        <v>104</v>
      </c>
      <c r="Q73" s="156" t="s">
        <v>139</v>
      </c>
      <c r="V73" s="590">
        <v>39890</v>
      </c>
      <c r="W73" s="149">
        <v>38107</v>
      </c>
      <c r="X73" s="149">
        <v>38728</v>
      </c>
      <c r="Y73" s="149">
        <v>38996</v>
      </c>
      <c r="Z73" s="149">
        <v>38996</v>
      </c>
      <c r="AA73" s="149">
        <v>38090</v>
      </c>
      <c r="AB73" s="763" t="s">
        <v>151</v>
      </c>
      <c r="AC73" s="594">
        <v>-1273.5714285714287</v>
      </c>
      <c r="AD73" s="153" t="s">
        <v>103</v>
      </c>
      <c r="AE73" s="149" t="s">
        <v>103</v>
      </c>
      <c r="AF73" s="596">
        <v>4</v>
      </c>
      <c r="AG73" s="596" t="s">
        <v>150</v>
      </c>
      <c r="AH73" s="595">
        <v>6894</v>
      </c>
      <c r="AI73" s="614">
        <v>0.41666666666666669</v>
      </c>
      <c r="AJ73" s="607">
        <v>2200</v>
      </c>
      <c r="AK73" s="153" t="s">
        <v>120</v>
      </c>
      <c r="AL73" s="791" t="s">
        <v>116</v>
      </c>
      <c r="AO73" s="963"/>
      <c r="AP73" s="519">
        <v>1200000</v>
      </c>
      <c r="AQ73" s="574">
        <v>1420483</v>
      </c>
      <c r="AR73" s="153" t="s">
        <v>116</v>
      </c>
      <c r="AS73" s="153" t="s">
        <v>116</v>
      </c>
      <c r="AT73" s="777" t="s">
        <v>122</v>
      </c>
      <c r="AU73" s="777" t="s">
        <v>122</v>
      </c>
      <c r="AV73" s="777" t="s">
        <v>122</v>
      </c>
      <c r="AW73" s="777" t="s">
        <v>122</v>
      </c>
      <c r="AX73" s="155" t="s">
        <v>103</v>
      </c>
      <c r="AY73" s="155" t="s">
        <v>103</v>
      </c>
      <c r="AZ73" s="155" t="s">
        <v>103</v>
      </c>
      <c r="BB73" s="574">
        <f t="shared" si="5"/>
        <v>1420483</v>
      </c>
      <c r="BC73" s="780">
        <v>-220483</v>
      </c>
      <c r="BD73" s="1008" t="s">
        <v>151</v>
      </c>
      <c r="BE73" s="679">
        <v>-2238</v>
      </c>
      <c r="BF73" s="153">
        <v>2010</v>
      </c>
      <c r="BG73" s="94">
        <v>1420483</v>
      </c>
      <c r="BH73" s="766" t="s">
        <v>123</v>
      </c>
      <c r="BI73" s="774">
        <v>0</v>
      </c>
      <c r="BJ73" s="774">
        <v>0</v>
      </c>
      <c r="BK73" s="153" t="s">
        <v>103</v>
      </c>
      <c r="BL73" s="153" t="s">
        <v>124</v>
      </c>
      <c r="BM73" s="94" t="s">
        <v>103</v>
      </c>
      <c r="BN73" s="155" t="s">
        <v>103</v>
      </c>
      <c r="BO73" s="153" t="s">
        <v>103</v>
      </c>
      <c r="BP73" s="153" t="s">
        <v>103</v>
      </c>
      <c r="BQ73" s="153" t="s">
        <v>103</v>
      </c>
      <c r="BR73" s="153" t="s">
        <v>116</v>
      </c>
      <c r="BS73" s="153" t="s">
        <v>116</v>
      </c>
      <c r="BT73" s="153" t="s">
        <v>116</v>
      </c>
      <c r="BU73" s="153" t="s">
        <v>116</v>
      </c>
      <c r="BV73" s="153" t="s">
        <v>116</v>
      </c>
      <c r="BW73" s="153" t="s">
        <v>116</v>
      </c>
      <c r="BX73" s="153" t="s">
        <v>116</v>
      </c>
      <c r="BY73" s="153" t="s">
        <v>116</v>
      </c>
      <c r="BZ73" s="153" t="s">
        <v>116</v>
      </c>
      <c r="CA73" s="616" t="s">
        <v>116</v>
      </c>
      <c r="CB73" s="153" t="s">
        <v>116</v>
      </c>
      <c r="CC73" s="153" t="s">
        <v>116</v>
      </c>
      <c r="CD73" s="153" t="s">
        <v>116</v>
      </c>
      <c r="CE73" s="153" t="s">
        <v>116</v>
      </c>
    </row>
    <row r="74" spans="1:83" ht="17.100000000000001" customHeight="1">
      <c r="A74" s="503" t="s">
        <v>264</v>
      </c>
      <c r="B74" s="164" t="s">
        <v>103</v>
      </c>
      <c r="C74" s="155" t="s">
        <v>103</v>
      </c>
      <c r="D74" s="153" t="s">
        <v>103</v>
      </c>
      <c r="E74" s="153" t="s">
        <v>103</v>
      </c>
      <c r="F74" s="958" t="s">
        <v>103</v>
      </c>
      <c r="G74" s="153" t="s">
        <v>110</v>
      </c>
      <c r="H74" s="673">
        <v>2.6060716898317484E-2</v>
      </c>
      <c r="I74" s="508" t="s">
        <v>103</v>
      </c>
      <c r="J74" s="958" t="s">
        <v>103</v>
      </c>
      <c r="K74" s="958" t="s">
        <v>103</v>
      </c>
      <c r="L74" s="155" t="s">
        <v>103</v>
      </c>
      <c r="M74" s="155" t="s">
        <v>103</v>
      </c>
      <c r="N74" s="156">
        <v>0</v>
      </c>
      <c r="O74" s="156" t="s">
        <v>103</v>
      </c>
      <c r="P74" s="156">
        <v>0</v>
      </c>
      <c r="Q74" s="958" t="s">
        <v>103</v>
      </c>
      <c r="R74" s="156">
        <v>0</v>
      </c>
      <c r="S74" s="156">
        <v>0</v>
      </c>
      <c r="T74" s="958" t="s">
        <v>105</v>
      </c>
      <c r="U74" s="153" t="s">
        <v>110</v>
      </c>
      <c r="V74" s="518" t="s">
        <v>103</v>
      </c>
      <c r="W74" s="991" t="s">
        <v>103</v>
      </c>
      <c r="X74" s="991" t="s">
        <v>103</v>
      </c>
      <c r="Y74" s="991" t="s">
        <v>103</v>
      </c>
      <c r="Z74" s="518" t="s">
        <v>103</v>
      </c>
      <c r="AA74" s="991" t="s">
        <v>103</v>
      </c>
      <c r="AB74" s="155" t="s">
        <v>103</v>
      </c>
      <c r="AC74" s="959" t="s">
        <v>103</v>
      </c>
      <c r="AD74" s="155" t="s">
        <v>103</v>
      </c>
      <c r="AE74" s="155" t="s">
        <v>103</v>
      </c>
      <c r="AF74" s="155" t="s">
        <v>103</v>
      </c>
      <c r="AG74" s="155" t="s">
        <v>103</v>
      </c>
      <c r="AH74" s="992" t="s">
        <v>103</v>
      </c>
      <c r="AI74" s="960" t="s">
        <v>103</v>
      </c>
      <c r="AJ74" s="992" t="s">
        <v>103</v>
      </c>
      <c r="AK74" s="155" t="s">
        <v>103</v>
      </c>
      <c r="AL74" s="993" t="s">
        <v>103</v>
      </c>
      <c r="AM74" s="155"/>
      <c r="AN74" s="155"/>
      <c r="AO74" s="994"/>
      <c r="AP74" s="94">
        <v>0</v>
      </c>
      <c r="AQ74" s="578">
        <v>0</v>
      </c>
      <c r="AR74" s="155" t="s">
        <v>103</v>
      </c>
      <c r="AS74" s="155" t="s">
        <v>103</v>
      </c>
      <c r="AT74" s="155" t="s">
        <v>103</v>
      </c>
      <c r="AU74" s="155" t="s">
        <v>103</v>
      </c>
      <c r="AV74" s="155" t="s">
        <v>103</v>
      </c>
      <c r="AW74" s="155" t="s">
        <v>103</v>
      </c>
      <c r="AX74" s="155" t="s">
        <v>103</v>
      </c>
      <c r="AY74" s="155" t="s">
        <v>103</v>
      </c>
      <c r="AZ74" s="155" t="s">
        <v>103</v>
      </c>
      <c r="BA74" s="155" t="s">
        <v>103</v>
      </c>
      <c r="BB74" s="155" t="s">
        <v>103</v>
      </c>
      <c r="BC74" s="155" t="s">
        <v>103</v>
      </c>
      <c r="BD74" s="155" t="s">
        <v>103</v>
      </c>
      <c r="BE74" s="989" t="s">
        <v>103</v>
      </c>
      <c r="BF74" s="155" t="s">
        <v>103</v>
      </c>
      <c r="BG74" s="961">
        <v>0</v>
      </c>
      <c r="BH74" s="155" t="s">
        <v>103</v>
      </c>
      <c r="BI74" s="990" t="s">
        <v>103</v>
      </c>
      <c r="BJ74" s="155" t="s">
        <v>103</v>
      </c>
      <c r="BK74" s="155" t="s">
        <v>103</v>
      </c>
      <c r="BL74" s="155" t="s">
        <v>103</v>
      </c>
      <c r="BM74" s="155" t="s">
        <v>103</v>
      </c>
      <c r="BN74" s="155" t="s">
        <v>103</v>
      </c>
      <c r="BO74" s="155" t="s">
        <v>103</v>
      </c>
      <c r="BP74" s="155" t="s">
        <v>103</v>
      </c>
      <c r="BQ74" s="155" t="s">
        <v>103</v>
      </c>
      <c r="BR74" s="155" t="s">
        <v>103</v>
      </c>
      <c r="BS74" s="155" t="s">
        <v>103</v>
      </c>
      <c r="BT74" s="155" t="s">
        <v>103</v>
      </c>
      <c r="BU74" s="155" t="s">
        <v>103</v>
      </c>
      <c r="BV74" s="155" t="s">
        <v>103</v>
      </c>
      <c r="BW74" s="155" t="s">
        <v>103</v>
      </c>
      <c r="BX74" s="155" t="s">
        <v>103</v>
      </c>
      <c r="BY74" s="155" t="s">
        <v>103</v>
      </c>
      <c r="BZ74" s="155" t="s">
        <v>103</v>
      </c>
      <c r="CA74" s="155" t="s">
        <v>103</v>
      </c>
      <c r="CB74" s="155" t="s">
        <v>103</v>
      </c>
      <c r="CC74" s="155" t="s">
        <v>103</v>
      </c>
      <c r="CD74" s="155" t="s">
        <v>103</v>
      </c>
      <c r="CE74" s="155" t="s">
        <v>103</v>
      </c>
    </row>
    <row r="75" spans="1:83" ht="20.45" customHeight="1">
      <c r="A75" s="503" t="s">
        <v>265</v>
      </c>
      <c r="B75" s="164" t="s">
        <v>103</v>
      </c>
      <c r="C75" s="155" t="s">
        <v>103</v>
      </c>
      <c r="D75" s="153" t="s">
        <v>103</v>
      </c>
      <c r="E75" s="153" t="s">
        <v>103</v>
      </c>
      <c r="F75" s="958" t="s">
        <v>103</v>
      </c>
      <c r="G75" s="153" t="s">
        <v>110</v>
      </c>
      <c r="H75" s="673">
        <v>1.6011644832605532E-2</v>
      </c>
      <c r="I75" s="508" t="s">
        <v>103</v>
      </c>
      <c r="J75" s="958" t="s">
        <v>103</v>
      </c>
      <c r="K75" s="958" t="s">
        <v>103</v>
      </c>
      <c r="L75" s="155" t="s">
        <v>103</v>
      </c>
      <c r="M75" s="155" t="s">
        <v>103</v>
      </c>
      <c r="N75" s="156">
        <v>0</v>
      </c>
      <c r="O75" s="156" t="s">
        <v>103</v>
      </c>
      <c r="P75" s="156">
        <v>0</v>
      </c>
      <c r="Q75" s="958" t="s">
        <v>103</v>
      </c>
      <c r="R75" s="156">
        <v>0</v>
      </c>
      <c r="S75" s="156">
        <v>0</v>
      </c>
      <c r="T75" s="958" t="s">
        <v>105</v>
      </c>
      <c r="U75" s="153" t="s">
        <v>110</v>
      </c>
      <c r="V75" s="518" t="s">
        <v>103</v>
      </c>
      <c r="W75" s="991" t="s">
        <v>103</v>
      </c>
      <c r="X75" s="991" t="s">
        <v>103</v>
      </c>
      <c r="Y75" s="991" t="s">
        <v>103</v>
      </c>
      <c r="Z75" s="518" t="s">
        <v>103</v>
      </c>
      <c r="AA75" s="991" t="s">
        <v>103</v>
      </c>
      <c r="AB75" s="155" t="s">
        <v>103</v>
      </c>
      <c r="AC75" s="959" t="s">
        <v>103</v>
      </c>
      <c r="AD75" s="155" t="s">
        <v>103</v>
      </c>
      <c r="AE75" s="155" t="s">
        <v>103</v>
      </c>
      <c r="AF75" s="155" t="s">
        <v>103</v>
      </c>
      <c r="AG75" s="155" t="s">
        <v>103</v>
      </c>
      <c r="AH75" s="992" t="s">
        <v>103</v>
      </c>
      <c r="AI75" s="960" t="s">
        <v>103</v>
      </c>
      <c r="AJ75" s="992" t="s">
        <v>103</v>
      </c>
      <c r="AK75" s="155" t="s">
        <v>103</v>
      </c>
      <c r="AL75" s="993" t="s">
        <v>103</v>
      </c>
      <c r="AM75" s="155"/>
      <c r="AN75" s="155"/>
      <c r="AO75" s="994"/>
      <c r="AP75" s="94">
        <v>0</v>
      </c>
      <c r="AQ75" s="578">
        <v>0</v>
      </c>
      <c r="AR75" s="155" t="s">
        <v>103</v>
      </c>
      <c r="AS75" s="155" t="s">
        <v>103</v>
      </c>
      <c r="AT75" s="155" t="s">
        <v>103</v>
      </c>
      <c r="AU75" s="155" t="s">
        <v>103</v>
      </c>
      <c r="AV75" s="155" t="s">
        <v>103</v>
      </c>
      <c r="AW75" s="155" t="s">
        <v>103</v>
      </c>
      <c r="AX75" s="155" t="s">
        <v>103</v>
      </c>
      <c r="AY75" s="155" t="s">
        <v>103</v>
      </c>
      <c r="AZ75" s="155" t="s">
        <v>103</v>
      </c>
      <c r="BA75" s="155" t="s">
        <v>103</v>
      </c>
      <c r="BB75" s="155" t="s">
        <v>103</v>
      </c>
      <c r="BC75" s="155" t="s">
        <v>103</v>
      </c>
      <c r="BD75" s="155" t="s">
        <v>103</v>
      </c>
      <c r="BE75" s="989" t="s">
        <v>103</v>
      </c>
      <c r="BF75" s="155" t="s">
        <v>103</v>
      </c>
      <c r="BG75" s="961">
        <v>0</v>
      </c>
      <c r="BH75" s="155" t="s">
        <v>103</v>
      </c>
      <c r="BI75" s="990" t="s">
        <v>103</v>
      </c>
      <c r="BJ75" s="155" t="s">
        <v>103</v>
      </c>
      <c r="BK75" s="155" t="s">
        <v>103</v>
      </c>
      <c r="BL75" s="155" t="s">
        <v>103</v>
      </c>
      <c r="BM75" s="155" t="s">
        <v>103</v>
      </c>
      <c r="BN75" s="155" t="s">
        <v>103</v>
      </c>
      <c r="BO75" s="155" t="s">
        <v>103</v>
      </c>
      <c r="BP75" s="155" t="s">
        <v>103</v>
      </c>
      <c r="BQ75" s="155" t="s">
        <v>103</v>
      </c>
      <c r="BR75" s="155" t="s">
        <v>103</v>
      </c>
      <c r="BS75" s="155" t="s">
        <v>103</v>
      </c>
      <c r="BT75" s="155" t="s">
        <v>103</v>
      </c>
      <c r="BU75" s="155" t="s">
        <v>103</v>
      </c>
      <c r="BV75" s="155" t="s">
        <v>103</v>
      </c>
      <c r="BW75" s="155" t="s">
        <v>103</v>
      </c>
      <c r="BX75" s="155" t="s">
        <v>103</v>
      </c>
      <c r="BY75" s="155" t="s">
        <v>103</v>
      </c>
      <c r="BZ75" s="155" t="s">
        <v>103</v>
      </c>
      <c r="CA75" s="155" t="s">
        <v>103</v>
      </c>
      <c r="CB75" s="155" t="s">
        <v>103</v>
      </c>
      <c r="CC75" s="155" t="s">
        <v>103</v>
      </c>
      <c r="CD75" s="155" t="s">
        <v>103</v>
      </c>
      <c r="CE75" s="155" t="s">
        <v>103</v>
      </c>
    </row>
    <row r="76" spans="1:83" ht="14.1" customHeight="1">
      <c r="A76" s="503" t="s">
        <v>266</v>
      </c>
      <c r="B76" s="164" t="s">
        <v>267</v>
      </c>
      <c r="C76" s="155" t="s">
        <v>268</v>
      </c>
      <c r="D76" s="153" t="s">
        <v>269</v>
      </c>
      <c r="E76" s="153">
        <v>90255</v>
      </c>
      <c r="F76" s="153">
        <v>6037532603</v>
      </c>
      <c r="G76" s="155" t="s">
        <v>104</v>
      </c>
      <c r="H76" s="674">
        <v>0.4834812157825184</v>
      </c>
      <c r="I76" s="508" t="s">
        <v>267</v>
      </c>
      <c r="J76" s="153" t="s">
        <v>117</v>
      </c>
      <c r="K76" s="572" t="s">
        <v>130</v>
      </c>
      <c r="L76" s="153" t="s">
        <v>269</v>
      </c>
      <c r="M76" s="153" t="s">
        <v>104</v>
      </c>
      <c r="N76" s="156">
        <v>2</v>
      </c>
      <c r="P76" s="156">
        <v>0</v>
      </c>
      <c r="Q76" s="156" t="s">
        <v>139</v>
      </c>
      <c r="R76" s="156">
        <v>0</v>
      </c>
      <c r="S76" s="156">
        <v>1</v>
      </c>
      <c r="T76" s="958" t="s">
        <v>105</v>
      </c>
      <c r="U76" s="153" t="s">
        <v>104</v>
      </c>
      <c r="V76" s="590">
        <v>40365</v>
      </c>
      <c r="W76" s="149">
        <v>40235</v>
      </c>
      <c r="X76" s="149">
        <v>40567</v>
      </c>
      <c r="Y76" s="149">
        <v>41000</v>
      </c>
      <c r="Z76" s="149">
        <v>41000</v>
      </c>
      <c r="AA76" s="149">
        <v>40365</v>
      </c>
      <c r="AB76" s="763" t="s">
        <v>121</v>
      </c>
      <c r="AC76" s="594">
        <v>-92.857142857142861</v>
      </c>
      <c r="AD76" s="153" t="s">
        <v>103</v>
      </c>
      <c r="AE76" s="149" t="s">
        <v>103</v>
      </c>
      <c r="AF76" s="596">
        <v>10</v>
      </c>
      <c r="AG76" s="596">
        <v>3</v>
      </c>
      <c r="AH76" s="595">
        <v>3168</v>
      </c>
      <c r="AI76" s="614">
        <v>0.6</v>
      </c>
      <c r="AJ76" s="607">
        <v>2500</v>
      </c>
      <c r="AK76" s="153" t="s">
        <v>120</v>
      </c>
      <c r="AL76" s="791" t="s">
        <v>104</v>
      </c>
      <c r="AO76" s="963"/>
      <c r="AP76" s="519">
        <v>1180000</v>
      </c>
      <c r="AQ76" s="574">
        <v>993591</v>
      </c>
      <c r="AR76" s="153" t="s">
        <v>116</v>
      </c>
      <c r="AS76" s="153" t="s">
        <v>116</v>
      </c>
      <c r="AT76" s="156">
        <v>0</v>
      </c>
      <c r="AU76" s="777" t="s">
        <v>122</v>
      </c>
      <c r="AV76" s="777" t="s">
        <v>122</v>
      </c>
      <c r="AW76" s="777" t="s">
        <v>122</v>
      </c>
      <c r="AX76" s="155" t="s">
        <v>103</v>
      </c>
      <c r="AY76" s="155" t="s">
        <v>103</v>
      </c>
      <c r="AZ76" s="155" t="s">
        <v>103</v>
      </c>
      <c r="BA76" s="156">
        <v>0</v>
      </c>
      <c r="BB76" s="574">
        <f>AQ76</f>
        <v>993591</v>
      </c>
      <c r="BC76" s="780">
        <v>186409</v>
      </c>
      <c r="BD76" s="1008" t="s">
        <v>121</v>
      </c>
      <c r="BE76" s="679">
        <v>0</v>
      </c>
      <c r="BF76" s="153" t="s">
        <v>103</v>
      </c>
      <c r="BG76" s="94">
        <v>993591</v>
      </c>
      <c r="BH76" s="766">
        <v>2295624</v>
      </c>
      <c r="BI76" s="774">
        <v>0</v>
      </c>
      <c r="BJ76" s="774">
        <v>0</v>
      </c>
      <c r="BK76" s="153" t="s">
        <v>103</v>
      </c>
      <c r="BL76" s="153" t="s">
        <v>124</v>
      </c>
      <c r="BM76" s="94" t="s">
        <v>103</v>
      </c>
      <c r="BN76" s="155" t="s">
        <v>103</v>
      </c>
      <c r="BO76" s="153" t="s">
        <v>103</v>
      </c>
      <c r="BP76" s="153" t="s">
        <v>103</v>
      </c>
      <c r="BQ76" s="153" t="s">
        <v>103</v>
      </c>
      <c r="BR76" s="153" t="s">
        <v>116</v>
      </c>
      <c r="BS76" s="153" t="s">
        <v>116</v>
      </c>
      <c r="BT76" s="153" t="s">
        <v>116</v>
      </c>
      <c r="BU76" s="153" t="s">
        <v>116</v>
      </c>
      <c r="BV76" s="153" t="s">
        <v>116</v>
      </c>
      <c r="BW76" s="153" t="s">
        <v>116</v>
      </c>
      <c r="BX76" s="153" t="s">
        <v>116</v>
      </c>
      <c r="BY76" s="153" t="s">
        <v>116</v>
      </c>
      <c r="BZ76" s="153" t="s">
        <v>116</v>
      </c>
      <c r="CA76" s="616" t="s">
        <v>116</v>
      </c>
      <c r="CB76" s="153" t="s">
        <v>116</v>
      </c>
      <c r="CC76" s="153" t="s">
        <v>116</v>
      </c>
      <c r="CD76" s="153" t="s">
        <v>116</v>
      </c>
      <c r="CE76" s="153" t="s">
        <v>116</v>
      </c>
    </row>
    <row r="77" spans="1:83" ht="12.6" customHeight="1">
      <c r="A77" s="503"/>
      <c r="B77" s="164" t="s">
        <v>270</v>
      </c>
      <c r="C77" s="155">
        <v>800060260</v>
      </c>
      <c r="D77" s="153" t="s">
        <v>269</v>
      </c>
      <c r="E77" s="153">
        <v>90255</v>
      </c>
      <c r="F77" s="153">
        <v>6037532603</v>
      </c>
      <c r="G77" s="153" t="s">
        <v>216</v>
      </c>
      <c r="H77" s="153" t="s">
        <v>150</v>
      </c>
      <c r="I77" s="508" t="s">
        <v>270</v>
      </c>
      <c r="J77" s="153" t="s">
        <v>117</v>
      </c>
      <c r="K77" s="572" t="s">
        <v>130</v>
      </c>
      <c r="L77" s="153" t="s">
        <v>269</v>
      </c>
      <c r="M77" s="153" t="s">
        <v>110</v>
      </c>
      <c r="P77" s="156">
        <v>0</v>
      </c>
      <c r="Q77" s="156" t="s">
        <v>244</v>
      </c>
      <c r="R77" s="156">
        <v>0</v>
      </c>
      <c r="S77" s="156">
        <v>0</v>
      </c>
      <c r="V77" s="590">
        <v>40365</v>
      </c>
      <c r="W77" s="149">
        <v>39295</v>
      </c>
      <c r="X77" s="149" t="s">
        <v>103</v>
      </c>
      <c r="Y77" s="149" t="s">
        <v>103</v>
      </c>
      <c r="Z77" s="149" t="s">
        <v>103</v>
      </c>
      <c r="AA77" s="149">
        <v>40365</v>
      </c>
      <c r="AB77" s="153" t="s">
        <v>103</v>
      </c>
      <c r="AC77" s="594">
        <f>W77-V77</f>
        <v>-1070</v>
      </c>
      <c r="AD77" s="153" t="s">
        <v>103</v>
      </c>
      <c r="AE77" s="153"/>
      <c r="AF77" s="153" t="s">
        <v>103</v>
      </c>
      <c r="AG77" s="153" t="s">
        <v>103</v>
      </c>
      <c r="AH77" s="596" t="s">
        <v>103</v>
      </c>
      <c r="AI77" s="960" t="s">
        <v>103</v>
      </c>
      <c r="AJ77" s="607">
        <v>2100</v>
      </c>
      <c r="AK77" s="153" t="s">
        <v>120</v>
      </c>
      <c r="AL77" s="791" t="s">
        <v>103</v>
      </c>
      <c r="AO77" s="963"/>
      <c r="AP77" s="94"/>
      <c r="AQ77" s="574">
        <v>0</v>
      </c>
      <c r="AR77" s="153" t="s">
        <v>116</v>
      </c>
      <c r="AS77" s="153" t="s">
        <v>116</v>
      </c>
      <c r="AT77" s="156">
        <v>0</v>
      </c>
      <c r="AU77" s="777" t="s">
        <v>122</v>
      </c>
      <c r="AV77" s="777" t="s">
        <v>122</v>
      </c>
      <c r="AW77" s="777" t="s">
        <v>122</v>
      </c>
      <c r="AX77" s="155" t="s">
        <v>103</v>
      </c>
      <c r="AY77" s="155" t="s">
        <v>103</v>
      </c>
      <c r="AZ77" s="155" t="s">
        <v>103</v>
      </c>
      <c r="BA77" s="156">
        <v>0</v>
      </c>
      <c r="BB77" s="153"/>
      <c r="BC77" s="780" t="s">
        <v>103</v>
      </c>
      <c r="BD77" s="153" t="s">
        <v>103</v>
      </c>
      <c r="BE77" s="679" t="s">
        <v>103</v>
      </c>
      <c r="BF77" s="153" t="s">
        <v>103</v>
      </c>
      <c r="BG77" s="94">
        <v>0</v>
      </c>
      <c r="BH77" s="153" t="s">
        <v>103</v>
      </c>
      <c r="BI77" s="774" t="s">
        <v>103</v>
      </c>
      <c r="BJ77" s="774" t="s">
        <v>103</v>
      </c>
      <c r="BK77" s="153" t="s">
        <v>103</v>
      </c>
      <c r="BL77" s="153" t="s">
        <v>124</v>
      </c>
      <c r="BM77" s="94" t="s">
        <v>103</v>
      </c>
      <c r="BN77" s="155" t="s">
        <v>103</v>
      </c>
      <c r="BO77" s="153" t="s">
        <v>103</v>
      </c>
      <c r="BP77" s="153" t="s">
        <v>103</v>
      </c>
      <c r="BQ77" s="153" t="s">
        <v>103</v>
      </c>
      <c r="BR77" s="153" t="s">
        <v>103</v>
      </c>
      <c r="BS77" s="153" t="s">
        <v>104</v>
      </c>
      <c r="BT77" s="153" t="s">
        <v>103</v>
      </c>
      <c r="BU77" s="153" t="s">
        <v>103</v>
      </c>
      <c r="BV77" s="153" t="s">
        <v>110</v>
      </c>
      <c r="BW77" s="153" t="s">
        <v>103</v>
      </c>
      <c r="BX77" s="153" t="s">
        <v>110</v>
      </c>
      <c r="BY77" s="153" t="s">
        <v>104</v>
      </c>
      <c r="BZ77" s="153" t="s">
        <v>110</v>
      </c>
      <c r="CA77" s="616" t="s">
        <v>103</v>
      </c>
      <c r="CB77" s="153" t="s">
        <v>103</v>
      </c>
      <c r="CC77" s="153" t="s">
        <v>103</v>
      </c>
      <c r="CD77" s="153" t="s">
        <v>103</v>
      </c>
      <c r="CE77" s="153" t="s">
        <v>103</v>
      </c>
    </row>
    <row r="78" spans="1:83" ht="20.100000000000001" customHeight="1">
      <c r="A78" s="503" t="s">
        <v>271</v>
      </c>
      <c r="B78" s="164" t="s">
        <v>103</v>
      </c>
      <c r="C78" s="155" t="s">
        <v>103</v>
      </c>
      <c r="D78" s="153" t="s">
        <v>103</v>
      </c>
      <c r="E78" s="153" t="s">
        <v>103</v>
      </c>
      <c r="F78" s="958" t="s">
        <v>103</v>
      </c>
      <c r="G78" s="153" t="s">
        <v>104</v>
      </c>
      <c r="H78" s="673">
        <v>8.948545861297539E-3</v>
      </c>
      <c r="I78" s="508" t="s">
        <v>103</v>
      </c>
      <c r="J78" s="958" t="s">
        <v>103</v>
      </c>
      <c r="K78" s="958" t="s">
        <v>103</v>
      </c>
      <c r="L78" s="155" t="s">
        <v>103</v>
      </c>
      <c r="M78" s="155" t="s">
        <v>103</v>
      </c>
      <c r="N78" s="156">
        <v>0</v>
      </c>
      <c r="O78" s="156" t="s">
        <v>103</v>
      </c>
      <c r="P78" s="156">
        <v>0</v>
      </c>
      <c r="Q78" s="958" t="s">
        <v>103</v>
      </c>
      <c r="R78" s="156">
        <v>0</v>
      </c>
      <c r="S78" s="156">
        <v>0</v>
      </c>
      <c r="T78" s="958" t="s">
        <v>105</v>
      </c>
      <c r="U78" s="153" t="s">
        <v>104</v>
      </c>
      <c r="V78" s="518" t="s">
        <v>103</v>
      </c>
      <c r="W78" s="991" t="s">
        <v>103</v>
      </c>
      <c r="X78" s="991" t="s">
        <v>103</v>
      </c>
      <c r="Y78" s="991" t="s">
        <v>103</v>
      </c>
      <c r="Z78" s="518" t="s">
        <v>103</v>
      </c>
      <c r="AA78" s="991" t="s">
        <v>103</v>
      </c>
      <c r="AB78" s="155" t="s">
        <v>103</v>
      </c>
      <c r="AC78" s="959" t="s">
        <v>103</v>
      </c>
      <c r="AD78" s="155" t="s">
        <v>103</v>
      </c>
      <c r="AE78" s="155" t="s">
        <v>103</v>
      </c>
      <c r="AF78" s="155" t="s">
        <v>103</v>
      </c>
      <c r="AG78" s="155" t="s">
        <v>103</v>
      </c>
      <c r="AH78" s="992" t="s">
        <v>103</v>
      </c>
      <c r="AI78" s="960" t="s">
        <v>103</v>
      </c>
      <c r="AJ78" s="992" t="s">
        <v>103</v>
      </c>
      <c r="AK78" s="155" t="s">
        <v>103</v>
      </c>
      <c r="AL78" s="993" t="s">
        <v>103</v>
      </c>
      <c r="AM78" s="155"/>
      <c r="AN78" s="155"/>
      <c r="AO78" s="994"/>
      <c r="AP78" s="94">
        <v>0</v>
      </c>
      <c r="AQ78" s="578">
        <v>0</v>
      </c>
      <c r="AR78" s="155" t="s">
        <v>103</v>
      </c>
      <c r="AS78" s="155" t="s">
        <v>103</v>
      </c>
      <c r="AT78" s="155" t="s">
        <v>103</v>
      </c>
      <c r="AU78" s="155" t="s">
        <v>103</v>
      </c>
      <c r="AV78" s="155" t="s">
        <v>103</v>
      </c>
      <c r="AW78" s="155" t="s">
        <v>103</v>
      </c>
      <c r="AX78" s="155" t="s">
        <v>103</v>
      </c>
      <c r="AY78" s="155" t="s">
        <v>103</v>
      </c>
      <c r="AZ78" s="155" t="s">
        <v>103</v>
      </c>
      <c r="BA78" s="155" t="s">
        <v>103</v>
      </c>
      <c r="BB78" s="155" t="s">
        <v>103</v>
      </c>
      <c r="BC78" s="155" t="s">
        <v>103</v>
      </c>
      <c r="BD78" s="155" t="s">
        <v>103</v>
      </c>
      <c r="BE78" s="989" t="s">
        <v>103</v>
      </c>
      <c r="BF78" s="155" t="s">
        <v>103</v>
      </c>
      <c r="BG78" s="961">
        <v>0</v>
      </c>
      <c r="BH78" s="155" t="s">
        <v>103</v>
      </c>
      <c r="BI78" s="990" t="s">
        <v>103</v>
      </c>
      <c r="BJ78" s="155" t="s">
        <v>103</v>
      </c>
      <c r="BK78" s="155" t="s">
        <v>103</v>
      </c>
      <c r="BL78" s="155" t="s">
        <v>103</v>
      </c>
      <c r="BM78" s="155" t="s">
        <v>103</v>
      </c>
      <c r="BN78" s="155" t="s">
        <v>103</v>
      </c>
      <c r="BO78" s="155" t="s">
        <v>103</v>
      </c>
      <c r="BP78" s="155" t="s">
        <v>103</v>
      </c>
      <c r="BQ78" s="155" t="s">
        <v>103</v>
      </c>
      <c r="BR78" s="155" t="s">
        <v>103</v>
      </c>
      <c r="BS78" s="155" t="s">
        <v>103</v>
      </c>
      <c r="BT78" s="155" t="s">
        <v>103</v>
      </c>
      <c r="BU78" s="155" t="s">
        <v>103</v>
      </c>
      <c r="BV78" s="155" t="s">
        <v>103</v>
      </c>
      <c r="BW78" s="155" t="s">
        <v>103</v>
      </c>
      <c r="BX78" s="155" t="s">
        <v>103</v>
      </c>
      <c r="BY78" s="155" t="s">
        <v>103</v>
      </c>
      <c r="BZ78" s="155" t="s">
        <v>103</v>
      </c>
      <c r="CA78" s="155" t="s">
        <v>103</v>
      </c>
      <c r="CB78" s="155" t="s">
        <v>103</v>
      </c>
      <c r="CC78" s="155" t="s">
        <v>103</v>
      </c>
      <c r="CD78" s="155" t="s">
        <v>103</v>
      </c>
      <c r="CE78" s="155" t="s">
        <v>103</v>
      </c>
    </row>
    <row r="79" spans="1:83" ht="14.1" customHeight="1">
      <c r="A79" s="505" t="s">
        <v>272</v>
      </c>
      <c r="B79" s="164" t="s">
        <v>273</v>
      </c>
      <c r="C79" s="155">
        <v>800060196</v>
      </c>
      <c r="D79" s="153" t="s">
        <v>274</v>
      </c>
      <c r="E79" s="153">
        <v>90302</v>
      </c>
      <c r="F79" s="153">
        <v>6037602104</v>
      </c>
      <c r="G79" s="155" t="s">
        <v>104</v>
      </c>
      <c r="H79" s="674">
        <v>0.34947053029059266</v>
      </c>
      <c r="I79" s="508" t="s">
        <v>275</v>
      </c>
      <c r="J79" s="153" t="s">
        <v>117</v>
      </c>
      <c r="K79" s="156">
        <v>0</v>
      </c>
      <c r="L79" s="153" t="s">
        <v>274</v>
      </c>
      <c r="M79" s="153" t="s">
        <v>104</v>
      </c>
      <c r="N79" s="156">
        <v>1</v>
      </c>
      <c r="P79" s="156">
        <v>0</v>
      </c>
      <c r="Q79" s="156" t="s">
        <v>139</v>
      </c>
      <c r="R79" s="156">
        <v>0</v>
      </c>
      <c r="S79" s="156">
        <v>1</v>
      </c>
      <c r="T79" s="958" t="s">
        <v>105</v>
      </c>
      <c r="U79" s="153" t="s">
        <v>104</v>
      </c>
      <c r="V79" s="149">
        <v>38201</v>
      </c>
      <c r="W79" s="149">
        <v>38266</v>
      </c>
      <c r="X79" s="149">
        <v>38971</v>
      </c>
      <c r="Y79" s="149">
        <v>39240</v>
      </c>
      <c r="Z79" s="149">
        <v>39240</v>
      </c>
      <c r="AA79" s="149">
        <v>38201</v>
      </c>
      <c r="AB79" s="763" t="s">
        <v>151</v>
      </c>
      <c r="AC79" s="594">
        <v>46.428571428571431</v>
      </c>
      <c r="AD79" s="153" t="s">
        <v>103</v>
      </c>
      <c r="AE79" s="149" t="s">
        <v>103</v>
      </c>
      <c r="AF79" s="596">
        <v>87</v>
      </c>
      <c r="AG79" s="596">
        <v>0</v>
      </c>
      <c r="AH79" s="595">
        <v>29403</v>
      </c>
      <c r="AI79" s="614">
        <v>1.7803030303030303</v>
      </c>
      <c r="AJ79" s="607">
        <v>9400</v>
      </c>
      <c r="AK79" s="153" t="s">
        <v>152</v>
      </c>
      <c r="AL79" s="791" t="s">
        <v>116</v>
      </c>
      <c r="AO79" s="963"/>
      <c r="AP79" s="519">
        <v>5500000</v>
      </c>
      <c r="AQ79" s="574">
        <v>6548605</v>
      </c>
      <c r="AR79" s="153" t="s">
        <v>116</v>
      </c>
      <c r="AS79" s="153" t="s">
        <v>116</v>
      </c>
      <c r="AT79" s="777" t="s">
        <v>122</v>
      </c>
      <c r="AU79" s="777" t="s">
        <v>122</v>
      </c>
      <c r="AV79" s="777" t="s">
        <v>122</v>
      </c>
      <c r="AW79" s="777" t="s">
        <v>122</v>
      </c>
      <c r="AX79" s="155" t="s">
        <v>103</v>
      </c>
      <c r="AY79" s="155" t="s">
        <v>103</v>
      </c>
      <c r="AZ79" s="155" t="s">
        <v>103</v>
      </c>
      <c r="BB79" s="574">
        <f t="shared" ref="BB79" si="6">AQ79</f>
        <v>6548605</v>
      </c>
      <c r="BC79" s="780">
        <v>-1048605</v>
      </c>
      <c r="BD79" s="1008" t="s">
        <v>151</v>
      </c>
      <c r="BE79" s="679">
        <v>8965</v>
      </c>
      <c r="BF79" s="153">
        <v>2010</v>
      </c>
      <c r="BG79" s="94">
        <v>6548605</v>
      </c>
      <c r="BH79" s="766" t="s">
        <v>123</v>
      </c>
      <c r="BI79" s="774">
        <v>0</v>
      </c>
      <c r="BJ79" s="774">
        <v>0</v>
      </c>
      <c r="BK79" s="153" t="s">
        <v>103</v>
      </c>
      <c r="BL79" s="94" t="s">
        <v>124</v>
      </c>
      <c r="BM79" s="94" t="s">
        <v>124</v>
      </c>
      <c r="BN79" s="94" t="s">
        <v>124</v>
      </c>
      <c r="BO79" s="153" t="s">
        <v>116</v>
      </c>
      <c r="BP79" s="153" t="s">
        <v>124</v>
      </c>
      <c r="BQ79" s="153" t="s">
        <v>103</v>
      </c>
      <c r="BR79" s="153" t="s">
        <v>116</v>
      </c>
      <c r="BS79" s="153" t="s">
        <v>116</v>
      </c>
      <c r="BT79" s="153" t="s">
        <v>116</v>
      </c>
      <c r="BU79" s="153" t="s">
        <v>116</v>
      </c>
      <c r="BV79" s="153" t="s">
        <v>116</v>
      </c>
      <c r="BW79" s="153" t="s">
        <v>116</v>
      </c>
      <c r="BX79" s="153" t="s">
        <v>116</v>
      </c>
      <c r="BY79" s="153" t="s">
        <v>116</v>
      </c>
      <c r="BZ79" s="153" t="s">
        <v>116</v>
      </c>
      <c r="CA79" s="616" t="s">
        <v>116</v>
      </c>
      <c r="CB79" s="153" t="s">
        <v>116</v>
      </c>
      <c r="CC79" s="153" t="s">
        <v>116</v>
      </c>
      <c r="CD79" s="153" t="s">
        <v>116</v>
      </c>
      <c r="CE79" s="153" t="s">
        <v>116</v>
      </c>
    </row>
    <row r="80" spans="1:83" ht="14.1" customHeight="1">
      <c r="A80" s="503" t="s">
        <v>276</v>
      </c>
      <c r="B80" s="164" t="s">
        <v>103</v>
      </c>
      <c r="C80" s="155" t="s">
        <v>103</v>
      </c>
      <c r="D80" s="153" t="s">
        <v>103</v>
      </c>
      <c r="E80" s="153" t="s">
        <v>103</v>
      </c>
      <c r="F80" s="958" t="s">
        <v>103</v>
      </c>
      <c r="G80" s="153" t="s">
        <v>104</v>
      </c>
      <c r="H80" s="673">
        <v>5.5491329479768786E-2</v>
      </c>
      <c r="I80" s="508" t="s">
        <v>103</v>
      </c>
      <c r="J80" s="958" t="s">
        <v>103</v>
      </c>
      <c r="K80" s="958" t="s">
        <v>103</v>
      </c>
      <c r="L80" s="155" t="s">
        <v>103</v>
      </c>
      <c r="M80" s="155" t="s">
        <v>103</v>
      </c>
      <c r="N80" s="156">
        <v>0</v>
      </c>
      <c r="O80" s="156" t="s">
        <v>103</v>
      </c>
      <c r="P80" s="156">
        <v>0</v>
      </c>
      <c r="Q80" s="958" t="s">
        <v>103</v>
      </c>
      <c r="R80" s="156">
        <v>0</v>
      </c>
      <c r="S80" s="156">
        <v>0</v>
      </c>
      <c r="T80" s="958" t="s">
        <v>105</v>
      </c>
      <c r="U80" s="153" t="s">
        <v>104</v>
      </c>
      <c r="V80" s="518" t="s">
        <v>103</v>
      </c>
      <c r="W80" s="991" t="s">
        <v>103</v>
      </c>
      <c r="X80" s="991" t="s">
        <v>103</v>
      </c>
      <c r="Y80" s="991" t="s">
        <v>103</v>
      </c>
      <c r="Z80" s="518" t="s">
        <v>103</v>
      </c>
      <c r="AA80" s="991" t="s">
        <v>103</v>
      </c>
      <c r="AB80" s="155" t="s">
        <v>103</v>
      </c>
      <c r="AC80" s="959" t="s">
        <v>103</v>
      </c>
      <c r="AD80" s="155" t="s">
        <v>103</v>
      </c>
      <c r="AE80" s="155" t="s">
        <v>103</v>
      </c>
      <c r="AF80" s="155" t="s">
        <v>103</v>
      </c>
      <c r="AG80" s="155" t="s">
        <v>103</v>
      </c>
      <c r="AH80" s="992" t="s">
        <v>103</v>
      </c>
      <c r="AI80" s="960" t="s">
        <v>103</v>
      </c>
      <c r="AJ80" s="992" t="s">
        <v>103</v>
      </c>
      <c r="AK80" s="155" t="s">
        <v>103</v>
      </c>
      <c r="AL80" s="993" t="s">
        <v>103</v>
      </c>
      <c r="AM80" s="155"/>
      <c r="AN80" s="155"/>
      <c r="AO80" s="994"/>
      <c r="AP80" s="94">
        <v>0</v>
      </c>
      <c r="AQ80" s="578">
        <v>0</v>
      </c>
      <c r="AR80" s="155" t="s">
        <v>103</v>
      </c>
      <c r="AS80" s="155" t="s">
        <v>103</v>
      </c>
      <c r="AT80" s="155" t="s">
        <v>103</v>
      </c>
      <c r="AU80" s="155" t="s">
        <v>103</v>
      </c>
      <c r="AV80" s="155" t="s">
        <v>103</v>
      </c>
      <c r="AW80" s="155" t="s">
        <v>103</v>
      </c>
      <c r="AX80" s="155" t="s">
        <v>103</v>
      </c>
      <c r="AY80" s="155" t="s">
        <v>103</v>
      </c>
      <c r="AZ80" s="155" t="s">
        <v>103</v>
      </c>
      <c r="BA80" s="155" t="s">
        <v>103</v>
      </c>
      <c r="BB80" s="155" t="s">
        <v>103</v>
      </c>
      <c r="BC80" s="155" t="s">
        <v>103</v>
      </c>
      <c r="BD80" s="155" t="s">
        <v>103</v>
      </c>
      <c r="BE80" s="989" t="s">
        <v>103</v>
      </c>
      <c r="BF80" s="155" t="s">
        <v>103</v>
      </c>
      <c r="BG80" s="961">
        <v>0</v>
      </c>
      <c r="BH80" s="155" t="s">
        <v>103</v>
      </c>
      <c r="BI80" s="990" t="s">
        <v>103</v>
      </c>
      <c r="BJ80" s="155" t="s">
        <v>103</v>
      </c>
      <c r="BK80" s="155" t="s">
        <v>103</v>
      </c>
      <c r="BL80" s="155" t="s">
        <v>103</v>
      </c>
      <c r="BM80" s="155" t="s">
        <v>103</v>
      </c>
      <c r="BN80" s="155" t="s">
        <v>103</v>
      </c>
      <c r="BO80" s="155" t="s">
        <v>103</v>
      </c>
      <c r="BP80" s="155" t="s">
        <v>103</v>
      </c>
      <c r="BQ80" s="155" t="s">
        <v>103</v>
      </c>
      <c r="BR80" s="155" t="s">
        <v>103</v>
      </c>
      <c r="BS80" s="155" t="s">
        <v>103</v>
      </c>
      <c r="BT80" s="155" t="s">
        <v>103</v>
      </c>
      <c r="BU80" s="155" t="s">
        <v>103</v>
      </c>
      <c r="BV80" s="155" t="s">
        <v>103</v>
      </c>
      <c r="BW80" s="155" t="s">
        <v>103</v>
      </c>
      <c r="BX80" s="155" t="s">
        <v>103</v>
      </c>
      <c r="BY80" s="155" t="s">
        <v>103</v>
      </c>
      <c r="BZ80" s="155" t="s">
        <v>103</v>
      </c>
      <c r="CA80" s="155" t="s">
        <v>103</v>
      </c>
      <c r="CB80" s="155" t="s">
        <v>103</v>
      </c>
      <c r="CC80" s="155" t="s">
        <v>103</v>
      </c>
      <c r="CD80" s="155" t="s">
        <v>103</v>
      </c>
      <c r="CE80" s="155" t="s">
        <v>103</v>
      </c>
    </row>
    <row r="81" spans="1:83" ht="14.1" customHeight="1">
      <c r="A81" s="503" t="s">
        <v>277</v>
      </c>
      <c r="B81" s="164" t="s">
        <v>103</v>
      </c>
      <c r="C81" s="155" t="s">
        <v>103</v>
      </c>
      <c r="D81" s="153" t="s">
        <v>103</v>
      </c>
      <c r="E81" s="153" t="s">
        <v>103</v>
      </c>
      <c r="F81" s="958" t="s">
        <v>103</v>
      </c>
      <c r="G81" s="153" t="s">
        <v>110</v>
      </c>
      <c r="H81" s="673">
        <v>2.775290957923008E-2</v>
      </c>
      <c r="I81" s="508" t="s">
        <v>103</v>
      </c>
      <c r="J81" s="958" t="s">
        <v>103</v>
      </c>
      <c r="K81" s="958" t="s">
        <v>103</v>
      </c>
      <c r="L81" s="155" t="s">
        <v>103</v>
      </c>
      <c r="M81" s="155" t="s">
        <v>103</v>
      </c>
      <c r="N81" s="156">
        <v>0</v>
      </c>
      <c r="O81" s="156" t="s">
        <v>103</v>
      </c>
      <c r="P81" s="156">
        <v>0</v>
      </c>
      <c r="Q81" s="958" t="s">
        <v>103</v>
      </c>
      <c r="R81" s="156">
        <v>0</v>
      </c>
      <c r="S81" s="156">
        <v>0</v>
      </c>
      <c r="T81" s="958" t="s">
        <v>105</v>
      </c>
      <c r="U81" s="153" t="s">
        <v>110</v>
      </c>
      <c r="V81" s="518" t="s">
        <v>103</v>
      </c>
      <c r="W81" s="991" t="s">
        <v>103</v>
      </c>
      <c r="X81" s="991" t="s">
        <v>103</v>
      </c>
      <c r="Y81" s="991" t="s">
        <v>103</v>
      </c>
      <c r="Z81" s="518" t="s">
        <v>103</v>
      </c>
      <c r="AA81" s="991" t="s">
        <v>103</v>
      </c>
      <c r="AB81" s="155" t="s">
        <v>103</v>
      </c>
      <c r="AC81" s="959" t="s">
        <v>103</v>
      </c>
      <c r="AD81" s="155" t="s">
        <v>103</v>
      </c>
      <c r="AE81" s="155" t="s">
        <v>103</v>
      </c>
      <c r="AF81" s="155" t="s">
        <v>103</v>
      </c>
      <c r="AG81" s="155" t="s">
        <v>103</v>
      </c>
      <c r="AH81" s="992" t="s">
        <v>103</v>
      </c>
      <c r="AI81" s="960" t="s">
        <v>103</v>
      </c>
      <c r="AJ81" s="992" t="s">
        <v>103</v>
      </c>
      <c r="AK81" s="155" t="s">
        <v>103</v>
      </c>
      <c r="AL81" s="993" t="s">
        <v>103</v>
      </c>
      <c r="AM81" s="155"/>
      <c r="AN81" s="155"/>
      <c r="AO81" s="994"/>
      <c r="AP81" s="94">
        <v>0</v>
      </c>
      <c r="AQ81" s="578">
        <v>0</v>
      </c>
      <c r="AR81" s="155" t="s">
        <v>103</v>
      </c>
      <c r="AS81" s="155" t="s">
        <v>103</v>
      </c>
      <c r="AT81" s="155" t="s">
        <v>103</v>
      </c>
      <c r="AU81" s="155" t="s">
        <v>103</v>
      </c>
      <c r="AV81" s="155" t="s">
        <v>103</v>
      </c>
      <c r="AW81" s="155" t="s">
        <v>103</v>
      </c>
      <c r="AX81" s="155" t="s">
        <v>103</v>
      </c>
      <c r="AY81" s="155" t="s">
        <v>103</v>
      </c>
      <c r="AZ81" s="155" t="s">
        <v>103</v>
      </c>
      <c r="BA81" s="155" t="s">
        <v>103</v>
      </c>
      <c r="BB81" s="155" t="s">
        <v>103</v>
      </c>
      <c r="BC81" s="155" t="s">
        <v>103</v>
      </c>
      <c r="BD81" s="155" t="s">
        <v>103</v>
      </c>
      <c r="BE81" s="989" t="s">
        <v>103</v>
      </c>
      <c r="BF81" s="155" t="s">
        <v>103</v>
      </c>
      <c r="BG81" s="961">
        <v>0</v>
      </c>
      <c r="BH81" s="155" t="s">
        <v>103</v>
      </c>
      <c r="BI81" s="990" t="s">
        <v>103</v>
      </c>
      <c r="BJ81" s="155" t="s">
        <v>103</v>
      </c>
      <c r="BK81" s="155" t="s">
        <v>103</v>
      </c>
      <c r="BL81" s="155" t="s">
        <v>103</v>
      </c>
      <c r="BM81" s="155" t="s">
        <v>103</v>
      </c>
      <c r="BN81" s="155" t="s">
        <v>103</v>
      </c>
      <c r="BO81" s="155" t="s">
        <v>103</v>
      </c>
      <c r="BP81" s="155" t="s">
        <v>103</v>
      </c>
      <c r="BQ81" s="155" t="s">
        <v>103</v>
      </c>
      <c r="BR81" s="155" t="s">
        <v>103</v>
      </c>
      <c r="BS81" s="155" t="s">
        <v>103</v>
      </c>
      <c r="BT81" s="155" t="s">
        <v>103</v>
      </c>
      <c r="BU81" s="155" t="s">
        <v>103</v>
      </c>
      <c r="BV81" s="155" t="s">
        <v>103</v>
      </c>
      <c r="BW81" s="155" t="s">
        <v>103</v>
      </c>
      <c r="BX81" s="155" t="s">
        <v>103</v>
      </c>
      <c r="BY81" s="155" t="s">
        <v>103</v>
      </c>
      <c r="BZ81" s="155" t="s">
        <v>103</v>
      </c>
      <c r="CA81" s="155" t="s">
        <v>103</v>
      </c>
      <c r="CB81" s="155" t="s">
        <v>103</v>
      </c>
      <c r="CC81" s="155" t="s">
        <v>103</v>
      </c>
      <c r="CD81" s="155" t="s">
        <v>103</v>
      </c>
      <c r="CE81" s="155" t="s">
        <v>103</v>
      </c>
    </row>
    <row r="82" spans="1:83" ht="27.6" customHeight="1">
      <c r="A82" s="503" t="s">
        <v>278</v>
      </c>
      <c r="B82" s="164" t="s">
        <v>279</v>
      </c>
      <c r="C82" s="155" t="s">
        <v>280</v>
      </c>
      <c r="D82" s="153" t="s">
        <v>281</v>
      </c>
      <c r="E82" s="153">
        <v>90631</v>
      </c>
      <c r="F82" s="153">
        <v>6037500201</v>
      </c>
      <c r="G82" s="155" t="s">
        <v>110</v>
      </c>
      <c r="H82" s="674">
        <v>6.4500716674629713E-2</v>
      </c>
      <c r="I82" s="508" t="s">
        <v>279</v>
      </c>
      <c r="J82" s="153" t="s">
        <v>282</v>
      </c>
      <c r="K82" s="572" t="s">
        <v>283</v>
      </c>
      <c r="L82" s="153" t="s">
        <v>281</v>
      </c>
      <c r="M82" s="153" t="s">
        <v>104</v>
      </c>
      <c r="N82" s="156">
        <v>1</v>
      </c>
      <c r="P82" s="156">
        <v>0</v>
      </c>
      <c r="Q82" s="156" t="s">
        <v>139</v>
      </c>
      <c r="R82" s="156">
        <v>0</v>
      </c>
      <c r="S82" s="156">
        <v>1</v>
      </c>
      <c r="T82" s="958" t="s">
        <v>105</v>
      </c>
      <c r="U82" s="153" t="s">
        <v>110</v>
      </c>
      <c r="V82" s="149">
        <v>39429</v>
      </c>
      <c r="W82" s="149">
        <v>39664</v>
      </c>
      <c r="X82" s="149">
        <v>40646</v>
      </c>
      <c r="Y82" s="149">
        <v>40756</v>
      </c>
      <c r="Z82" s="149">
        <v>40756</v>
      </c>
      <c r="AA82" s="149">
        <v>39429</v>
      </c>
      <c r="AB82" s="763" t="s">
        <v>121</v>
      </c>
      <c r="AC82" s="594">
        <v>167.85714285714283</v>
      </c>
      <c r="AD82" s="153" t="s">
        <v>103</v>
      </c>
      <c r="AE82" s="149" t="s">
        <v>103</v>
      </c>
      <c r="AF82" s="596">
        <v>9</v>
      </c>
      <c r="AG82" s="596">
        <v>9</v>
      </c>
      <c r="AH82" s="595">
        <v>1682</v>
      </c>
      <c r="AI82" s="614">
        <v>0.31856060606060604</v>
      </c>
      <c r="AJ82" s="607">
        <v>1675</v>
      </c>
      <c r="AK82" s="153" t="s">
        <v>152</v>
      </c>
      <c r="AL82" s="791" t="s">
        <v>110</v>
      </c>
      <c r="AO82" s="963"/>
      <c r="AP82" s="519">
        <v>690000</v>
      </c>
      <c r="AQ82" s="574">
        <v>636723</v>
      </c>
      <c r="AR82" s="153" t="s">
        <v>116</v>
      </c>
      <c r="AS82" s="153" t="s">
        <v>116</v>
      </c>
      <c r="AT82" s="156">
        <v>0</v>
      </c>
      <c r="AU82" s="777" t="s">
        <v>122</v>
      </c>
      <c r="AV82" s="777" t="s">
        <v>122</v>
      </c>
      <c r="AW82" s="777" t="s">
        <v>122</v>
      </c>
      <c r="AX82" s="155" t="s">
        <v>103</v>
      </c>
      <c r="AY82" s="155" t="s">
        <v>103</v>
      </c>
      <c r="AZ82" s="155" t="s">
        <v>103</v>
      </c>
      <c r="BA82" s="156">
        <v>0</v>
      </c>
      <c r="BB82" s="574">
        <f t="shared" ref="BB82" si="7">AQ82</f>
        <v>636723</v>
      </c>
      <c r="BC82" s="780">
        <v>53277</v>
      </c>
      <c r="BD82" s="1008" t="s">
        <v>121</v>
      </c>
      <c r="BE82" s="679">
        <v>-72</v>
      </c>
      <c r="BF82" s="153">
        <v>2015</v>
      </c>
      <c r="BG82" s="94">
        <v>636723</v>
      </c>
      <c r="BH82" s="766">
        <v>610365</v>
      </c>
      <c r="BI82" s="774">
        <v>79635</v>
      </c>
      <c r="BJ82" s="774">
        <v>0</v>
      </c>
      <c r="BK82" s="153" t="s">
        <v>103</v>
      </c>
      <c r="BL82" s="153" t="s">
        <v>124</v>
      </c>
      <c r="BM82" s="94" t="s">
        <v>103</v>
      </c>
      <c r="BN82" s="155" t="s">
        <v>103</v>
      </c>
      <c r="BO82" s="153" t="s">
        <v>103</v>
      </c>
      <c r="BP82" s="153" t="s">
        <v>103</v>
      </c>
      <c r="BQ82" s="153" t="s">
        <v>103</v>
      </c>
      <c r="BR82" s="153" t="s">
        <v>110</v>
      </c>
      <c r="BS82" s="153" t="s">
        <v>104</v>
      </c>
      <c r="BT82" s="153" t="s">
        <v>104</v>
      </c>
      <c r="BU82" s="153" t="s">
        <v>104</v>
      </c>
      <c r="BV82" s="153" t="s">
        <v>110</v>
      </c>
      <c r="BW82" s="153" t="s">
        <v>110</v>
      </c>
      <c r="BX82" s="153" t="s">
        <v>104</v>
      </c>
      <c r="BY82" s="153" t="s">
        <v>104</v>
      </c>
      <c r="BZ82" s="153" t="s">
        <v>110</v>
      </c>
    </row>
    <row r="83" spans="1:83" ht="14.1" customHeight="1">
      <c r="A83" s="503" t="s">
        <v>284</v>
      </c>
      <c r="B83" s="164" t="s">
        <v>103</v>
      </c>
      <c r="C83" s="155" t="s">
        <v>103</v>
      </c>
      <c r="D83" s="153" t="s">
        <v>103</v>
      </c>
      <c r="E83" s="153" t="s">
        <v>103</v>
      </c>
      <c r="F83" s="958" t="s">
        <v>103</v>
      </c>
      <c r="G83" s="153" t="s">
        <v>104</v>
      </c>
      <c r="H83" s="673">
        <v>0.15268375241779497</v>
      </c>
      <c r="I83" s="508" t="s">
        <v>103</v>
      </c>
      <c r="J83" s="958" t="s">
        <v>103</v>
      </c>
      <c r="K83" s="958" t="s">
        <v>103</v>
      </c>
      <c r="L83" s="155" t="s">
        <v>103</v>
      </c>
      <c r="M83" s="155" t="s">
        <v>103</v>
      </c>
      <c r="N83" s="156">
        <v>0</v>
      </c>
      <c r="O83" s="156" t="s">
        <v>103</v>
      </c>
      <c r="P83" s="156">
        <v>0</v>
      </c>
      <c r="Q83" s="958" t="s">
        <v>103</v>
      </c>
      <c r="R83" s="156">
        <v>0</v>
      </c>
      <c r="S83" s="156">
        <v>0</v>
      </c>
      <c r="T83" s="958" t="s">
        <v>105</v>
      </c>
      <c r="U83" s="153" t="s">
        <v>104</v>
      </c>
      <c r="V83" s="518" t="s">
        <v>103</v>
      </c>
      <c r="W83" s="991" t="s">
        <v>103</v>
      </c>
      <c r="X83" s="991" t="s">
        <v>103</v>
      </c>
      <c r="Y83" s="991" t="s">
        <v>103</v>
      </c>
      <c r="Z83" s="518" t="s">
        <v>103</v>
      </c>
      <c r="AA83" s="991" t="s">
        <v>103</v>
      </c>
      <c r="AB83" s="155" t="s">
        <v>103</v>
      </c>
      <c r="AC83" s="959" t="s">
        <v>103</v>
      </c>
      <c r="AD83" s="155" t="s">
        <v>103</v>
      </c>
      <c r="AE83" s="155" t="s">
        <v>103</v>
      </c>
      <c r="AF83" s="155" t="s">
        <v>103</v>
      </c>
      <c r="AG83" s="155" t="s">
        <v>103</v>
      </c>
      <c r="AH83" s="992" t="s">
        <v>103</v>
      </c>
      <c r="AI83" s="960" t="s">
        <v>103</v>
      </c>
      <c r="AJ83" s="992" t="s">
        <v>103</v>
      </c>
      <c r="AK83" s="155" t="s">
        <v>103</v>
      </c>
      <c r="AL83" s="993" t="s">
        <v>103</v>
      </c>
      <c r="AM83" s="155"/>
      <c r="AN83" s="155"/>
      <c r="AO83" s="994"/>
      <c r="AP83" s="94">
        <v>0</v>
      </c>
      <c r="AQ83" s="578">
        <v>0</v>
      </c>
      <c r="AR83" s="155" t="s">
        <v>103</v>
      </c>
      <c r="AS83" s="155" t="s">
        <v>103</v>
      </c>
      <c r="AT83" s="155" t="s">
        <v>103</v>
      </c>
      <c r="AU83" s="155" t="s">
        <v>103</v>
      </c>
      <c r="AV83" s="155" t="s">
        <v>103</v>
      </c>
      <c r="AW83" s="155" t="s">
        <v>103</v>
      </c>
      <c r="AX83" s="155" t="s">
        <v>103</v>
      </c>
      <c r="AY83" s="155" t="s">
        <v>103</v>
      </c>
      <c r="AZ83" s="155" t="s">
        <v>103</v>
      </c>
      <c r="BA83" s="155" t="s">
        <v>103</v>
      </c>
      <c r="BB83" s="155" t="s">
        <v>103</v>
      </c>
      <c r="BC83" s="155" t="s">
        <v>103</v>
      </c>
      <c r="BD83" s="155" t="s">
        <v>103</v>
      </c>
      <c r="BE83" s="989" t="s">
        <v>103</v>
      </c>
      <c r="BF83" s="155" t="s">
        <v>103</v>
      </c>
      <c r="BG83" s="961">
        <v>0</v>
      </c>
      <c r="BH83" s="155" t="s">
        <v>103</v>
      </c>
      <c r="BI83" s="990" t="s">
        <v>103</v>
      </c>
      <c r="BJ83" s="155" t="s">
        <v>103</v>
      </c>
      <c r="BK83" s="155" t="s">
        <v>103</v>
      </c>
      <c r="BL83" s="155" t="s">
        <v>103</v>
      </c>
      <c r="BM83" s="155" t="s">
        <v>103</v>
      </c>
      <c r="BN83" s="155" t="s">
        <v>103</v>
      </c>
      <c r="BO83" s="155" t="s">
        <v>103</v>
      </c>
      <c r="BP83" s="155" t="s">
        <v>103</v>
      </c>
      <c r="BQ83" s="155" t="s">
        <v>103</v>
      </c>
      <c r="BR83" s="155" t="s">
        <v>103</v>
      </c>
      <c r="BS83" s="155" t="s">
        <v>103</v>
      </c>
      <c r="BT83" s="155" t="s">
        <v>103</v>
      </c>
      <c r="BU83" s="155" t="s">
        <v>103</v>
      </c>
      <c r="BV83" s="155" t="s">
        <v>103</v>
      </c>
      <c r="BW83" s="155" t="s">
        <v>103</v>
      </c>
      <c r="BX83" s="155" t="s">
        <v>103</v>
      </c>
      <c r="BY83" s="155" t="s">
        <v>103</v>
      </c>
      <c r="BZ83" s="155" t="s">
        <v>103</v>
      </c>
      <c r="CA83" s="155" t="s">
        <v>103</v>
      </c>
      <c r="CB83" s="155" t="s">
        <v>103</v>
      </c>
      <c r="CC83" s="155" t="s">
        <v>103</v>
      </c>
      <c r="CD83" s="155" t="s">
        <v>103</v>
      </c>
      <c r="CE83" s="155" t="s">
        <v>103</v>
      </c>
    </row>
    <row r="84" spans="1:83" ht="27.6" customHeight="1">
      <c r="A84" s="503" t="s">
        <v>285</v>
      </c>
      <c r="B84" s="164" t="s">
        <v>286</v>
      </c>
      <c r="C84" s="155" t="s">
        <v>287</v>
      </c>
      <c r="D84" s="153" t="s">
        <v>288</v>
      </c>
      <c r="E84" s="153">
        <v>91746</v>
      </c>
      <c r="F84" s="153">
        <v>6037407001</v>
      </c>
      <c r="G84" s="155" t="s">
        <v>104</v>
      </c>
      <c r="H84" s="674">
        <v>0.40528132804465988</v>
      </c>
      <c r="I84" s="508" t="s">
        <v>286</v>
      </c>
      <c r="J84" s="153" t="s">
        <v>117</v>
      </c>
      <c r="K84" s="572" t="s">
        <v>205</v>
      </c>
      <c r="L84" s="153" t="s">
        <v>288</v>
      </c>
      <c r="M84" s="153" t="s">
        <v>104</v>
      </c>
      <c r="N84" s="156">
        <v>1</v>
      </c>
      <c r="O84" s="156" t="s">
        <v>103</v>
      </c>
      <c r="P84" s="156">
        <v>0</v>
      </c>
      <c r="Q84" s="156" t="s">
        <v>139</v>
      </c>
      <c r="R84" s="156">
        <v>0</v>
      </c>
      <c r="S84" s="156">
        <v>1</v>
      </c>
      <c r="T84" s="958" t="s">
        <v>105</v>
      </c>
      <c r="U84" s="153" t="s">
        <v>104</v>
      </c>
      <c r="V84" s="149">
        <v>42269</v>
      </c>
      <c r="W84" s="149">
        <v>42307</v>
      </c>
      <c r="X84" s="149">
        <v>43277</v>
      </c>
      <c r="Y84" s="149">
        <v>43623</v>
      </c>
      <c r="Z84" s="149">
        <v>40336</v>
      </c>
      <c r="AA84" s="149">
        <v>42269</v>
      </c>
      <c r="AB84" s="763" t="s">
        <v>121</v>
      </c>
      <c r="AD84" s="149">
        <v>43623</v>
      </c>
      <c r="AE84" s="149" t="s">
        <v>103</v>
      </c>
      <c r="AF84" s="153">
        <v>19</v>
      </c>
      <c r="AG84" s="153" t="s">
        <v>150</v>
      </c>
      <c r="AH84" s="596">
        <v>2887</v>
      </c>
      <c r="AI84" s="960">
        <v>0.5467803</v>
      </c>
      <c r="AJ84" s="607">
        <v>2887</v>
      </c>
      <c r="AK84" s="153" t="s">
        <v>152</v>
      </c>
      <c r="AL84" s="791" t="s">
        <v>104</v>
      </c>
      <c r="AO84" s="963"/>
      <c r="AP84" s="94">
        <v>3000000</v>
      </c>
      <c r="AQ84" s="574">
        <v>1760371.81</v>
      </c>
      <c r="AR84" s="153" t="s">
        <v>116</v>
      </c>
      <c r="AS84" s="153" t="s">
        <v>116</v>
      </c>
      <c r="AT84" s="156">
        <v>0</v>
      </c>
      <c r="AU84" s="777" t="s">
        <v>122</v>
      </c>
      <c r="AV84" s="777" t="s">
        <v>122</v>
      </c>
      <c r="AW84" s="777" t="s">
        <v>122</v>
      </c>
      <c r="AX84" s="155" t="s">
        <v>103</v>
      </c>
      <c r="AY84" s="155" t="s">
        <v>103</v>
      </c>
      <c r="AZ84" s="155" t="s">
        <v>103</v>
      </c>
      <c r="BA84" s="156">
        <v>0</v>
      </c>
      <c r="BB84" s="574">
        <f t="shared" ref="BB84" si="8">AQ84</f>
        <v>1760371.81</v>
      </c>
      <c r="BC84" s="780">
        <f>AP84-AQ84</f>
        <v>1239628.19</v>
      </c>
      <c r="BD84" s="1008" t="s">
        <v>121</v>
      </c>
      <c r="BE84" s="679" t="s">
        <v>103</v>
      </c>
      <c r="BF84" s="156" t="s">
        <v>103</v>
      </c>
      <c r="BG84" s="94">
        <v>1760371.81</v>
      </c>
      <c r="BH84" s="766">
        <v>2710397</v>
      </c>
      <c r="BI84" s="774">
        <v>0</v>
      </c>
      <c r="BJ84" s="774">
        <v>0</v>
      </c>
      <c r="BK84" s="153" t="s">
        <v>103</v>
      </c>
      <c r="BL84" s="153" t="s">
        <v>124</v>
      </c>
      <c r="BM84" s="94" t="s">
        <v>103</v>
      </c>
      <c r="BN84" s="155" t="s">
        <v>103</v>
      </c>
      <c r="BO84" s="153" t="s">
        <v>103</v>
      </c>
      <c r="BP84" s="153" t="s">
        <v>103</v>
      </c>
      <c r="BQ84" s="153" t="s">
        <v>103</v>
      </c>
      <c r="BR84" s="153" t="s">
        <v>110</v>
      </c>
      <c r="BS84" s="153" t="s">
        <v>110</v>
      </c>
      <c r="BT84" s="153" t="s">
        <v>110</v>
      </c>
      <c r="BU84" s="153" t="s">
        <v>110</v>
      </c>
      <c r="BV84" s="153" t="s">
        <v>103</v>
      </c>
      <c r="BW84" s="153" t="s">
        <v>110</v>
      </c>
      <c r="BX84" s="153" t="s">
        <v>110</v>
      </c>
      <c r="BY84" s="153" t="s">
        <v>110</v>
      </c>
      <c r="BZ84" s="153" t="s">
        <v>110</v>
      </c>
      <c r="CA84" s="616" t="s">
        <v>110</v>
      </c>
      <c r="CB84" s="153" t="s">
        <v>110</v>
      </c>
      <c r="CC84" s="153" t="s">
        <v>110</v>
      </c>
      <c r="CD84" s="153" t="s">
        <v>110</v>
      </c>
      <c r="CE84" s="153" t="s">
        <v>110</v>
      </c>
    </row>
    <row r="85" spans="1:83" ht="27.6" customHeight="1">
      <c r="A85" s="503" t="s">
        <v>289</v>
      </c>
      <c r="B85" s="164" t="s">
        <v>290</v>
      </c>
      <c r="C85" s="155" t="s">
        <v>291</v>
      </c>
      <c r="D85" s="153" t="s">
        <v>292</v>
      </c>
      <c r="E85" s="153">
        <v>91750</v>
      </c>
      <c r="F85" s="153">
        <v>6037401602</v>
      </c>
      <c r="G85" s="155" t="s">
        <v>110</v>
      </c>
      <c r="H85" s="674">
        <v>0.13437815191248351</v>
      </c>
      <c r="I85" s="508" t="s">
        <v>290</v>
      </c>
      <c r="J85" s="153" t="s">
        <v>117</v>
      </c>
      <c r="K85" s="572" t="s">
        <v>293</v>
      </c>
      <c r="L85" s="153" t="s">
        <v>292</v>
      </c>
      <c r="M85" s="153" t="s">
        <v>110</v>
      </c>
      <c r="N85" s="156">
        <v>1</v>
      </c>
      <c r="P85" s="156">
        <v>0</v>
      </c>
      <c r="Q85" s="156" t="s">
        <v>294</v>
      </c>
      <c r="R85" s="156">
        <v>1</v>
      </c>
      <c r="S85" s="156">
        <v>0</v>
      </c>
      <c r="T85" s="958" t="s">
        <v>105</v>
      </c>
      <c r="U85" s="153" t="s">
        <v>110</v>
      </c>
      <c r="V85" s="149">
        <v>42478</v>
      </c>
      <c r="W85" s="149">
        <v>42489</v>
      </c>
      <c r="X85" s="149">
        <v>43492</v>
      </c>
      <c r="Y85" s="149">
        <v>43794</v>
      </c>
      <c r="Z85" s="149" t="s">
        <v>103</v>
      </c>
      <c r="AA85" s="149">
        <v>42478</v>
      </c>
      <c r="AB85" s="153" t="s">
        <v>103</v>
      </c>
      <c r="AC85" s="594">
        <f>W85-V85</f>
        <v>11</v>
      </c>
      <c r="AD85" s="149">
        <v>43794</v>
      </c>
      <c r="AE85" s="149" t="s">
        <v>103</v>
      </c>
      <c r="AF85" s="153" t="s">
        <v>103</v>
      </c>
      <c r="AG85" s="153" t="s">
        <v>103</v>
      </c>
      <c r="AH85" s="596" t="s">
        <v>103</v>
      </c>
      <c r="AI85" s="960" t="s">
        <v>103</v>
      </c>
      <c r="AJ85" s="607">
        <v>6570</v>
      </c>
      <c r="AK85" s="153" t="s">
        <v>152</v>
      </c>
      <c r="AL85" s="791" t="s">
        <v>104</v>
      </c>
      <c r="AO85" s="963"/>
      <c r="AP85" s="94">
        <v>3800000</v>
      </c>
      <c r="AQ85" s="574">
        <v>0</v>
      </c>
      <c r="AR85" s="153" t="s">
        <v>116</v>
      </c>
      <c r="AS85" s="153" t="s">
        <v>116</v>
      </c>
      <c r="AT85" s="156">
        <v>0</v>
      </c>
      <c r="AU85" s="777" t="s">
        <v>122</v>
      </c>
      <c r="AV85" s="777" t="s">
        <v>122</v>
      </c>
      <c r="AW85" s="777" t="s">
        <v>122</v>
      </c>
      <c r="AX85" s="155" t="s">
        <v>103</v>
      </c>
      <c r="AY85" s="155" t="s">
        <v>103</v>
      </c>
      <c r="AZ85" s="155" t="s">
        <v>103</v>
      </c>
      <c r="BA85" s="156">
        <v>0</v>
      </c>
      <c r="BB85" s="153"/>
      <c r="BC85" s="780" t="s">
        <v>103</v>
      </c>
      <c r="BD85" s="153" t="s">
        <v>103</v>
      </c>
      <c r="BE85" s="679" t="s">
        <v>103</v>
      </c>
      <c r="BF85" s="156" t="s">
        <v>103</v>
      </c>
      <c r="BG85" s="94">
        <v>182655.45</v>
      </c>
      <c r="BH85" s="766">
        <v>3866478.0643750313</v>
      </c>
      <c r="BI85" s="774">
        <v>0</v>
      </c>
      <c r="BJ85" s="774">
        <v>0</v>
      </c>
      <c r="BK85" s="153" t="s">
        <v>103</v>
      </c>
      <c r="BL85" s="153" t="s">
        <v>116</v>
      </c>
      <c r="BM85" s="94" t="s">
        <v>124</v>
      </c>
      <c r="BN85" s="155" t="s">
        <v>116</v>
      </c>
      <c r="BO85" s="153" t="s">
        <v>116</v>
      </c>
      <c r="BP85" s="153" t="s">
        <v>124</v>
      </c>
      <c r="BQ85" s="153" t="s">
        <v>103</v>
      </c>
      <c r="BR85" s="153" t="s">
        <v>110</v>
      </c>
      <c r="BS85" s="153" t="s">
        <v>104</v>
      </c>
      <c r="BT85" s="153" t="s">
        <v>110</v>
      </c>
      <c r="BU85" s="153" t="s">
        <v>104</v>
      </c>
      <c r="BV85" s="153" t="s">
        <v>103</v>
      </c>
      <c r="BW85" s="153" t="s">
        <v>110</v>
      </c>
      <c r="BX85" s="153" t="s">
        <v>110</v>
      </c>
      <c r="BY85" s="153" t="s">
        <v>110</v>
      </c>
      <c r="BZ85" s="153" t="s">
        <v>110</v>
      </c>
      <c r="CA85" s="616" t="s">
        <v>110</v>
      </c>
      <c r="CB85" s="153" t="s">
        <v>110</v>
      </c>
      <c r="CC85" s="153" t="s">
        <v>110</v>
      </c>
      <c r="CD85" s="153" t="s">
        <v>110</v>
      </c>
      <c r="CE85" s="153" t="s">
        <v>110</v>
      </c>
    </row>
    <row r="86" spans="1:83" ht="55.35" customHeight="1">
      <c r="A86" s="503" t="s">
        <v>295</v>
      </c>
      <c r="B86" s="164" t="s">
        <v>296</v>
      </c>
      <c r="C86" s="155" t="s">
        <v>297</v>
      </c>
      <c r="D86" s="153" t="s">
        <v>298</v>
      </c>
      <c r="E86" s="153">
        <v>90716</v>
      </c>
      <c r="F86" s="153">
        <v>6037555104</v>
      </c>
      <c r="G86" s="155" t="s">
        <v>110</v>
      </c>
      <c r="H86" s="674">
        <v>0.14521642018342415</v>
      </c>
      <c r="I86" s="508" t="s">
        <v>296</v>
      </c>
      <c r="J86" s="153" t="s">
        <v>117</v>
      </c>
      <c r="K86" s="572" t="s">
        <v>217</v>
      </c>
      <c r="L86" s="153" t="s">
        <v>298</v>
      </c>
      <c r="M86" s="153" t="s">
        <v>104</v>
      </c>
      <c r="N86" s="156">
        <v>2</v>
      </c>
      <c r="P86" s="156">
        <v>0</v>
      </c>
      <c r="Q86" s="156" t="s">
        <v>139</v>
      </c>
      <c r="R86" s="156">
        <v>0</v>
      </c>
      <c r="S86" s="156">
        <v>2</v>
      </c>
      <c r="T86" s="958" t="s">
        <v>105</v>
      </c>
      <c r="U86" s="153" t="s">
        <v>104</v>
      </c>
      <c r="V86" s="149">
        <v>39210</v>
      </c>
      <c r="W86" s="149">
        <v>39363</v>
      </c>
      <c r="X86" s="149">
        <v>39650</v>
      </c>
      <c r="Y86" s="149">
        <v>41609</v>
      </c>
      <c r="Z86" s="149">
        <v>41609</v>
      </c>
      <c r="AA86" s="149">
        <v>39210</v>
      </c>
      <c r="AB86" s="763" t="s">
        <v>121</v>
      </c>
      <c r="AC86" s="594">
        <v>109.28571428571429</v>
      </c>
      <c r="AD86" s="153" t="s">
        <v>103</v>
      </c>
      <c r="AE86" s="149" t="s">
        <v>103</v>
      </c>
      <c r="AF86" s="596">
        <v>2</v>
      </c>
      <c r="AG86" s="596">
        <v>4</v>
      </c>
      <c r="AH86" s="763"/>
      <c r="AI86" s="614">
        <v>1.1363636363636365</v>
      </c>
      <c r="AJ86" s="607">
        <v>6000</v>
      </c>
      <c r="AK86" s="153" t="s">
        <v>152</v>
      </c>
      <c r="AL86" s="791" t="s">
        <v>116</v>
      </c>
      <c r="AO86" s="963"/>
      <c r="AP86" s="519">
        <v>2900000</v>
      </c>
      <c r="AQ86" s="574">
        <v>2576332</v>
      </c>
      <c r="AR86" s="153" t="s">
        <v>116</v>
      </c>
      <c r="AS86" s="153" t="s">
        <v>116</v>
      </c>
      <c r="AT86" s="777" t="s">
        <v>122</v>
      </c>
      <c r="AU86" s="777" t="s">
        <v>122</v>
      </c>
      <c r="AV86" s="777" t="s">
        <v>122</v>
      </c>
      <c r="AW86" s="777" t="s">
        <v>122</v>
      </c>
      <c r="AX86" s="155" t="s">
        <v>103</v>
      </c>
      <c r="AY86" s="155" t="s">
        <v>103</v>
      </c>
      <c r="AZ86" s="155" t="s">
        <v>103</v>
      </c>
      <c r="BB86" s="574">
        <f t="shared" ref="BB86:BB88" si="9">AQ86</f>
        <v>2576332</v>
      </c>
      <c r="BC86" s="780">
        <v>323668</v>
      </c>
      <c r="BD86" s="1008" t="s">
        <v>121</v>
      </c>
      <c r="BE86" s="679">
        <v>-52460</v>
      </c>
      <c r="BF86" s="153">
        <v>2013</v>
      </c>
      <c r="BG86" s="94">
        <v>2576332</v>
      </c>
      <c r="BH86" s="766">
        <v>3488828</v>
      </c>
      <c r="BI86" s="774">
        <v>0</v>
      </c>
      <c r="BJ86" s="774">
        <v>0</v>
      </c>
      <c r="BK86" s="153" t="s">
        <v>103</v>
      </c>
      <c r="BL86" s="94" t="s">
        <v>124</v>
      </c>
      <c r="BM86" s="94" t="s">
        <v>124</v>
      </c>
      <c r="BN86" s="94" t="s">
        <v>124</v>
      </c>
      <c r="BO86" s="153" t="s">
        <v>116</v>
      </c>
      <c r="BP86" s="153" t="s">
        <v>124</v>
      </c>
      <c r="BQ86" s="153" t="s">
        <v>103</v>
      </c>
      <c r="BR86" s="153" t="s">
        <v>116</v>
      </c>
      <c r="BS86" s="153" t="s">
        <v>116</v>
      </c>
      <c r="BT86" s="153" t="s">
        <v>116</v>
      </c>
      <c r="BU86" s="153" t="s">
        <v>116</v>
      </c>
      <c r="BV86" s="153" t="s">
        <v>116</v>
      </c>
      <c r="BW86" s="153" t="s">
        <v>116</v>
      </c>
      <c r="BX86" s="153" t="s">
        <v>116</v>
      </c>
      <c r="BY86" s="153" t="s">
        <v>116</v>
      </c>
      <c r="BZ86" s="153" t="s">
        <v>116</v>
      </c>
      <c r="CA86" s="616" t="s">
        <v>116</v>
      </c>
      <c r="CB86" s="153" t="s">
        <v>116</v>
      </c>
      <c r="CC86" s="153" t="s">
        <v>116</v>
      </c>
      <c r="CD86" s="153" t="s">
        <v>116</v>
      </c>
      <c r="CE86" s="153" t="s">
        <v>116</v>
      </c>
    </row>
    <row r="87" spans="1:83" ht="41.45" customHeight="1">
      <c r="A87" s="503"/>
      <c r="B87" s="164" t="s">
        <v>299</v>
      </c>
      <c r="C87" s="155" t="s">
        <v>300</v>
      </c>
      <c r="D87" s="153" t="s">
        <v>301</v>
      </c>
      <c r="E87" s="153">
        <v>90716</v>
      </c>
      <c r="F87" s="153">
        <v>6037570702</v>
      </c>
      <c r="G87" s="153" t="s">
        <v>110</v>
      </c>
      <c r="H87" s="153" t="s">
        <v>150</v>
      </c>
      <c r="I87" s="508" t="s">
        <v>302</v>
      </c>
      <c r="J87" s="153" t="s">
        <v>117</v>
      </c>
      <c r="K87" s="156">
        <v>0</v>
      </c>
      <c r="L87" s="153" t="s">
        <v>301</v>
      </c>
      <c r="M87" s="153" t="s">
        <v>104</v>
      </c>
      <c r="Q87" s="156" t="s">
        <v>139</v>
      </c>
      <c r="V87" s="149" t="s">
        <v>150</v>
      </c>
      <c r="Y87" s="149">
        <v>38473</v>
      </c>
      <c r="Z87" s="149">
        <v>38473</v>
      </c>
      <c r="AA87" s="149" t="s">
        <v>150</v>
      </c>
      <c r="AB87" s="763" t="s">
        <v>151</v>
      </c>
      <c r="AC87" s="594" t="s">
        <v>116</v>
      </c>
      <c r="AD87" s="153" t="s">
        <v>103</v>
      </c>
      <c r="AE87" s="149" t="s">
        <v>103</v>
      </c>
      <c r="AF87" s="596" t="s">
        <v>103</v>
      </c>
      <c r="AG87" s="596" t="s">
        <v>103</v>
      </c>
      <c r="AH87" s="597" t="s">
        <v>103</v>
      </c>
      <c r="AI87" s="614">
        <v>2.6590909090909092</v>
      </c>
      <c r="AJ87" s="607">
        <v>14040</v>
      </c>
      <c r="AK87" s="153" t="s">
        <v>152</v>
      </c>
      <c r="AL87" s="791" t="s">
        <v>116</v>
      </c>
      <c r="AO87" s="963"/>
      <c r="AP87" s="519">
        <v>3434000</v>
      </c>
      <c r="AQ87" s="580">
        <v>3549013</v>
      </c>
      <c r="AR87" s="153" t="s">
        <v>116</v>
      </c>
      <c r="AS87" s="153" t="s">
        <v>116</v>
      </c>
      <c r="AT87" s="777" t="s">
        <v>122</v>
      </c>
      <c r="AU87" s="777" t="s">
        <v>122</v>
      </c>
      <c r="AV87" s="777" t="s">
        <v>122</v>
      </c>
      <c r="AW87" s="777" t="s">
        <v>122</v>
      </c>
      <c r="AX87" s="155" t="s">
        <v>103</v>
      </c>
      <c r="AY87" s="155" t="s">
        <v>103</v>
      </c>
      <c r="AZ87" s="155" t="s">
        <v>103</v>
      </c>
      <c r="BB87" s="574">
        <f t="shared" si="9"/>
        <v>3549013</v>
      </c>
      <c r="BC87" s="780">
        <v>-115013</v>
      </c>
      <c r="BD87" s="1008" t="s">
        <v>151</v>
      </c>
      <c r="BE87" s="679" t="s">
        <v>256</v>
      </c>
      <c r="BF87" s="153" t="s">
        <v>258</v>
      </c>
      <c r="BG87" s="519">
        <v>3549013</v>
      </c>
      <c r="BH87" s="769" t="s">
        <v>123</v>
      </c>
      <c r="BI87" s="774">
        <v>0</v>
      </c>
      <c r="BJ87" s="774">
        <v>0</v>
      </c>
      <c r="BK87" s="153" t="s">
        <v>103</v>
      </c>
      <c r="BL87" s="94" t="s">
        <v>124</v>
      </c>
      <c r="BM87" s="519" t="s">
        <v>124</v>
      </c>
      <c r="BN87" s="155" t="s">
        <v>116</v>
      </c>
      <c r="BO87" s="153" t="s">
        <v>116</v>
      </c>
      <c r="BP87" s="153" t="s">
        <v>124</v>
      </c>
      <c r="BQ87" s="153" t="s">
        <v>103</v>
      </c>
      <c r="BR87" s="153" t="s">
        <v>116</v>
      </c>
      <c r="BS87" s="153" t="s">
        <v>116</v>
      </c>
      <c r="BT87" s="153" t="s">
        <v>116</v>
      </c>
      <c r="BU87" s="153" t="s">
        <v>116</v>
      </c>
      <c r="BV87" s="153" t="s">
        <v>116</v>
      </c>
      <c r="BW87" s="153" t="s">
        <v>116</v>
      </c>
      <c r="BX87" s="153" t="s">
        <v>116</v>
      </c>
      <c r="BY87" s="153" t="s">
        <v>116</v>
      </c>
      <c r="BZ87" s="153" t="s">
        <v>116</v>
      </c>
      <c r="CA87" s="616" t="s">
        <v>116</v>
      </c>
      <c r="CB87" s="153" t="s">
        <v>116</v>
      </c>
      <c r="CC87" s="153" t="s">
        <v>116</v>
      </c>
      <c r="CD87" s="153" t="s">
        <v>116</v>
      </c>
      <c r="CE87" s="153" t="s">
        <v>116</v>
      </c>
    </row>
    <row r="88" spans="1:83" ht="27.6" customHeight="1">
      <c r="A88" s="503" t="s">
        <v>303</v>
      </c>
      <c r="B88" s="164" t="s">
        <v>304</v>
      </c>
      <c r="C88" s="155" t="s">
        <v>305</v>
      </c>
      <c r="D88" s="153" t="s">
        <v>306</v>
      </c>
      <c r="E88" s="153">
        <v>93534</v>
      </c>
      <c r="F88" s="153">
        <v>6037900705</v>
      </c>
      <c r="G88" s="155" t="s">
        <v>110</v>
      </c>
      <c r="H88" s="674">
        <v>0.28419058856406515</v>
      </c>
      <c r="I88" s="508" t="s">
        <v>304</v>
      </c>
      <c r="J88" s="153" t="s">
        <v>117</v>
      </c>
      <c r="K88" s="156">
        <v>0</v>
      </c>
      <c r="L88" s="153" t="s">
        <v>306</v>
      </c>
      <c r="M88" s="153" t="s">
        <v>104</v>
      </c>
      <c r="N88" s="156">
        <v>2</v>
      </c>
      <c r="P88" s="156">
        <v>0</v>
      </c>
      <c r="Q88" s="156" t="s">
        <v>139</v>
      </c>
      <c r="R88" s="156">
        <v>0</v>
      </c>
      <c r="S88" s="156">
        <v>1</v>
      </c>
      <c r="T88" s="958" t="s">
        <v>105</v>
      </c>
      <c r="U88" s="153" t="s">
        <v>104</v>
      </c>
      <c r="V88" s="590">
        <v>39764</v>
      </c>
      <c r="W88" s="149">
        <v>39545</v>
      </c>
      <c r="X88" s="149">
        <v>40793</v>
      </c>
      <c r="Y88" s="149">
        <v>41214</v>
      </c>
      <c r="Z88" s="149">
        <v>41214</v>
      </c>
      <c r="AA88" s="149">
        <v>39764</v>
      </c>
      <c r="AB88" s="763" t="s">
        <v>121</v>
      </c>
      <c r="AC88" s="594">
        <v>-156.42857142857142</v>
      </c>
      <c r="AD88" s="153" t="s">
        <v>103</v>
      </c>
      <c r="AE88" s="149" t="s">
        <v>103</v>
      </c>
      <c r="AF88" s="596">
        <v>21</v>
      </c>
      <c r="AG88" s="596">
        <v>0</v>
      </c>
      <c r="AH88" s="595">
        <v>6580</v>
      </c>
      <c r="AI88" s="614">
        <v>1.2462121212121211</v>
      </c>
      <c r="AJ88" s="607">
        <v>5029</v>
      </c>
      <c r="AK88" s="153" t="s">
        <v>120</v>
      </c>
      <c r="AL88" s="791" t="s">
        <v>103</v>
      </c>
      <c r="AO88" s="963"/>
      <c r="AP88" s="519">
        <v>2250000</v>
      </c>
      <c r="AQ88" s="574">
        <v>1698447</v>
      </c>
      <c r="AR88" s="153" t="s">
        <v>116</v>
      </c>
      <c r="AS88" s="153" t="s">
        <v>116</v>
      </c>
      <c r="AT88" s="777" t="s">
        <v>122</v>
      </c>
      <c r="AU88" s="777" t="s">
        <v>122</v>
      </c>
      <c r="AV88" s="777" t="s">
        <v>122</v>
      </c>
      <c r="AW88" s="777" t="s">
        <v>122</v>
      </c>
      <c r="AX88" s="155" t="s">
        <v>103</v>
      </c>
      <c r="AY88" s="155" t="s">
        <v>103</v>
      </c>
      <c r="AZ88" s="155" t="s">
        <v>103</v>
      </c>
      <c r="BB88" s="574">
        <f t="shared" si="9"/>
        <v>1698447</v>
      </c>
      <c r="BC88" s="780">
        <v>551553</v>
      </c>
      <c r="BD88" s="1008" t="s">
        <v>121</v>
      </c>
      <c r="BE88" s="679">
        <v>5494</v>
      </c>
      <c r="BF88" s="153">
        <v>2013</v>
      </c>
      <c r="BG88" s="94">
        <v>1698447</v>
      </c>
      <c r="BH88" s="766">
        <v>2965472.7862724783</v>
      </c>
      <c r="BI88" s="774">
        <v>0</v>
      </c>
      <c r="BJ88" s="774">
        <v>0</v>
      </c>
      <c r="BK88" s="153" t="s">
        <v>103</v>
      </c>
      <c r="BL88" s="94" t="s">
        <v>124</v>
      </c>
      <c r="BM88" s="94" t="s">
        <v>124</v>
      </c>
      <c r="BN88" s="94" t="s">
        <v>124</v>
      </c>
      <c r="BO88" s="153" t="s">
        <v>116</v>
      </c>
      <c r="BP88" s="153" t="s">
        <v>124</v>
      </c>
      <c r="BQ88" s="153" t="s">
        <v>103</v>
      </c>
      <c r="BR88" s="153" t="s">
        <v>116</v>
      </c>
      <c r="BS88" s="153" t="s">
        <v>116</v>
      </c>
      <c r="BT88" s="153" t="s">
        <v>116</v>
      </c>
      <c r="BU88" s="153" t="s">
        <v>116</v>
      </c>
      <c r="BV88" s="153" t="s">
        <v>116</v>
      </c>
      <c r="BW88" s="153" t="s">
        <v>116</v>
      </c>
      <c r="BX88" s="153" t="s">
        <v>116</v>
      </c>
      <c r="BY88" s="153" t="s">
        <v>116</v>
      </c>
      <c r="BZ88" s="153" t="s">
        <v>116</v>
      </c>
      <c r="CA88" s="616" t="s">
        <v>116</v>
      </c>
      <c r="CB88" s="153" t="s">
        <v>116</v>
      </c>
      <c r="CC88" s="153" t="s">
        <v>116</v>
      </c>
      <c r="CD88" s="153" t="s">
        <v>116</v>
      </c>
      <c r="CE88" s="153" t="s">
        <v>116</v>
      </c>
    </row>
    <row r="89" spans="1:83" ht="14.1" customHeight="1">
      <c r="A89" s="503"/>
      <c r="B89" s="164" t="s">
        <v>307</v>
      </c>
      <c r="C89" s="155" t="s">
        <v>103</v>
      </c>
      <c r="D89" s="153" t="s">
        <v>308</v>
      </c>
      <c r="E89" s="153">
        <v>93534</v>
      </c>
      <c r="F89" s="153">
        <v>6037900806</v>
      </c>
      <c r="G89" s="153" t="s">
        <v>110</v>
      </c>
      <c r="H89" s="153" t="s">
        <v>150</v>
      </c>
      <c r="I89" s="508" t="s">
        <v>307</v>
      </c>
      <c r="J89" s="153" t="s">
        <v>117</v>
      </c>
      <c r="K89" s="572" t="s">
        <v>130</v>
      </c>
      <c r="L89" s="153" t="s">
        <v>308</v>
      </c>
      <c r="M89" s="153" t="s">
        <v>110</v>
      </c>
      <c r="Q89" s="156" t="s">
        <v>119</v>
      </c>
      <c r="V89" s="149">
        <v>41478</v>
      </c>
      <c r="W89" s="149">
        <v>43221</v>
      </c>
      <c r="X89" s="149">
        <v>43835</v>
      </c>
      <c r="Y89" s="149">
        <v>44137</v>
      </c>
      <c r="Z89" s="149" t="s">
        <v>103</v>
      </c>
      <c r="AA89" s="149">
        <v>41478</v>
      </c>
      <c r="AB89" s="153" t="s">
        <v>103</v>
      </c>
      <c r="AC89" s="594">
        <f>W89-V89</f>
        <v>1743</v>
      </c>
      <c r="AD89" s="149">
        <v>44137</v>
      </c>
      <c r="AE89" s="149" t="s">
        <v>103</v>
      </c>
      <c r="AF89" s="153" t="s">
        <v>103</v>
      </c>
      <c r="AG89" s="153" t="s">
        <v>103</v>
      </c>
      <c r="AH89" s="596" t="s">
        <v>103</v>
      </c>
      <c r="AI89" s="960" t="s">
        <v>103</v>
      </c>
      <c r="AJ89" s="607">
        <v>6500</v>
      </c>
      <c r="AK89" s="153" t="s">
        <v>120</v>
      </c>
      <c r="AL89" s="791" t="s">
        <v>103</v>
      </c>
      <c r="AO89" s="963"/>
      <c r="AP89" s="94">
        <v>3600000</v>
      </c>
      <c r="AQ89" s="574">
        <v>0</v>
      </c>
      <c r="AR89" s="153" t="s">
        <v>116</v>
      </c>
      <c r="AS89" s="153" t="s">
        <v>116</v>
      </c>
      <c r="AT89" s="777" t="s">
        <v>121</v>
      </c>
      <c r="AU89" s="777" t="s">
        <v>122</v>
      </c>
      <c r="AV89" s="777" t="s">
        <v>122</v>
      </c>
      <c r="AW89" s="777" t="s">
        <v>122</v>
      </c>
      <c r="AX89" s="155" t="s">
        <v>103</v>
      </c>
      <c r="AY89" s="155" t="s">
        <v>103</v>
      </c>
      <c r="AZ89" s="155" t="s">
        <v>103</v>
      </c>
      <c r="BB89" s="153"/>
      <c r="BC89" s="780" t="s">
        <v>103</v>
      </c>
      <c r="BD89" s="153" t="s">
        <v>103</v>
      </c>
      <c r="BE89" s="679" t="s">
        <v>103</v>
      </c>
      <c r="BF89" s="156" t="s">
        <v>103</v>
      </c>
      <c r="BG89" s="94">
        <v>0</v>
      </c>
      <c r="BH89" s="766">
        <v>2353749</v>
      </c>
      <c r="BI89" s="774">
        <v>0</v>
      </c>
      <c r="BJ89" s="774">
        <v>0</v>
      </c>
      <c r="BK89" s="153" t="s">
        <v>103</v>
      </c>
      <c r="BL89" s="153" t="s">
        <v>124</v>
      </c>
      <c r="BM89" s="94" t="s">
        <v>124</v>
      </c>
      <c r="BN89" s="155" t="s">
        <v>124</v>
      </c>
      <c r="BO89" s="153" t="s">
        <v>116</v>
      </c>
      <c r="BP89" s="153" t="s">
        <v>124</v>
      </c>
      <c r="BQ89" s="153" t="s">
        <v>103</v>
      </c>
      <c r="BR89" s="153" t="s">
        <v>110</v>
      </c>
      <c r="BS89" s="153" t="s">
        <v>104</v>
      </c>
      <c r="BT89" s="153" t="s">
        <v>110</v>
      </c>
      <c r="BU89" s="153" t="s">
        <v>110</v>
      </c>
      <c r="BV89" s="153" t="s">
        <v>110</v>
      </c>
      <c r="BW89" s="153" t="s">
        <v>110</v>
      </c>
      <c r="BX89" s="153" t="s">
        <v>110</v>
      </c>
      <c r="BY89" s="153" t="s">
        <v>103</v>
      </c>
      <c r="BZ89" s="153" t="s">
        <v>103</v>
      </c>
      <c r="CA89" s="616" t="s">
        <v>116</v>
      </c>
      <c r="CB89" s="153" t="s">
        <v>116</v>
      </c>
      <c r="CC89" s="153" t="s">
        <v>116</v>
      </c>
      <c r="CD89" s="153" t="s">
        <v>116</v>
      </c>
      <c r="CE89" s="153" t="s">
        <v>116</v>
      </c>
    </row>
    <row r="90" spans="1:83" ht="41.45" customHeight="1">
      <c r="A90" s="503" t="s">
        <v>309</v>
      </c>
      <c r="B90" s="164" t="s">
        <v>310</v>
      </c>
      <c r="C90" s="155" t="s">
        <v>311</v>
      </c>
      <c r="D90" s="153" t="s">
        <v>312</v>
      </c>
      <c r="E90" s="153">
        <v>90260</v>
      </c>
      <c r="F90" s="153">
        <v>6037603703</v>
      </c>
      <c r="G90" s="155" t="s">
        <v>104</v>
      </c>
      <c r="H90" s="674">
        <v>0.29487065516934841</v>
      </c>
      <c r="I90" s="508" t="s">
        <v>310</v>
      </c>
      <c r="J90" s="153" t="s">
        <v>117</v>
      </c>
      <c r="L90" s="153" t="s">
        <v>312</v>
      </c>
      <c r="M90" s="153" t="s">
        <v>104</v>
      </c>
      <c r="N90" s="156">
        <v>1</v>
      </c>
      <c r="P90" s="156">
        <v>0</v>
      </c>
      <c r="Q90" s="156" t="s">
        <v>139</v>
      </c>
      <c r="R90" s="156">
        <v>0</v>
      </c>
      <c r="S90" s="156">
        <v>1</v>
      </c>
      <c r="T90" s="958" t="s">
        <v>105</v>
      </c>
      <c r="U90" s="153" t="s">
        <v>104</v>
      </c>
      <c r="V90" s="149">
        <v>37810</v>
      </c>
      <c r="Y90" s="149">
        <v>38443</v>
      </c>
      <c r="Z90" s="149">
        <v>38443</v>
      </c>
      <c r="AA90" s="149">
        <v>37810</v>
      </c>
      <c r="AB90" s="763" t="s">
        <v>151</v>
      </c>
      <c r="AC90" s="594" t="s">
        <v>116</v>
      </c>
      <c r="AD90" s="153" t="s">
        <v>103</v>
      </c>
      <c r="AE90" s="149" t="s">
        <v>103</v>
      </c>
      <c r="AF90" s="596" t="s">
        <v>103</v>
      </c>
      <c r="AG90" s="596" t="s">
        <v>103</v>
      </c>
      <c r="AH90" s="595" t="s">
        <v>103</v>
      </c>
      <c r="AI90" s="614">
        <v>3.3920454545454546</v>
      </c>
      <c r="AJ90" s="607">
        <v>17910</v>
      </c>
      <c r="AK90" s="153" t="s">
        <v>152</v>
      </c>
      <c r="AL90" s="791" t="s">
        <v>116</v>
      </c>
      <c r="AO90" s="963"/>
      <c r="AP90" s="94">
        <v>4730000</v>
      </c>
      <c r="AQ90" s="574">
        <v>5129512.88</v>
      </c>
      <c r="AR90" s="153" t="s">
        <v>116</v>
      </c>
      <c r="AS90" s="153" t="s">
        <v>116</v>
      </c>
      <c r="AT90" s="777" t="s">
        <v>122</v>
      </c>
      <c r="AU90" s="777" t="s">
        <v>122</v>
      </c>
      <c r="AV90" s="777" t="s">
        <v>122</v>
      </c>
      <c r="AW90" s="777" t="s">
        <v>122</v>
      </c>
      <c r="AX90" s="155" t="s">
        <v>103</v>
      </c>
      <c r="AY90" s="155" t="s">
        <v>103</v>
      </c>
      <c r="AZ90" s="155" t="s">
        <v>103</v>
      </c>
      <c r="BB90" s="574">
        <f t="shared" ref="BB90" si="10">AQ90</f>
        <v>5129512.88</v>
      </c>
      <c r="BC90" s="780">
        <v>-399512.87999999989</v>
      </c>
      <c r="BD90" s="1008" t="s">
        <v>151</v>
      </c>
      <c r="BE90" s="679" t="s">
        <v>256</v>
      </c>
      <c r="BF90" s="153" t="s">
        <v>258</v>
      </c>
      <c r="BG90" s="94">
        <v>5129512.88</v>
      </c>
      <c r="BH90" s="766" t="s">
        <v>123</v>
      </c>
      <c r="BI90" s="774">
        <v>0</v>
      </c>
      <c r="BJ90" s="774">
        <v>0</v>
      </c>
      <c r="BK90" s="153" t="s">
        <v>103</v>
      </c>
      <c r="BL90" s="94" t="s">
        <v>124</v>
      </c>
      <c r="BM90" s="94" t="s">
        <v>124</v>
      </c>
      <c r="BN90" s="94" t="s">
        <v>124</v>
      </c>
      <c r="BO90" s="153" t="s">
        <v>116</v>
      </c>
      <c r="BP90" s="153" t="s">
        <v>124</v>
      </c>
      <c r="BQ90" s="153" t="s">
        <v>103</v>
      </c>
      <c r="BR90" s="153" t="s">
        <v>116</v>
      </c>
      <c r="BS90" s="153" t="s">
        <v>116</v>
      </c>
      <c r="BT90" s="153" t="s">
        <v>116</v>
      </c>
      <c r="BU90" s="153" t="s">
        <v>116</v>
      </c>
      <c r="BV90" s="153" t="s">
        <v>116</v>
      </c>
      <c r="BW90" s="153" t="s">
        <v>116</v>
      </c>
      <c r="BX90" s="153" t="s">
        <v>116</v>
      </c>
      <c r="BY90" s="153" t="s">
        <v>116</v>
      </c>
      <c r="BZ90" s="153" t="s">
        <v>116</v>
      </c>
      <c r="CA90" s="616" t="s">
        <v>116</v>
      </c>
      <c r="CB90" s="153" t="s">
        <v>116</v>
      </c>
      <c r="CC90" s="153" t="s">
        <v>116</v>
      </c>
      <c r="CD90" s="153" t="s">
        <v>116</v>
      </c>
      <c r="CE90" s="153" t="s">
        <v>116</v>
      </c>
    </row>
    <row r="91" spans="1:83" ht="14.1" customHeight="1">
      <c r="A91" s="503" t="s">
        <v>313</v>
      </c>
      <c r="B91" s="164" t="s">
        <v>103</v>
      </c>
      <c r="C91" s="155" t="s">
        <v>103</v>
      </c>
      <c r="D91" s="153" t="s">
        <v>103</v>
      </c>
      <c r="E91" s="153" t="s">
        <v>103</v>
      </c>
      <c r="F91" s="958" t="s">
        <v>103</v>
      </c>
      <c r="G91" s="153" t="s">
        <v>110</v>
      </c>
      <c r="H91" s="673">
        <v>0.18511918021831142</v>
      </c>
      <c r="I91" s="508" t="s">
        <v>103</v>
      </c>
      <c r="J91" s="958" t="s">
        <v>103</v>
      </c>
      <c r="K91" s="958" t="s">
        <v>103</v>
      </c>
      <c r="L91" s="155" t="s">
        <v>103</v>
      </c>
      <c r="M91" s="155" t="s">
        <v>103</v>
      </c>
      <c r="N91" s="156">
        <v>0</v>
      </c>
      <c r="O91" s="156" t="s">
        <v>103</v>
      </c>
      <c r="P91" s="156">
        <v>0</v>
      </c>
      <c r="Q91" s="958" t="s">
        <v>103</v>
      </c>
      <c r="R91" s="156">
        <v>0</v>
      </c>
      <c r="S91" s="156">
        <v>0</v>
      </c>
      <c r="T91" s="958" t="s">
        <v>105</v>
      </c>
      <c r="U91" s="153" t="s">
        <v>110</v>
      </c>
      <c r="V91" s="518" t="s">
        <v>103</v>
      </c>
      <c r="W91" s="991" t="s">
        <v>103</v>
      </c>
      <c r="X91" s="991" t="s">
        <v>103</v>
      </c>
      <c r="Y91" s="991" t="s">
        <v>103</v>
      </c>
      <c r="Z91" s="518" t="s">
        <v>103</v>
      </c>
      <c r="AA91" s="991" t="s">
        <v>103</v>
      </c>
      <c r="AB91" s="155" t="s">
        <v>103</v>
      </c>
      <c r="AC91" s="959" t="s">
        <v>103</v>
      </c>
      <c r="AD91" s="155" t="s">
        <v>103</v>
      </c>
      <c r="AE91" s="155" t="s">
        <v>103</v>
      </c>
      <c r="AF91" s="155" t="s">
        <v>103</v>
      </c>
      <c r="AG91" s="155" t="s">
        <v>103</v>
      </c>
      <c r="AH91" s="992" t="s">
        <v>103</v>
      </c>
      <c r="AI91" s="960" t="s">
        <v>103</v>
      </c>
      <c r="AJ91" s="992" t="s">
        <v>103</v>
      </c>
      <c r="AK91" s="155" t="s">
        <v>103</v>
      </c>
      <c r="AL91" s="993" t="s">
        <v>103</v>
      </c>
      <c r="AM91" s="155"/>
      <c r="AN91" s="155"/>
      <c r="AO91" s="994"/>
      <c r="AP91" s="94">
        <v>0</v>
      </c>
      <c r="AQ91" s="578">
        <v>0</v>
      </c>
      <c r="AR91" s="155" t="s">
        <v>103</v>
      </c>
      <c r="AS91" s="155" t="s">
        <v>103</v>
      </c>
      <c r="AT91" s="155" t="s">
        <v>103</v>
      </c>
      <c r="AU91" s="155" t="s">
        <v>103</v>
      </c>
      <c r="AV91" s="155" t="s">
        <v>103</v>
      </c>
      <c r="AW91" s="155" t="s">
        <v>103</v>
      </c>
      <c r="AX91" s="155" t="s">
        <v>103</v>
      </c>
      <c r="AY91" s="155" t="s">
        <v>103</v>
      </c>
      <c r="AZ91" s="155" t="s">
        <v>103</v>
      </c>
      <c r="BA91" s="155" t="s">
        <v>103</v>
      </c>
      <c r="BB91" s="155" t="s">
        <v>103</v>
      </c>
      <c r="BC91" s="155" t="s">
        <v>103</v>
      </c>
      <c r="BD91" s="155" t="s">
        <v>103</v>
      </c>
      <c r="BE91" s="989" t="s">
        <v>103</v>
      </c>
      <c r="BF91" s="155" t="s">
        <v>103</v>
      </c>
      <c r="BG91" s="961">
        <v>0</v>
      </c>
      <c r="BH91" s="155" t="s">
        <v>103</v>
      </c>
      <c r="BI91" s="990" t="s">
        <v>103</v>
      </c>
      <c r="BJ91" s="155" t="s">
        <v>103</v>
      </c>
      <c r="BK91" s="155" t="s">
        <v>103</v>
      </c>
      <c r="BL91" s="155" t="s">
        <v>103</v>
      </c>
      <c r="BM91" s="155" t="s">
        <v>103</v>
      </c>
      <c r="BN91" s="155" t="s">
        <v>103</v>
      </c>
      <c r="BO91" s="155" t="s">
        <v>103</v>
      </c>
      <c r="BP91" s="155" t="s">
        <v>103</v>
      </c>
      <c r="BQ91" s="155" t="s">
        <v>103</v>
      </c>
      <c r="BR91" s="155" t="s">
        <v>103</v>
      </c>
      <c r="BS91" s="155" t="s">
        <v>103</v>
      </c>
      <c r="BT91" s="155" t="s">
        <v>103</v>
      </c>
      <c r="BU91" s="155" t="s">
        <v>103</v>
      </c>
      <c r="BV91" s="155" t="s">
        <v>103</v>
      </c>
      <c r="BW91" s="155" t="s">
        <v>103</v>
      </c>
      <c r="BX91" s="155" t="s">
        <v>103</v>
      </c>
      <c r="BY91" s="155" t="s">
        <v>103</v>
      </c>
      <c r="BZ91" s="155" t="s">
        <v>103</v>
      </c>
      <c r="CA91" s="155" t="s">
        <v>103</v>
      </c>
      <c r="CB91" s="155" t="s">
        <v>103</v>
      </c>
      <c r="CC91" s="155" t="s">
        <v>103</v>
      </c>
      <c r="CD91" s="155" t="s">
        <v>103</v>
      </c>
      <c r="CE91" s="155" t="s">
        <v>103</v>
      </c>
    </row>
    <row r="92" spans="1:83" ht="69" customHeight="1">
      <c r="A92" s="503" t="s">
        <v>314</v>
      </c>
      <c r="B92" s="164" t="s">
        <v>315</v>
      </c>
      <c r="C92" s="155" t="s">
        <v>316</v>
      </c>
      <c r="D92" s="153" t="s">
        <v>317</v>
      </c>
      <c r="E92" s="153">
        <v>90813</v>
      </c>
      <c r="F92" s="153">
        <v>6037576501</v>
      </c>
      <c r="G92" s="155" t="s">
        <v>104</v>
      </c>
      <c r="H92" s="674">
        <v>0.21308727468924007</v>
      </c>
      <c r="I92" s="508" t="s">
        <v>315</v>
      </c>
      <c r="J92" s="153" t="s">
        <v>117</v>
      </c>
      <c r="K92" s="156">
        <v>0</v>
      </c>
      <c r="L92" s="153" t="s">
        <v>317</v>
      </c>
      <c r="M92" s="153" t="s">
        <v>104</v>
      </c>
      <c r="N92" s="156">
        <v>3</v>
      </c>
      <c r="P92" s="156">
        <v>0</v>
      </c>
      <c r="Q92" s="156" t="s">
        <v>139</v>
      </c>
      <c r="R92" s="156">
        <v>1</v>
      </c>
      <c r="S92" s="156">
        <v>3</v>
      </c>
      <c r="T92" s="958" t="s">
        <v>105</v>
      </c>
      <c r="U92" s="153" t="s">
        <v>104</v>
      </c>
      <c r="V92" s="149">
        <v>39007</v>
      </c>
      <c r="W92" s="149">
        <v>39091</v>
      </c>
      <c r="X92" s="149">
        <v>42138</v>
      </c>
      <c r="Y92" s="149">
        <v>42171</v>
      </c>
      <c r="Z92" s="149">
        <v>42171</v>
      </c>
      <c r="AA92" s="149">
        <v>39007</v>
      </c>
      <c r="AB92" s="763" t="s">
        <v>121</v>
      </c>
      <c r="AC92" s="594">
        <v>60</v>
      </c>
      <c r="AD92" s="153" t="s">
        <v>103</v>
      </c>
      <c r="AE92" s="149" t="s">
        <v>103</v>
      </c>
      <c r="AF92" s="596">
        <v>40</v>
      </c>
      <c r="AG92" s="596" t="s">
        <v>103</v>
      </c>
      <c r="AH92" s="595">
        <v>12823</v>
      </c>
      <c r="AI92" s="614">
        <v>2.428598484848485</v>
      </c>
      <c r="AJ92" s="607">
        <v>12000</v>
      </c>
      <c r="AK92" s="153" t="s">
        <v>152</v>
      </c>
      <c r="AL92" s="791" t="s">
        <v>104</v>
      </c>
      <c r="AO92" s="963"/>
      <c r="AP92" s="519">
        <v>8200000</v>
      </c>
      <c r="AQ92" s="574">
        <v>5221752</v>
      </c>
      <c r="AR92" s="153" t="s">
        <v>116</v>
      </c>
      <c r="AS92" s="153" t="s">
        <v>116</v>
      </c>
      <c r="AT92" s="156">
        <v>0</v>
      </c>
      <c r="AU92" s="777" t="s">
        <v>122</v>
      </c>
      <c r="AV92" s="777" t="s">
        <v>122</v>
      </c>
      <c r="AW92" s="777" t="s">
        <v>122</v>
      </c>
      <c r="AX92" s="155" t="s">
        <v>103</v>
      </c>
      <c r="AY92" s="155" t="s">
        <v>103</v>
      </c>
      <c r="AZ92" s="155" t="s">
        <v>103</v>
      </c>
      <c r="BA92" s="156">
        <v>0</v>
      </c>
      <c r="BB92" s="574">
        <f t="shared" ref="BB92:BB94" si="11">AQ92</f>
        <v>5221752</v>
      </c>
      <c r="BC92" s="780">
        <v>2978248</v>
      </c>
      <c r="BD92" s="1008" t="s">
        <v>121</v>
      </c>
      <c r="BE92" s="679">
        <v>0</v>
      </c>
      <c r="BF92" s="153" t="s">
        <v>103</v>
      </c>
      <c r="BG92" s="94">
        <v>5221752</v>
      </c>
      <c r="BH92" s="766">
        <v>8600621</v>
      </c>
      <c r="BI92" s="774">
        <v>0</v>
      </c>
      <c r="BJ92" s="774">
        <v>0</v>
      </c>
      <c r="BK92" s="153" t="s">
        <v>103</v>
      </c>
      <c r="BL92" s="153" t="s">
        <v>124</v>
      </c>
      <c r="BM92" s="94" t="s">
        <v>103</v>
      </c>
      <c r="BN92" s="155" t="s">
        <v>103</v>
      </c>
      <c r="BO92" s="153" t="s">
        <v>103</v>
      </c>
      <c r="BP92" s="153" t="s">
        <v>103</v>
      </c>
      <c r="BQ92" s="153" t="s">
        <v>103</v>
      </c>
      <c r="BR92" s="153" t="s">
        <v>110</v>
      </c>
      <c r="BS92" s="153" t="s">
        <v>104</v>
      </c>
      <c r="BT92" s="153" t="s">
        <v>104</v>
      </c>
      <c r="BU92" s="153" t="s">
        <v>110</v>
      </c>
      <c r="BV92" s="153" t="s">
        <v>110</v>
      </c>
      <c r="BW92" s="153" t="s">
        <v>110</v>
      </c>
      <c r="BX92" s="153" t="s">
        <v>110</v>
      </c>
      <c r="BY92" s="153" t="s">
        <v>110</v>
      </c>
      <c r="BZ92" s="153" t="s">
        <v>110</v>
      </c>
      <c r="CA92" s="616" t="s">
        <v>103</v>
      </c>
      <c r="CB92" s="153" t="s">
        <v>103</v>
      </c>
      <c r="CC92" s="153" t="s">
        <v>103</v>
      </c>
      <c r="CD92" s="153" t="s">
        <v>103</v>
      </c>
      <c r="CE92" s="153" t="s">
        <v>103</v>
      </c>
    </row>
    <row r="93" spans="1:83" ht="41.45" customHeight="1">
      <c r="A93" s="503"/>
      <c r="B93" s="164" t="s">
        <v>318</v>
      </c>
      <c r="C93" s="155" t="s">
        <v>319</v>
      </c>
      <c r="D93" s="153" t="s">
        <v>320</v>
      </c>
      <c r="E93" s="153">
        <v>90806</v>
      </c>
      <c r="F93" s="153">
        <v>6037573201</v>
      </c>
      <c r="G93" s="153" t="s">
        <v>104</v>
      </c>
      <c r="H93" s="153" t="s">
        <v>150</v>
      </c>
      <c r="I93" s="508" t="s">
        <v>318</v>
      </c>
      <c r="J93" s="153" t="s">
        <v>117</v>
      </c>
      <c r="K93" s="156" t="s">
        <v>205</v>
      </c>
      <c r="L93" s="153" t="s">
        <v>320</v>
      </c>
      <c r="M93" s="153" t="s">
        <v>110</v>
      </c>
      <c r="Q93" s="156" t="s">
        <v>139</v>
      </c>
      <c r="V93" s="590">
        <v>39539</v>
      </c>
      <c r="W93" s="149">
        <v>39091</v>
      </c>
      <c r="X93" s="149">
        <v>42422</v>
      </c>
      <c r="Y93" s="149">
        <v>43159</v>
      </c>
      <c r="Z93" s="149">
        <v>43159</v>
      </c>
      <c r="AA93" s="149">
        <v>39539</v>
      </c>
      <c r="AB93" s="763" t="s">
        <v>151</v>
      </c>
      <c r="AC93" s="594">
        <f>W93-V93</f>
        <v>-448</v>
      </c>
      <c r="AD93" s="149">
        <v>43159</v>
      </c>
      <c r="AE93" s="149" t="s">
        <v>103</v>
      </c>
      <c r="AF93" s="153">
        <v>52</v>
      </c>
      <c r="AG93" s="153" t="s">
        <v>150</v>
      </c>
      <c r="AH93" s="596" t="s">
        <v>150</v>
      </c>
      <c r="AI93" s="960">
        <v>1.6477272700000001</v>
      </c>
      <c r="AJ93" s="607">
        <v>8700</v>
      </c>
      <c r="AK93" s="153" t="s">
        <v>120</v>
      </c>
      <c r="AL93" s="791" t="s">
        <v>104</v>
      </c>
      <c r="AO93" s="963"/>
      <c r="AP93" s="94">
        <v>5200000</v>
      </c>
      <c r="AQ93" s="574">
        <v>7021971.1199999992</v>
      </c>
      <c r="AR93" s="153" t="s">
        <v>116</v>
      </c>
      <c r="AS93" s="153" t="s">
        <v>116</v>
      </c>
      <c r="AT93" s="156">
        <v>0</v>
      </c>
      <c r="AU93" s="777" t="s">
        <v>122</v>
      </c>
      <c r="AV93" s="777" t="s">
        <v>122</v>
      </c>
      <c r="AW93" s="777" t="s">
        <v>122</v>
      </c>
      <c r="AX93" s="155" t="s">
        <v>103</v>
      </c>
      <c r="AY93" s="155" t="s">
        <v>103</v>
      </c>
      <c r="AZ93" s="155" t="s">
        <v>103</v>
      </c>
      <c r="BA93" s="156">
        <v>0</v>
      </c>
      <c r="BB93" s="574">
        <f t="shared" si="11"/>
        <v>7021971.1199999992</v>
      </c>
      <c r="BC93" s="780">
        <f>AP93-AQ93</f>
        <v>-1821971.1199999992</v>
      </c>
      <c r="BD93" s="1008" t="s">
        <v>151</v>
      </c>
      <c r="BE93" s="679" t="s">
        <v>103</v>
      </c>
      <c r="BF93" s="156" t="s">
        <v>103</v>
      </c>
      <c r="BG93" s="94">
        <v>7021971.1199999992</v>
      </c>
      <c r="BH93" s="766">
        <v>10890744</v>
      </c>
      <c r="BI93" s="774">
        <v>0</v>
      </c>
      <c r="BJ93" s="774">
        <v>0</v>
      </c>
      <c r="BK93" s="153" t="s">
        <v>103</v>
      </c>
      <c r="BL93" s="153" t="s">
        <v>124</v>
      </c>
      <c r="BM93" s="94" t="s">
        <v>103</v>
      </c>
      <c r="BN93" s="155" t="s">
        <v>103</v>
      </c>
      <c r="BO93" s="153" t="s">
        <v>103</v>
      </c>
      <c r="BP93" s="153" t="s">
        <v>103</v>
      </c>
      <c r="BQ93" s="153" t="s">
        <v>103</v>
      </c>
      <c r="BR93" s="153" t="s">
        <v>104</v>
      </c>
      <c r="BS93" s="153" t="s">
        <v>104</v>
      </c>
      <c r="BT93" s="153" t="s">
        <v>110</v>
      </c>
      <c r="BU93" s="153" t="s">
        <v>104</v>
      </c>
      <c r="BV93" s="153" t="s">
        <v>110</v>
      </c>
      <c r="BW93" s="153" t="s">
        <v>104</v>
      </c>
      <c r="BX93" s="153" t="s">
        <v>104</v>
      </c>
      <c r="BY93" s="153" t="s">
        <v>104</v>
      </c>
      <c r="BZ93" s="153" t="s">
        <v>110</v>
      </c>
      <c r="CA93" s="616" t="s">
        <v>103</v>
      </c>
      <c r="CB93" s="153" t="s">
        <v>103</v>
      </c>
      <c r="CC93" s="153" t="s">
        <v>110</v>
      </c>
      <c r="CD93" s="153" t="s">
        <v>103</v>
      </c>
      <c r="CE93" s="153" t="s">
        <v>103</v>
      </c>
    </row>
    <row r="94" spans="1:83" ht="41.45" customHeight="1">
      <c r="A94" s="503"/>
      <c r="B94" s="164" t="s">
        <v>321</v>
      </c>
      <c r="C94" s="155" t="s">
        <v>322</v>
      </c>
      <c r="D94" s="153" t="s">
        <v>323</v>
      </c>
      <c r="E94" s="153">
        <v>90806</v>
      </c>
      <c r="F94" s="153">
        <v>6037576301</v>
      </c>
      <c r="G94" s="153" t="s">
        <v>104</v>
      </c>
      <c r="H94" s="153" t="s">
        <v>150</v>
      </c>
      <c r="I94" s="508" t="s">
        <v>321</v>
      </c>
      <c r="J94" s="153" t="s">
        <v>117</v>
      </c>
      <c r="K94" s="156">
        <v>0</v>
      </c>
      <c r="L94" s="153" t="s">
        <v>323</v>
      </c>
      <c r="M94" s="153" t="s">
        <v>104</v>
      </c>
      <c r="Q94" s="156" t="s">
        <v>139</v>
      </c>
      <c r="V94" s="149">
        <v>36526</v>
      </c>
      <c r="W94" s="149">
        <v>38579</v>
      </c>
      <c r="X94" s="149">
        <v>39416</v>
      </c>
      <c r="Y94" s="149">
        <v>39646</v>
      </c>
      <c r="Z94" s="149">
        <v>39646</v>
      </c>
      <c r="AA94" s="149">
        <v>36526</v>
      </c>
      <c r="AB94" s="763" t="s">
        <v>151</v>
      </c>
      <c r="AC94" s="594">
        <v>1466.4285714285713</v>
      </c>
      <c r="AD94" s="153" t="s">
        <v>103</v>
      </c>
      <c r="AE94" s="149" t="s">
        <v>103</v>
      </c>
      <c r="AF94" s="596">
        <v>0</v>
      </c>
      <c r="AG94" s="596" t="s">
        <v>103</v>
      </c>
      <c r="AH94" s="595" t="s">
        <v>103</v>
      </c>
      <c r="AI94" s="614">
        <v>7.591477272727273</v>
      </c>
      <c r="AJ94" s="607">
        <v>40083</v>
      </c>
      <c r="AK94" s="153" t="s">
        <v>120</v>
      </c>
      <c r="AL94" s="791" t="s">
        <v>116</v>
      </c>
      <c r="AO94" s="963"/>
      <c r="AP94" s="519">
        <v>11800000</v>
      </c>
      <c r="AQ94" s="574">
        <v>12786024</v>
      </c>
      <c r="AR94" s="153" t="s">
        <v>116</v>
      </c>
      <c r="AS94" s="153" t="s">
        <v>116</v>
      </c>
      <c r="AT94" s="777" t="s">
        <v>122</v>
      </c>
      <c r="AU94" s="777" t="s">
        <v>122</v>
      </c>
      <c r="AV94" s="777" t="s">
        <v>122</v>
      </c>
      <c r="AW94" s="777" t="s">
        <v>122</v>
      </c>
      <c r="AX94" s="155" t="s">
        <v>103</v>
      </c>
      <c r="AY94" s="155" t="s">
        <v>103</v>
      </c>
      <c r="AZ94" s="155" t="s">
        <v>103</v>
      </c>
      <c r="BB94" s="574">
        <f t="shared" si="11"/>
        <v>12786024</v>
      </c>
      <c r="BC94" s="780">
        <v>-986024</v>
      </c>
      <c r="BD94" s="1008" t="s">
        <v>151</v>
      </c>
      <c r="BE94" s="679">
        <v>-27260</v>
      </c>
      <c r="BF94" s="153">
        <v>2012</v>
      </c>
      <c r="BG94" s="94">
        <v>12786024</v>
      </c>
      <c r="BH94" s="766" t="s">
        <v>123</v>
      </c>
      <c r="BI94" s="774">
        <v>0</v>
      </c>
      <c r="BJ94" s="774">
        <v>0</v>
      </c>
      <c r="BK94" s="153" t="s">
        <v>103</v>
      </c>
      <c r="BL94" s="153" t="s">
        <v>124</v>
      </c>
      <c r="BM94" s="94" t="s">
        <v>103</v>
      </c>
      <c r="BN94" s="155" t="s">
        <v>103</v>
      </c>
      <c r="BO94" s="153" t="s">
        <v>103</v>
      </c>
      <c r="BP94" s="153" t="s">
        <v>103</v>
      </c>
      <c r="BQ94" s="153" t="s">
        <v>103</v>
      </c>
      <c r="BR94" s="153" t="s">
        <v>116</v>
      </c>
      <c r="BS94" s="153" t="s">
        <v>116</v>
      </c>
      <c r="BT94" s="153" t="s">
        <v>116</v>
      </c>
      <c r="BU94" s="153" t="s">
        <v>116</v>
      </c>
      <c r="BV94" s="153" t="s">
        <v>116</v>
      </c>
      <c r="BW94" s="153" t="s">
        <v>116</v>
      </c>
      <c r="BX94" s="153" t="s">
        <v>116</v>
      </c>
      <c r="BY94" s="153" t="s">
        <v>116</v>
      </c>
      <c r="BZ94" s="153" t="s">
        <v>116</v>
      </c>
      <c r="CA94" s="616" t="s">
        <v>116</v>
      </c>
      <c r="CB94" s="153" t="s">
        <v>116</v>
      </c>
      <c r="CC94" s="153" t="s">
        <v>116</v>
      </c>
      <c r="CD94" s="153" t="s">
        <v>116</v>
      </c>
      <c r="CE94" s="153" t="s">
        <v>116</v>
      </c>
    </row>
    <row r="95" spans="1:83" ht="14.1" customHeight="1">
      <c r="A95" s="503" t="s">
        <v>324</v>
      </c>
      <c r="B95" s="164" t="s">
        <v>103</v>
      </c>
      <c r="C95" s="155" t="s">
        <v>103</v>
      </c>
      <c r="D95" s="153" t="s">
        <v>103</v>
      </c>
      <c r="E95" s="153" t="s">
        <v>103</v>
      </c>
      <c r="F95" s="958" t="s">
        <v>103</v>
      </c>
      <c r="G95" s="153" t="s">
        <v>104</v>
      </c>
      <c r="H95" s="673">
        <v>6.25E-2</v>
      </c>
      <c r="I95" s="508" t="s">
        <v>103</v>
      </c>
      <c r="J95" s="958" t="s">
        <v>103</v>
      </c>
      <c r="K95" s="958" t="s">
        <v>103</v>
      </c>
      <c r="L95" s="155" t="s">
        <v>103</v>
      </c>
      <c r="M95" s="155" t="s">
        <v>103</v>
      </c>
      <c r="N95" s="156">
        <v>0</v>
      </c>
      <c r="O95" s="156" t="s">
        <v>103</v>
      </c>
      <c r="P95" s="156">
        <v>0</v>
      </c>
      <c r="Q95" s="958" t="s">
        <v>103</v>
      </c>
      <c r="R95" s="156">
        <v>0</v>
      </c>
      <c r="S95" s="156">
        <v>0</v>
      </c>
      <c r="T95" s="958" t="s">
        <v>105</v>
      </c>
      <c r="U95" s="153" t="s">
        <v>104</v>
      </c>
      <c r="V95" s="518" t="s">
        <v>103</v>
      </c>
      <c r="W95" s="991" t="s">
        <v>103</v>
      </c>
      <c r="X95" s="991" t="s">
        <v>103</v>
      </c>
      <c r="Y95" s="991" t="s">
        <v>103</v>
      </c>
      <c r="Z95" s="518" t="s">
        <v>103</v>
      </c>
      <c r="AA95" s="991" t="s">
        <v>103</v>
      </c>
      <c r="AB95" s="155" t="s">
        <v>103</v>
      </c>
      <c r="AC95" s="959" t="s">
        <v>103</v>
      </c>
      <c r="AD95" s="155" t="s">
        <v>103</v>
      </c>
      <c r="AE95" s="155" t="s">
        <v>103</v>
      </c>
      <c r="AF95" s="155" t="s">
        <v>103</v>
      </c>
      <c r="AG95" s="155" t="s">
        <v>103</v>
      </c>
      <c r="AH95" s="992" t="s">
        <v>103</v>
      </c>
      <c r="AI95" s="960" t="s">
        <v>103</v>
      </c>
      <c r="AJ95" s="992" t="s">
        <v>103</v>
      </c>
      <c r="AK95" s="155" t="s">
        <v>103</v>
      </c>
      <c r="AL95" s="993" t="s">
        <v>103</v>
      </c>
      <c r="AM95" s="155"/>
      <c r="AN95" s="155"/>
      <c r="AO95" s="994"/>
      <c r="AP95" s="94">
        <v>0</v>
      </c>
      <c r="AQ95" s="578">
        <v>0</v>
      </c>
      <c r="AR95" s="155" t="s">
        <v>103</v>
      </c>
      <c r="AS95" s="155" t="s">
        <v>103</v>
      </c>
      <c r="AT95" s="155" t="s">
        <v>103</v>
      </c>
      <c r="AU95" s="155" t="s">
        <v>103</v>
      </c>
      <c r="AV95" s="155" t="s">
        <v>103</v>
      </c>
      <c r="AW95" s="155" t="s">
        <v>103</v>
      </c>
      <c r="AX95" s="155" t="s">
        <v>103</v>
      </c>
      <c r="AY95" s="155" t="s">
        <v>103</v>
      </c>
      <c r="AZ95" s="155" t="s">
        <v>103</v>
      </c>
      <c r="BA95" s="155" t="s">
        <v>103</v>
      </c>
      <c r="BB95" s="155" t="s">
        <v>103</v>
      </c>
      <c r="BC95" s="155" t="s">
        <v>103</v>
      </c>
      <c r="BD95" s="155" t="s">
        <v>103</v>
      </c>
      <c r="BE95" s="989" t="s">
        <v>103</v>
      </c>
      <c r="BF95" s="155" t="s">
        <v>103</v>
      </c>
      <c r="BG95" s="961">
        <v>0</v>
      </c>
      <c r="BH95" s="155" t="s">
        <v>103</v>
      </c>
      <c r="BI95" s="990" t="s">
        <v>103</v>
      </c>
      <c r="BJ95" s="155" t="s">
        <v>103</v>
      </c>
      <c r="BK95" s="155" t="s">
        <v>103</v>
      </c>
      <c r="BL95" s="155" t="s">
        <v>103</v>
      </c>
      <c r="BM95" s="155" t="s">
        <v>103</v>
      </c>
      <c r="BN95" s="155" t="s">
        <v>103</v>
      </c>
      <c r="BO95" s="155" t="s">
        <v>103</v>
      </c>
      <c r="BP95" s="155" t="s">
        <v>103</v>
      </c>
      <c r="BQ95" s="155" t="s">
        <v>103</v>
      </c>
      <c r="BR95" s="155" t="s">
        <v>103</v>
      </c>
      <c r="BS95" s="155" t="s">
        <v>103</v>
      </c>
      <c r="BT95" s="155" t="s">
        <v>103</v>
      </c>
      <c r="BU95" s="155" t="s">
        <v>103</v>
      </c>
      <c r="BV95" s="155" t="s">
        <v>103</v>
      </c>
      <c r="BW95" s="155" t="s">
        <v>103</v>
      </c>
      <c r="BX95" s="155" t="s">
        <v>103</v>
      </c>
      <c r="BY95" s="155" t="s">
        <v>103</v>
      </c>
      <c r="BZ95" s="155" t="s">
        <v>103</v>
      </c>
      <c r="CA95" s="155" t="s">
        <v>103</v>
      </c>
      <c r="CB95" s="155" t="s">
        <v>103</v>
      </c>
      <c r="CC95" s="155" t="s">
        <v>103</v>
      </c>
      <c r="CD95" s="155" t="s">
        <v>103</v>
      </c>
      <c r="CE95" s="155" t="s">
        <v>103</v>
      </c>
    </row>
    <row r="96" spans="1:83" ht="55.35" customHeight="1">
      <c r="A96" s="503" t="s">
        <v>325</v>
      </c>
      <c r="B96" s="164" t="s">
        <v>326</v>
      </c>
      <c r="C96" s="155" t="s">
        <v>327</v>
      </c>
      <c r="D96" s="153" t="s">
        <v>328</v>
      </c>
      <c r="E96" s="153">
        <v>90262</v>
      </c>
      <c r="F96" s="153">
        <v>6037540300</v>
      </c>
      <c r="G96" s="155" t="s">
        <v>104</v>
      </c>
      <c r="H96" s="674">
        <v>0.48004282909999407</v>
      </c>
      <c r="I96" s="508" t="s">
        <v>326</v>
      </c>
      <c r="J96" s="153" t="s">
        <v>117</v>
      </c>
      <c r="K96" s="156">
        <v>0</v>
      </c>
      <c r="L96" s="153" t="s">
        <v>328</v>
      </c>
      <c r="M96" s="153" t="s">
        <v>104</v>
      </c>
      <c r="N96" s="156">
        <v>1</v>
      </c>
      <c r="P96" s="156">
        <v>0</v>
      </c>
      <c r="Q96" s="156" t="s">
        <v>139</v>
      </c>
      <c r="R96" s="156">
        <v>0</v>
      </c>
      <c r="S96" s="156">
        <v>1</v>
      </c>
      <c r="T96" s="958" t="s">
        <v>105</v>
      </c>
      <c r="U96" s="153" t="s">
        <v>104</v>
      </c>
      <c r="V96" s="590">
        <v>39924</v>
      </c>
      <c r="W96" s="149">
        <v>39841</v>
      </c>
      <c r="X96" s="149">
        <v>41120</v>
      </c>
      <c r="Y96" s="149">
        <v>41271</v>
      </c>
      <c r="Z96" s="149">
        <v>41271</v>
      </c>
      <c r="AA96" s="149">
        <v>39924</v>
      </c>
      <c r="AB96" s="763" t="s">
        <v>151</v>
      </c>
      <c r="AC96" s="594">
        <v>-59.285714285714292</v>
      </c>
      <c r="AD96" s="153" t="s">
        <v>103</v>
      </c>
      <c r="AE96" s="149" t="s">
        <v>103</v>
      </c>
      <c r="AF96" s="596">
        <v>14</v>
      </c>
      <c r="AG96" s="596">
        <v>34</v>
      </c>
      <c r="AH96" s="595">
        <v>7719.666666666667</v>
      </c>
      <c r="AI96" s="614">
        <v>1.462058080808081</v>
      </c>
      <c r="AJ96" s="607">
        <v>3616</v>
      </c>
      <c r="AK96" s="153" t="s">
        <v>120</v>
      </c>
      <c r="AL96" s="791" t="s">
        <v>104</v>
      </c>
      <c r="AO96" s="963"/>
      <c r="AP96" s="519">
        <v>1300000</v>
      </c>
      <c r="AQ96" s="574">
        <v>2290697.27</v>
      </c>
      <c r="AR96" s="153" t="s">
        <v>116</v>
      </c>
      <c r="AS96" s="153" t="s">
        <v>116</v>
      </c>
      <c r="AT96" s="156">
        <v>0</v>
      </c>
      <c r="AU96" s="777" t="s">
        <v>122</v>
      </c>
      <c r="AV96" s="777" t="s">
        <v>122</v>
      </c>
      <c r="AW96" s="777" t="s">
        <v>122</v>
      </c>
      <c r="AX96" s="155" t="s">
        <v>103</v>
      </c>
      <c r="AY96" s="155" t="s">
        <v>103</v>
      </c>
      <c r="AZ96" s="155" t="s">
        <v>103</v>
      </c>
      <c r="BA96" s="156">
        <v>0</v>
      </c>
      <c r="BB96" s="574">
        <f t="shared" ref="BB96" si="12">AQ96</f>
        <v>2290697.27</v>
      </c>
      <c r="BC96" s="780">
        <v>-990697.27</v>
      </c>
      <c r="BD96" s="996" t="s">
        <v>329</v>
      </c>
      <c r="BE96" s="679">
        <v>0</v>
      </c>
      <c r="BF96" s="153" t="s">
        <v>103</v>
      </c>
      <c r="BG96" s="94">
        <v>2290697.27</v>
      </c>
      <c r="BH96" s="766">
        <v>3301323</v>
      </c>
      <c r="BI96" s="775">
        <v>0</v>
      </c>
      <c r="BJ96" s="775">
        <v>0</v>
      </c>
      <c r="BK96" s="153" t="s">
        <v>103</v>
      </c>
      <c r="BL96" s="153" t="s">
        <v>124</v>
      </c>
      <c r="BM96" s="94" t="s">
        <v>103</v>
      </c>
      <c r="BN96" s="155" t="s">
        <v>103</v>
      </c>
      <c r="BO96" s="153" t="s">
        <v>103</v>
      </c>
      <c r="BP96" s="153" t="s">
        <v>103</v>
      </c>
      <c r="BQ96" s="153" t="s">
        <v>103</v>
      </c>
      <c r="BR96" s="153" t="s">
        <v>116</v>
      </c>
      <c r="BS96" s="153" t="s">
        <v>116</v>
      </c>
      <c r="BT96" s="153" t="s">
        <v>116</v>
      </c>
      <c r="BU96" s="153" t="s">
        <v>116</v>
      </c>
      <c r="BV96" s="153" t="s">
        <v>116</v>
      </c>
      <c r="BW96" s="153" t="s">
        <v>116</v>
      </c>
      <c r="BX96" s="153" t="s">
        <v>116</v>
      </c>
      <c r="BY96" s="153" t="s">
        <v>116</v>
      </c>
      <c r="BZ96" s="153" t="s">
        <v>116</v>
      </c>
      <c r="CA96" s="616" t="s">
        <v>116</v>
      </c>
      <c r="CB96" s="153" t="s">
        <v>116</v>
      </c>
      <c r="CC96" s="153" t="s">
        <v>116</v>
      </c>
      <c r="CD96" s="153" t="s">
        <v>116</v>
      </c>
      <c r="CE96" s="153" t="s">
        <v>116</v>
      </c>
    </row>
    <row r="97" spans="1:83" ht="14.1" customHeight="1">
      <c r="A97" s="503" t="s">
        <v>330</v>
      </c>
      <c r="B97" s="164" t="s">
        <v>103</v>
      </c>
      <c r="C97" s="155" t="s">
        <v>103</v>
      </c>
      <c r="D97" s="153" t="s">
        <v>103</v>
      </c>
      <c r="E97" s="153" t="s">
        <v>103</v>
      </c>
      <c r="F97" s="958" t="s">
        <v>103</v>
      </c>
      <c r="G97" s="153" t="s">
        <v>110</v>
      </c>
      <c r="H97" s="673">
        <v>1.8975332068311195E-2</v>
      </c>
      <c r="I97" s="508" t="s">
        <v>103</v>
      </c>
      <c r="J97" s="958" t="s">
        <v>103</v>
      </c>
      <c r="K97" s="958" t="s">
        <v>103</v>
      </c>
      <c r="L97" s="155" t="s">
        <v>103</v>
      </c>
      <c r="M97" s="155" t="s">
        <v>103</v>
      </c>
      <c r="N97" s="156">
        <v>0</v>
      </c>
      <c r="O97" s="156" t="s">
        <v>103</v>
      </c>
      <c r="P97" s="156">
        <v>0</v>
      </c>
      <c r="Q97" s="958" t="s">
        <v>103</v>
      </c>
      <c r="R97" s="156">
        <v>0</v>
      </c>
      <c r="S97" s="156">
        <v>0</v>
      </c>
      <c r="T97" s="958" t="s">
        <v>105</v>
      </c>
      <c r="U97" s="153" t="s">
        <v>110</v>
      </c>
      <c r="V97" s="518" t="s">
        <v>103</v>
      </c>
      <c r="W97" s="991" t="s">
        <v>103</v>
      </c>
      <c r="X97" s="991" t="s">
        <v>103</v>
      </c>
      <c r="Y97" s="991" t="s">
        <v>103</v>
      </c>
      <c r="Z97" s="518" t="s">
        <v>103</v>
      </c>
      <c r="AA97" s="991" t="s">
        <v>103</v>
      </c>
      <c r="AB97" s="155" t="s">
        <v>103</v>
      </c>
      <c r="AC97" s="959" t="s">
        <v>103</v>
      </c>
      <c r="AD97" s="155" t="s">
        <v>103</v>
      </c>
      <c r="AE97" s="155" t="s">
        <v>103</v>
      </c>
      <c r="AF97" s="155" t="s">
        <v>103</v>
      </c>
      <c r="AG97" s="155" t="s">
        <v>103</v>
      </c>
      <c r="AH97" s="992" t="s">
        <v>103</v>
      </c>
      <c r="AI97" s="960" t="s">
        <v>103</v>
      </c>
      <c r="AJ97" s="992" t="s">
        <v>103</v>
      </c>
      <c r="AK97" s="155" t="s">
        <v>103</v>
      </c>
      <c r="AL97" s="993" t="s">
        <v>103</v>
      </c>
      <c r="AM97" s="155"/>
      <c r="AN97" s="155"/>
      <c r="AO97" s="994"/>
      <c r="AP97" s="94">
        <v>0</v>
      </c>
      <c r="AQ97" s="578">
        <v>0</v>
      </c>
      <c r="AR97" s="155" t="s">
        <v>103</v>
      </c>
      <c r="AS97" s="155" t="s">
        <v>103</v>
      </c>
      <c r="AT97" s="155" t="s">
        <v>103</v>
      </c>
      <c r="AU97" s="155" t="s">
        <v>103</v>
      </c>
      <c r="AV97" s="155" t="s">
        <v>103</v>
      </c>
      <c r="AW97" s="155" t="s">
        <v>103</v>
      </c>
      <c r="AX97" s="155" t="s">
        <v>103</v>
      </c>
      <c r="AY97" s="155" t="s">
        <v>103</v>
      </c>
      <c r="AZ97" s="155" t="s">
        <v>103</v>
      </c>
      <c r="BA97" s="155" t="s">
        <v>103</v>
      </c>
      <c r="BB97" s="155" t="s">
        <v>103</v>
      </c>
      <c r="BC97" s="155" t="s">
        <v>103</v>
      </c>
      <c r="BD97" s="155" t="s">
        <v>103</v>
      </c>
      <c r="BE97" s="989" t="s">
        <v>103</v>
      </c>
      <c r="BF97" s="155" t="s">
        <v>103</v>
      </c>
      <c r="BG97" s="961">
        <v>0</v>
      </c>
      <c r="BH97" s="155" t="s">
        <v>103</v>
      </c>
      <c r="BI97" s="990" t="s">
        <v>103</v>
      </c>
      <c r="BJ97" s="155" t="s">
        <v>103</v>
      </c>
      <c r="BK97" s="155" t="s">
        <v>103</v>
      </c>
      <c r="BL97" s="155" t="s">
        <v>103</v>
      </c>
      <c r="BM97" s="155" t="s">
        <v>103</v>
      </c>
      <c r="BN97" s="155" t="s">
        <v>103</v>
      </c>
      <c r="BO97" s="155" t="s">
        <v>103</v>
      </c>
      <c r="BP97" s="155" t="s">
        <v>103</v>
      </c>
      <c r="BQ97" s="155" t="s">
        <v>103</v>
      </c>
      <c r="BR97" s="155" t="s">
        <v>103</v>
      </c>
      <c r="BS97" s="155" t="s">
        <v>103</v>
      </c>
      <c r="BT97" s="155" t="s">
        <v>103</v>
      </c>
      <c r="BU97" s="155" t="s">
        <v>103</v>
      </c>
      <c r="BV97" s="155" t="s">
        <v>103</v>
      </c>
      <c r="BW97" s="155" t="s">
        <v>103</v>
      </c>
      <c r="BX97" s="155" t="s">
        <v>103</v>
      </c>
      <c r="BY97" s="155" t="s">
        <v>103</v>
      </c>
      <c r="BZ97" s="155" t="s">
        <v>103</v>
      </c>
      <c r="CA97" s="155" t="s">
        <v>103</v>
      </c>
      <c r="CB97" s="155" t="s">
        <v>103</v>
      </c>
      <c r="CC97" s="155" t="s">
        <v>103</v>
      </c>
      <c r="CD97" s="155" t="s">
        <v>103</v>
      </c>
      <c r="CE97" s="155" t="s">
        <v>103</v>
      </c>
    </row>
    <row r="98" spans="1:83" ht="55.35" customHeight="1">
      <c r="A98" s="503" t="s">
        <v>331</v>
      </c>
      <c r="B98" s="164" t="s">
        <v>332</v>
      </c>
      <c r="C98" s="155" t="s">
        <v>333</v>
      </c>
      <c r="D98" s="153" t="s">
        <v>334</v>
      </c>
      <c r="E98" s="153">
        <v>90266</v>
      </c>
      <c r="F98" s="153">
        <v>6037621001</v>
      </c>
      <c r="G98" s="155" t="s">
        <v>110</v>
      </c>
      <c r="H98" s="674">
        <v>2.0583190394511151E-2</v>
      </c>
      <c r="I98" s="508" t="s">
        <v>332</v>
      </c>
      <c r="J98" s="153" t="s">
        <v>117</v>
      </c>
      <c r="K98" s="156">
        <v>0</v>
      </c>
      <c r="L98" s="153" t="s">
        <v>334</v>
      </c>
      <c r="M98" s="153" t="s">
        <v>104</v>
      </c>
      <c r="N98" s="156">
        <v>1</v>
      </c>
      <c r="P98" s="156">
        <v>0</v>
      </c>
      <c r="Q98" s="156" t="s">
        <v>139</v>
      </c>
      <c r="R98" s="156">
        <v>0</v>
      </c>
      <c r="S98" s="156">
        <v>1</v>
      </c>
      <c r="T98" s="958" t="s">
        <v>105</v>
      </c>
      <c r="U98" s="153" t="s">
        <v>110</v>
      </c>
      <c r="V98" s="149">
        <v>38201</v>
      </c>
      <c r="W98" s="149">
        <v>38299</v>
      </c>
      <c r="X98" s="149">
        <v>39034</v>
      </c>
      <c r="Y98" s="149">
        <v>39239</v>
      </c>
      <c r="Z98" s="149">
        <v>39239</v>
      </c>
      <c r="AA98" s="149">
        <v>38201</v>
      </c>
      <c r="AB98" s="763" t="s">
        <v>151</v>
      </c>
      <c r="AC98" s="594">
        <v>70</v>
      </c>
      <c r="AD98" s="153" t="s">
        <v>103</v>
      </c>
      <c r="AE98" s="149" t="s">
        <v>103</v>
      </c>
      <c r="AF98" s="596">
        <v>69</v>
      </c>
      <c r="AG98" s="596">
        <v>50</v>
      </c>
      <c r="AH98" s="595">
        <v>20257</v>
      </c>
      <c r="AI98" s="614">
        <v>3.8365530303030302</v>
      </c>
      <c r="AJ98" s="607">
        <v>19800</v>
      </c>
      <c r="AK98" s="153" t="s">
        <v>120</v>
      </c>
      <c r="AL98" s="791" t="s">
        <v>116</v>
      </c>
      <c r="AO98" s="963"/>
      <c r="AP98" s="519">
        <v>6700000</v>
      </c>
      <c r="AQ98" s="574">
        <v>9520594</v>
      </c>
      <c r="AR98" s="153" t="s">
        <v>116</v>
      </c>
      <c r="AS98" s="153" t="s">
        <v>116</v>
      </c>
      <c r="AT98" s="777" t="s">
        <v>122</v>
      </c>
      <c r="AU98" s="777" t="s">
        <v>122</v>
      </c>
      <c r="AV98" s="777" t="s">
        <v>122</v>
      </c>
      <c r="AW98" s="777" t="s">
        <v>122</v>
      </c>
      <c r="AX98" s="155" t="s">
        <v>103</v>
      </c>
      <c r="AY98" s="155" t="s">
        <v>103</v>
      </c>
      <c r="AZ98" s="155" t="s">
        <v>103</v>
      </c>
      <c r="BB98" s="574">
        <f t="shared" ref="BB98" si="13">AQ98</f>
        <v>9520594</v>
      </c>
      <c r="BC98" s="780">
        <v>-2820594</v>
      </c>
      <c r="BD98" s="1012" t="s">
        <v>122</v>
      </c>
      <c r="BE98" s="680">
        <v>0</v>
      </c>
      <c r="BF98" s="153" t="s">
        <v>103</v>
      </c>
      <c r="BG98" s="94">
        <v>9520594</v>
      </c>
      <c r="BH98" s="766" t="s">
        <v>123</v>
      </c>
      <c r="BI98" s="774">
        <v>0</v>
      </c>
      <c r="BJ98" s="774">
        <v>0</v>
      </c>
      <c r="BK98" s="153" t="s">
        <v>103</v>
      </c>
      <c r="BL98" s="94" t="s">
        <v>124</v>
      </c>
      <c r="BM98" s="94" t="s">
        <v>124</v>
      </c>
      <c r="BN98" s="94" t="s">
        <v>124</v>
      </c>
      <c r="BO98" s="153" t="s">
        <v>116</v>
      </c>
      <c r="BP98" s="153" t="s">
        <v>124</v>
      </c>
      <c r="BQ98" s="153" t="s">
        <v>103</v>
      </c>
      <c r="BR98" s="153" t="s">
        <v>116</v>
      </c>
      <c r="BS98" s="153" t="s">
        <v>116</v>
      </c>
      <c r="BT98" s="153" t="s">
        <v>116</v>
      </c>
      <c r="BU98" s="153" t="s">
        <v>116</v>
      </c>
      <c r="BV98" s="153" t="s">
        <v>116</v>
      </c>
      <c r="BW98" s="153" t="s">
        <v>116</v>
      </c>
      <c r="BX98" s="153" t="s">
        <v>116</v>
      </c>
      <c r="BY98" s="153" t="s">
        <v>116</v>
      </c>
      <c r="BZ98" s="153" t="s">
        <v>116</v>
      </c>
      <c r="CA98" s="616" t="s">
        <v>116</v>
      </c>
      <c r="CB98" s="153" t="s">
        <v>116</v>
      </c>
      <c r="CC98" s="153" t="s">
        <v>116</v>
      </c>
      <c r="CD98" s="153" t="s">
        <v>116</v>
      </c>
      <c r="CE98" s="153" t="s">
        <v>116</v>
      </c>
    </row>
    <row r="99" spans="1:83" ht="14.1" customHeight="1">
      <c r="A99" s="503" t="s">
        <v>335</v>
      </c>
      <c r="B99" s="164" t="s">
        <v>103</v>
      </c>
      <c r="C99" s="155" t="s">
        <v>103</v>
      </c>
      <c r="D99" s="153" t="s">
        <v>103</v>
      </c>
      <c r="E99" s="153" t="s">
        <v>103</v>
      </c>
      <c r="F99" s="958" t="s">
        <v>103</v>
      </c>
      <c r="G99" s="153" t="s">
        <v>104</v>
      </c>
      <c r="H99" s="673">
        <v>0.54807007548782227</v>
      </c>
      <c r="I99" s="508" t="s">
        <v>103</v>
      </c>
      <c r="J99" s="958" t="s">
        <v>103</v>
      </c>
      <c r="K99" s="958" t="s">
        <v>103</v>
      </c>
      <c r="L99" s="155" t="s">
        <v>103</v>
      </c>
      <c r="M99" s="155" t="s">
        <v>103</v>
      </c>
      <c r="N99" s="156">
        <v>0</v>
      </c>
      <c r="O99" s="156" t="s">
        <v>103</v>
      </c>
      <c r="P99" s="156">
        <v>0</v>
      </c>
      <c r="Q99" s="958" t="s">
        <v>103</v>
      </c>
      <c r="R99" s="156">
        <v>0</v>
      </c>
      <c r="T99" s="958" t="s">
        <v>105</v>
      </c>
      <c r="U99" s="153" t="s">
        <v>104</v>
      </c>
      <c r="V99" s="518" t="s">
        <v>103</v>
      </c>
      <c r="W99" s="991" t="s">
        <v>103</v>
      </c>
      <c r="X99" s="991" t="s">
        <v>103</v>
      </c>
      <c r="Y99" s="991" t="s">
        <v>103</v>
      </c>
      <c r="Z99" s="518" t="s">
        <v>103</v>
      </c>
      <c r="AA99" s="991" t="s">
        <v>103</v>
      </c>
      <c r="AB99" s="155" t="s">
        <v>103</v>
      </c>
      <c r="AC99" s="959" t="s">
        <v>103</v>
      </c>
      <c r="AD99" s="155" t="s">
        <v>103</v>
      </c>
      <c r="AE99" s="155" t="s">
        <v>103</v>
      </c>
      <c r="AF99" s="155" t="s">
        <v>103</v>
      </c>
      <c r="AG99" s="155" t="s">
        <v>103</v>
      </c>
      <c r="AH99" s="992" t="s">
        <v>103</v>
      </c>
      <c r="AI99" s="960" t="s">
        <v>103</v>
      </c>
      <c r="AJ99" s="992" t="s">
        <v>103</v>
      </c>
      <c r="AK99" s="155" t="s">
        <v>103</v>
      </c>
      <c r="AL99" s="993" t="s">
        <v>103</v>
      </c>
      <c r="AM99" s="155"/>
      <c r="AN99" s="155"/>
      <c r="AO99" s="994"/>
      <c r="AP99" s="94">
        <v>0</v>
      </c>
      <c r="AQ99" s="578">
        <v>0</v>
      </c>
      <c r="AR99" s="155" t="s">
        <v>103</v>
      </c>
      <c r="AS99" s="155" t="s">
        <v>103</v>
      </c>
      <c r="AT99" s="155" t="s">
        <v>103</v>
      </c>
      <c r="AU99" s="155" t="s">
        <v>103</v>
      </c>
      <c r="AV99" s="155" t="s">
        <v>103</v>
      </c>
      <c r="AW99" s="155" t="s">
        <v>103</v>
      </c>
      <c r="AX99" s="155" t="s">
        <v>103</v>
      </c>
      <c r="AY99" s="155" t="s">
        <v>103</v>
      </c>
      <c r="AZ99" s="155" t="s">
        <v>103</v>
      </c>
      <c r="BA99" s="155" t="s">
        <v>103</v>
      </c>
      <c r="BB99" s="155" t="s">
        <v>103</v>
      </c>
      <c r="BC99" s="155" t="s">
        <v>103</v>
      </c>
      <c r="BD99" s="155" t="s">
        <v>103</v>
      </c>
      <c r="BE99" s="989" t="s">
        <v>103</v>
      </c>
      <c r="BF99" s="155" t="s">
        <v>103</v>
      </c>
      <c r="BG99" s="961">
        <v>0</v>
      </c>
      <c r="BH99" s="155" t="s">
        <v>103</v>
      </c>
      <c r="BI99" s="990" t="s">
        <v>103</v>
      </c>
      <c r="BJ99" s="155" t="s">
        <v>103</v>
      </c>
      <c r="BK99" s="155" t="s">
        <v>103</v>
      </c>
      <c r="BL99" s="155" t="s">
        <v>103</v>
      </c>
      <c r="BM99" s="155" t="s">
        <v>103</v>
      </c>
      <c r="BN99" s="155" t="s">
        <v>103</v>
      </c>
      <c r="BO99" s="155" t="s">
        <v>103</v>
      </c>
      <c r="BP99" s="155" t="s">
        <v>103</v>
      </c>
      <c r="BQ99" s="155" t="s">
        <v>103</v>
      </c>
      <c r="BR99" s="155" t="s">
        <v>103</v>
      </c>
      <c r="BS99" s="155" t="s">
        <v>103</v>
      </c>
      <c r="BT99" s="155" t="s">
        <v>103</v>
      </c>
      <c r="BU99" s="155" t="s">
        <v>103</v>
      </c>
      <c r="BV99" s="155" t="s">
        <v>103</v>
      </c>
      <c r="BW99" s="155" t="s">
        <v>103</v>
      </c>
      <c r="BX99" s="155" t="s">
        <v>103</v>
      </c>
      <c r="BY99" s="155" t="s">
        <v>103</v>
      </c>
      <c r="BZ99" s="155" t="s">
        <v>103</v>
      </c>
      <c r="CA99" s="155" t="s">
        <v>103</v>
      </c>
      <c r="CB99" s="155" t="s">
        <v>103</v>
      </c>
      <c r="CC99" s="155" t="s">
        <v>103</v>
      </c>
      <c r="CD99" s="155" t="s">
        <v>103</v>
      </c>
      <c r="CE99" s="155" t="s">
        <v>103</v>
      </c>
    </row>
    <row r="100" spans="1:83" ht="14.1" customHeight="1">
      <c r="A100" s="503" t="s">
        <v>336</v>
      </c>
      <c r="B100" s="164" t="s">
        <v>337</v>
      </c>
      <c r="C100" s="155">
        <v>800060191</v>
      </c>
      <c r="D100" s="153" t="s">
        <v>338</v>
      </c>
      <c r="E100" s="153">
        <v>91016</v>
      </c>
      <c r="F100" s="153">
        <v>6037431002</v>
      </c>
      <c r="G100" s="155" t="s">
        <v>110</v>
      </c>
      <c r="H100" s="674">
        <v>0.1789180935761806</v>
      </c>
      <c r="I100" s="508" t="s">
        <v>337</v>
      </c>
      <c r="J100" s="153" t="s">
        <v>117</v>
      </c>
      <c r="K100" s="156">
        <v>0</v>
      </c>
      <c r="L100" s="153" t="s">
        <v>338</v>
      </c>
      <c r="M100" s="153" t="s">
        <v>104</v>
      </c>
      <c r="N100" s="156">
        <v>2</v>
      </c>
      <c r="P100" s="156">
        <v>0</v>
      </c>
      <c r="Q100" s="156" t="s">
        <v>139</v>
      </c>
      <c r="R100" s="156">
        <v>0</v>
      </c>
      <c r="S100" s="156">
        <v>2</v>
      </c>
      <c r="T100" s="958" t="s">
        <v>105</v>
      </c>
      <c r="U100" s="153" t="s">
        <v>104</v>
      </c>
      <c r="V100" s="590">
        <v>39301</v>
      </c>
      <c r="W100" s="149">
        <v>38306</v>
      </c>
      <c r="X100" s="149">
        <v>39451</v>
      </c>
      <c r="Y100" s="149">
        <v>41640</v>
      </c>
      <c r="Z100" s="149">
        <v>41640</v>
      </c>
      <c r="AA100" s="149">
        <v>39301</v>
      </c>
      <c r="AB100" s="763" t="s">
        <v>151</v>
      </c>
      <c r="AC100" s="594">
        <v>-710.71428571428567</v>
      </c>
      <c r="AD100" s="153" t="s">
        <v>103</v>
      </c>
      <c r="AE100" s="149" t="s">
        <v>103</v>
      </c>
      <c r="AF100" s="596">
        <v>22</v>
      </c>
      <c r="AG100" s="596">
        <v>0</v>
      </c>
      <c r="AH100" s="595">
        <v>3078</v>
      </c>
      <c r="AI100" s="614">
        <v>0.5829545454545455</v>
      </c>
      <c r="AJ100" s="607">
        <v>3200</v>
      </c>
      <c r="AK100" s="153" t="s">
        <v>152</v>
      </c>
      <c r="AL100" s="791" t="s">
        <v>104</v>
      </c>
      <c r="AO100" s="963"/>
      <c r="AP100" s="519">
        <v>1500000</v>
      </c>
      <c r="AQ100" s="574">
        <v>3734440</v>
      </c>
      <c r="AR100" s="153" t="s">
        <v>116</v>
      </c>
      <c r="AS100" s="153" t="s">
        <v>116</v>
      </c>
      <c r="AT100" s="156">
        <v>0</v>
      </c>
      <c r="AU100" s="777" t="s">
        <v>122</v>
      </c>
      <c r="AV100" s="777" t="s">
        <v>122</v>
      </c>
      <c r="AW100" s="777" t="s">
        <v>122</v>
      </c>
      <c r="AX100" s="155" t="s">
        <v>103</v>
      </c>
      <c r="AY100" s="155" t="s">
        <v>103</v>
      </c>
      <c r="AZ100" s="155" t="s">
        <v>103</v>
      </c>
      <c r="BA100" s="156">
        <v>0</v>
      </c>
      <c r="BB100" s="574">
        <f t="shared" ref="BB100:BB101" si="14">AQ100</f>
        <v>3734440</v>
      </c>
      <c r="BC100" s="780">
        <v>-2234440</v>
      </c>
      <c r="BD100" s="1012" t="s">
        <v>122</v>
      </c>
      <c r="BE100" s="679">
        <v>0</v>
      </c>
      <c r="BF100" s="153" t="s">
        <v>103</v>
      </c>
      <c r="BG100" s="94">
        <v>3734440</v>
      </c>
      <c r="BH100" s="766">
        <v>3659827</v>
      </c>
      <c r="BI100" s="774">
        <v>0</v>
      </c>
      <c r="BJ100" s="774">
        <v>0</v>
      </c>
      <c r="BK100" s="153" t="s">
        <v>103</v>
      </c>
      <c r="BL100" s="153" t="s">
        <v>124</v>
      </c>
      <c r="BM100" s="94" t="s">
        <v>103</v>
      </c>
      <c r="BN100" s="155" t="s">
        <v>103</v>
      </c>
      <c r="BO100" s="153" t="s">
        <v>103</v>
      </c>
      <c r="BP100" s="153" t="s">
        <v>103</v>
      </c>
      <c r="BQ100" s="153" t="s">
        <v>103</v>
      </c>
      <c r="BR100" s="153" t="s">
        <v>110</v>
      </c>
      <c r="BS100" s="153" t="s">
        <v>110</v>
      </c>
      <c r="BT100" s="153" t="s">
        <v>110</v>
      </c>
      <c r="BU100" s="153" t="s">
        <v>110</v>
      </c>
      <c r="BV100" s="153" t="s">
        <v>103</v>
      </c>
      <c r="BW100" s="153" t="s">
        <v>110</v>
      </c>
      <c r="BX100" s="153" t="s">
        <v>110</v>
      </c>
      <c r="BY100" s="153" t="s">
        <v>110</v>
      </c>
      <c r="BZ100" s="153" t="s">
        <v>110</v>
      </c>
      <c r="CA100" s="616" t="s">
        <v>110</v>
      </c>
      <c r="CB100" s="153" t="s">
        <v>110</v>
      </c>
      <c r="CC100" s="153" t="s">
        <v>110</v>
      </c>
      <c r="CD100" s="153" t="s">
        <v>110</v>
      </c>
      <c r="CE100" s="153" t="s">
        <v>110</v>
      </c>
    </row>
    <row r="101" spans="1:83" ht="41.45" customHeight="1">
      <c r="A101" s="503"/>
      <c r="B101" s="164" t="s">
        <v>339</v>
      </c>
      <c r="C101" s="155" t="s">
        <v>340</v>
      </c>
      <c r="D101" s="153" t="s">
        <v>338</v>
      </c>
      <c r="E101" s="153">
        <v>91061</v>
      </c>
      <c r="F101" s="153">
        <v>6037431002</v>
      </c>
      <c r="G101" s="153" t="s">
        <v>110</v>
      </c>
      <c r="H101" s="153" t="s">
        <v>150</v>
      </c>
      <c r="I101" s="508" t="s">
        <v>339</v>
      </c>
      <c r="J101" s="153" t="s">
        <v>117</v>
      </c>
      <c r="K101" s="156">
        <v>0</v>
      </c>
      <c r="L101" s="153" t="s">
        <v>338</v>
      </c>
      <c r="M101" s="153" t="s">
        <v>104</v>
      </c>
      <c r="Q101" s="156" t="s">
        <v>139</v>
      </c>
      <c r="V101" s="590">
        <v>39301</v>
      </c>
      <c r="W101" s="149">
        <v>38961</v>
      </c>
      <c r="X101" s="149">
        <v>39783</v>
      </c>
      <c r="Y101" s="149">
        <v>40178</v>
      </c>
      <c r="Z101" s="149">
        <v>40178</v>
      </c>
      <c r="AA101" s="149">
        <v>39301</v>
      </c>
      <c r="AB101" s="763" t="s">
        <v>151</v>
      </c>
      <c r="AC101" s="594">
        <v>-242.85714285714283</v>
      </c>
      <c r="AD101" s="153" t="s">
        <v>103</v>
      </c>
      <c r="AE101" s="149" t="s">
        <v>103</v>
      </c>
      <c r="AF101" s="596">
        <v>14</v>
      </c>
      <c r="AG101" s="596">
        <v>0</v>
      </c>
      <c r="AH101" s="595">
        <v>12637.666666666666</v>
      </c>
      <c r="AI101" s="614">
        <v>0.90719696969696972</v>
      </c>
      <c r="AJ101" s="607">
        <v>4790</v>
      </c>
      <c r="AK101" s="153" t="s">
        <v>152</v>
      </c>
      <c r="AL101" s="791" t="s">
        <v>104</v>
      </c>
      <c r="AO101" s="963"/>
      <c r="AP101" s="519">
        <v>1600000</v>
      </c>
      <c r="AQ101" s="574">
        <v>1731971</v>
      </c>
      <c r="AR101" s="153" t="s">
        <v>116</v>
      </c>
      <c r="AS101" s="153" t="s">
        <v>116</v>
      </c>
      <c r="AT101" s="156">
        <v>0</v>
      </c>
      <c r="AU101" s="777" t="s">
        <v>122</v>
      </c>
      <c r="AV101" s="777" t="s">
        <v>122</v>
      </c>
      <c r="AW101" s="777" t="s">
        <v>122</v>
      </c>
      <c r="AX101" s="155" t="s">
        <v>103</v>
      </c>
      <c r="AY101" s="155" t="s">
        <v>103</v>
      </c>
      <c r="AZ101" s="155" t="s">
        <v>103</v>
      </c>
      <c r="BA101" s="156">
        <v>0</v>
      </c>
      <c r="BB101" s="574">
        <f t="shared" si="14"/>
        <v>1731971</v>
      </c>
      <c r="BC101" s="780">
        <v>-131971</v>
      </c>
      <c r="BD101" s="1008" t="s">
        <v>151</v>
      </c>
      <c r="BE101" s="679">
        <v>43057</v>
      </c>
      <c r="BF101" s="153">
        <v>2014</v>
      </c>
      <c r="BG101" s="94">
        <v>1731971</v>
      </c>
      <c r="BH101" s="766">
        <v>3659827</v>
      </c>
      <c r="BI101" s="774">
        <v>0</v>
      </c>
      <c r="BJ101" s="774">
        <v>0</v>
      </c>
      <c r="BK101" s="153" t="s">
        <v>103</v>
      </c>
      <c r="BL101" s="153" t="s">
        <v>124</v>
      </c>
      <c r="BM101" s="94" t="s">
        <v>103</v>
      </c>
      <c r="BN101" s="155" t="s">
        <v>103</v>
      </c>
      <c r="BO101" s="153" t="s">
        <v>103</v>
      </c>
      <c r="BP101" s="153" t="s">
        <v>103</v>
      </c>
      <c r="BQ101" s="153" t="s">
        <v>103</v>
      </c>
      <c r="BR101" s="153" t="s">
        <v>110</v>
      </c>
      <c r="BS101" s="153" t="s">
        <v>110</v>
      </c>
      <c r="BT101" s="153" t="s">
        <v>110</v>
      </c>
      <c r="BU101" s="153" t="s">
        <v>110</v>
      </c>
      <c r="BV101" s="153" t="s">
        <v>103</v>
      </c>
      <c r="BW101" s="153" t="s">
        <v>110</v>
      </c>
      <c r="BX101" s="153" t="s">
        <v>110</v>
      </c>
      <c r="BY101" s="153" t="s">
        <v>110</v>
      </c>
      <c r="BZ101" s="153" t="s">
        <v>110</v>
      </c>
      <c r="CA101" s="616" t="s">
        <v>110</v>
      </c>
      <c r="CB101" s="153" t="s">
        <v>110</v>
      </c>
      <c r="CC101" s="153" t="s">
        <v>110</v>
      </c>
      <c r="CD101" s="153" t="s">
        <v>110</v>
      </c>
      <c r="CE101" s="153" t="s">
        <v>110</v>
      </c>
    </row>
    <row r="102" spans="1:83" ht="9" customHeight="1">
      <c r="A102" s="503" t="s">
        <v>341</v>
      </c>
      <c r="B102" s="164" t="s">
        <v>342</v>
      </c>
      <c r="C102" s="155" t="s">
        <v>343</v>
      </c>
      <c r="D102" s="153" t="s">
        <v>344</v>
      </c>
      <c r="E102" s="153">
        <v>90640</v>
      </c>
      <c r="F102" s="153">
        <v>6037530102</v>
      </c>
      <c r="G102" s="155" t="s">
        <v>104</v>
      </c>
      <c r="H102" s="674">
        <v>0.35661908274395798</v>
      </c>
      <c r="I102" s="508" t="s">
        <v>342</v>
      </c>
      <c r="J102" s="153" t="s">
        <v>117</v>
      </c>
      <c r="K102" s="572" t="s">
        <v>222</v>
      </c>
      <c r="L102" s="153" t="s">
        <v>344</v>
      </c>
      <c r="M102" s="153" t="s">
        <v>110</v>
      </c>
      <c r="N102" s="156">
        <v>3</v>
      </c>
      <c r="P102" s="156">
        <v>0</v>
      </c>
      <c r="Q102" s="989" t="s">
        <v>131</v>
      </c>
      <c r="R102" s="156">
        <v>0</v>
      </c>
      <c r="S102" s="156">
        <v>2</v>
      </c>
      <c r="T102" s="958" t="s">
        <v>105</v>
      </c>
      <c r="U102" s="153" t="s">
        <v>104</v>
      </c>
      <c r="V102" s="149" t="s">
        <v>150</v>
      </c>
      <c r="W102" s="149">
        <v>40532</v>
      </c>
      <c r="X102" s="149">
        <v>44486</v>
      </c>
      <c r="Y102" s="149">
        <v>44788</v>
      </c>
      <c r="Z102" s="149" t="s">
        <v>103</v>
      </c>
      <c r="AA102" s="149" t="s">
        <v>150</v>
      </c>
      <c r="AB102" s="153" t="s">
        <v>103</v>
      </c>
      <c r="AC102" s="594" t="e">
        <f>W102-V102</f>
        <v>#VALUE!</v>
      </c>
      <c r="AD102" s="149">
        <v>44788</v>
      </c>
      <c r="AE102" s="149" t="s">
        <v>103</v>
      </c>
      <c r="AF102" s="153" t="s">
        <v>103</v>
      </c>
      <c r="AG102" s="153" t="s">
        <v>103</v>
      </c>
      <c r="AH102" s="596" t="s">
        <v>103</v>
      </c>
      <c r="AI102" s="960" t="s">
        <v>103</v>
      </c>
      <c r="AJ102" s="607">
        <v>5200</v>
      </c>
      <c r="AK102" s="153" t="s">
        <v>152</v>
      </c>
      <c r="AL102" s="791" t="s">
        <v>104</v>
      </c>
      <c r="AO102" s="963"/>
      <c r="AP102" s="94">
        <v>3300000</v>
      </c>
      <c r="AQ102" s="574">
        <v>0</v>
      </c>
      <c r="AR102" s="153" t="s">
        <v>116</v>
      </c>
      <c r="AS102" s="153" t="s">
        <v>116</v>
      </c>
      <c r="AT102" s="777" t="s">
        <v>122</v>
      </c>
      <c r="AU102" s="777" t="s">
        <v>122</v>
      </c>
      <c r="AV102" s="777" t="s">
        <v>122</v>
      </c>
      <c r="AW102" s="777" t="s">
        <v>122</v>
      </c>
      <c r="AX102" s="155" t="s">
        <v>103</v>
      </c>
      <c r="AY102" s="155" t="s">
        <v>103</v>
      </c>
      <c r="AZ102" s="155" t="s">
        <v>103</v>
      </c>
      <c r="BA102" s="156">
        <v>0</v>
      </c>
      <c r="BB102" s="153"/>
      <c r="BC102" s="780" t="s">
        <v>103</v>
      </c>
      <c r="BD102" s="153" t="s">
        <v>103</v>
      </c>
      <c r="BE102" s="679" t="s">
        <v>103</v>
      </c>
      <c r="BF102" s="156" t="s">
        <v>103</v>
      </c>
      <c r="BG102" s="94">
        <v>277644.92</v>
      </c>
      <c r="BH102" s="766">
        <v>2643465</v>
      </c>
      <c r="BI102" s="774">
        <v>656535</v>
      </c>
      <c r="BJ102" s="774">
        <v>0</v>
      </c>
      <c r="BK102" s="153" t="s">
        <v>103</v>
      </c>
      <c r="BL102" s="153" t="s">
        <v>124</v>
      </c>
      <c r="BM102" s="94" t="s">
        <v>103</v>
      </c>
      <c r="BN102" s="155" t="s">
        <v>103</v>
      </c>
      <c r="BO102" s="153" t="s">
        <v>103</v>
      </c>
      <c r="BP102" s="153" t="s">
        <v>103</v>
      </c>
      <c r="BQ102" s="153" t="s">
        <v>103</v>
      </c>
      <c r="BR102" s="153" t="s">
        <v>110</v>
      </c>
      <c r="BS102" s="153" t="s">
        <v>110</v>
      </c>
      <c r="BT102" s="153" t="s">
        <v>110</v>
      </c>
      <c r="BU102" s="153" t="s">
        <v>110</v>
      </c>
      <c r="BV102" s="153" t="s">
        <v>103</v>
      </c>
      <c r="BW102" s="153" t="s">
        <v>110</v>
      </c>
      <c r="BX102" s="153" t="s">
        <v>110</v>
      </c>
      <c r="BY102" s="153" t="s">
        <v>110</v>
      </c>
      <c r="BZ102" s="153" t="s">
        <v>110</v>
      </c>
      <c r="CA102" s="616" t="s">
        <v>110</v>
      </c>
      <c r="CB102" s="153" t="s">
        <v>110</v>
      </c>
      <c r="CC102" s="153" t="s">
        <v>110</v>
      </c>
      <c r="CD102" s="153" t="s">
        <v>110</v>
      </c>
      <c r="CE102" s="153" t="s">
        <v>110</v>
      </c>
    </row>
    <row r="103" spans="1:83" ht="11.1" customHeight="1">
      <c r="A103" s="503"/>
      <c r="B103" s="164" t="s">
        <v>345</v>
      </c>
      <c r="C103" s="155" t="s">
        <v>346</v>
      </c>
      <c r="D103" s="153" t="s">
        <v>347</v>
      </c>
      <c r="E103" s="153">
        <v>90640</v>
      </c>
      <c r="F103" s="153">
        <v>6037532101</v>
      </c>
      <c r="G103" s="153" t="s">
        <v>104</v>
      </c>
      <c r="H103" s="153" t="s">
        <v>150</v>
      </c>
      <c r="I103" s="508" t="s">
        <v>348</v>
      </c>
      <c r="J103" s="153" t="s">
        <v>117</v>
      </c>
      <c r="K103" s="156">
        <v>0</v>
      </c>
      <c r="L103" s="153" t="s">
        <v>347</v>
      </c>
      <c r="M103" s="153" t="s">
        <v>104</v>
      </c>
      <c r="Q103" s="156" t="s">
        <v>139</v>
      </c>
      <c r="V103" s="149">
        <v>37377</v>
      </c>
      <c r="W103" s="149">
        <v>38154</v>
      </c>
      <c r="X103" s="149">
        <v>39048</v>
      </c>
      <c r="Y103" s="149">
        <v>39339</v>
      </c>
      <c r="Z103" s="149">
        <v>39339</v>
      </c>
      <c r="AA103" s="149">
        <v>37377</v>
      </c>
      <c r="AB103" s="763" t="s">
        <v>151</v>
      </c>
      <c r="AC103" s="594">
        <v>555</v>
      </c>
      <c r="AD103" s="153" t="s">
        <v>103</v>
      </c>
      <c r="AE103" s="149" t="s">
        <v>103</v>
      </c>
      <c r="AF103" s="596" t="s">
        <v>103</v>
      </c>
      <c r="AG103" s="596" t="s">
        <v>103</v>
      </c>
      <c r="AH103" s="595" t="s">
        <v>103</v>
      </c>
      <c r="AI103" s="614">
        <v>0.83333333333333337</v>
      </c>
      <c r="AJ103" s="607">
        <v>4400</v>
      </c>
      <c r="AK103" s="153" t="s">
        <v>152</v>
      </c>
      <c r="AL103" s="791" t="s">
        <v>116</v>
      </c>
      <c r="AO103" s="963"/>
      <c r="AP103" s="519">
        <v>1400000</v>
      </c>
      <c r="AQ103" s="574">
        <v>1536556</v>
      </c>
      <c r="AR103" s="153" t="s">
        <v>116</v>
      </c>
      <c r="AS103" s="153" t="s">
        <v>116</v>
      </c>
      <c r="AT103" s="156">
        <v>0</v>
      </c>
      <c r="AU103" s="777" t="s">
        <v>122</v>
      </c>
      <c r="AV103" s="777" t="s">
        <v>122</v>
      </c>
      <c r="AW103" s="777" t="s">
        <v>122</v>
      </c>
      <c r="AX103" s="155" t="s">
        <v>103</v>
      </c>
      <c r="AY103" s="155" t="s">
        <v>103</v>
      </c>
      <c r="AZ103" s="155" t="s">
        <v>103</v>
      </c>
      <c r="BA103" s="156">
        <v>0</v>
      </c>
      <c r="BB103" s="574">
        <f t="shared" ref="BB103:BB104" si="15">AQ103</f>
        <v>1536556</v>
      </c>
      <c r="BC103" s="780">
        <v>-136556</v>
      </c>
      <c r="BD103" s="1008" t="s">
        <v>151</v>
      </c>
      <c r="BE103" s="679">
        <v>-66</v>
      </c>
      <c r="BF103" s="153" t="s">
        <v>349</v>
      </c>
      <c r="BG103" s="94">
        <v>1536556</v>
      </c>
      <c r="BH103" s="766" t="s">
        <v>123</v>
      </c>
      <c r="BI103" s="774">
        <v>0</v>
      </c>
      <c r="BJ103" s="774">
        <v>0</v>
      </c>
      <c r="BK103" s="153" t="s">
        <v>103</v>
      </c>
      <c r="BL103" s="153" t="s">
        <v>124</v>
      </c>
      <c r="BM103" s="94" t="s">
        <v>103</v>
      </c>
      <c r="BN103" s="155" t="s">
        <v>103</v>
      </c>
      <c r="BO103" s="153" t="s">
        <v>103</v>
      </c>
      <c r="BP103" s="153" t="s">
        <v>103</v>
      </c>
      <c r="BQ103" s="153" t="s">
        <v>103</v>
      </c>
      <c r="BR103" s="153" t="s">
        <v>110</v>
      </c>
      <c r="BS103" s="153" t="s">
        <v>110</v>
      </c>
      <c r="BT103" s="153" t="s">
        <v>110</v>
      </c>
      <c r="BU103" s="153" t="s">
        <v>110</v>
      </c>
      <c r="BV103" s="153" t="s">
        <v>103</v>
      </c>
      <c r="BW103" s="153" t="s">
        <v>110</v>
      </c>
      <c r="BX103" s="153" t="s">
        <v>110</v>
      </c>
      <c r="BY103" s="153" t="s">
        <v>110</v>
      </c>
      <c r="BZ103" s="153" t="s">
        <v>110</v>
      </c>
      <c r="CA103" s="616" t="s">
        <v>110</v>
      </c>
      <c r="CB103" s="153" t="s">
        <v>110</v>
      </c>
      <c r="CC103" s="153" t="s">
        <v>110</v>
      </c>
      <c r="CD103" s="153" t="s">
        <v>110</v>
      </c>
      <c r="CE103" s="153" t="s">
        <v>110</v>
      </c>
    </row>
    <row r="104" spans="1:83" ht="14.1" customHeight="1">
      <c r="A104" s="503"/>
      <c r="B104" s="164" t="s">
        <v>350</v>
      </c>
      <c r="C104" s="155" t="s">
        <v>103</v>
      </c>
      <c r="D104" s="1011"/>
      <c r="E104" s="153">
        <v>90640</v>
      </c>
      <c r="G104" s="153" t="s">
        <v>104</v>
      </c>
      <c r="H104" s="153" t="s">
        <v>150</v>
      </c>
      <c r="I104" s="508" t="s">
        <v>351</v>
      </c>
      <c r="J104" s="153" t="s">
        <v>117</v>
      </c>
      <c r="K104" s="156">
        <v>0</v>
      </c>
      <c r="L104" s="153" t="s">
        <v>347</v>
      </c>
      <c r="M104" s="153" t="s">
        <v>104</v>
      </c>
      <c r="Q104" s="156" t="s">
        <v>139</v>
      </c>
      <c r="V104" s="149">
        <v>37377</v>
      </c>
      <c r="X104" s="149">
        <v>38626</v>
      </c>
      <c r="Y104" s="149">
        <v>38824</v>
      </c>
      <c r="Z104" s="149">
        <v>38824</v>
      </c>
      <c r="AA104" s="149">
        <v>37377</v>
      </c>
      <c r="AB104" s="763" t="s">
        <v>151</v>
      </c>
      <c r="AC104" s="594" t="s">
        <v>116</v>
      </c>
      <c r="AD104" s="153" t="s">
        <v>103</v>
      </c>
      <c r="AE104" s="149" t="s">
        <v>103</v>
      </c>
      <c r="AF104" s="596" t="s">
        <v>103</v>
      </c>
      <c r="AG104" s="596" t="s">
        <v>103</v>
      </c>
      <c r="AH104" s="597" t="s">
        <v>103</v>
      </c>
      <c r="AJ104" s="607"/>
      <c r="AK104" s="153" t="s">
        <v>152</v>
      </c>
      <c r="AL104" s="791" t="s">
        <v>116</v>
      </c>
      <c r="AO104" s="963"/>
      <c r="AP104" s="519">
        <v>250000</v>
      </c>
      <c r="AQ104" s="580">
        <v>776380.49999999988</v>
      </c>
      <c r="AR104" s="153" t="s">
        <v>116</v>
      </c>
      <c r="AS104" s="153" t="s">
        <v>116</v>
      </c>
      <c r="AT104" s="156">
        <v>0</v>
      </c>
      <c r="AU104" s="777" t="s">
        <v>122</v>
      </c>
      <c r="AV104" s="777" t="s">
        <v>122</v>
      </c>
      <c r="AW104" s="777" t="s">
        <v>122</v>
      </c>
      <c r="AX104" s="155" t="s">
        <v>103</v>
      </c>
      <c r="AY104" s="155" t="s">
        <v>103</v>
      </c>
      <c r="AZ104" s="155" t="s">
        <v>103</v>
      </c>
      <c r="BA104" s="156">
        <v>0</v>
      </c>
      <c r="BB104" s="574">
        <f t="shared" si="15"/>
        <v>776380.49999999988</v>
      </c>
      <c r="BC104" s="780">
        <v>-526380.49999999988</v>
      </c>
      <c r="BD104" s="1012" t="s">
        <v>122</v>
      </c>
      <c r="BE104" s="679" t="s">
        <v>256</v>
      </c>
      <c r="BF104" s="153" t="s">
        <v>258</v>
      </c>
      <c r="BG104" s="519">
        <v>776380.49999999988</v>
      </c>
      <c r="BH104" s="769" t="s">
        <v>123</v>
      </c>
      <c r="BI104" s="774">
        <v>0</v>
      </c>
      <c r="BJ104" s="774">
        <v>0</v>
      </c>
      <c r="BK104" s="153" t="s">
        <v>103</v>
      </c>
      <c r="BL104" s="153" t="s">
        <v>124</v>
      </c>
      <c r="BM104" s="519" t="s">
        <v>103</v>
      </c>
      <c r="BN104" s="155" t="s">
        <v>103</v>
      </c>
      <c r="BO104" s="153" t="s">
        <v>103</v>
      </c>
      <c r="BP104" s="153" t="s">
        <v>103</v>
      </c>
      <c r="BQ104" s="153" t="s">
        <v>103</v>
      </c>
      <c r="BR104" s="153" t="s">
        <v>110</v>
      </c>
      <c r="BS104" s="153" t="s">
        <v>110</v>
      </c>
      <c r="BT104" s="153" t="s">
        <v>110</v>
      </c>
      <c r="BU104" s="153" t="s">
        <v>110</v>
      </c>
      <c r="BV104" s="153" t="s">
        <v>103</v>
      </c>
      <c r="BW104" s="153" t="s">
        <v>110</v>
      </c>
      <c r="BX104" s="153" t="s">
        <v>110</v>
      </c>
      <c r="BY104" s="153" t="s">
        <v>110</v>
      </c>
      <c r="BZ104" s="153" t="s">
        <v>110</v>
      </c>
      <c r="CA104" s="616" t="s">
        <v>110</v>
      </c>
      <c r="CB104" s="153" t="s">
        <v>110</v>
      </c>
      <c r="CC104" s="153" t="s">
        <v>110</v>
      </c>
      <c r="CD104" s="153" t="s">
        <v>110</v>
      </c>
      <c r="CE104" s="153" t="s">
        <v>110</v>
      </c>
    </row>
    <row r="105" spans="1:83" ht="27.6" customHeight="1">
      <c r="A105" s="503" t="s">
        <v>352</v>
      </c>
      <c r="B105" s="164" t="s">
        <v>353</v>
      </c>
      <c r="C105" s="155" t="s">
        <v>354</v>
      </c>
      <c r="D105" s="153">
        <v>11257</v>
      </c>
      <c r="E105" s="153">
        <v>91754</v>
      </c>
      <c r="F105" s="153">
        <v>6037482201</v>
      </c>
      <c r="G105" s="155" t="s">
        <v>355</v>
      </c>
      <c r="H105" s="674">
        <v>0.26919530595138308</v>
      </c>
      <c r="I105" s="508" t="s">
        <v>353</v>
      </c>
      <c r="J105" s="153" t="s">
        <v>117</v>
      </c>
      <c r="K105" s="156">
        <v>0</v>
      </c>
      <c r="L105" s="153">
        <v>11257</v>
      </c>
      <c r="M105" s="153" t="s">
        <v>110</v>
      </c>
      <c r="N105" s="156">
        <v>1</v>
      </c>
      <c r="P105" s="156">
        <v>0</v>
      </c>
      <c r="Q105" s="989" t="s">
        <v>131</v>
      </c>
      <c r="R105" s="156">
        <v>0</v>
      </c>
      <c r="S105" s="156">
        <v>0</v>
      </c>
      <c r="T105" s="958" t="s">
        <v>105</v>
      </c>
      <c r="U105" s="153" t="s">
        <v>104</v>
      </c>
      <c r="V105" s="149">
        <v>39876</v>
      </c>
      <c r="W105" s="149">
        <v>39912</v>
      </c>
      <c r="X105" s="149">
        <v>44609</v>
      </c>
      <c r="Y105" s="149">
        <v>44851</v>
      </c>
      <c r="Z105" s="149" t="s">
        <v>103</v>
      </c>
      <c r="AA105" s="149">
        <v>39876</v>
      </c>
      <c r="AB105" s="153" t="s">
        <v>103</v>
      </c>
      <c r="AC105" s="594">
        <f t="shared" ref="AC105:AC106" si="16">W105-V105</f>
        <v>36</v>
      </c>
      <c r="AD105" s="149">
        <v>44851</v>
      </c>
      <c r="AE105" s="149" t="s">
        <v>103</v>
      </c>
      <c r="AF105" s="153" t="s">
        <v>103</v>
      </c>
      <c r="AG105" s="153" t="s">
        <v>103</v>
      </c>
      <c r="AH105" s="596" t="s">
        <v>103</v>
      </c>
      <c r="AI105" s="960" t="s">
        <v>103</v>
      </c>
      <c r="AJ105" s="607">
        <v>11430</v>
      </c>
      <c r="AK105" s="153" t="s">
        <v>152</v>
      </c>
      <c r="AL105" s="791" t="s">
        <v>110</v>
      </c>
      <c r="AO105" s="963"/>
      <c r="AP105" s="94">
        <v>5700000</v>
      </c>
      <c r="AQ105" s="574">
        <v>0</v>
      </c>
      <c r="AR105" s="153" t="s">
        <v>116</v>
      </c>
      <c r="AS105" s="153" t="s">
        <v>116</v>
      </c>
      <c r="AT105" s="777" t="s">
        <v>122</v>
      </c>
      <c r="AU105" s="777" t="s">
        <v>122</v>
      </c>
      <c r="AV105" s="777" t="s">
        <v>122</v>
      </c>
      <c r="AW105" s="777" t="s">
        <v>122</v>
      </c>
      <c r="AX105" s="155" t="s">
        <v>103</v>
      </c>
      <c r="AY105" s="155" t="s">
        <v>103</v>
      </c>
      <c r="AZ105" s="155" t="s">
        <v>103</v>
      </c>
      <c r="BA105" s="156">
        <v>0</v>
      </c>
      <c r="BB105" s="153"/>
      <c r="BC105" s="780" t="s">
        <v>103</v>
      </c>
      <c r="BD105" s="153" t="s">
        <v>103</v>
      </c>
      <c r="BE105" s="679" t="s">
        <v>103</v>
      </c>
      <c r="BF105" s="156" t="s">
        <v>103</v>
      </c>
      <c r="BG105" s="94">
        <v>154109.82</v>
      </c>
      <c r="BH105" s="766">
        <v>5233549</v>
      </c>
      <c r="BI105" s="775">
        <v>466451</v>
      </c>
      <c r="BJ105" s="775">
        <v>0</v>
      </c>
      <c r="BK105" s="153" t="s">
        <v>103</v>
      </c>
      <c r="BL105" s="94" t="s">
        <v>124</v>
      </c>
      <c r="BM105" s="94" t="s">
        <v>124</v>
      </c>
      <c r="BN105" s="94" t="s">
        <v>124</v>
      </c>
      <c r="BO105" s="153" t="s">
        <v>116</v>
      </c>
      <c r="BP105" s="153" t="s">
        <v>124</v>
      </c>
      <c r="BQ105" s="153" t="s">
        <v>103</v>
      </c>
      <c r="BR105" s="153" t="s">
        <v>110</v>
      </c>
      <c r="BS105" s="153" t="s">
        <v>104</v>
      </c>
      <c r="BT105" s="153" t="s">
        <v>110</v>
      </c>
      <c r="BU105" s="153" t="s">
        <v>103</v>
      </c>
      <c r="BV105" s="153" t="s">
        <v>103</v>
      </c>
      <c r="BW105" s="153" t="s">
        <v>110</v>
      </c>
      <c r="BX105" s="153" t="s">
        <v>110</v>
      </c>
      <c r="BY105" s="153" t="s">
        <v>103</v>
      </c>
      <c r="BZ105" s="153" t="s">
        <v>110</v>
      </c>
      <c r="CA105" s="616" t="s">
        <v>110</v>
      </c>
      <c r="CB105" s="153" t="s">
        <v>103</v>
      </c>
      <c r="CC105" s="153" t="s">
        <v>110</v>
      </c>
      <c r="CD105" s="153" t="s">
        <v>103</v>
      </c>
      <c r="CE105" s="153" t="s">
        <v>103</v>
      </c>
    </row>
    <row r="106" spans="1:83" ht="27.6" customHeight="1">
      <c r="A106" s="503" t="s">
        <v>356</v>
      </c>
      <c r="B106" s="164" t="s">
        <v>357</v>
      </c>
      <c r="C106" s="155" t="s">
        <v>358</v>
      </c>
      <c r="D106" s="153" t="s">
        <v>359</v>
      </c>
      <c r="E106" s="153">
        <v>90650</v>
      </c>
      <c r="F106" s="153">
        <v>6037552100</v>
      </c>
      <c r="G106" s="155" t="s">
        <v>104</v>
      </c>
      <c r="H106" s="674">
        <v>0.3458395751055427</v>
      </c>
      <c r="I106" s="508" t="s">
        <v>360</v>
      </c>
      <c r="J106" s="153" t="s">
        <v>117</v>
      </c>
      <c r="K106" s="572" t="s">
        <v>156</v>
      </c>
      <c r="L106" s="153" t="s">
        <v>359</v>
      </c>
      <c r="M106" s="153" t="s">
        <v>110</v>
      </c>
      <c r="N106" s="156">
        <v>1</v>
      </c>
      <c r="P106" s="156">
        <v>0</v>
      </c>
      <c r="Q106" s="156" t="s">
        <v>294</v>
      </c>
      <c r="R106" s="156">
        <v>1</v>
      </c>
      <c r="S106" s="156">
        <v>0</v>
      </c>
      <c r="T106" s="958" t="s">
        <v>105</v>
      </c>
      <c r="U106" s="153" t="s">
        <v>104</v>
      </c>
      <c r="V106" s="149">
        <v>38265</v>
      </c>
      <c r="W106" s="149">
        <v>38544</v>
      </c>
      <c r="X106" s="149">
        <v>40637</v>
      </c>
      <c r="Y106" s="149">
        <v>44063</v>
      </c>
      <c r="Z106" s="149" t="s">
        <v>103</v>
      </c>
      <c r="AA106" s="149">
        <v>38265</v>
      </c>
      <c r="AB106" s="153" t="s">
        <v>103</v>
      </c>
      <c r="AC106" s="594">
        <f t="shared" si="16"/>
        <v>279</v>
      </c>
      <c r="AD106" s="149">
        <v>44063</v>
      </c>
      <c r="AE106" s="149" t="s">
        <v>103</v>
      </c>
      <c r="AF106" s="153" t="s">
        <v>103</v>
      </c>
      <c r="AG106" s="153" t="s">
        <v>103</v>
      </c>
      <c r="AH106" s="596" t="s">
        <v>103</v>
      </c>
      <c r="AI106" s="960" t="s">
        <v>103</v>
      </c>
      <c r="AJ106" s="607">
        <v>7815</v>
      </c>
      <c r="AK106" s="153" t="s">
        <v>120</v>
      </c>
      <c r="AL106" s="791" t="s">
        <v>103</v>
      </c>
      <c r="AO106" s="963"/>
      <c r="AP106" s="94">
        <v>5400000</v>
      </c>
      <c r="AQ106" s="574">
        <v>0</v>
      </c>
      <c r="AR106" s="153" t="s">
        <v>116</v>
      </c>
      <c r="AS106" s="153" t="s">
        <v>116</v>
      </c>
      <c r="AT106" s="778">
        <v>150000</v>
      </c>
      <c r="AU106" s="777" t="s">
        <v>122</v>
      </c>
      <c r="AV106" s="777" t="s">
        <v>122</v>
      </c>
      <c r="AW106" s="777" t="s">
        <v>122</v>
      </c>
      <c r="AX106" s="155" t="s">
        <v>103</v>
      </c>
      <c r="AY106" s="155" t="s">
        <v>103</v>
      </c>
      <c r="AZ106" s="155" t="s">
        <v>103</v>
      </c>
      <c r="BA106" s="156">
        <v>150000</v>
      </c>
      <c r="BB106" s="153"/>
      <c r="BC106" s="780" t="s">
        <v>103</v>
      </c>
      <c r="BD106" s="153" t="s">
        <v>103</v>
      </c>
      <c r="BE106" s="679" t="s">
        <v>103</v>
      </c>
      <c r="BF106" s="156" t="s">
        <v>103</v>
      </c>
      <c r="BG106" s="94">
        <v>3463505.41</v>
      </c>
      <c r="BH106" s="766" t="s">
        <v>123</v>
      </c>
      <c r="BI106" s="774">
        <v>0</v>
      </c>
      <c r="BJ106" s="774">
        <v>0</v>
      </c>
      <c r="BK106" s="153" t="s">
        <v>103</v>
      </c>
      <c r="BL106" s="153" t="s">
        <v>124</v>
      </c>
      <c r="BM106" s="94" t="s">
        <v>103</v>
      </c>
      <c r="BN106" s="155" t="s">
        <v>103</v>
      </c>
      <c r="BO106" s="153" t="s">
        <v>103</v>
      </c>
      <c r="BP106" s="153" t="s">
        <v>103</v>
      </c>
      <c r="BQ106" s="153" t="s">
        <v>103</v>
      </c>
      <c r="BR106" s="153" t="s">
        <v>104</v>
      </c>
      <c r="BS106" s="153" t="s">
        <v>104</v>
      </c>
      <c r="BT106" s="153" t="s">
        <v>361</v>
      </c>
      <c r="BU106" s="153" t="s">
        <v>104</v>
      </c>
      <c r="BV106" s="153" t="s">
        <v>104</v>
      </c>
      <c r="BW106" s="153" t="s">
        <v>104</v>
      </c>
      <c r="BX106" s="153" t="s">
        <v>104</v>
      </c>
      <c r="BY106" s="153" t="s">
        <v>104</v>
      </c>
      <c r="BZ106" s="153" t="s">
        <v>110</v>
      </c>
      <c r="CA106" s="616" t="s">
        <v>103</v>
      </c>
      <c r="CB106" s="153" t="s">
        <v>103</v>
      </c>
      <c r="CC106" s="153" t="s">
        <v>103</v>
      </c>
      <c r="CD106" s="153" t="s">
        <v>103</v>
      </c>
      <c r="CE106" s="153" t="s">
        <v>103</v>
      </c>
    </row>
    <row r="107" spans="1:83" ht="12" customHeight="1">
      <c r="A107" s="503" t="s">
        <v>362</v>
      </c>
      <c r="B107" s="164" t="s">
        <v>103</v>
      </c>
      <c r="C107" s="155" t="s">
        <v>103</v>
      </c>
      <c r="D107" s="153" t="s">
        <v>103</v>
      </c>
      <c r="E107" s="153" t="s">
        <v>103</v>
      </c>
      <c r="F107" s="958" t="s">
        <v>103</v>
      </c>
      <c r="G107" s="153" t="s">
        <v>110</v>
      </c>
      <c r="H107" s="673">
        <v>0.32767924627797013</v>
      </c>
      <c r="I107" s="508" t="s">
        <v>103</v>
      </c>
      <c r="J107" s="958" t="s">
        <v>103</v>
      </c>
      <c r="K107" s="958" t="s">
        <v>103</v>
      </c>
      <c r="L107" s="155" t="s">
        <v>103</v>
      </c>
      <c r="M107" s="155" t="s">
        <v>103</v>
      </c>
      <c r="N107" s="156">
        <v>0</v>
      </c>
      <c r="O107" s="156" t="s">
        <v>103</v>
      </c>
      <c r="P107" s="156">
        <v>0</v>
      </c>
      <c r="Q107" s="958" t="s">
        <v>103</v>
      </c>
      <c r="R107" s="156">
        <v>0</v>
      </c>
      <c r="S107" s="156">
        <v>0</v>
      </c>
      <c r="T107" s="958" t="s">
        <v>105</v>
      </c>
      <c r="U107" s="153" t="s">
        <v>110</v>
      </c>
      <c r="V107" s="518" t="s">
        <v>103</v>
      </c>
      <c r="W107" s="991" t="s">
        <v>103</v>
      </c>
      <c r="X107" s="991" t="s">
        <v>103</v>
      </c>
      <c r="Y107" s="991" t="s">
        <v>103</v>
      </c>
      <c r="Z107" s="518" t="s">
        <v>103</v>
      </c>
      <c r="AA107" s="991" t="s">
        <v>103</v>
      </c>
      <c r="AB107" s="155" t="s">
        <v>103</v>
      </c>
      <c r="AC107" s="959" t="s">
        <v>103</v>
      </c>
      <c r="AD107" s="155" t="s">
        <v>103</v>
      </c>
      <c r="AE107" s="155" t="s">
        <v>103</v>
      </c>
      <c r="AF107" s="155" t="s">
        <v>103</v>
      </c>
      <c r="AG107" s="155" t="s">
        <v>103</v>
      </c>
      <c r="AH107" s="992" t="s">
        <v>103</v>
      </c>
      <c r="AI107" s="960" t="s">
        <v>103</v>
      </c>
      <c r="AJ107" s="992" t="s">
        <v>103</v>
      </c>
      <c r="AK107" s="155" t="s">
        <v>103</v>
      </c>
      <c r="AL107" s="993" t="s">
        <v>103</v>
      </c>
      <c r="AM107" s="155"/>
      <c r="AN107" s="155"/>
      <c r="AO107" s="994"/>
      <c r="AP107" s="94">
        <v>0</v>
      </c>
      <c r="AQ107" s="578">
        <v>0</v>
      </c>
      <c r="AR107" s="155" t="s">
        <v>103</v>
      </c>
      <c r="AS107" s="155" t="s">
        <v>103</v>
      </c>
      <c r="AT107" s="155" t="s">
        <v>103</v>
      </c>
      <c r="AU107" s="155" t="s">
        <v>103</v>
      </c>
      <c r="AV107" s="155" t="s">
        <v>103</v>
      </c>
      <c r="AW107" s="155" t="s">
        <v>103</v>
      </c>
      <c r="AX107" s="155" t="s">
        <v>103</v>
      </c>
      <c r="AY107" s="155" t="s">
        <v>103</v>
      </c>
      <c r="AZ107" s="155" t="s">
        <v>103</v>
      </c>
      <c r="BA107" s="155" t="s">
        <v>103</v>
      </c>
      <c r="BB107" s="155" t="s">
        <v>103</v>
      </c>
      <c r="BC107" s="155" t="s">
        <v>103</v>
      </c>
      <c r="BD107" s="155" t="s">
        <v>103</v>
      </c>
      <c r="BE107" s="989" t="s">
        <v>103</v>
      </c>
      <c r="BF107" s="155" t="s">
        <v>103</v>
      </c>
      <c r="BG107" s="961">
        <v>0</v>
      </c>
      <c r="BH107" s="155" t="s">
        <v>103</v>
      </c>
      <c r="BI107" s="990" t="s">
        <v>103</v>
      </c>
      <c r="BJ107" s="155" t="s">
        <v>103</v>
      </c>
      <c r="BK107" s="155" t="s">
        <v>103</v>
      </c>
      <c r="BL107" s="155" t="s">
        <v>103</v>
      </c>
      <c r="BM107" s="155" t="s">
        <v>103</v>
      </c>
      <c r="BN107" s="155" t="s">
        <v>103</v>
      </c>
      <c r="BO107" s="155" t="s">
        <v>103</v>
      </c>
      <c r="BP107" s="155" t="s">
        <v>103</v>
      </c>
      <c r="BQ107" s="155" t="s">
        <v>103</v>
      </c>
      <c r="BR107" s="155" t="s">
        <v>103</v>
      </c>
      <c r="BS107" s="155" t="s">
        <v>103</v>
      </c>
      <c r="BT107" s="155" t="s">
        <v>103</v>
      </c>
      <c r="BU107" s="155" t="s">
        <v>103</v>
      </c>
      <c r="BV107" s="155" t="s">
        <v>103</v>
      </c>
      <c r="BW107" s="155" t="s">
        <v>103</v>
      </c>
      <c r="BX107" s="155" t="s">
        <v>103</v>
      </c>
      <c r="BY107" s="155" t="s">
        <v>103</v>
      </c>
      <c r="BZ107" s="155" t="s">
        <v>103</v>
      </c>
      <c r="CA107" s="155" t="s">
        <v>103</v>
      </c>
      <c r="CB107" s="155" t="s">
        <v>103</v>
      </c>
      <c r="CC107" s="155" t="s">
        <v>103</v>
      </c>
      <c r="CD107" s="155" t="s">
        <v>103</v>
      </c>
      <c r="CE107" s="155" t="s">
        <v>103</v>
      </c>
    </row>
    <row r="108" spans="1:83" ht="18" customHeight="1">
      <c r="A108" s="503" t="s">
        <v>363</v>
      </c>
      <c r="B108" s="164" t="s">
        <v>103</v>
      </c>
      <c r="C108" s="155" t="s">
        <v>103</v>
      </c>
      <c r="D108" s="153" t="s">
        <v>103</v>
      </c>
      <c r="E108" s="153" t="s">
        <v>103</v>
      </c>
      <c r="F108" s="958" t="s">
        <v>103</v>
      </c>
      <c r="G108" s="153" t="s">
        <v>110</v>
      </c>
      <c r="H108" s="673">
        <v>1.6790721827938376E-2</v>
      </c>
      <c r="I108" s="508" t="s">
        <v>103</v>
      </c>
      <c r="J108" s="958" t="s">
        <v>103</v>
      </c>
      <c r="K108" s="958" t="s">
        <v>103</v>
      </c>
      <c r="L108" s="155" t="s">
        <v>103</v>
      </c>
      <c r="M108" s="155" t="s">
        <v>103</v>
      </c>
      <c r="N108" s="156">
        <v>0</v>
      </c>
      <c r="O108" s="156" t="s">
        <v>103</v>
      </c>
      <c r="P108" s="156">
        <v>0</v>
      </c>
      <c r="Q108" s="958" t="s">
        <v>103</v>
      </c>
      <c r="R108" s="156">
        <v>0</v>
      </c>
      <c r="S108" s="156">
        <v>0</v>
      </c>
      <c r="T108" s="958" t="s">
        <v>105</v>
      </c>
      <c r="U108" s="153" t="s">
        <v>110</v>
      </c>
      <c r="V108" s="518" t="s">
        <v>103</v>
      </c>
      <c r="W108" s="991" t="s">
        <v>103</v>
      </c>
      <c r="X108" s="991" t="s">
        <v>103</v>
      </c>
      <c r="Y108" s="991" t="s">
        <v>103</v>
      </c>
      <c r="Z108" s="518" t="s">
        <v>103</v>
      </c>
      <c r="AA108" s="991" t="s">
        <v>103</v>
      </c>
      <c r="AB108" s="155" t="s">
        <v>103</v>
      </c>
      <c r="AC108" s="959" t="s">
        <v>103</v>
      </c>
      <c r="AD108" s="155" t="s">
        <v>103</v>
      </c>
      <c r="AE108" s="155" t="s">
        <v>103</v>
      </c>
      <c r="AF108" s="155" t="s">
        <v>103</v>
      </c>
      <c r="AG108" s="155" t="s">
        <v>103</v>
      </c>
      <c r="AH108" s="992" t="s">
        <v>103</v>
      </c>
      <c r="AI108" s="960" t="s">
        <v>103</v>
      </c>
      <c r="AJ108" s="992" t="s">
        <v>103</v>
      </c>
      <c r="AK108" s="155" t="s">
        <v>103</v>
      </c>
      <c r="AL108" s="993" t="s">
        <v>103</v>
      </c>
      <c r="AM108" s="155"/>
      <c r="AN108" s="155"/>
      <c r="AO108" s="994"/>
      <c r="AP108" s="94">
        <v>0</v>
      </c>
      <c r="AQ108" s="578">
        <v>0</v>
      </c>
      <c r="AR108" s="155" t="s">
        <v>103</v>
      </c>
      <c r="AS108" s="155" t="s">
        <v>103</v>
      </c>
      <c r="AT108" s="155" t="s">
        <v>103</v>
      </c>
      <c r="AU108" s="155" t="s">
        <v>103</v>
      </c>
      <c r="AV108" s="155" t="s">
        <v>103</v>
      </c>
      <c r="AW108" s="155" t="s">
        <v>103</v>
      </c>
      <c r="AX108" s="155" t="s">
        <v>103</v>
      </c>
      <c r="AY108" s="155" t="s">
        <v>103</v>
      </c>
      <c r="AZ108" s="155" t="s">
        <v>103</v>
      </c>
      <c r="BA108" s="155" t="s">
        <v>103</v>
      </c>
      <c r="BB108" s="155" t="s">
        <v>103</v>
      </c>
      <c r="BC108" s="155" t="s">
        <v>103</v>
      </c>
      <c r="BD108" s="155" t="s">
        <v>103</v>
      </c>
      <c r="BE108" s="989" t="s">
        <v>103</v>
      </c>
      <c r="BF108" s="155" t="s">
        <v>103</v>
      </c>
      <c r="BG108" s="961">
        <v>0</v>
      </c>
      <c r="BH108" s="155" t="s">
        <v>103</v>
      </c>
      <c r="BI108" s="990" t="s">
        <v>103</v>
      </c>
      <c r="BJ108" s="155" t="s">
        <v>103</v>
      </c>
      <c r="BK108" s="155" t="s">
        <v>103</v>
      </c>
      <c r="BL108" s="155" t="s">
        <v>103</v>
      </c>
      <c r="BM108" s="155" t="s">
        <v>103</v>
      </c>
      <c r="BN108" s="155" t="s">
        <v>103</v>
      </c>
      <c r="BO108" s="155" t="s">
        <v>103</v>
      </c>
      <c r="BP108" s="155" t="s">
        <v>103</v>
      </c>
      <c r="BQ108" s="155" t="s">
        <v>103</v>
      </c>
      <c r="BR108" s="155" t="s">
        <v>103</v>
      </c>
      <c r="BS108" s="155" t="s">
        <v>103</v>
      </c>
      <c r="BT108" s="155" t="s">
        <v>103</v>
      </c>
      <c r="BU108" s="155" t="s">
        <v>103</v>
      </c>
      <c r="BV108" s="155" t="s">
        <v>103</v>
      </c>
      <c r="BW108" s="155" t="s">
        <v>103</v>
      </c>
      <c r="BX108" s="155" t="s">
        <v>103</v>
      </c>
      <c r="BY108" s="155" t="s">
        <v>103</v>
      </c>
      <c r="BZ108" s="155" t="s">
        <v>103</v>
      </c>
      <c r="CA108" s="155" t="s">
        <v>103</v>
      </c>
      <c r="CB108" s="155" t="s">
        <v>103</v>
      </c>
      <c r="CC108" s="155" t="s">
        <v>103</v>
      </c>
      <c r="CD108" s="155" t="s">
        <v>103</v>
      </c>
      <c r="CE108" s="155" t="s">
        <v>103</v>
      </c>
    </row>
    <row r="109" spans="1:83" ht="14.1" customHeight="1">
      <c r="A109" s="503" t="s">
        <v>364</v>
      </c>
      <c r="B109" s="164" t="s">
        <v>103</v>
      </c>
      <c r="C109" s="155" t="s">
        <v>103</v>
      </c>
      <c r="D109" s="153" t="s">
        <v>103</v>
      </c>
      <c r="E109" s="153" t="s">
        <v>103</v>
      </c>
      <c r="F109" s="958" t="s">
        <v>103</v>
      </c>
      <c r="G109" s="153" t="s">
        <v>104</v>
      </c>
      <c r="H109" s="673">
        <v>0.39555137844611526</v>
      </c>
      <c r="I109" s="508" t="s">
        <v>103</v>
      </c>
      <c r="J109" s="958" t="s">
        <v>103</v>
      </c>
      <c r="K109" s="958" t="s">
        <v>103</v>
      </c>
      <c r="L109" s="155" t="s">
        <v>103</v>
      </c>
      <c r="M109" s="155" t="s">
        <v>103</v>
      </c>
      <c r="N109" s="156">
        <v>0</v>
      </c>
      <c r="O109" s="156" t="s">
        <v>103</v>
      </c>
      <c r="P109" s="156">
        <v>0</v>
      </c>
      <c r="Q109" s="958" t="s">
        <v>103</v>
      </c>
      <c r="R109" s="156">
        <v>0</v>
      </c>
      <c r="S109" s="156">
        <v>0</v>
      </c>
      <c r="T109" s="958" t="s">
        <v>105</v>
      </c>
      <c r="U109" s="153" t="s">
        <v>104</v>
      </c>
      <c r="V109" s="518" t="s">
        <v>103</v>
      </c>
      <c r="W109" s="991" t="s">
        <v>103</v>
      </c>
      <c r="X109" s="991" t="s">
        <v>103</v>
      </c>
      <c r="Y109" s="991" t="s">
        <v>103</v>
      </c>
      <c r="Z109" s="518" t="s">
        <v>103</v>
      </c>
      <c r="AA109" s="991" t="s">
        <v>103</v>
      </c>
      <c r="AB109" s="155" t="s">
        <v>103</v>
      </c>
      <c r="AC109" s="959" t="s">
        <v>103</v>
      </c>
      <c r="AD109" s="155" t="s">
        <v>103</v>
      </c>
      <c r="AE109" s="155" t="s">
        <v>103</v>
      </c>
      <c r="AF109" s="155" t="s">
        <v>103</v>
      </c>
      <c r="AG109" s="155" t="s">
        <v>103</v>
      </c>
      <c r="AH109" s="992" t="s">
        <v>103</v>
      </c>
      <c r="AI109" s="960" t="s">
        <v>103</v>
      </c>
      <c r="AJ109" s="992" t="s">
        <v>103</v>
      </c>
      <c r="AK109" s="155" t="s">
        <v>103</v>
      </c>
      <c r="AL109" s="993" t="s">
        <v>103</v>
      </c>
      <c r="AM109" s="155"/>
      <c r="AN109" s="155"/>
      <c r="AO109" s="994"/>
      <c r="AP109" s="94">
        <v>0</v>
      </c>
      <c r="AQ109" s="578">
        <v>0</v>
      </c>
      <c r="AR109" s="155" t="s">
        <v>103</v>
      </c>
      <c r="AS109" s="155" t="s">
        <v>103</v>
      </c>
      <c r="AT109" s="155" t="s">
        <v>103</v>
      </c>
      <c r="AU109" s="155" t="s">
        <v>103</v>
      </c>
      <c r="AV109" s="155" t="s">
        <v>103</v>
      </c>
      <c r="AW109" s="155" t="s">
        <v>103</v>
      </c>
      <c r="AX109" s="155" t="s">
        <v>103</v>
      </c>
      <c r="AY109" s="155" t="s">
        <v>103</v>
      </c>
      <c r="AZ109" s="155" t="s">
        <v>103</v>
      </c>
      <c r="BA109" s="155" t="s">
        <v>103</v>
      </c>
      <c r="BB109" s="155" t="s">
        <v>103</v>
      </c>
      <c r="BC109" s="155" t="s">
        <v>103</v>
      </c>
      <c r="BD109" s="155" t="s">
        <v>103</v>
      </c>
      <c r="BE109" s="989" t="s">
        <v>103</v>
      </c>
      <c r="BF109" s="155" t="s">
        <v>103</v>
      </c>
      <c r="BG109" s="961">
        <v>0</v>
      </c>
      <c r="BH109" s="155" t="s">
        <v>103</v>
      </c>
      <c r="BI109" s="990" t="s">
        <v>103</v>
      </c>
      <c r="BJ109" s="155" t="s">
        <v>103</v>
      </c>
      <c r="BK109" s="155" t="s">
        <v>103</v>
      </c>
      <c r="BL109" s="155" t="s">
        <v>103</v>
      </c>
      <c r="BM109" s="155" t="s">
        <v>103</v>
      </c>
      <c r="BN109" s="155" t="s">
        <v>103</v>
      </c>
      <c r="BO109" s="155" t="s">
        <v>103</v>
      </c>
      <c r="BP109" s="155" t="s">
        <v>103</v>
      </c>
      <c r="BQ109" s="155" t="s">
        <v>103</v>
      </c>
      <c r="BR109" s="155" t="s">
        <v>103</v>
      </c>
      <c r="BS109" s="155" t="s">
        <v>103</v>
      </c>
      <c r="BT109" s="155" t="s">
        <v>103</v>
      </c>
      <c r="BU109" s="155" t="s">
        <v>103</v>
      </c>
      <c r="BV109" s="155" t="s">
        <v>103</v>
      </c>
      <c r="BW109" s="155" t="s">
        <v>103</v>
      </c>
      <c r="BX109" s="155" t="s">
        <v>103</v>
      </c>
      <c r="BY109" s="155" t="s">
        <v>103</v>
      </c>
      <c r="BZ109" s="155" t="s">
        <v>103</v>
      </c>
      <c r="CA109" s="155" t="s">
        <v>103</v>
      </c>
      <c r="CB109" s="155" t="s">
        <v>103</v>
      </c>
      <c r="CC109" s="155" t="s">
        <v>103</v>
      </c>
      <c r="CD109" s="155" t="s">
        <v>103</v>
      </c>
      <c r="CE109" s="155" t="s">
        <v>103</v>
      </c>
    </row>
    <row r="110" spans="1:83" ht="12" customHeight="1">
      <c r="A110" s="503" t="s">
        <v>365</v>
      </c>
      <c r="B110" s="164" t="s">
        <v>103</v>
      </c>
      <c r="C110" s="155" t="s">
        <v>103</v>
      </c>
      <c r="D110" s="153" t="s">
        <v>103</v>
      </c>
      <c r="E110" s="153" t="s">
        <v>103</v>
      </c>
      <c r="F110" s="958" t="s">
        <v>103</v>
      </c>
      <c r="G110" s="153" t="s">
        <v>104</v>
      </c>
      <c r="H110" s="673">
        <v>0.12949425630314784</v>
      </c>
      <c r="I110" s="508" t="s">
        <v>103</v>
      </c>
      <c r="J110" s="958" t="s">
        <v>103</v>
      </c>
      <c r="K110" s="958" t="s">
        <v>103</v>
      </c>
      <c r="L110" s="155" t="s">
        <v>103</v>
      </c>
      <c r="M110" s="155" t="s">
        <v>103</v>
      </c>
      <c r="N110" s="156">
        <v>0</v>
      </c>
      <c r="O110" s="156" t="s">
        <v>103</v>
      </c>
      <c r="P110" s="156">
        <v>0</v>
      </c>
      <c r="Q110" s="958" t="s">
        <v>103</v>
      </c>
      <c r="R110" s="156">
        <v>0</v>
      </c>
      <c r="S110" s="156">
        <v>0</v>
      </c>
      <c r="T110" s="958" t="s">
        <v>105</v>
      </c>
      <c r="U110" s="153" t="s">
        <v>104</v>
      </c>
      <c r="V110" s="518" t="s">
        <v>103</v>
      </c>
      <c r="W110" s="991" t="s">
        <v>103</v>
      </c>
      <c r="X110" s="991" t="s">
        <v>103</v>
      </c>
      <c r="Y110" s="991" t="s">
        <v>103</v>
      </c>
      <c r="Z110" s="518" t="s">
        <v>103</v>
      </c>
      <c r="AA110" s="991" t="s">
        <v>103</v>
      </c>
      <c r="AB110" s="155" t="s">
        <v>103</v>
      </c>
      <c r="AC110" s="959" t="s">
        <v>103</v>
      </c>
      <c r="AD110" s="155" t="s">
        <v>103</v>
      </c>
      <c r="AE110" s="155" t="s">
        <v>103</v>
      </c>
      <c r="AF110" s="155" t="s">
        <v>103</v>
      </c>
      <c r="AG110" s="155" t="s">
        <v>103</v>
      </c>
      <c r="AH110" s="992" t="s">
        <v>103</v>
      </c>
      <c r="AI110" s="960" t="s">
        <v>103</v>
      </c>
      <c r="AJ110" s="992" t="s">
        <v>103</v>
      </c>
      <c r="AK110" s="155" t="s">
        <v>103</v>
      </c>
      <c r="AL110" s="993" t="s">
        <v>103</v>
      </c>
      <c r="AM110" s="155"/>
      <c r="AN110" s="155"/>
      <c r="AO110" s="994"/>
      <c r="AP110" s="94">
        <v>0</v>
      </c>
      <c r="AQ110" s="578">
        <v>0</v>
      </c>
      <c r="AR110" s="155" t="s">
        <v>103</v>
      </c>
      <c r="AS110" s="155" t="s">
        <v>103</v>
      </c>
      <c r="AT110" s="155" t="s">
        <v>103</v>
      </c>
      <c r="AU110" s="155" t="s">
        <v>103</v>
      </c>
      <c r="AV110" s="155" t="s">
        <v>103</v>
      </c>
      <c r="AW110" s="155" t="s">
        <v>103</v>
      </c>
      <c r="AX110" s="155" t="s">
        <v>103</v>
      </c>
      <c r="AY110" s="155" t="s">
        <v>103</v>
      </c>
      <c r="AZ110" s="155" t="s">
        <v>103</v>
      </c>
      <c r="BA110" s="155" t="s">
        <v>103</v>
      </c>
      <c r="BB110" s="155" t="s">
        <v>103</v>
      </c>
      <c r="BC110" s="155" t="s">
        <v>103</v>
      </c>
      <c r="BD110" s="155" t="s">
        <v>103</v>
      </c>
      <c r="BE110" s="989" t="s">
        <v>103</v>
      </c>
      <c r="BF110" s="155" t="s">
        <v>103</v>
      </c>
      <c r="BG110" s="961">
        <v>0</v>
      </c>
      <c r="BH110" s="155" t="s">
        <v>103</v>
      </c>
      <c r="BI110" s="990" t="s">
        <v>103</v>
      </c>
      <c r="BJ110" s="155" t="s">
        <v>103</v>
      </c>
      <c r="BK110" s="155" t="s">
        <v>103</v>
      </c>
      <c r="BL110" s="155" t="s">
        <v>103</v>
      </c>
      <c r="BM110" s="155" t="s">
        <v>103</v>
      </c>
      <c r="BN110" s="155" t="s">
        <v>103</v>
      </c>
      <c r="BO110" s="155" t="s">
        <v>103</v>
      </c>
      <c r="BP110" s="155" t="s">
        <v>103</v>
      </c>
      <c r="BQ110" s="155" t="s">
        <v>103</v>
      </c>
      <c r="BR110" s="155" t="s">
        <v>103</v>
      </c>
      <c r="BS110" s="155" t="s">
        <v>103</v>
      </c>
      <c r="BT110" s="155" t="s">
        <v>103</v>
      </c>
      <c r="BU110" s="155" t="s">
        <v>103</v>
      </c>
      <c r="BV110" s="155" t="s">
        <v>103</v>
      </c>
      <c r="BW110" s="155" t="s">
        <v>103</v>
      </c>
      <c r="BX110" s="155" t="s">
        <v>103</v>
      </c>
      <c r="BY110" s="155" t="s">
        <v>103</v>
      </c>
      <c r="BZ110" s="155" t="s">
        <v>103</v>
      </c>
      <c r="CA110" s="155" t="s">
        <v>103</v>
      </c>
      <c r="CB110" s="155" t="s">
        <v>103</v>
      </c>
      <c r="CC110" s="155" t="s">
        <v>103</v>
      </c>
      <c r="CD110" s="155" t="s">
        <v>103</v>
      </c>
      <c r="CE110" s="155" t="s">
        <v>103</v>
      </c>
    </row>
    <row r="111" spans="1:83" ht="13.35" customHeight="1">
      <c r="A111" s="503" t="s">
        <v>366</v>
      </c>
      <c r="B111" s="164" t="s">
        <v>367</v>
      </c>
      <c r="C111" s="155" t="s">
        <v>368</v>
      </c>
      <c r="D111" s="153">
        <v>6054</v>
      </c>
      <c r="E111" s="153">
        <v>90660</v>
      </c>
      <c r="F111" s="153">
        <v>6037500700</v>
      </c>
      <c r="G111" s="155" t="s">
        <v>104</v>
      </c>
      <c r="H111" s="674">
        <v>0.36778634361233481</v>
      </c>
      <c r="I111" s="508" t="s">
        <v>367</v>
      </c>
      <c r="J111" s="153" t="s">
        <v>117</v>
      </c>
      <c r="L111" s="153">
        <v>6054</v>
      </c>
      <c r="M111" s="153" t="s">
        <v>104</v>
      </c>
      <c r="N111" s="156">
        <v>2</v>
      </c>
      <c r="P111" s="156">
        <v>0</v>
      </c>
      <c r="Q111" s="156" t="s">
        <v>139</v>
      </c>
      <c r="R111" s="156">
        <v>0</v>
      </c>
      <c r="S111" s="156">
        <v>2</v>
      </c>
      <c r="T111" s="958" t="s">
        <v>105</v>
      </c>
      <c r="U111" s="153" t="s">
        <v>104</v>
      </c>
      <c r="V111" s="149">
        <v>38292</v>
      </c>
      <c r="W111" s="149">
        <v>38370</v>
      </c>
      <c r="X111" s="149">
        <v>39073</v>
      </c>
      <c r="Y111" s="149">
        <v>39281</v>
      </c>
      <c r="Z111" s="149">
        <v>39281</v>
      </c>
      <c r="AA111" s="149">
        <v>38292</v>
      </c>
      <c r="AB111" s="763" t="s">
        <v>121</v>
      </c>
      <c r="AC111" s="594">
        <v>55.714285714285708</v>
      </c>
      <c r="AD111" s="153" t="s">
        <v>103</v>
      </c>
      <c r="AE111" s="149" t="s">
        <v>103</v>
      </c>
      <c r="AF111" s="596" t="s">
        <v>103</v>
      </c>
      <c r="AG111" s="596" t="s">
        <v>103</v>
      </c>
      <c r="AH111" s="595" t="s">
        <v>103</v>
      </c>
      <c r="AI111" s="614">
        <v>0.73863636363636365</v>
      </c>
      <c r="AJ111" s="607">
        <v>3900</v>
      </c>
      <c r="AK111" s="153" t="s">
        <v>120</v>
      </c>
      <c r="AL111" s="791" t="s">
        <v>116</v>
      </c>
      <c r="AO111" s="963"/>
      <c r="AP111" s="519">
        <v>870000</v>
      </c>
      <c r="AQ111" s="574">
        <v>691755.05</v>
      </c>
      <c r="AR111" s="153" t="s">
        <v>116</v>
      </c>
      <c r="AS111" s="153" t="s">
        <v>116</v>
      </c>
      <c r="AT111" s="777" t="s">
        <v>122</v>
      </c>
      <c r="AU111" s="777" t="s">
        <v>122</v>
      </c>
      <c r="AV111" s="777" t="s">
        <v>122</v>
      </c>
      <c r="AW111" s="777" t="s">
        <v>122</v>
      </c>
      <c r="AX111" s="155" t="s">
        <v>103</v>
      </c>
      <c r="AY111" s="155" t="s">
        <v>103</v>
      </c>
      <c r="AZ111" s="155" t="s">
        <v>103</v>
      </c>
      <c r="BB111" s="574">
        <f t="shared" ref="BB111:BB113" si="17">AQ111</f>
        <v>691755.05</v>
      </c>
      <c r="BC111" s="780">
        <v>178244.94999999995</v>
      </c>
      <c r="BD111" s="1008" t="s">
        <v>121</v>
      </c>
      <c r="BE111" s="679">
        <v>0</v>
      </c>
      <c r="BF111" s="153" t="s">
        <v>103</v>
      </c>
      <c r="BG111" s="94">
        <v>691755.05</v>
      </c>
      <c r="BH111" s="766" t="s">
        <v>123</v>
      </c>
      <c r="BI111" s="774">
        <v>0</v>
      </c>
      <c r="BJ111" s="774">
        <v>0</v>
      </c>
      <c r="BK111" s="153" t="s">
        <v>103</v>
      </c>
      <c r="BL111" s="94" t="s">
        <v>124</v>
      </c>
      <c r="BM111" s="94" t="s">
        <v>124</v>
      </c>
      <c r="BN111" s="94" t="s">
        <v>124</v>
      </c>
      <c r="BO111" s="153" t="s">
        <v>116</v>
      </c>
      <c r="BP111" s="153" t="s">
        <v>124</v>
      </c>
      <c r="BQ111" s="153" t="s">
        <v>103</v>
      </c>
      <c r="BR111" s="153" t="s">
        <v>116</v>
      </c>
      <c r="BS111" s="153" t="s">
        <v>116</v>
      </c>
      <c r="BT111" s="153" t="s">
        <v>116</v>
      </c>
      <c r="BU111" s="153" t="s">
        <v>116</v>
      </c>
      <c r="BV111" s="153" t="s">
        <v>116</v>
      </c>
      <c r="BW111" s="153" t="s">
        <v>116</v>
      </c>
      <c r="BX111" s="153" t="s">
        <v>116</v>
      </c>
      <c r="BY111" s="153" t="s">
        <v>116</v>
      </c>
      <c r="BZ111" s="153" t="s">
        <v>116</v>
      </c>
      <c r="CA111" s="616" t="s">
        <v>116</v>
      </c>
      <c r="CB111" s="153" t="s">
        <v>116</v>
      </c>
      <c r="CC111" s="153" t="s">
        <v>116</v>
      </c>
      <c r="CD111" s="153" t="s">
        <v>116</v>
      </c>
      <c r="CE111" s="153" t="s">
        <v>116</v>
      </c>
    </row>
    <row r="112" spans="1:83" ht="27.6" customHeight="1">
      <c r="A112" s="503"/>
      <c r="B112" s="164" t="s">
        <v>369</v>
      </c>
      <c r="C112" s="155" t="s">
        <v>370</v>
      </c>
      <c r="D112" s="153">
        <v>4972</v>
      </c>
      <c r="E112" s="153">
        <v>90660</v>
      </c>
      <c r="F112" s="153">
        <v>6037500700</v>
      </c>
      <c r="G112" s="153" t="s">
        <v>104</v>
      </c>
      <c r="H112" s="153" t="s">
        <v>150</v>
      </c>
      <c r="I112" s="508" t="s">
        <v>369</v>
      </c>
      <c r="J112" s="153" t="s">
        <v>117</v>
      </c>
      <c r="L112" s="153">
        <v>4972</v>
      </c>
      <c r="M112" s="153" t="s">
        <v>104</v>
      </c>
      <c r="Q112" s="156" t="s">
        <v>139</v>
      </c>
      <c r="V112" s="149">
        <v>37257</v>
      </c>
      <c r="W112" s="149">
        <v>37545</v>
      </c>
      <c r="X112" s="149">
        <v>38313</v>
      </c>
      <c r="Y112" s="149">
        <v>38520</v>
      </c>
      <c r="Z112" s="149">
        <v>38520</v>
      </c>
      <c r="AA112" s="149">
        <v>37257</v>
      </c>
      <c r="AB112" s="763" t="s">
        <v>151</v>
      </c>
      <c r="AC112" s="594">
        <v>205.71428571428572</v>
      </c>
      <c r="AD112" s="153" t="s">
        <v>103</v>
      </c>
      <c r="AE112" s="149" t="s">
        <v>103</v>
      </c>
      <c r="AF112" s="596" t="s">
        <v>103</v>
      </c>
      <c r="AG112" s="596" t="s">
        <v>103</v>
      </c>
      <c r="AH112" s="595" t="s">
        <v>103</v>
      </c>
      <c r="AI112" s="614">
        <v>0.68181818181818177</v>
      </c>
      <c r="AJ112" s="607">
        <v>3600</v>
      </c>
      <c r="AK112" s="153" t="s">
        <v>152</v>
      </c>
      <c r="AL112" s="791" t="s">
        <v>116</v>
      </c>
      <c r="AO112" s="963"/>
      <c r="AP112" s="519">
        <v>910000</v>
      </c>
      <c r="AQ112" s="574">
        <v>1285973</v>
      </c>
      <c r="AR112" s="153" t="s">
        <v>116</v>
      </c>
      <c r="AS112" s="153" t="s">
        <v>116</v>
      </c>
      <c r="AT112" s="777" t="s">
        <v>122</v>
      </c>
      <c r="AU112" s="777" t="s">
        <v>122</v>
      </c>
      <c r="AV112" s="777" t="s">
        <v>122</v>
      </c>
      <c r="AW112" s="777" t="s">
        <v>122</v>
      </c>
      <c r="AX112" s="155" t="s">
        <v>103</v>
      </c>
      <c r="AY112" s="155" t="s">
        <v>103</v>
      </c>
      <c r="AZ112" s="155" t="s">
        <v>103</v>
      </c>
      <c r="BB112" s="574">
        <f t="shared" si="17"/>
        <v>1285973</v>
      </c>
      <c r="BC112" s="780">
        <v>-375973</v>
      </c>
      <c r="BD112" s="1012" t="s">
        <v>122</v>
      </c>
      <c r="BE112" s="679">
        <v>0</v>
      </c>
      <c r="BF112" s="153" t="s">
        <v>103</v>
      </c>
      <c r="BG112" s="94">
        <v>1285973</v>
      </c>
      <c r="BH112" s="766" t="s">
        <v>123</v>
      </c>
      <c r="BI112" s="774">
        <v>0</v>
      </c>
      <c r="BJ112" s="774">
        <v>0</v>
      </c>
      <c r="BK112" s="153" t="s">
        <v>103</v>
      </c>
      <c r="BL112" s="94" t="s">
        <v>124</v>
      </c>
      <c r="BM112" s="94" t="s">
        <v>124</v>
      </c>
      <c r="BN112" s="155" t="s">
        <v>124</v>
      </c>
      <c r="BO112" s="153" t="s">
        <v>116</v>
      </c>
      <c r="BP112" s="153" t="s">
        <v>124</v>
      </c>
      <c r="BQ112" s="153" t="s">
        <v>103</v>
      </c>
      <c r="BR112" s="153" t="s">
        <v>116</v>
      </c>
      <c r="BS112" s="153" t="s">
        <v>116</v>
      </c>
      <c r="BT112" s="153" t="s">
        <v>116</v>
      </c>
      <c r="BU112" s="153" t="s">
        <v>116</v>
      </c>
      <c r="BV112" s="153" t="s">
        <v>116</v>
      </c>
      <c r="BW112" s="153" t="s">
        <v>116</v>
      </c>
      <c r="BX112" s="153" t="s">
        <v>116</v>
      </c>
      <c r="BY112" s="153" t="s">
        <v>116</v>
      </c>
      <c r="BZ112" s="153" t="s">
        <v>116</v>
      </c>
      <c r="CA112" s="616" t="s">
        <v>116</v>
      </c>
      <c r="CB112" s="153" t="s">
        <v>116</v>
      </c>
      <c r="CC112" s="153" t="s">
        <v>116</v>
      </c>
      <c r="CD112" s="153" t="s">
        <v>116</v>
      </c>
      <c r="CE112" s="153" t="s">
        <v>116</v>
      </c>
    </row>
    <row r="113" spans="1:83 16352:16379" ht="27.6" customHeight="1">
      <c r="A113" s="503" t="s">
        <v>371</v>
      </c>
      <c r="B113" s="164" t="s">
        <v>372</v>
      </c>
      <c r="C113" s="155" t="s">
        <v>373</v>
      </c>
      <c r="D113" s="153" t="s">
        <v>374</v>
      </c>
      <c r="E113" s="153">
        <v>91769</v>
      </c>
      <c r="F113" s="153">
        <v>6037402402</v>
      </c>
      <c r="G113" s="155"/>
      <c r="H113" s="674">
        <v>0.3429569266589057</v>
      </c>
      <c r="I113" s="508" t="s">
        <v>372</v>
      </c>
      <c r="J113" s="153" t="s">
        <v>117</v>
      </c>
      <c r="K113" s="156">
        <v>0</v>
      </c>
      <c r="L113" s="153" t="s">
        <v>374</v>
      </c>
      <c r="M113" s="153" t="s">
        <v>104</v>
      </c>
      <c r="N113" s="156">
        <v>2</v>
      </c>
      <c r="P113" s="156">
        <v>0</v>
      </c>
      <c r="Q113" s="156" t="s">
        <v>139</v>
      </c>
      <c r="R113" s="156">
        <v>0</v>
      </c>
      <c r="S113" s="156">
        <v>1</v>
      </c>
      <c r="T113" s="958" t="s">
        <v>105</v>
      </c>
      <c r="U113" s="153" t="s">
        <v>104</v>
      </c>
      <c r="V113" s="149">
        <v>39006</v>
      </c>
      <c r="W113" s="149">
        <v>39084</v>
      </c>
      <c r="X113" s="149">
        <v>40623</v>
      </c>
      <c r="Y113" s="149">
        <v>40787</v>
      </c>
      <c r="Z113" s="149">
        <v>40787</v>
      </c>
      <c r="AA113" s="572">
        <v>2010</v>
      </c>
      <c r="AB113" s="763" t="s">
        <v>121</v>
      </c>
      <c r="AC113" s="594">
        <v>55.714285714285708</v>
      </c>
      <c r="AD113" s="153" t="s">
        <v>103</v>
      </c>
      <c r="AE113" s="149" t="s">
        <v>103</v>
      </c>
      <c r="AF113" s="596">
        <v>3</v>
      </c>
      <c r="AG113" s="596">
        <v>0</v>
      </c>
      <c r="AH113" s="595">
        <v>1787.6666666666667</v>
      </c>
      <c r="AI113" s="614">
        <v>0.33857323232323233</v>
      </c>
      <c r="AJ113" s="607">
        <v>3634</v>
      </c>
      <c r="AK113" s="153" t="s">
        <v>120</v>
      </c>
      <c r="AL113" s="791" t="s">
        <v>104</v>
      </c>
      <c r="AO113" s="963"/>
      <c r="AP113" s="519">
        <v>1200000</v>
      </c>
      <c r="AQ113" s="574">
        <v>926832</v>
      </c>
      <c r="AR113" s="153" t="s">
        <v>116</v>
      </c>
      <c r="AS113" s="153" t="s">
        <v>116</v>
      </c>
      <c r="AT113" s="156">
        <v>0</v>
      </c>
      <c r="AU113" s="777" t="s">
        <v>122</v>
      </c>
      <c r="AV113" s="777" t="s">
        <v>122</v>
      </c>
      <c r="AW113" s="777" t="s">
        <v>122</v>
      </c>
      <c r="AX113" s="155" t="s">
        <v>103</v>
      </c>
      <c r="AY113" s="155" t="s">
        <v>103</v>
      </c>
      <c r="AZ113" s="155" t="s">
        <v>103</v>
      </c>
      <c r="BA113" s="156">
        <v>0</v>
      </c>
      <c r="BB113" s="574">
        <f t="shared" si="17"/>
        <v>926832</v>
      </c>
      <c r="BC113" s="780">
        <v>273168</v>
      </c>
      <c r="BD113" s="1008" t="s">
        <v>121</v>
      </c>
      <c r="BE113" s="679">
        <v>0</v>
      </c>
      <c r="BF113" s="153" t="s">
        <v>103</v>
      </c>
      <c r="BG113" s="94">
        <v>926832</v>
      </c>
      <c r="BH113" s="766">
        <v>1819150</v>
      </c>
      <c r="BI113" s="774">
        <v>0</v>
      </c>
      <c r="BJ113" s="774">
        <v>0</v>
      </c>
      <c r="BK113" s="153" t="s">
        <v>103</v>
      </c>
      <c r="BL113" s="94" t="s">
        <v>124</v>
      </c>
      <c r="BM113" s="94" t="s">
        <v>124</v>
      </c>
      <c r="BN113" s="94" t="s">
        <v>124</v>
      </c>
      <c r="BO113" s="153" t="s">
        <v>116</v>
      </c>
      <c r="BP113" s="153" t="s">
        <v>124</v>
      </c>
      <c r="BQ113" s="153" t="s">
        <v>103</v>
      </c>
      <c r="BR113" s="153" t="s">
        <v>110</v>
      </c>
      <c r="BS113" s="153" t="s">
        <v>110</v>
      </c>
      <c r="BT113" s="153" t="s">
        <v>110</v>
      </c>
      <c r="BU113" s="153" t="s">
        <v>110</v>
      </c>
      <c r="BV113" s="153" t="s">
        <v>103</v>
      </c>
      <c r="BW113" s="153" t="s">
        <v>110</v>
      </c>
      <c r="BX113" s="153" t="s">
        <v>110</v>
      </c>
      <c r="BY113" s="153" t="s">
        <v>110</v>
      </c>
      <c r="BZ113" s="153" t="s">
        <v>110</v>
      </c>
      <c r="CA113" s="616" t="s">
        <v>103</v>
      </c>
      <c r="CB113" s="153" t="s">
        <v>103</v>
      </c>
      <c r="CC113" s="153" t="s">
        <v>110</v>
      </c>
      <c r="CD113" s="153" t="s">
        <v>110</v>
      </c>
      <c r="CE113" s="153" t="s">
        <v>103</v>
      </c>
    </row>
    <row r="114" spans="1:83 16352:16379" ht="69" customHeight="1">
      <c r="A114" s="503"/>
      <c r="B114" s="164" t="s">
        <v>375</v>
      </c>
      <c r="C114" s="155" t="s">
        <v>376</v>
      </c>
      <c r="D114" s="153">
        <v>96181</v>
      </c>
      <c r="E114" s="153">
        <v>91767</v>
      </c>
      <c r="F114" s="153">
        <v>6037402303</v>
      </c>
      <c r="G114" s="155" t="s">
        <v>104</v>
      </c>
      <c r="H114" s="153" t="s">
        <v>150</v>
      </c>
      <c r="I114" s="508" t="s">
        <v>375</v>
      </c>
      <c r="J114" s="153" t="s">
        <v>117</v>
      </c>
      <c r="K114" s="572">
        <v>0</v>
      </c>
      <c r="L114" s="153" t="s">
        <v>377</v>
      </c>
      <c r="M114" s="153" t="s">
        <v>110</v>
      </c>
      <c r="Q114" s="156" t="s">
        <v>244</v>
      </c>
      <c r="V114" s="149">
        <v>35381</v>
      </c>
      <c r="W114" s="149">
        <v>39248</v>
      </c>
      <c r="X114" s="149" t="s">
        <v>103</v>
      </c>
      <c r="Y114" s="149" t="s">
        <v>103</v>
      </c>
      <c r="Z114" s="149" t="s">
        <v>103</v>
      </c>
      <c r="AA114" s="149" t="s">
        <v>103</v>
      </c>
      <c r="AB114" s="519" t="s">
        <v>103</v>
      </c>
      <c r="AC114" s="594">
        <f t="shared" ref="AC114:AC118" si="18">W114-V114</f>
        <v>3867</v>
      </c>
      <c r="AD114" s="616" t="s">
        <v>103</v>
      </c>
      <c r="AE114" s="616"/>
      <c r="AF114" s="153" t="s">
        <v>103</v>
      </c>
      <c r="AG114" s="94" t="s">
        <v>103</v>
      </c>
      <c r="AH114" s="94" t="s">
        <v>103</v>
      </c>
      <c r="AI114" s="94" t="s">
        <v>103</v>
      </c>
      <c r="AJ114" s="153"/>
      <c r="AK114" s="153" t="s">
        <v>152</v>
      </c>
      <c r="AL114" s="791" t="s">
        <v>104</v>
      </c>
      <c r="AO114" s="963"/>
      <c r="AP114" s="153"/>
      <c r="AQ114" s="153">
        <v>0</v>
      </c>
      <c r="AR114" s="153" t="s">
        <v>116</v>
      </c>
      <c r="AS114" s="153" t="s">
        <v>116</v>
      </c>
      <c r="AT114" s="156">
        <v>0</v>
      </c>
      <c r="AU114" s="777" t="s">
        <v>122</v>
      </c>
      <c r="AV114" s="777" t="s">
        <v>122</v>
      </c>
      <c r="AW114" s="777" t="s">
        <v>122</v>
      </c>
      <c r="AX114" s="153" t="s">
        <v>103</v>
      </c>
      <c r="AY114" s="153" t="s">
        <v>103</v>
      </c>
      <c r="AZ114" s="153" t="s">
        <v>103</v>
      </c>
      <c r="BA114" s="156">
        <v>0</v>
      </c>
      <c r="BB114" s="153" t="s">
        <v>150</v>
      </c>
      <c r="BD114" s="153" t="s">
        <v>103</v>
      </c>
      <c r="BE114" s="153" t="s">
        <v>103</v>
      </c>
      <c r="BF114" s="153" t="s">
        <v>103</v>
      </c>
      <c r="BG114" s="153">
        <v>0</v>
      </c>
      <c r="BH114" s="153" t="s">
        <v>123</v>
      </c>
      <c r="BI114" s="774">
        <v>0</v>
      </c>
      <c r="BJ114" s="774">
        <v>0</v>
      </c>
      <c r="BK114" s="153" t="s">
        <v>103</v>
      </c>
      <c r="BM114" s="153" t="s">
        <v>124</v>
      </c>
      <c r="BN114" s="153" t="s">
        <v>116</v>
      </c>
      <c r="BO114" s="153" t="s">
        <v>116</v>
      </c>
      <c r="BP114" s="153" t="s">
        <v>124</v>
      </c>
      <c r="BQ114" s="153" t="s">
        <v>103</v>
      </c>
      <c r="BR114" s="153" t="s">
        <v>110</v>
      </c>
      <c r="BS114" s="153" t="s">
        <v>110</v>
      </c>
      <c r="BT114" s="153" t="s">
        <v>110</v>
      </c>
      <c r="BU114" s="153" t="s">
        <v>110</v>
      </c>
      <c r="BV114" s="153" t="s">
        <v>103</v>
      </c>
      <c r="BW114" s="153" t="s">
        <v>110</v>
      </c>
      <c r="BX114" s="153" t="s">
        <v>110</v>
      </c>
      <c r="BY114" s="153" t="s">
        <v>110</v>
      </c>
      <c r="BZ114" s="153" t="s">
        <v>110</v>
      </c>
      <c r="CA114" s="153" t="s">
        <v>103</v>
      </c>
      <c r="CB114" s="153" t="s">
        <v>103</v>
      </c>
      <c r="CC114" s="153" t="s">
        <v>110</v>
      </c>
      <c r="CD114" s="153" t="s">
        <v>110</v>
      </c>
      <c r="CE114" s="153" t="s">
        <v>103</v>
      </c>
      <c r="XDX114" s="503"/>
      <c r="XDY114" s="164"/>
      <c r="XDZ114" s="155"/>
      <c r="XED114" s="155"/>
      <c r="XEE114" s="674"/>
      <c r="XEF114" s="508"/>
      <c r="XEG114" s="508"/>
      <c r="XEH114" s="572"/>
      <c r="XEK114" s="156"/>
      <c r="XEL114" s="156"/>
      <c r="XEM114" s="156"/>
      <c r="XEN114" s="156"/>
      <c r="XEO114" s="156"/>
      <c r="XEP114" s="156"/>
      <c r="XES114" s="149"/>
      <c r="XET114" s="149"/>
      <c r="XEU114" s="149"/>
      <c r="XEV114" s="149"/>
      <c r="XEW114" s="149"/>
      <c r="XEX114" s="149"/>
      <c r="XEY114" s="519"/>
    </row>
    <row r="115" spans="1:83 16352:16379" ht="26.1">
      <c r="A115" s="503" t="s">
        <v>378</v>
      </c>
      <c r="B115" s="164" t="s">
        <v>379</v>
      </c>
      <c r="C115" s="155" t="s">
        <v>380</v>
      </c>
      <c r="D115" s="153" t="s">
        <v>381</v>
      </c>
      <c r="E115" s="153">
        <v>90275</v>
      </c>
      <c r="F115" s="958">
        <v>6037670702</v>
      </c>
      <c r="G115" s="153" t="s">
        <v>110</v>
      </c>
      <c r="H115" s="673">
        <v>4.4395116537180909E-2</v>
      </c>
      <c r="I115" s="508" t="str">
        <f>B115</f>
        <v xml:space="preserve">Palos Verdes Dr. So. - La Rotonda Dr to East City Limits </v>
      </c>
      <c r="J115" s="958" t="s">
        <v>282</v>
      </c>
      <c r="K115" s="958" t="s">
        <v>205</v>
      </c>
      <c r="L115" s="155" t="str">
        <f>D115</f>
        <v>2017-05</v>
      </c>
      <c r="M115" s="155" t="s">
        <v>110</v>
      </c>
      <c r="N115" s="156">
        <v>2</v>
      </c>
      <c r="O115" s="156" t="s">
        <v>103</v>
      </c>
      <c r="P115" s="156">
        <v>0</v>
      </c>
      <c r="Q115" s="989" t="s">
        <v>131</v>
      </c>
      <c r="R115" s="156">
        <v>0</v>
      </c>
      <c r="S115" s="156">
        <v>0</v>
      </c>
      <c r="T115" s="958" t="s">
        <v>105</v>
      </c>
      <c r="U115" s="153" t="s">
        <v>110</v>
      </c>
      <c r="V115" s="518">
        <v>42773</v>
      </c>
      <c r="W115" s="991">
        <v>42997</v>
      </c>
      <c r="X115" s="991">
        <v>43924</v>
      </c>
      <c r="Y115" s="991">
        <v>44146</v>
      </c>
      <c r="Z115" s="518" t="s">
        <v>103</v>
      </c>
      <c r="AA115" s="991">
        <v>42773</v>
      </c>
      <c r="AB115" s="155" t="s">
        <v>103</v>
      </c>
      <c r="AC115" s="959">
        <f t="shared" si="18"/>
        <v>224</v>
      </c>
      <c r="AD115" s="149">
        <v>44146</v>
      </c>
      <c r="AE115" s="155" t="s">
        <v>103</v>
      </c>
      <c r="AF115" s="155" t="s">
        <v>103</v>
      </c>
      <c r="AG115" s="155" t="s">
        <v>103</v>
      </c>
      <c r="AH115" s="992" t="s">
        <v>103</v>
      </c>
      <c r="AI115" s="960" t="s">
        <v>103</v>
      </c>
      <c r="AJ115" s="607">
        <v>1390</v>
      </c>
      <c r="AK115" s="155" t="s">
        <v>152</v>
      </c>
      <c r="AL115" s="993" t="s">
        <v>103</v>
      </c>
      <c r="AM115" s="155"/>
      <c r="AN115" s="155"/>
      <c r="AO115" s="994"/>
      <c r="AP115" s="94">
        <v>950000</v>
      </c>
      <c r="AQ115" s="578">
        <v>0</v>
      </c>
      <c r="AR115" s="155" t="s">
        <v>103</v>
      </c>
      <c r="AS115" s="155" t="s">
        <v>103</v>
      </c>
      <c r="AT115" s="155" t="s">
        <v>103</v>
      </c>
      <c r="AU115" s="155" t="s">
        <v>103</v>
      </c>
      <c r="AV115" s="155" t="s">
        <v>103</v>
      </c>
      <c r="AW115" s="155" t="s">
        <v>103</v>
      </c>
      <c r="AX115" s="155" t="s">
        <v>103</v>
      </c>
      <c r="AY115" s="155" t="s">
        <v>103</v>
      </c>
      <c r="AZ115" s="155" t="s">
        <v>103</v>
      </c>
      <c r="BA115" s="155" t="s">
        <v>103</v>
      </c>
      <c r="BB115" s="155" t="s">
        <v>103</v>
      </c>
      <c r="BC115" s="155" t="s">
        <v>103</v>
      </c>
      <c r="BD115" s="155" t="s">
        <v>103</v>
      </c>
      <c r="BE115" s="989" t="s">
        <v>103</v>
      </c>
      <c r="BF115" s="155" t="s">
        <v>103</v>
      </c>
      <c r="BG115" s="961">
        <v>0</v>
      </c>
      <c r="BH115" s="962">
        <v>1421229</v>
      </c>
      <c r="BI115" s="990" t="s">
        <v>103</v>
      </c>
      <c r="BJ115" s="155" t="s">
        <v>103</v>
      </c>
      <c r="BK115" s="155" t="s">
        <v>103</v>
      </c>
      <c r="BL115" s="155" t="s">
        <v>103</v>
      </c>
      <c r="BM115" s="155" t="s">
        <v>103</v>
      </c>
      <c r="BN115" s="155" t="s">
        <v>103</v>
      </c>
      <c r="BO115" s="155" t="s">
        <v>103</v>
      </c>
      <c r="BP115" s="155" t="s">
        <v>103</v>
      </c>
      <c r="BQ115" s="155" t="s">
        <v>103</v>
      </c>
      <c r="BR115" s="155" t="s">
        <v>103</v>
      </c>
      <c r="BS115" s="155" t="s">
        <v>103</v>
      </c>
      <c r="BT115" s="155" t="s">
        <v>103</v>
      </c>
      <c r="BU115" s="155" t="s">
        <v>103</v>
      </c>
      <c r="BV115" s="155" t="s">
        <v>103</v>
      </c>
      <c r="BW115" s="155" t="s">
        <v>103</v>
      </c>
      <c r="BX115" s="155" t="s">
        <v>103</v>
      </c>
      <c r="BY115" s="155" t="s">
        <v>103</v>
      </c>
      <c r="BZ115" s="155" t="s">
        <v>103</v>
      </c>
      <c r="CA115" s="155" t="s">
        <v>103</v>
      </c>
      <c r="CB115" s="155" t="s">
        <v>103</v>
      </c>
      <c r="CC115" s="155" t="s">
        <v>103</v>
      </c>
      <c r="CD115" s="155" t="s">
        <v>103</v>
      </c>
      <c r="CE115" s="155" t="s">
        <v>103</v>
      </c>
    </row>
    <row r="116" spans="1:83 16352:16379" ht="26.1">
      <c r="A116" s="503"/>
      <c r="B116" s="164" t="s">
        <v>382</v>
      </c>
      <c r="C116" s="155" t="s">
        <v>383</v>
      </c>
      <c r="D116" s="153" t="s">
        <v>381</v>
      </c>
      <c r="E116" s="153">
        <v>90275</v>
      </c>
      <c r="F116" s="958">
        <v>6037670602</v>
      </c>
      <c r="G116" s="153" t="s">
        <v>110</v>
      </c>
      <c r="H116" s="153" t="s">
        <v>150</v>
      </c>
      <c r="I116" s="508" t="str">
        <f>B116</f>
        <v xml:space="preserve">Crenshaw Blvd/ Crest Rd to 3rd Pole s/o Valley View Rd </v>
      </c>
      <c r="J116" s="958" t="s">
        <v>282</v>
      </c>
      <c r="K116" s="958" t="s">
        <v>205</v>
      </c>
      <c r="L116" s="155" t="str">
        <f>D116</f>
        <v>2017-05</v>
      </c>
      <c r="M116" s="155" t="s">
        <v>110</v>
      </c>
      <c r="Q116" s="989" t="s">
        <v>131</v>
      </c>
      <c r="V116" s="518">
        <v>42773</v>
      </c>
      <c r="W116" s="991">
        <v>42997</v>
      </c>
      <c r="X116" s="991">
        <v>43924</v>
      </c>
      <c r="Y116" s="991">
        <v>44226</v>
      </c>
      <c r="Z116" s="518" t="s">
        <v>103</v>
      </c>
      <c r="AA116" s="991">
        <v>42773</v>
      </c>
      <c r="AB116" s="155" t="s">
        <v>103</v>
      </c>
      <c r="AC116" s="959">
        <f t="shared" si="18"/>
        <v>224</v>
      </c>
      <c r="AD116" s="149">
        <v>44226</v>
      </c>
      <c r="AE116" s="155" t="s">
        <v>103</v>
      </c>
      <c r="AF116" s="155" t="s">
        <v>103</v>
      </c>
      <c r="AG116" s="155" t="s">
        <v>103</v>
      </c>
      <c r="AH116" s="992" t="s">
        <v>103</v>
      </c>
      <c r="AI116" s="960" t="s">
        <v>103</v>
      </c>
      <c r="AJ116" s="607">
        <v>910</v>
      </c>
      <c r="AK116" s="155" t="s">
        <v>152</v>
      </c>
      <c r="AL116" s="993"/>
      <c r="AM116" s="155"/>
      <c r="AN116" s="155"/>
      <c r="AO116" s="994"/>
      <c r="AP116" s="94">
        <v>550000</v>
      </c>
      <c r="AQ116" s="578" t="s">
        <v>150</v>
      </c>
      <c r="AR116" s="155" t="s">
        <v>103</v>
      </c>
      <c r="AS116" s="155" t="s">
        <v>103</v>
      </c>
      <c r="AT116" s="155" t="s">
        <v>103</v>
      </c>
      <c r="AU116" s="155" t="s">
        <v>103</v>
      </c>
      <c r="AV116" s="155" t="s">
        <v>103</v>
      </c>
      <c r="AW116" s="155" t="s">
        <v>103</v>
      </c>
      <c r="AX116" s="155" t="s">
        <v>103</v>
      </c>
      <c r="AY116" s="155" t="s">
        <v>103</v>
      </c>
      <c r="AZ116" s="155" t="s">
        <v>103</v>
      </c>
      <c r="BA116" s="155" t="s">
        <v>103</v>
      </c>
      <c r="BB116" s="155" t="s">
        <v>103</v>
      </c>
      <c r="BC116" s="155" t="s">
        <v>103</v>
      </c>
      <c r="BD116" s="155" t="s">
        <v>103</v>
      </c>
      <c r="BE116" s="989" t="s">
        <v>103</v>
      </c>
      <c r="BF116" s="155" t="s">
        <v>103</v>
      </c>
      <c r="BG116" s="961">
        <v>0</v>
      </c>
      <c r="BH116" s="962">
        <v>1421229</v>
      </c>
      <c r="BI116" s="990" t="s">
        <v>103</v>
      </c>
      <c r="BJ116" s="155" t="s">
        <v>103</v>
      </c>
      <c r="BK116" s="155" t="s">
        <v>103</v>
      </c>
      <c r="BL116" s="155" t="s">
        <v>103</v>
      </c>
      <c r="BM116" s="155" t="s">
        <v>103</v>
      </c>
      <c r="BN116" s="155" t="s">
        <v>103</v>
      </c>
      <c r="BO116" s="155" t="s">
        <v>103</v>
      </c>
      <c r="BP116" s="155" t="s">
        <v>103</v>
      </c>
      <c r="BQ116" s="155" t="s">
        <v>103</v>
      </c>
      <c r="BR116" s="155" t="s">
        <v>103</v>
      </c>
      <c r="BS116" s="155" t="s">
        <v>103</v>
      </c>
      <c r="BT116" s="155" t="s">
        <v>103</v>
      </c>
      <c r="BU116" s="155" t="s">
        <v>103</v>
      </c>
      <c r="BV116" s="155" t="s">
        <v>103</v>
      </c>
      <c r="BW116" s="155" t="s">
        <v>103</v>
      </c>
      <c r="BX116" s="155" t="s">
        <v>103</v>
      </c>
      <c r="BY116" s="155" t="s">
        <v>103</v>
      </c>
      <c r="BZ116" s="155" t="s">
        <v>103</v>
      </c>
      <c r="CA116" s="155" t="s">
        <v>103</v>
      </c>
      <c r="CB116" s="155" t="s">
        <v>103</v>
      </c>
      <c r="CC116" s="155" t="s">
        <v>103</v>
      </c>
      <c r="CD116" s="155" t="s">
        <v>103</v>
      </c>
      <c r="CE116" s="155" t="s">
        <v>103</v>
      </c>
    </row>
    <row r="117" spans="1:83 16352:16379" ht="19.350000000000001" customHeight="1">
      <c r="A117" s="503" t="s">
        <v>384</v>
      </c>
      <c r="B117" s="164" t="s">
        <v>385</v>
      </c>
      <c r="C117" s="155" t="s">
        <v>386</v>
      </c>
      <c r="D117" s="153">
        <v>7543</v>
      </c>
      <c r="E117" s="153">
        <v>90277</v>
      </c>
      <c r="F117" s="153">
        <v>6037651304</v>
      </c>
      <c r="G117" s="155" t="s">
        <v>110</v>
      </c>
      <c r="H117" s="674">
        <v>6.1353004677941705E-2</v>
      </c>
      <c r="I117" s="508" t="s">
        <v>385</v>
      </c>
      <c r="J117" s="153" t="s">
        <v>117</v>
      </c>
      <c r="K117" s="572" t="s">
        <v>222</v>
      </c>
      <c r="L117" s="153">
        <v>7543</v>
      </c>
      <c r="M117" s="153" t="s">
        <v>110</v>
      </c>
      <c r="N117" s="156">
        <v>2</v>
      </c>
      <c r="P117" s="156">
        <v>0</v>
      </c>
      <c r="Q117" s="989" t="s">
        <v>131</v>
      </c>
      <c r="R117" s="156">
        <v>0</v>
      </c>
      <c r="S117" s="156">
        <v>0</v>
      </c>
      <c r="T117" s="958" t="s">
        <v>105</v>
      </c>
      <c r="U117" s="153" t="s">
        <v>110</v>
      </c>
      <c r="V117" s="149">
        <v>33953</v>
      </c>
      <c r="W117" s="149">
        <v>41757</v>
      </c>
      <c r="X117" s="149">
        <v>43968</v>
      </c>
      <c r="Y117" s="149">
        <v>44270</v>
      </c>
      <c r="Z117" s="149" t="s">
        <v>103</v>
      </c>
      <c r="AA117" s="149">
        <v>33953</v>
      </c>
      <c r="AB117" s="153" t="s">
        <v>103</v>
      </c>
      <c r="AC117" s="594">
        <f t="shared" si="18"/>
        <v>7804</v>
      </c>
      <c r="AD117" s="149">
        <v>44270</v>
      </c>
      <c r="AE117" s="149" t="s">
        <v>103</v>
      </c>
      <c r="AF117" s="153" t="s">
        <v>103</v>
      </c>
      <c r="AG117" s="153" t="s">
        <v>103</v>
      </c>
      <c r="AH117" s="596" t="s">
        <v>103</v>
      </c>
      <c r="AI117" s="960" t="s">
        <v>103</v>
      </c>
      <c r="AJ117" s="607">
        <v>1580</v>
      </c>
      <c r="AK117" s="153" t="s">
        <v>120</v>
      </c>
      <c r="AL117" s="791" t="s">
        <v>103</v>
      </c>
      <c r="AO117" s="963"/>
      <c r="AP117" s="94">
        <v>1100000</v>
      </c>
      <c r="AQ117" s="574">
        <v>0</v>
      </c>
      <c r="AR117" s="153" t="s">
        <v>116</v>
      </c>
      <c r="AS117" s="153" t="s">
        <v>116</v>
      </c>
      <c r="AT117" s="777" t="s">
        <v>122</v>
      </c>
      <c r="AU117" s="777" t="s">
        <v>122</v>
      </c>
      <c r="AV117" s="777" t="s">
        <v>122</v>
      </c>
      <c r="AW117" s="777" t="s">
        <v>122</v>
      </c>
      <c r="AX117" s="155" t="s">
        <v>103</v>
      </c>
      <c r="AY117" s="155" t="s">
        <v>103</v>
      </c>
      <c r="AZ117" s="155" t="s">
        <v>103</v>
      </c>
      <c r="BA117" s="156">
        <v>0</v>
      </c>
      <c r="BB117" s="153"/>
      <c r="BC117" s="780" t="s">
        <v>103</v>
      </c>
      <c r="BD117" s="153" t="s">
        <v>103</v>
      </c>
      <c r="BE117" s="679" t="s">
        <v>103</v>
      </c>
      <c r="BF117" s="156" t="s">
        <v>103</v>
      </c>
      <c r="BG117" s="94">
        <v>76381.58</v>
      </c>
      <c r="BH117" s="766" t="s">
        <v>123</v>
      </c>
      <c r="BI117" s="774">
        <v>0</v>
      </c>
      <c r="BJ117" s="774">
        <v>0</v>
      </c>
      <c r="BK117" s="153" t="s">
        <v>103</v>
      </c>
      <c r="BL117" s="94" t="s">
        <v>124</v>
      </c>
      <c r="BM117" s="94" t="s">
        <v>124</v>
      </c>
      <c r="BN117" s="94" t="s">
        <v>124</v>
      </c>
      <c r="BO117" s="153" t="s">
        <v>116</v>
      </c>
      <c r="BP117" s="153" t="s">
        <v>124</v>
      </c>
      <c r="BQ117" s="153" t="s">
        <v>103</v>
      </c>
      <c r="BR117" s="153" t="s">
        <v>104</v>
      </c>
      <c r="BS117" s="153" t="s">
        <v>110</v>
      </c>
      <c r="BT117" s="153" t="s">
        <v>103</v>
      </c>
      <c r="BU117" s="153" t="s">
        <v>104</v>
      </c>
      <c r="BV117" s="153" t="s">
        <v>110</v>
      </c>
      <c r="BW117" s="153" t="s">
        <v>104</v>
      </c>
      <c r="BX117" s="153" t="s">
        <v>110</v>
      </c>
      <c r="BY117" s="153" t="s">
        <v>104</v>
      </c>
      <c r="BZ117" s="153" t="s">
        <v>103</v>
      </c>
      <c r="CA117" s="616" t="s">
        <v>103</v>
      </c>
      <c r="CB117" s="153" t="s">
        <v>103</v>
      </c>
      <c r="CC117" s="153" t="s">
        <v>103</v>
      </c>
      <c r="CD117" s="153" t="s">
        <v>103</v>
      </c>
      <c r="CE117" s="153" t="s">
        <v>103</v>
      </c>
    </row>
    <row r="118" spans="1:83 16352:16379" ht="12.6" customHeight="1">
      <c r="A118" s="503"/>
      <c r="B118" s="164" t="s">
        <v>387</v>
      </c>
      <c r="C118" s="155" t="s">
        <v>103</v>
      </c>
      <c r="D118" s="153">
        <v>7543</v>
      </c>
      <c r="E118" s="153">
        <v>90277</v>
      </c>
      <c r="F118" s="153">
        <v>6037651304</v>
      </c>
      <c r="G118" s="153" t="s">
        <v>110</v>
      </c>
      <c r="H118" s="153" t="s">
        <v>150</v>
      </c>
      <c r="I118" s="508" t="s">
        <v>387</v>
      </c>
      <c r="J118" s="153" t="s">
        <v>117</v>
      </c>
      <c r="K118" s="572" t="s">
        <v>222</v>
      </c>
      <c r="L118" s="153">
        <v>7543</v>
      </c>
      <c r="M118" s="153" t="s">
        <v>110</v>
      </c>
      <c r="Q118" s="989" t="s">
        <v>131</v>
      </c>
      <c r="V118" s="149">
        <v>33953</v>
      </c>
      <c r="W118" s="149">
        <v>43103</v>
      </c>
      <c r="X118" s="149">
        <v>43814</v>
      </c>
      <c r="Y118" s="149">
        <v>44146</v>
      </c>
      <c r="Z118" s="149" t="s">
        <v>103</v>
      </c>
      <c r="AA118" s="149">
        <v>33953</v>
      </c>
      <c r="AB118" s="153" t="s">
        <v>103</v>
      </c>
      <c r="AC118" s="594">
        <f t="shared" si="18"/>
        <v>9150</v>
      </c>
      <c r="AD118" s="149">
        <v>44146</v>
      </c>
      <c r="AE118" s="149" t="s">
        <v>103</v>
      </c>
      <c r="AF118" s="153" t="s">
        <v>103</v>
      </c>
      <c r="AG118" s="153" t="s">
        <v>103</v>
      </c>
      <c r="AH118" s="596" t="s">
        <v>103</v>
      </c>
      <c r="AI118" s="960" t="s">
        <v>103</v>
      </c>
      <c r="AJ118" s="607">
        <v>900</v>
      </c>
      <c r="AK118" s="153" t="s">
        <v>120</v>
      </c>
      <c r="AL118" s="791" t="s">
        <v>103</v>
      </c>
      <c r="AO118" s="963"/>
      <c r="AP118" s="94">
        <v>2520613.2400000002</v>
      </c>
      <c r="AQ118" s="574">
        <v>0</v>
      </c>
      <c r="AR118" s="153" t="s">
        <v>116</v>
      </c>
      <c r="AS118" s="153" t="s">
        <v>116</v>
      </c>
      <c r="AT118" s="777" t="s">
        <v>121</v>
      </c>
      <c r="AU118" s="777" t="s">
        <v>122</v>
      </c>
      <c r="AV118" s="777" t="s">
        <v>122</v>
      </c>
      <c r="AW118" s="777" t="s">
        <v>122</v>
      </c>
      <c r="AX118" s="155" t="s">
        <v>103</v>
      </c>
      <c r="AY118" s="155" t="s">
        <v>103</v>
      </c>
      <c r="AZ118" s="155" t="s">
        <v>103</v>
      </c>
      <c r="BB118" s="153"/>
      <c r="BC118" s="780" t="s">
        <v>103</v>
      </c>
      <c r="BD118" s="153" t="s">
        <v>103</v>
      </c>
      <c r="BE118" s="679" t="s">
        <v>103</v>
      </c>
      <c r="BF118" s="156" t="s">
        <v>103</v>
      </c>
      <c r="BG118" s="94">
        <v>0</v>
      </c>
      <c r="BH118" s="766" t="s">
        <v>123</v>
      </c>
      <c r="BI118" s="774">
        <v>0</v>
      </c>
      <c r="BJ118" s="774">
        <v>0</v>
      </c>
      <c r="BK118" s="153" t="s">
        <v>103</v>
      </c>
      <c r="BL118" s="153" t="s">
        <v>124</v>
      </c>
      <c r="BM118" s="94" t="s">
        <v>124</v>
      </c>
      <c r="BN118" s="155" t="s">
        <v>116</v>
      </c>
      <c r="BO118" s="153" t="s">
        <v>116</v>
      </c>
      <c r="BP118" s="153" t="s">
        <v>124</v>
      </c>
      <c r="BQ118" s="153" t="s">
        <v>103</v>
      </c>
      <c r="BR118" s="153" t="s">
        <v>104</v>
      </c>
      <c r="BS118" s="153" t="s">
        <v>110</v>
      </c>
      <c r="BT118" s="153" t="s">
        <v>103</v>
      </c>
      <c r="BU118" s="153" t="s">
        <v>104</v>
      </c>
      <c r="BV118" s="153" t="s">
        <v>110</v>
      </c>
      <c r="BW118" s="153" t="s">
        <v>104</v>
      </c>
      <c r="BX118" s="153" t="s">
        <v>110</v>
      </c>
      <c r="BY118" s="153" t="s">
        <v>104</v>
      </c>
      <c r="BZ118" s="153" t="s">
        <v>103</v>
      </c>
      <c r="CA118" s="616" t="s">
        <v>103</v>
      </c>
      <c r="CB118" s="153" t="s">
        <v>103</v>
      </c>
      <c r="CC118" s="153" t="s">
        <v>103</v>
      </c>
      <c r="CD118" s="153" t="s">
        <v>103</v>
      </c>
      <c r="CE118" s="153" t="s">
        <v>103</v>
      </c>
    </row>
    <row r="119" spans="1:83 16352:16379" ht="13.35" customHeight="1">
      <c r="A119" s="503" t="s">
        <v>388</v>
      </c>
      <c r="B119" s="164" t="s">
        <v>103</v>
      </c>
      <c r="C119" s="155" t="s">
        <v>103</v>
      </c>
      <c r="D119" s="153" t="s">
        <v>103</v>
      </c>
      <c r="E119" s="153" t="s">
        <v>103</v>
      </c>
      <c r="F119" s="958" t="s">
        <v>103</v>
      </c>
      <c r="G119" s="153" t="s">
        <v>110</v>
      </c>
      <c r="H119" s="673">
        <v>9.5367847411444145E-3</v>
      </c>
      <c r="I119" s="508" t="s">
        <v>103</v>
      </c>
      <c r="J119" s="958" t="s">
        <v>103</v>
      </c>
      <c r="K119" s="958" t="s">
        <v>103</v>
      </c>
      <c r="L119" s="155" t="s">
        <v>103</v>
      </c>
      <c r="M119" s="155" t="s">
        <v>103</v>
      </c>
      <c r="N119" s="156">
        <v>0</v>
      </c>
      <c r="O119" s="156" t="s">
        <v>103</v>
      </c>
      <c r="P119" s="156">
        <v>0</v>
      </c>
      <c r="Q119" s="958" t="s">
        <v>103</v>
      </c>
      <c r="R119" s="156">
        <v>0</v>
      </c>
      <c r="S119" s="156">
        <v>0</v>
      </c>
      <c r="T119" s="958" t="s">
        <v>105</v>
      </c>
      <c r="U119" s="153" t="s">
        <v>110</v>
      </c>
      <c r="V119" s="518" t="s">
        <v>103</v>
      </c>
      <c r="W119" s="991" t="s">
        <v>103</v>
      </c>
      <c r="X119" s="991" t="s">
        <v>103</v>
      </c>
      <c r="Y119" s="991" t="s">
        <v>103</v>
      </c>
      <c r="Z119" s="518" t="s">
        <v>103</v>
      </c>
      <c r="AA119" s="991" t="s">
        <v>103</v>
      </c>
      <c r="AB119" s="155" t="s">
        <v>103</v>
      </c>
      <c r="AC119" s="959" t="s">
        <v>103</v>
      </c>
      <c r="AD119" s="155" t="s">
        <v>103</v>
      </c>
      <c r="AE119" s="155" t="s">
        <v>103</v>
      </c>
      <c r="AF119" s="155" t="s">
        <v>103</v>
      </c>
      <c r="AG119" s="155" t="s">
        <v>103</v>
      </c>
      <c r="AH119" s="992" t="s">
        <v>103</v>
      </c>
      <c r="AI119" s="960" t="s">
        <v>103</v>
      </c>
      <c r="AJ119" s="992" t="s">
        <v>103</v>
      </c>
      <c r="AK119" s="155" t="s">
        <v>103</v>
      </c>
      <c r="AL119" s="993" t="s">
        <v>103</v>
      </c>
      <c r="AM119" s="155"/>
      <c r="AN119" s="155"/>
      <c r="AO119" s="994"/>
      <c r="AP119" s="94">
        <v>0</v>
      </c>
      <c r="AQ119" s="578">
        <v>0</v>
      </c>
      <c r="AR119" s="155" t="s">
        <v>103</v>
      </c>
      <c r="AS119" s="155" t="s">
        <v>103</v>
      </c>
      <c r="AT119" s="155" t="s">
        <v>103</v>
      </c>
      <c r="AU119" s="155" t="s">
        <v>103</v>
      </c>
      <c r="AV119" s="155" t="s">
        <v>103</v>
      </c>
      <c r="AW119" s="155" t="s">
        <v>103</v>
      </c>
      <c r="AX119" s="155" t="s">
        <v>103</v>
      </c>
      <c r="AY119" s="155" t="s">
        <v>103</v>
      </c>
      <c r="AZ119" s="155" t="s">
        <v>103</v>
      </c>
      <c r="BA119" s="155" t="s">
        <v>103</v>
      </c>
      <c r="BB119" s="155" t="s">
        <v>103</v>
      </c>
      <c r="BC119" s="155" t="s">
        <v>103</v>
      </c>
      <c r="BD119" s="155" t="s">
        <v>103</v>
      </c>
      <c r="BE119" s="989" t="s">
        <v>103</v>
      </c>
      <c r="BF119" s="155" t="s">
        <v>103</v>
      </c>
      <c r="BG119" s="961">
        <v>0</v>
      </c>
      <c r="BH119" s="155" t="s">
        <v>103</v>
      </c>
      <c r="BI119" s="990" t="s">
        <v>103</v>
      </c>
      <c r="BJ119" s="155" t="s">
        <v>103</v>
      </c>
      <c r="BK119" s="155" t="s">
        <v>103</v>
      </c>
      <c r="BL119" s="155" t="s">
        <v>103</v>
      </c>
      <c r="BM119" s="155" t="s">
        <v>103</v>
      </c>
      <c r="BN119" s="155" t="s">
        <v>103</v>
      </c>
      <c r="BO119" s="155" t="s">
        <v>103</v>
      </c>
      <c r="BP119" s="155" t="s">
        <v>103</v>
      </c>
      <c r="BQ119" s="155" t="s">
        <v>103</v>
      </c>
      <c r="BR119" s="155" t="s">
        <v>103</v>
      </c>
      <c r="BS119" s="155" t="s">
        <v>103</v>
      </c>
      <c r="BT119" s="155" t="s">
        <v>103</v>
      </c>
      <c r="BU119" s="155" t="s">
        <v>103</v>
      </c>
      <c r="BV119" s="155" t="s">
        <v>103</v>
      </c>
      <c r="BW119" s="155" t="s">
        <v>103</v>
      </c>
      <c r="BX119" s="155" t="s">
        <v>103</v>
      </c>
      <c r="BY119" s="155" t="s">
        <v>103</v>
      </c>
      <c r="BZ119" s="155" t="s">
        <v>103</v>
      </c>
      <c r="CA119" s="155" t="s">
        <v>103</v>
      </c>
      <c r="CB119" s="155" t="s">
        <v>103</v>
      </c>
      <c r="CC119" s="155" t="s">
        <v>103</v>
      </c>
      <c r="CD119" s="155" t="s">
        <v>103</v>
      </c>
      <c r="CE119" s="155" t="s">
        <v>103</v>
      </c>
    </row>
    <row r="120" spans="1:83 16352:16379" ht="27.6" customHeight="1">
      <c r="A120" s="505" t="s">
        <v>389</v>
      </c>
      <c r="B120" s="164" t="s">
        <v>390</v>
      </c>
      <c r="C120" s="155" t="s">
        <v>391</v>
      </c>
      <c r="D120" s="153">
        <v>2174</v>
      </c>
      <c r="E120" s="153">
        <v>90274</v>
      </c>
      <c r="F120" s="153">
        <v>6037670201</v>
      </c>
      <c r="G120" s="155" t="s">
        <v>110</v>
      </c>
      <c r="H120" s="674">
        <v>3.0600593742863669E-2</v>
      </c>
      <c r="I120" s="508" t="s">
        <v>390</v>
      </c>
      <c r="J120" s="153" t="s">
        <v>282</v>
      </c>
      <c r="K120" s="572" t="s">
        <v>217</v>
      </c>
      <c r="L120" s="153">
        <v>2174</v>
      </c>
      <c r="M120" s="153" t="s">
        <v>104</v>
      </c>
      <c r="N120" s="156">
        <v>1</v>
      </c>
      <c r="P120" s="156">
        <v>0</v>
      </c>
      <c r="Q120" s="156" t="s">
        <v>139</v>
      </c>
      <c r="R120" s="156">
        <v>0</v>
      </c>
      <c r="S120" s="156">
        <v>1</v>
      </c>
      <c r="T120" s="958" t="s">
        <v>105</v>
      </c>
      <c r="U120" s="153" t="s">
        <v>110</v>
      </c>
      <c r="V120" s="149">
        <v>39749</v>
      </c>
      <c r="W120" s="149">
        <v>39874</v>
      </c>
      <c r="X120" s="149">
        <v>41953</v>
      </c>
      <c r="Y120" s="149">
        <v>42247</v>
      </c>
      <c r="Z120" s="149">
        <v>42247</v>
      </c>
      <c r="AA120" s="149">
        <v>39749</v>
      </c>
      <c r="AB120" s="763" t="s">
        <v>151</v>
      </c>
      <c r="AC120" s="594">
        <v>89.285714285714292</v>
      </c>
      <c r="AD120" s="153" t="s">
        <v>103</v>
      </c>
      <c r="AE120" s="149" t="s">
        <v>103</v>
      </c>
      <c r="AF120" s="596">
        <v>12</v>
      </c>
      <c r="AG120" s="596">
        <v>0</v>
      </c>
      <c r="AH120" s="595">
        <v>5086</v>
      </c>
      <c r="AI120" s="614">
        <v>0.96325757575757576</v>
      </c>
      <c r="AJ120" s="607">
        <v>2655</v>
      </c>
      <c r="AK120" s="153" t="s">
        <v>152</v>
      </c>
      <c r="AL120" s="791" t="s">
        <v>104</v>
      </c>
      <c r="AO120" s="963"/>
      <c r="AP120" s="519">
        <v>1525000</v>
      </c>
      <c r="AQ120" s="574">
        <v>1714981</v>
      </c>
      <c r="AR120" s="153" t="s">
        <v>116</v>
      </c>
      <c r="AS120" s="153" t="s">
        <v>116</v>
      </c>
      <c r="AT120" s="156">
        <v>0</v>
      </c>
      <c r="AU120" s="777" t="s">
        <v>122</v>
      </c>
      <c r="AV120" s="777" t="s">
        <v>122</v>
      </c>
      <c r="AW120" s="777" t="s">
        <v>122</v>
      </c>
      <c r="AX120" s="155" t="s">
        <v>103</v>
      </c>
      <c r="AY120" s="155" t="s">
        <v>103</v>
      </c>
      <c r="AZ120" s="155" t="s">
        <v>103</v>
      </c>
      <c r="BA120" s="156">
        <v>0</v>
      </c>
      <c r="BB120" s="574">
        <f t="shared" ref="BB120" si="19">AQ120</f>
        <v>1714981</v>
      </c>
      <c r="BC120" s="780">
        <v>-189981</v>
      </c>
      <c r="BD120" s="1008" t="s">
        <v>151</v>
      </c>
      <c r="BE120" s="679">
        <v>165373</v>
      </c>
      <c r="BF120" s="153">
        <v>2017</v>
      </c>
      <c r="BG120" s="94">
        <v>1549608</v>
      </c>
      <c r="BH120" s="766">
        <v>1440517</v>
      </c>
      <c r="BI120" s="775">
        <v>84483</v>
      </c>
      <c r="BJ120" s="775">
        <v>0</v>
      </c>
      <c r="BK120" s="153" t="s">
        <v>103</v>
      </c>
      <c r="BL120" s="94" t="s">
        <v>124</v>
      </c>
      <c r="BM120" s="94" t="s">
        <v>124</v>
      </c>
      <c r="BN120" s="155" t="s">
        <v>116</v>
      </c>
      <c r="BO120" s="153" t="s">
        <v>116</v>
      </c>
      <c r="BP120" s="153" t="s">
        <v>124</v>
      </c>
      <c r="BQ120" s="153" t="s">
        <v>103</v>
      </c>
      <c r="BR120" s="153" t="s">
        <v>104</v>
      </c>
      <c r="BS120" s="153" t="s">
        <v>104</v>
      </c>
      <c r="BT120" s="153" t="s">
        <v>104</v>
      </c>
      <c r="BU120" s="153" t="s">
        <v>110</v>
      </c>
      <c r="BV120" s="153" t="s">
        <v>104</v>
      </c>
      <c r="BW120" s="153" t="s">
        <v>110</v>
      </c>
      <c r="BX120" s="153" t="s">
        <v>110</v>
      </c>
      <c r="BY120" s="153" t="s">
        <v>110</v>
      </c>
      <c r="BZ120" s="153" t="s">
        <v>110</v>
      </c>
    </row>
    <row r="121" spans="1:83 16352:16379" ht="41.45" customHeight="1">
      <c r="A121" s="503" t="s">
        <v>392</v>
      </c>
      <c r="B121" s="164" t="s">
        <v>393</v>
      </c>
      <c r="C121" s="155" t="s">
        <v>394</v>
      </c>
      <c r="D121" s="153" t="s">
        <v>395</v>
      </c>
      <c r="E121" s="153">
        <v>91770</v>
      </c>
      <c r="F121" s="153">
        <v>6037481300</v>
      </c>
      <c r="G121" s="155" t="s">
        <v>110</v>
      </c>
      <c r="H121" s="674">
        <v>0.37039991491172092</v>
      </c>
      <c r="I121" s="508" t="s">
        <v>393</v>
      </c>
      <c r="J121" s="153" t="s">
        <v>117</v>
      </c>
      <c r="K121" s="572" t="s">
        <v>205</v>
      </c>
      <c r="L121" s="153" t="s">
        <v>395</v>
      </c>
      <c r="M121" s="153" t="s">
        <v>110</v>
      </c>
      <c r="N121" s="156">
        <v>1</v>
      </c>
      <c r="P121" s="156">
        <v>0</v>
      </c>
      <c r="Q121" s="989" t="s">
        <v>131</v>
      </c>
      <c r="R121" s="156">
        <v>0</v>
      </c>
      <c r="S121" s="156">
        <v>0</v>
      </c>
      <c r="T121" s="958" t="s">
        <v>105</v>
      </c>
      <c r="U121" s="153" t="s">
        <v>104</v>
      </c>
      <c r="V121" s="149">
        <v>40659</v>
      </c>
      <c r="W121" s="149">
        <v>42719</v>
      </c>
      <c r="X121" s="149">
        <v>43638</v>
      </c>
      <c r="Y121" s="149">
        <v>43967</v>
      </c>
      <c r="Z121" s="149" t="s">
        <v>103</v>
      </c>
      <c r="AA121" s="149">
        <v>40659</v>
      </c>
      <c r="AB121" s="153" t="s">
        <v>103</v>
      </c>
      <c r="AC121" s="594">
        <f>W121-V121</f>
        <v>2060</v>
      </c>
      <c r="AD121" s="149">
        <v>43967</v>
      </c>
      <c r="AE121" s="149" t="s">
        <v>103</v>
      </c>
      <c r="AF121" s="153" t="s">
        <v>103</v>
      </c>
      <c r="AG121" s="153" t="s">
        <v>103</v>
      </c>
      <c r="AH121" s="596" t="s">
        <v>103</v>
      </c>
      <c r="AI121" s="960" t="s">
        <v>103</v>
      </c>
      <c r="AJ121" s="607">
        <v>5650</v>
      </c>
      <c r="AK121" s="153" t="s">
        <v>120</v>
      </c>
      <c r="AL121" s="791" t="s">
        <v>104</v>
      </c>
      <c r="AO121" s="963"/>
      <c r="AP121" s="94">
        <v>3150000</v>
      </c>
      <c r="AQ121" s="574">
        <v>0</v>
      </c>
      <c r="AR121" s="153" t="s">
        <v>116</v>
      </c>
      <c r="AS121" s="153" t="s">
        <v>116</v>
      </c>
      <c r="AT121" s="777" t="s">
        <v>122</v>
      </c>
      <c r="AU121" s="777" t="s">
        <v>122</v>
      </c>
      <c r="AV121" s="777" t="s">
        <v>122</v>
      </c>
      <c r="AW121" s="777" t="s">
        <v>122</v>
      </c>
      <c r="AX121" s="155" t="s">
        <v>103</v>
      </c>
      <c r="AY121" s="155" t="s">
        <v>103</v>
      </c>
      <c r="AZ121" s="155" t="s">
        <v>103</v>
      </c>
      <c r="BA121" s="156">
        <v>0</v>
      </c>
      <c r="BB121" s="153"/>
      <c r="BC121" s="780" t="s">
        <v>103</v>
      </c>
      <c r="BD121" s="153" t="s">
        <v>103</v>
      </c>
      <c r="BE121" s="679" t="s">
        <v>103</v>
      </c>
      <c r="BF121" s="156" t="s">
        <v>103</v>
      </c>
      <c r="BG121" s="94">
        <v>257601.38</v>
      </c>
      <c r="BH121" s="766">
        <v>1688290</v>
      </c>
      <c r="BI121" s="774">
        <v>922254.01</v>
      </c>
      <c r="BJ121" s="774">
        <v>519455.99</v>
      </c>
      <c r="BK121" s="153" t="s">
        <v>103</v>
      </c>
      <c r="BL121" s="94" t="s">
        <v>124</v>
      </c>
      <c r="BM121" s="94" t="s">
        <v>124</v>
      </c>
      <c r="BN121" s="94" t="s">
        <v>124</v>
      </c>
      <c r="BO121" s="153" t="s">
        <v>116</v>
      </c>
      <c r="BP121" s="153" t="s">
        <v>124</v>
      </c>
      <c r="BQ121" s="153" t="s">
        <v>103</v>
      </c>
      <c r="BR121" s="153" t="s">
        <v>110</v>
      </c>
      <c r="BS121" s="153" t="s">
        <v>104</v>
      </c>
      <c r="BT121" s="153" t="s">
        <v>104</v>
      </c>
      <c r="BU121" s="153" t="s">
        <v>110</v>
      </c>
      <c r="BV121" s="153" t="s">
        <v>103</v>
      </c>
      <c r="BW121" s="153" t="s">
        <v>110</v>
      </c>
      <c r="BX121" s="153" t="s">
        <v>110</v>
      </c>
      <c r="BY121" s="153" t="s">
        <v>110</v>
      </c>
      <c r="BZ121" s="153" t="s">
        <v>110</v>
      </c>
      <c r="CA121" s="616" t="s">
        <v>103</v>
      </c>
      <c r="CB121" s="153" t="s">
        <v>103</v>
      </c>
      <c r="CC121" s="153" t="s">
        <v>110</v>
      </c>
      <c r="CD121" s="153" t="s">
        <v>110</v>
      </c>
      <c r="CE121" s="153" t="s">
        <v>103</v>
      </c>
    </row>
    <row r="122" spans="1:83 16352:16379" ht="10.35" customHeight="1">
      <c r="A122" s="503" t="s">
        <v>396</v>
      </c>
      <c r="B122" s="164" t="s">
        <v>103</v>
      </c>
      <c r="C122" s="155" t="s">
        <v>103</v>
      </c>
      <c r="D122" s="153" t="s">
        <v>103</v>
      </c>
      <c r="E122" s="153" t="s">
        <v>103</v>
      </c>
      <c r="F122" s="958" t="s">
        <v>103</v>
      </c>
      <c r="G122" s="153" t="s">
        <v>110</v>
      </c>
      <c r="H122" s="673">
        <v>0.11853211009174312</v>
      </c>
      <c r="I122" s="508" t="s">
        <v>103</v>
      </c>
      <c r="J122" s="958" t="s">
        <v>103</v>
      </c>
      <c r="K122" s="958" t="s">
        <v>103</v>
      </c>
      <c r="L122" s="155" t="s">
        <v>103</v>
      </c>
      <c r="M122" s="155" t="s">
        <v>103</v>
      </c>
      <c r="N122" s="156">
        <v>0</v>
      </c>
      <c r="O122" s="156" t="s">
        <v>103</v>
      </c>
      <c r="P122" s="156">
        <v>0</v>
      </c>
      <c r="Q122" s="958" t="s">
        <v>103</v>
      </c>
      <c r="R122" s="156">
        <v>0</v>
      </c>
      <c r="S122" s="156">
        <v>0</v>
      </c>
      <c r="T122" s="958" t="s">
        <v>105</v>
      </c>
      <c r="U122" s="153" t="s">
        <v>110</v>
      </c>
      <c r="V122" s="518" t="s">
        <v>103</v>
      </c>
      <c r="W122" s="991" t="s">
        <v>103</v>
      </c>
      <c r="X122" s="991" t="s">
        <v>103</v>
      </c>
      <c r="Y122" s="991" t="s">
        <v>103</v>
      </c>
      <c r="Z122" s="518" t="s">
        <v>103</v>
      </c>
      <c r="AA122" s="991" t="s">
        <v>103</v>
      </c>
      <c r="AB122" s="155" t="s">
        <v>103</v>
      </c>
      <c r="AC122" s="959" t="s">
        <v>103</v>
      </c>
      <c r="AD122" s="155" t="s">
        <v>103</v>
      </c>
      <c r="AE122" s="155" t="s">
        <v>103</v>
      </c>
      <c r="AF122" s="155" t="s">
        <v>103</v>
      </c>
      <c r="AG122" s="155" t="s">
        <v>103</v>
      </c>
      <c r="AH122" s="992" t="s">
        <v>103</v>
      </c>
      <c r="AI122" s="960" t="s">
        <v>103</v>
      </c>
      <c r="AJ122" s="992" t="s">
        <v>103</v>
      </c>
      <c r="AK122" s="155" t="s">
        <v>103</v>
      </c>
      <c r="AL122" s="993" t="s">
        <v>103</v>
      </c>
      <c r="AM122" s="155"/>
      <c r="AN122" s="155"/>
      <c r="AO122" s="994"/>
      <c r="AP122" s="94">
        <v>0</v>
      </c>
      <c r="AQ122" s="578">
        <v>0</v>
      </c>
      <c r="AR122" s="155" t="s">
        <v>103</v>
      </c>
      <c r="AS122" s="155" t="s">
        <v>103</v>
      </c>
      <c r="AT122" s="155" t="s">
        <v>103</v>
      </c>
      <c r="AU122" s="155" t="s">
        <v>103</v>
      </c>
      <c r="AV122" s="155" t="s">
        <v>103</v>
      </c>
      <c r="AW122" s="155" t="s">
        <v>103</v>
      </c>
      <c r="AX122" s="155" t="s">
        <v>103</v>
      </c>
      <c r="AY122" s="155" t="s">
        <v>103</v>
      </c>
      <c r="AZ122" s="155" t="s">
        <v>103</v>
      </c>
      <c r="BA122" s="155" t="s">
        <v>103</v>
      </c>
      <c r="BB122" s="155" t="s">
        <v>103</v>
      </c>
      <c r="BC122" s="155" t="s">
        <v>103</v>
      </c>
      <c r="BD122" s="155" t="s">
        <v>103</v>
      </c>
      <c r="BE122" s="989" t="s">
        <v>103</v>
      </c>
      <c r="BF122" s="155" t="s">
        <v>103</v>
      </c>
      <c r="BG122" s="961">
        <v>0</v>
      </c>
      <c r="BH122" s="155" t="s">
        <v>103</v>
      </c>
      <c r="BI122" s="990" t="s">
        <v>103</v>
      </c>
      <c r="BJ122" s="155" t="s">
        <v>103</v>
      </c>
      <c r="BK122" s="155" t="s">
        <v>103</v>
      </c>
      <c r="BL122" s="155" t="s">
        <v>103</v>
      </c>
      <c r="BM122" s="155" t="s">
        <v>103</v>
      </c>
      <c r="BN122" s="155" t="s">
        <v>103</v>
      </c>
      <c r="BO122" s="155" t="s">
        <v>103</v>
      </c>
      <c r="BP122" s="155" t="s">
        <v>103</v>
      </c>
      <c r="BQ122" s="155" t="s">
        <v>103</v>
      </c>
      <c r="BR122" s="155" t="s">
        <v>103</v>
      </c>
      <c r="BS122" s="155" t="s">
        <v>103</v>
      </c>
      <c r="BT122" s="155" t="s">
        <v>103</v>
      </c>
      <c r="BU122" s="155" t="s">
        <v>103</v>
      </c>
      <c r="BV122" s="155" t="s">
        <v>103</v>
      </c>
      <c r="BW122" s="155" t="s">
        <v>103</v>
      </c>
      <c r="BX122" s="155" t="s">
        <v>103</v>
      </c>
      <c r="BY122" s="155" t="s">
        <v>103</v>
      </c>
      <c r="BZ122" s="155" t="s">
        <v>103</v>
      </c>
      <c r="CA122" s="155" t="s">
        <v>103</v>
      </c>
      <c r="CB122" s="155" t="s">
        <v>103</v>
      </c>
      <c r="CC122" s="155" t="s">
        <v>103</v>
      </c>
      <c r="CD122" s="155" t="s">
        <v>103</v>
      </c>
      <c r="CE122" s="155" t="s">
        <v>103</v>
      </c>
    </row>
    <row r="123" spans="1:83 16352:16379" ht="10.35" customHeight="1">
      <c r="A123" s="503" t="s">
        <v>397</v>
      </c>
      <c r="B123" s="164" t="s">
        <v>103</v>
      </c>
      <c r="C123" s="155" t="s">
        <v>103</v>
      </c>
      <c r="D123" s="153" t="s">
        <v>103</v>
      </c>
      <c r="E123" s="153" t="s">
        <v>103</v>
      </c>
      <c r="F123" s="958" t="s">
        <v>103</v>
      </c>
      <c r="G123" s="153" t="s">
        <v>104</v>
      </c>
      <c r="H123" s="673">
        <v>0.30893433799784714</v>
      </c>
      <c r="I123" s="508" t="s">
        <v>103</v>
      </c>
      <c r="J123" s="958" t="s">
        <v>103</v>
      </c>
      <c r="K123" s="958" t="s">
        <v>103</v>
      </c>
      <c r="L123" s="155" t="s">
        <v>103</v>
      </c>
      <c r="M123" s="155" t="s">
        <v>103</v>
      </c>
      <c r="N123" s="156">
        <v>0</v>
      </c>
      <c r="O123" s="156" t="s">
        <v>103</v>
      </c>
      <c r="P123" s="156">
        <v>0</v>
      </c>
      <c r="Q123" s="958" t="s">
        <v>103</v>
      </c>
      <c r="R123" s="156">
        <v>0</v>
      </c>
      <c r="S123" s="156">
        <v>0</v>
      </c>
      <c r="T123" s="958" t="s">
        <v>105</v>
      </c>
      <c r="U123" s="153" t="s">
        <v>104</v>
      </c>
      <c r="V123" s="518" t="s">
        <v>103</v>
      </c>
      <c r="W123" s="991" t="s">
        <v>103</v>
      </c>
      <c r="X123" s="991" t="s">
        <v>103</v>
      </c>
      <c r="Y123" s="991" t="s">
        <v>103</v>
      </c>
      <c r="Z123" s="518" t="s">
        <v>103</v>
      </c>
      <c r="AA123" s="991" t="s">
        <v>103</v>
      </c>
      <c r="AB123" s="155" t="s">
        <v>103</v>
      </c>
      <c r="AC123" s="959" t="s">
        <v>103</v>
      </c>
      <c r="AD123" s="155" t="s">
        <v>103</v>
      </c>
      <c r="AE123" s="155" t="s">
        <v>103</v>
      </c>
      <c r="AF123" s="155" t="s">
        <v>103</v>
      </c>
      <c r="AG123" s="155" t="s">
        <v>103</v>
      </c>
      <c r="AH123" s="992" t="s">
        <v>103</v>
      </c>
      <c r="AI123" s="960" t="s">
        <v>103</v>
      </c>
      <c r="AJ123" s="992" t="s">
        <v>103</v>
      </c>
      <c r="AK123" s="155" t="s">
        <v>103</v>
      </c>
      <c r="AL123" s="993" t="s">
        <v>103</v>
      </c>
      <c r="AM123" s="155"/>
      <c r="AN123" s="155"/>
      <c r="AO123" s="994"/>
      <c r="AP123" s="94">
        <v>0</v>
      </c>
      <c r="AQ123" s="578">
        <v>0</v>
      </c>
      <c r="AR123" s="155" t="s">
        <v>103</v>
      </c>
      <c r="AS123" s="155" t="s">
        <v>103</v>
      </c>
      <c r="AT123" s="155" t="s">
        <v>103</v>
      </c>
      <c r="AU123" s="155" t="s">
        <v>103</v>
      </c>
      <c r="AV123" s="155" t="s">
        <v>103</v>
      </c>
      <c r="AW123" s="155" t="s">
        <v>103</v>
      </c>
      <c r="AX123" s="155" t="s">
        <v>103</v>
      </c>
      <c r="AY123" s="155" t="s">
        <v>103</v>
      </c>
      <c r="AZ123" s="155" t="s">
        <v>103</v>
      </c>
      <c r="BA123" s="155" t="s">
        <v>103</v>
      </c>
      <c r="BB123" s="155" t="s">
        <v>103</v>
      </c>
      <c r="BC123" s="155" t="s">
        <v>103</v>
      </c>
      <c r="BD123" s="155" t="s">
        <v>103</v>
      </c>
      <c r="BE123" s="989" t="s">
        <v>103</v>
      </c>
      <c r="BF123" s="155" t="s">
        <v>103</v>
      </c>
      <c r="BG123" s="961">
        <v>0</v>
      </c>
      <c r="BH123" s="155" t="s">
        <v>103</v>
      </c>
      <c r="BI123" s="990" t="s">
        <v>103</v>
      </c>
      <c r="BJ123" s="155" t="s">
        <v>103</v>
      </c>
      <c r="BK123" s="155" t="s">
        <v>103</v>
      </c>
      <c r="BL123" s="155" t="s">
        <v>103</v>
      </c>
      <c r="BM123" s="155" t="s">
        <v>103</v>
      </c>
      <c r="BN123" s="155" t="s">
        <v>103</v>
      </c>
      <c r="BO123" s="155" t="s">
        <v>103</v>
      </c>
      <c r="BP123" s="155" t="s">
        <v>103</v>
      </c>
      <c r="BQ123" s="155" t="s">
        <v>103</v>
      </c>
      <c r="BR123" s="155" t="s">
        <v>103</v>
      </c>
      <c r="BS123" s="155" t="s">
        <v>103</v>
      </c>
      <c r="BT123" s="155" t="s">
        <v>103</v>
      </c>
      <c r="BU123" s="155" t="s">
        <v>103</v>
      </c>
      <c r="BV123" s="155" t="s">
        <v>103</v>
      </c>
      <c r="BW123" s="155" t="s">
        <v>103</v>
      </c>
      <c r="BX123" s="155" t="s">
        <v>103</v>
      </c>
      <c r="BY123" s="155" t="s">
        <v>103</v>
      </c>
      <c r="BZ123" s="155" t="s">
        <v>103</v>
      </c>
      <c r="CA123" s="155" t="s">
        <v>103</v>
      </c>
      <c r="CB123" s="155" t="s">
        <v>103</v>
      </c>
      <c r="CC123" s="155" t="s">
        <v>103</v>
      </c>
      <c r="CD123" s="155" t="s">
        <v>103</v>
      </c>
      <c r="CE123" s="155" t="s">
        <v>103</v>
      </c>
    </row>
    <row r="124" spans="1:83 16352:16379" ht="41.45" customHeight="1">
      <c r="A124" s="503" t="s">
        <v>398</v>
      </c>
      <c r="B124" s="164" t="s">
        <v>399</v>
      </c>
      <c r="C124" s="155" t="s">
        <v>400</v>
      </c>
      <c r="D124" s="153" t="s">
        <v>401</v>
      </c>
      <c r="E124" s="153">
        <v>91776</v>
      </c>
      <c r="F124" s="153">
        <v>6037481103</v>
      </c>
      <c r="G124" s="155" t="s">
        <v>104</v>
      </c>
      <c r="H124" s="674">
        <v>0.23738166999193447</v>
      </c>
      <c r="I124" s="508" t="s">
        <v>399</v>
      </c>
      <c r="J124" s="153" t="s">
        <v>117</v>
      </c>
      <c r="K124" s="156">
        <v>0</v>
      </c>
      <c r="L124" s="153" t="s">
        <v>401</v>
      </c>
      <c r="M124" s="153" t="s">
        <v>104</v>
      </c>
      <c r="N124" s="156">
        <v>2</v>
      </c>
      <c r="P124" s="156">
        <v>0</v>
      </c>
      <c r="Q124" s="156" t="s">
        <v>139</v>
      </c>
      <c r="R124" s="156">
        <v>0</v>
      </c>
      <c r="S124" s="156">
        <v>2</v>
      </c>
      <c r="T124" s="958" t="s">
        <v>105</v>
      </c>
      <c r="U124" s="153" t="s">
        <v>104</v>
      </c>
      <c r="V124" s="149">
        <v>40407</v>
      </c>
      <c r="W124" s="149">
        <v>40598</v>
      </c>
      <c r="X124" s="149">
        <v>40907</v>
      </c>
      <c r="Y124" s="149">
        <v>42608</v>
      </c>
      <c r="Z124" s="149">
        <v>42608</v>
      </c>
      <c r="AA124" s="149">
        <v>40407</v>
      </c>
      <c r="AB124" s="763" t="s">
        <v>121</v>
      </c>
      <c r="AC124" s="594">
        <v>136.42857142857142</v>
      </c>
      <c r="AD124" s="153" t="s">
        <v>103</v>
      </c>
      <c r="AE124" s="149" t="s">
        <v>103</v>
      </c>
      <c r="AF124" s="596">
        <v>21</v>
      </c>
      <c r="AG124" s="596">
        <v>25</v>
      </c>
      <c r="AH124" s="595">
        <v>4589</v>
      </c>
      <c r="AI124" s="614">
        <v>0.86912878787878789</v>
      </c>
      <c r="AJ124" s="607">
        <v>3460</v>
      </c>
      <c r="AK124" s="153" t="s">
        <v>152</v>
      </c>
      <c r="AL124" s="791" t="s">
        <v>104</v>
      </c>
      <c r="AO124" s="963"/>
      <c r="AP124" s="519">
        <v>3200000</v>
      </c>
      <c r="AQ124" s="574">
        <v>2943457.359999978</v>
      </c>
      <c r="AR124" s="153" t="s">
        <v>116</v>
      </c>
      <c r="AS124" s="153" t="s">
        <v>116</v>
      </c>
      <c r="AT124" s="156">
        <v>0</v>
      </c>
      <c r="AU124" s="777" t="s">
        <v>122</v>
      </c>
      <c r="AV124" s="777" t="s">
        <v>122</v>
      </c>
      <c r="AW124" s="777" t="s">
        <v>122</v>
      </c>
      <c r="AX124" s="155" t="s">
        <v>103</v>
      </c>
      <c r="AY124" s="155" t="s">
        <v>103</v>
      </c>
      <c r="AZ124" s="155" t="s">
        <v>103</v>
      </c>
      <c r="BA124" s="156">
        <v>0</v>
      </c>
      <c r="BB124" s="574">
        <f t="shared" ref="BB124:BB125" si="20">AQ124</f>
        <v>2943457.359999978</v>
      </c>
      <c r="BC124" s="780">
        <v>256542.64000002202</v>
      </c>
      <c r="BD124" s="1008" t="s">
        <v>121</v>
      </c>
      <c r="BE124" s="679">
        <v>0</v>
      </c>
      <c r="BF124" s="153" t="s">
        <v>103</v>
      </c>
      <c r="BG124" s="94">
        <v>2943457.359999978</v>
      </c>
      <c r="BH124" s="766">
        <v>3476903</v>
      </c>
      <c r="BI124" s="774">
        <v>0</v>
      </c>
      <c r="BJ124" s="774">
        <v>0</v>
      </c>
      <c r="BK124" s="153" t="s">
        <v>103</v>
      </c>
      <c r="BL124" s="153" t="s">
        <v>124</v>
      </c>
      <c r="BM124" s="94" t="s">
        <v>103</v>
      </c>
      <c r="BN124" s="155" t="s">
        <v>103</v>
      </c>
      <c r="BO124" s="153" t="s">
        <v>103</v>
      </c>
      <c r="BP124" s="153" t="s">
        <v>103</v>
      </c>
      <c r="BQ124" s="153" t="s">
        <v>103</v>
      </c>
      <c r="BR124" s="153" t="s">
        <v>110</v>
      </c>
      <c r="BS124" s="153" t="s">
        <v>104</v>
      </c>
      <c r="BT124" s="153" t="s">
        <v>104</v>
      </c>
      <c r="BU124" s="153" t="s">
        <v>104</v>
      </c>
      <c r="BV124" s="153" t="s">
        <v>103</v>
      </c>
      <c r="BW124" s="153" t="s">
        <v>110</v>
      </c>
      <c r="BX124" s="153" t="s">
        <v>110</v>
      </c>
      <c r="BY124" s="153" t="s">
        <v>110</v>
      </c>
      <c r="BZ124" s="153" t="s">
        <v>110</v>
      </c>
      <c r="CA124" s="616" t="s">
        <v>103</v>
      </c>
      <c r="CB124" s="153" t="s">
        <v>103</v>
      </c>
      <c r="CC124" s="153" t="s">
        <v>110</v>
      </c>
      <c r="CD124" s="153" t="s">
        <v>110</v>
      </c>
      <c r="CE124" s="153" t="s">
        <v>103</v>
      </c>
    </row>
    <row r="125" spans="1:83 16352:16379" ht="41.45" customHeight="1">
      <c r="A125" s="503"/>
      <c r="B125" s="164" t="s">
        <v>402</v>
      </c>
      <c r="C125" s="155" t="s">
        <v>403</v>
      </c>
      <c r="D125" s="153" t="s">
        <v>404</v>
      </c>
      <c r="E125" s="153">
        <v>91776</v>
      </c>
      <c r="F125" s="153">
        <v>6037481103</v>
      </c>
      <c r="G125" s="153" t="s">
        <v>110</v>
      </c>
      <c r="H125" s="153" t="s">
        <v>150</v>
      </c>
      <c r="I125" s="508" t="s">
        <v>402</v>
      </c>
      <c r="J125" s="153" t="s">
        <v>117</v>
      </c>
      <c r="K125" s="156">
        <v>0</v>
      </c>
      <c r="L125" s="153" t="s">
        <v>404</v>
      </c>
      <c r="M125" s="153" t="s">
        <v>104</v>
      </c>
      <c r="Q125" s="156" t="s">
        <v>139</v>
      </c>
      <c r="V125" s="149">
        <v>40407</v>
      </c>
      <c r="W125" s="149">
        <v>40598</v>
      </c>
      <c r="X125" s="149">
        <v>41638</v>
      </c>
      <c r="Y125" s="149">
        <v>42608</v>
      </c>
      <c r="Z125" s="149">
        <v>42608</v>
      </c>
      <c r="AA125" s="149">
        <v>40407</v>
      </c>
      <c r="AB125" s="763" t="s">
        <v>121</v>
      </c>
      <c r="AC125" s="594">
        <v>136.42857142857142</v>
      </c>
      <c r="AD125" s="153" t="s">
        <v>103</v>
      </c>
      <c r="AE125" s="149" t="s">
        <v>103</v>
      </c>
      <c r="AF125" s="596">
        <v>0</v>
      </c>
      <c r="AG125" s="596">
        <v>7</v>
      </c>
      <c r="AH125" s="595">
        <v>2607</v>
      </c>
      <c r="AI125" s="614">
        <v>0.49375000000000002</v>
      </c>
      <c r="AJ125" s="607">
        <v>1987</v>
      </c>
      <c r="AK125" s="153" t="s">
        <v>152</v>
      </c>
      <c r="AL125" s="791" t="s">
        <v>104</v>
      </c>
      <c r="AO125" s="963"/>
      <c r="AP125" s="519">
        <v>2200000</v>
      </c>
      <c r="AQ125" s="574">
        <v>2132407.4999999814</v>
      </c>
      <c r="AR125" s="153" t="s">
        <v>116</v>
      </c>
      <c r="AS125" s="153" t="s">
        <v>116</v>
      </c>
      <c r="AT125" s="156">
        <v>0</v>
      </c>
      <c r="AU125" s="777" t="s">
        <v>122</v>
      </c>
      <c r="AV125" s="777" t="s">
        <v>122</v>
      </c>
      <c r="AW125" s="777" t="s">
        <v>122</v>
      </c>
      <c r="AX125" s="155" t="s">
        <v>103</v>
      </c>
      <c r="AY125" s="155" t="s">
        <v>103</v>
      </c>
      <c r="AZ125" s="155" t="s">
        <v>103</v>
      </c>
      <c r="BA125" s="156">
        <v>0</v>
      </c>
      <c r="BB125" s="574">
        <f t="shared" si="20"/>
        <v>2132407.4999999814</v>
      </c>
      <c r="BC125" s="780">
        <v>67592.500000018626</v>
      </c>
      <c r="BD125" s="1008" t="s">
        <v>121</v>
      </c>
      <c r="BE125" s="679">
        <v>0</v>
      </c>
      <c r="BF125" s="153" t="s">
        <v>103</v>
      </c>
      <c r="BG125" s="94">
        <v>2132354.2799999816</v>
      </c>
      <c r="BH125" s="766">
        <v>3476903</v>
      </c>
      <c r="BI125" s="774">
        <v>0</v>
      </c>
      <c r="BJ125" s="774">
        <v>0</v>
      </c>
      <c r="BK125" s="153" t="s">
        <v>103</v>
      </c>
      <c r="BL125" s="153" t="s">
        <v>124</v>
      </c>
      <c r="BM125" s="94" t="s">
        <v>103</v>
      </c>
      <c r="BN125" s="155" t="s">
        <v>103</v>
      </c>
      <c r="BO125" s="153" t="s">
        <v>103</v>
      </c>
      <c r="BP125" s="153" t="s">
        <v>103</v>
      </c>
      <c r="BQ125" s="153" t="s">
        <v>103</v>
      </c>
      <c r="BR125" s="153" t="s">
        <v>110</v>
      </c>
      <c r="BS125" s="153" t="s">
        <v>104</v>
      </c>
      <c r="BT125" s="153" t="s">
        <v>104</v>
      </c>
      <c r="BU125" s="153" t="s">
        <v>104</v>
      </c>
      <c r="BV125" s="153" t="s">
        <v>103</v>
      </c>
      <c r="BW125" s="153" t="s">
        <v>110</v>
      </c>
      <c r="BX125" s="153" t="s">
        <v>110</v>
      </c>
      <c r="BY125" s="153" t="s">
        <v>110</v>
      </c>
      <c r="BZ125" s="153" t="s">
        <v>110</v>
      </c>
      <c r="CA125" s="616" t="s">
        <v>103</v>
      </c>
      <c r="CB125" s="153" t="s">
        <v>103</v>
      </c>
      <c r="CC125" s="153" t="s">
        <v>110</v>
      </c>
      <c r="CD125" s="153" t="s">
        <v>110</v>
      </c>
      <c r="CE125" s="153" t="s">
        <v>103</v>
      </c>
    </row>
    <row r="126" spans="1:83 16352:16379" ht="27.6" customHeight="1">
      <c r="A126" s="503" t="s">
        <v>405</v>
      </c>
      <c r="B126" s="164" t="s">
        <v>406</v>
      </c>
      <c r="C126" s="155" t="s">
        <v>407</v>
      </c>
      <c r="D126" s="153" t="s">
        <v>408</v>
      </c>
      <c r="E126" s="153">
        <v>91108</v>
      </c>
      <c r="F126" s="153">
        <v>6037464200</v>
      </c>
      <c r="G126" s="155" t="s">
        <v>110</v>
      </c>
      <c r="H126" s="674">
        <v>2.8113244901999603E-2</v>
      </c>
      <c r="I126" s="508" t="s">
        <v>406</v>
      </c>
      <c r="J126" s="153" t="s">
        <v>117</v>
      </c>
      <c r="K126" s="572" t="s">
        <v>205</v>
      </c>
      <c r="L126" s="153" t="s">
        <v>408</v>
      </c>
      <c r="M126" s="153" t="s">
        <v>110</v>
      </c>
      <c r="N126" s="156">
        <v>1</v>
      </c>
      <c r="P126" s="156">
        <v>0</v>
      </c>
      <c r="Q126" s="989" t="s">
        <v>131</v>
      </c>
      <c r="R126" s="156">
        <v>0</v>
      </c>
      <c r="S126" s="156">
        <v>0</v>
      </c>
      <c r="T126" s="958" t="s">
        <v>105</v>
      </c>
      <c r="U126" s="153" t="s">
        <v>110</v>
      </c>
      <c r="V126" s="149">
        <v>38238</v>
      </c>
      <c r="W126" s="149">
        <v>39234</v>
      </c>
      <c r="X126" s="149">
        <v>44020</v>
      </c>
      <c r="Y126" s="149">
        <v>44322</v>
      </c>
      <c r="Z126" s="149" t="s">
        <v>103</v>
      </c>
      <c r="AA126" s="149">
        <v>38238</v>
      </c>
      <c r="AB126" s="153" t="s">
        <v>103</v>
      </c>
      <c r="AC126" s="594">
        <f>W126-V126</f>
        <v>996</v>
      </c>
      <c r="AD126" s="149">
        <v>44322</v>
      </c>
      <c r="AE126" s="149" t="s">
        <v>103</v>
      </c>
      <c r="AF126" s="153" t="s">
        <v>103</v>
      </c>
      <c r="AG126" s="153" t="s">
        <v>103</v>
      </c>
      <c r="AH126" s="596" t="s">
        <v>103</v>
      </c>
      <c r="AI126" s="960" t="s">
        <v>103</v>
      </c>
      <c r="AJ126" s="607">
        <v>1080</v>
      </c>
      <c r="AK126" s="153" t="s">
        <v>120</v>
      </c>
      <c r="AL126" s="791" t="s">
        <v>103</v>
      </c>
      <c r="AO126" s="963"/>
      <c r="AP126" s="94">
        <v>1110000</v>
      </c>
      <c r="AQ126" s="574">
        <v>0</v>
      </c>
      <c r="AR126" s="153" t="s">
        <v>116</v>
      </c>
      <c r="AS126" s="153" t="s">
        <v>116</v>
      </c>
      <c r="AT126" s="777" t="s">
        <v>122</v>
      </c>
      <c r="AU126" s="777" t="s">
        <v>122</v>
      </c>
      <c r="AV126" s="777" t="s">
        <v>122</v>
      </c>
      <c r="AW126" s="777" t="s">
        <v>122</v>
      </c>
      <c r="AX126" s="155" t="s">
        <v>103</v>
      </c>
      <c r="AY126" s="155" t="s">
        <v>103</v>
      </c>
      <c r="AZ126" s="155" t="s">
        <v>103</v>
      </c>
      <c r="BA126" s="156">
        <v>0</v>
      </c>
      <c r="BB126" s="153"/>
      <c r="BC126" s="780" t="s">
        <v>103</v>
      </c>
      <c r="BD126" s="153" t="s">
        <v>103</v>
      </c>
      <c r="BE126" s="679" t="s">
        <v>103</v>
      </c>
      <c r="BF126" s="156" t="s">
        <v>103</v>
      </c>
      <c r="BG126" s="94">
        <v>193883.88</v>
      </c>
      <c r="BH126" s="766" t="s">
        <v>123</v>
      </c>
      <c r="BI126" s="774">
        <v>0</v>
      </c>
      <c r="BJ126" s="774">
        <v>0</v>
      </c>
      <c r="BK126" s="153" t="s">
        <v>103</v>
      </c>
      <c r="BL126" s="153" t="s">
        <v>124</v>
      </c>
      <c r="BM126" s="94" t="s">
        <v>103</v>
      </c>
      <c r="BN126" s="155" t="s">
        <v>103</v>
      </c>
      <c r="BO126" s="153" t="s">
        <v>103</v>
      </c>
      <c r="BP126" s="153" t="s">
        <v>103</v>
      </c>
      <c r="BQ126" s="153" t="s">
        <v>103</v>
      </c>
      <c r="BR126" s="153" t="s">
        <v>110</v>
      </c>
      <c r="BS126" s="153" t="s">
        <v>110</v>
      </c>
      <c r="BT126" s="153" t="s">
        <v>110</v>
      </c>
      <c r="BU126" s="153" t="s">
        <v>110</v>
      </c>
      <c r="BV126" s="153" t="s">
        <v>103</v>
      </c>
      <c r="BW126" s="153" t="s">
        <v>110</v>
      </c>
      <c r="BX126" s="153" t="s">
        <v>110</v>
      </c>
      <c r="BY126" s="153" t="s">
        <v>110</v>
      </c>
      <c r="BZ126" s="153" t="s">
        <v>110</v>
      </c>
      <c r="CA126" s="616" t="s">
        <v>103</v>
      </c>
      <c r="CB126" s="153" t="s">
        <v>103</v>
      </c>
      <c r="CC126" s="153" t="s">
        <v>110</v>
      </c>
      <c r="CD126" s="153" t="s">
        <v>110</v>
      </c>
      <c r="CE126" s="153" t="s">
        <v>103</v>
      </c>
    </row>
    <row r="127" spans="1:83 16352:16379" ht="14.1" customHeight="1">
      <c r="A127" s="503" t="s">
        <v>409</v>
      </c>
      <c r="B127" s="164" t="s">
        <v>103</v>
      </c>
      <c r="C127" s="155" t="s">
        <v>103</v>
      </c>
      <c r="D127" s="153" t="s">
        <v>103</v>
      </c>
      <c r="E127" s="153" t="s">
        <v>103</v>
      </c>
      <c r="F127" s="958" t="s">
        <v>103</v>
      </c>
      <c r="G127" s="153" t="s">
        <v>110</v>
      </c>
      <c r="H127" s="673">
        <v>5.8192577980520278E-2</v>
      </c>
      <c r="I127" s="508" t="s">
        <v>103</v>
      </c>
      <c r="J127" s="958" t="s">
        <v>103</v>
      </c>
      <c r="K127" s="958" t="s">
        <v>103</v>
      </c>
      <c r="L127" s="155" t="s">
        <v>103</v>
      </c>
      <c r="M127" s="155" t="s">
        <v>103</v>
      </c>
      <c r="N127" s="156">
        <v>0</v>
      </c>
      <c r="O127" s="156" t="s">
        <v>103</v>
      </c>
      <c r="P127" s="156">
        <v>0</v>
      </c>
      <c r="Q127" s="958" t="s">
        <v>103</v>
      </c>
      <c r="R127" s="156">
        <v>0</v>
      </c>
      <c r="S127" s="156">
        <v>0</v>
      </c>
      <c r="T127" s="958" t="s">
        <v>105</v>
      </c>
      <c r="U127" s="153" t="s">
        <v>110</v>
      </c>
      <c r="V127" s="518" t="s">
        <v>103</v>
      </c>
      <c r="W127" s="991" t="s">
        <v>103</v>
      </c>
      <c r="X127" s="991" t="s">
        <v>103</v>
      </c>
      <c r="Y127" s="991" t="s">
        <v>103</v>
      </c>
      <c r="Z127" s="518" t="s">
        <v>103</v>
      </c>
      <c r="AA127" s="991" t="s">
        <v>103</v>
      </c>
      <c r="AB127" s="155" t="s">
        <v>103</v>
      </c>
      <c r="AC127" s="959" t="s">
        <v>103</v>
      </c>
      <c r="AD127" s="155" t="s">
        <v>103</v>
      </c>
      <c r="AE127" s="155" t="s">
        <v>103</v>
      </c>
      <c r="AF127" s="155" t="s">
        <v>103</v>
      </c>
      <c r="AG127" s="155" t="s">
        <v>103</v>
      </c>
      <c r="AH127" s="992" t="s">
        <v>103</v>
      </c>
      <c r="AI127" s="960" t="s">
        <v>103</v>
      </c>
      <c r="AJ127" s="992" t="s">
        <v>103</v>
      </c>
      <c r="AK127" s="155" t="s">
        <v>103</v>
      </c>
      <c r="AL127" s="993" t="s">
        <v>103</v>
      </c>
      <c r="AM127" s="155"/>
      <c r="AN127" s="155"/>
      <c r="AO127" s="994"/>
      <c r="AP127" s="94">
        <v>0</v>
      </c>
      <c r="AQ127" s="578">
        <v>0</v>
      </c>
      <c r="AR127" s="155" t="s">
        <v>103</v>
      </c>
      <c r="AS127" s="155" t="s">
        <v>103</v>
      </c>
      <c r="AT127" s="155" t="s">
        <v>103</v>
      </c>
      <c r="AU127" s="155" t="s">
        <v>103</v>
      </c>
      <c r="AV127" s="155" t="s">
        <v>103</v>
      </c>
      <c r="AW127" s="155" t="s">
        <v>103</v>
      </c>
      <c r="AX127" s="155" t="s">
        <v>103</v>
      </c>
      <c r="AY127" s="155" t="s">
        <v>103</v>
      </c>
      <c r="AZ127" s="155" t="s">
        <v>103</v>
      </c>
      <c r="BA127" s="155" t="s">
        <v>103</v>
      </c>
      <c r="BB127" s="155" t="s">
        <v>103</v>
      </c>
      <c r="BC127" s="155" t="s">
        <v>103</v>
      </c>
      <c r="BD127" s="155" t="s">
        <v>103</v>
      </c>
      <c r="BE127" s="989" t="s">
        <v>103</v>
      </c>
      <c r="BF127" s="155" t="s">
        <v>103</v>
      </c>
      <c r="BG127" s="961">
        <v>0</v>
      </c>
      <c r="BH127" s="155" t="s">
        <v>103</v>
      </c>
      <c r="BI127" s="990" t="s">
        <v>103</v>
      </c>
      <c r="BJ127" s="155" t="s">
        <v>103</v>
      </c>
      <c r="BK127" s="155" t="s">
        <v>103</v>
      </c>
      <c r="BL127" s="155" t="s">
        <v>103</v>
      </c>
      <c r="BM127" s="155" t="s">
        <v>103</v>
      </c>
      <c r="BN127" s="155" t="s">
        <v>103</v>
      </c>
      <c r="BO127" s="155" t="s">
        <v>103</v>
      </c>
      <c r="BP127" s="155" t="s">
        <v>103</v>
      </c>
      <c r="BQ127" s="155" t="s">
        <v>103</v>
      </c>
      <c r="BR127" s="155" t="s">
        <v>103</v>
      </c>
      <c r="BS127" s="155" t="s">
        <v>103</v>
      </c>
      <c r="BT127" s="155" t="s">
        <v>103</v>
      </c>
      <c r="BU127" s="155" t="s">
        <v>103</v>
      </c>
      <c r="BV127" s="155" t="s">
        <v>103</v>
      </c>
      <c r="BW127" s="155" t="s">
        <v>103</v>
      </c>
      <c r="BX127" s="155" t="s">
        <v>103</v>
      </c>
      <c r="BY127" s="155" t="s">
        <v>103</v>
      </c>
      <c r="BZ127" s="155" t="s">
        <v>103</v>
      </c>
      <c r="CA127" s="155" t="s">
        <v>103</v>
      </c>
      <c r="CB127" s="155" t="s">
        <v>103</v>
      </c>
      <c r="CC127" s="155" t="s">
        <v>103</v>
      </c>
      <c r="CD127" s="155" t="s">
        <v>103</v>
      </c>
      <c r="CE127" s="155" t="s">
        <v>103</v>
      </c>
    </row>
    <row r="128" spans="1:83 16352:16379" ht="14.1" customHeight="1">
      <c r="A128" s="503" t="s">
        <v>410</v>
      </c>
      <c r="B128" s="164" t="s">
        <v>103</v>
      </c>
      <c r="C128" s="155" t="s">
        <v>103</v>
      </c>
      <c r="D128" s="153" t="s">
        <v>103</v>
      </c>
      <c r="E128" s="153" t="s">
        <v>103</v>
      </c>
      <c r="F128" s="958" t="s">
        <v>103</v>
      </c>
      <c r="G128" s="153" t="s">
        <v>104</v>
      </c>
      <c r="H128" s="673">
        <v>0.1590510572460031</v>
      </c>
      <c r="I128" s="508" t="s">
        <v>103</v>
      </c>
      <c r="J128" s="958" t="s">
        <v>103</v>
      </c>
      <c r="K128" s="958" t="s">
        <v>103</v>
      </c>
      <c r="L128" s="155" t="s">
        <v>103</v>
      </c>
      <c r="M128" s="155" t="s">
        <v>103</v>
      </c>
      <c r="N128" s="156">
        <v>0</v>
      </c>
      <c r="O128" s="156" t="s">
        <v>103</v>
      </c>
      <c r="P128" s="156">
        <v>0</v>
      </c>
      <c r="Q128" s="958" t="s">
        <v>103</v>
      </c>
      <c r="R128" s="156">
        <v>0</v>
      </c>
      <c r="S128" s="156">
        <v>0</v>
      </c>
      <c r="T128" s="958" t="s">
        <v>105</v>
      </c>
      <c r="U128" s="153" t="s">
        <v>104</v>
      </c>
      <c r="V128" s="518" t="s">
        <v>103</v>
      </c>
      <c r="W128" s="991" t="s">
        <v>103</v>
      </c>
      <c r="X128" s="991" t="s">
        <v>103</v>
      </c>
      <c r="Y128" s="991" t="s">
        <v>103</v>
      </c>
      <c r="Z128" s="518" t="s">
        <v>103</v>
      </c>
      <c r="AA128" s="991" t="s">
        <v>103</v>
      </c>
      <c r="AB128" s="155" t="s">
        <v>103</v>
      </c>
      <c r="AC128" s="959" t="s">
        <v>103</v>
      </c>
      <c r="AD128" s="155" t="s">
        <v>103</v>
      </c>
      <c r="AE128" s="155" t="s">
        <v>103</v>
      </c>
      <c r="AF128" s="155" t="s">
        <v>103</v>
      </c>
      <c r="AG128" s="155" t="s">
        <v>103</v>
      </c>
      <c r="AH128" s="992" t="s">
        <v>103</v>
      </c>
      <c r="AI128" s="960" t="s">
        <v>103</v>
      </c>
      <c r="AJ128" s="992" t="s">
        <v>103</v>
      </c>
      <c r="AK128" s="155" t="s">
        <v>103</v>
      </c>
      <c r="AL128" s="993" t="s">
        <v>103</v>
      </c>
      <c r="AM128" s="155"/>
      <c r="AN128" s="155"/>
      <c r="AO128" s="994"/>
      <c r="AP128" s="94">
        <v>0</v>
      </c>
      <c r="AQ128" s="578">
        <v>0</v>
      </c>
      <c r="AR128" s="155" t="s">
        <v>103</v>
      </c>
      <c r="AS128" s="155" t="s">
        <v>103</v>
      </c>
      <c r="AT128" s="155" t="s">
        <v>103</v>
      </c>
      <c r="AU128" s="155" t="s">
        <v>103</v>
      </c>
      <c r="AV128" s="155" t="s">
        <v>103</v>
      </c>
      <c r="AW128" s="155" t="s">
        <v>103</v>
      </c>
      <c r="AX128" s="155" t="s">
        <v>103</v>
      </c>
      <c r="AY128" s="155" t="s">
        <v>103</v>
      </c>
      <c r="AZ128" s="155" t="s">
        <v>103</v>
      </c>
      <c r="BA128" s="155" t="s">
        <v>103</v>
      </c>
      <c r="BB128" s="155" t="s">
        <v>103</v>
      </c>
      <c r="BC128" s="155" t="s">
        <v>103</v>
      </c>
      <c r="BD128" s="155" t="s">
        <v>103</v>
      </c>
      <c r="BE128" s="989" t="s">
        <v>103</v>
      </c>
      <c r="BF128" s="155" t="s">
        <v>103</v>
      </c>
      <c r="BG128" s="961">
        <v>0</v>
      </c>
      <c r="BH128" s="155" t="s">
        <v>103</v>
      </c>
      <c r="BI128" s="990" t="s">
        <v>103</v>
      </c>
      <c r="BJ128" s="155" t="s">
        <v>103</v>
      </c>
      <c r="BK128" s="155" t="s">
        <v>103</v>
      </c>
      <c r="BL128" s="155" t="s">
        <v>103</v>
      </c>
      <c r="BM128" s="155" t="s">
        <v>103</v>
      </c>
      <c r="BN128" s="155" t="s">
        <v>103</v>
      </c>
      <c r="BO128" s="155" t="s">
        <v>103</v>
      </c>
      <c r="BP128" s="155" t="s">
        <v>103</v>
      </c>
      <c r="BQ128" s="155" t="s">
        <v>103</v>
      </c>
      <c r="BR128" s="155" t="s">
        <v>103</v>
      </c>
      <c r="BS128" s="155" t="s">
        <v>103</v>
      </c>
      <c r="BT128" s="155" t="s">
        <v>103</v>
      </c>
      <c r="BU128" s="155" t="s">
        <v>103</v>
      </c>
      <c r="BV128" s="155" t="s">
        <v>103</v>
      </c>
      <c r="BW128" s="155" t="s">
        <v>103</v>
      </c>
      <c r="BX128" s="155" t="s">
        <v>103</v>
      </c>
      <c r="BY128" s="155" t="s">
        <v>103</v>
      </c>
      <c r="BZ128" s="155" t="s">
        <v>103</v>
      </c>
      <c r="CA128" s="155" t="s">
        <v>103</v>
      </c>
      <c r="CB128" s="155" t="s">
        <v>103</v>
      </c>
      <c r="CC128" s="155" t="s">
        <v>103</v>
      </c>
      <c r="CD128" s="155" t="s">
        <v>103</v>
      </c>
      <c r="CE128" s="155" t="s">
        <v>103</v>
      </c>
    </row>
    <row r="129" spans="1:83">
      <c r="A129" s="503" t="s">
        <v>411</v>
      </c>
      <c r="B129" s="164" t="s">
        <v>412</v>
      </c>
      <c r="C129" s="155" t="s">
        <v>413</v>
      </c>
      <c r="D129" s="153">
        <v>9985</v>
      </c>
      <c r="E129" s="153">
        <v>90404</v>
      </c>
      <c r="F129" s="153">
        <v>6037702202</v>
      </c>
      <c r="G129" s="155" t="s">
        <v>110</v>
      </c>
      <c r="H129" s="674">
        <v>7.9008574304856458E-2</v>
      </c>
      <c r="I129" s="508" t="s">
        <v>412</v>
      </c>
      <c r="J129" s="153" t="s">
        <v>117</v>
      </c>
      <c r="K129" s="156">
        <v>0</v>
      </c>
      <c r="L129" s="153">
        <v>9985</v>
      </c>
      <c r="M129" s="153" t="s">
        <v>104</v>
      </c>
      <c r="N129" s="156">
        <v>3</v>
      </c>
      <c r="P129" s="156">
        <v>0</v>
      </c>
      <c r="Q129" s="156" t="s">
        <v>139</v>
      </c>
      <c r="R129" s="156">
        <v>1</v>
      </c>
      <c r="S129" s="156">
        <v>2</v>
      </c>
      <c r="T129" s="958" t="s">
        <v>105</v>
      </c>
      <c r="U129" s="153" t="s">
        <v>104</v>
      </c>
      <c r="V129" s="149">
        <v>38258</v>
      </c>
      <c r="W129" s="149">
        <v>38567</v>
      </c>
      <c r="X129" s="149">
        <v>40562</v>
      </c>
      <c r="Y129" s="149">
        <v>41030</v>
      </c>
      <c r="Z129" s="149">
        <v>41030</v>
      </c>
      <c r="AA129" s="149">
        <v>38258</v>
      </c>
      <c r="AB129" s="763" t="s">
        <v>151</v>
      </c>
      <c r="AD129" s="153" t="s">
        <v>103</v>
      </c>
      <c r="AE129" s="149" t="s">
        <v>103</v>
      </c>
      <c r="AF129" s="596">
        <v>18</v>
      </c>
      <c r="AG129" s="596">
        <v>0</v>
      </c>
      <c r="AH129" s="595">
        <v>11702</v>
      </c>
      <c r="AI129" s="614">
        <v>2.2162878787878788</v>
      </c>
      <c r="AJ129" s="607">
        <v>12520</v>
      </c>
      <c r="AK129" s="153" t="s">
        <v>152</v>
      </c>
      <c r="AL129" s="791" t="s">
        <v>116</v>
      </c>
      <c r="AO129" s="963"/>
      <c r="AP129" s="519">
        <v>4700000</v>
      </c>
      <c r="AQ129" s="574">
        <v>5947824</v>
      </c>
      <c r="AR129" s="153" t="s">
        <v>116</v>
      </c>
      <c r="AS129" s="153" t="s">
        <v>116</v>
      </c>
      <c r="AT129" s="777" t="s">
        <v>122</v>
      </c>
      <c r="AU129" s="777" t="s">
        <v>122</v>
      </c>
      <c r="AV129" s="777" t="s">
        <v>122</v>
      </c>
      <c r="AW129" s="777" t="s">
        <v>122</v>
      </c>
      <c r="AX129" s="155" t="s">
        <v>103</v>
      </c>
      <c r="AY129" s="155" t="s">
        <v>103</v>
      </c>
      <c r="AZ129" s="155" t="s">
        <v>103</v>
      </c>
      <c r="BB129" s="574">
        <f t="shared" ref="BB129:BB131" si="21">AQ129</f>
        <v>5947824</v>
      </c>
      <c r="BC129" s="780">
        <v>-1247824</v>
      </c>
      <c r="BD129" s="508" t="s">
        <v>193</v>
      </c>
      <c r="BE129" s="679">
        <v>0</v>
      </c>
      <c r="BF129" s="153" t="s">
        <v>103</v>
      </c>
      <c r="BG129" s="94">
        <v>5947824</v>
      </c>
      <c r="BH129" s="766" t="s">
        <v>123</v>
      </c>
      <c r="BI129" s="774">
        <v>0</v>
      </c>
      <c r="BJ129" s="774">
        <v>0</v>
      </c>
      <c r="BK129" s="153" t="s">
        <v>103</v>
      </c>
      <c r="BL129" s="153" t="s">
        <v>124</v>
      </c>
      <c r="BM129" s="94" t="s">
        <v>103</v>
      </c>
      <c r="BN129" s="155" t="s">
        <v>103</v>
      </c>
      <c r="BO129" s="153" t="s">
        <v>103</v>
      </c>
      <c r="BP129" s="153" t="s">
        <v>103</v>
      </c>
      <c r="BQ129" s="153" t="s">
        <v>103</v>
      </c>
      <c r="BR129" s="153" t="s">
        <v>110</v>
      </c>
      <c r="BS129" s="153" t="s">
        <v>104</v>
      </c>
      <c r="BT129" s="153" t="s">
        <v>104</v>
      </c>
      <c r="BU129" s="153" t="s">
        <v>104</v>
      </c>
      <c r="BV129" s="153" t="s">
        <v>110</v>
      </c>
      <c r="BW129" s="153" t="s">
        <v>110</v>
      </c>
      <c r="BX129" s="153" t="s">
        <v>110</v>
      </c>
      <c r="BY129" s="153" t="s">
        <v>110</v>
      </c>
      <c r="BZ129" s="153" t="s">
        <v>110</v>
      </c>
    </row>
    <row r="130" spans="1:83" ht="39">
      <c r="A130" s="503"/>
      <c r="B130" s="164" t="s">
        <v>414</v>
      </c>
      <c r="C130" s="155" t="s">
        <v>415</v>
      </c>
      <c r="D130" s="153">
        <v>9985</v>
      </c>
      <c r="E130" s="153">
        <v>90404</v>
      </c>
      <c r="F130" s="153">
        <v>6037702201</v>
      </c>
      <c r="G130" s="153" t="s">
        <v>110</v>
      </c>
      <c r="H130" s="153" t="s">
        <v>150</v>
      </c>
      <c r="I130" s="508" t="s">
        <v>414</v>
      </c>
      <c r="J130" s="153" t="s">
        <v>117</v>
      </c>
      <c r="K130" s="156">
        <v>0</v>
      </c>
      <c r="L130" s="153">
        <v>9985</v>
      </c>
      <c r="M130" s="153" t="s">
        <v>104</v>
      </c>
      <c r="Q130" s="156" t="s">
        <v>139</v>
      </c>
      <c r="V130" s="149">
        <v>38258</v>
      </c>
      <c r="W130" s="149">
        <v>40057</v>
      </c>
      <c r="X130" s="149">
        <v>42394</v>
      </c>
      <c r="Y130" s="149">
        <v>42705</v>
      </c>
      <c r="Z130" s="149">
        <v>42705</v>
      </c>
      <c r="AA130" s="149">
        <v>38258</v>
      </c>
      <c r="AB130" s="763" t="s">
        <v>151</v>
      </c>
      <c r="AC130" s="594">
        <v>1285</v>
      </c>
      <c r="AD130" s="153" t="s">
        <v>103</v>
      </c>
      <c r="AE130" s="149" t="s">
        <v>103</v>
      </c>
      <c r="AF130" s="596">
        <v>0</v>
      </c>
      <c r="AG130" s="596">
        <v>66</v>
      </c>
      <c r="AH130" s="595">
        <v>2308</v>
      </c>
      <c r="AI130" s="614">
        <v>0.43712121212121213</v>
      </c>
      <c r="AJ130" s="607">
        <v>2300</v>
      </c>
      <c r="AK130" s="153" t="s">
        <v>152</v>
      </c>
      <c r="AL130" s="791" t="s">
        <v>104</v>
      </c>
      <c r="AO130" s="963"/>
      <c r="AP130" s="519">
        <v>2026000</v>
      </c>
      <c r="AQ130" s="574">
        <v>2362639</v>
      </c>
      <c r="AR130" s="153" t="s">
        <v>116</v>
      </c>
      <c r="AS130" s="153" t="s">
        <v>116</v>
      </c>
      <c r="AT130" s="156">
        <v>0</v>
      </c>
      <c r="AU130" s="777" t="s">
        <v>122</v>
      </c>
      <c r="AV130" s="777" t="s">
        <v>122</v>
      </c>
      <c r="AW130" s="777" t="s">
        <v>122</v>
      </c>
      <c r="AX130" s="155" t="s">
        <v>103</v>
      </c>
      <c r="AY130" s="155" t="s">
        <v>103</v>
      </c>
      <c r="AZ130" s="155" t="s">
        <v>103</v>
      </c>
      <c r="BA130" s="156">
        <v>0</v>
      </c>
      <c r="BB130" s="574">
        <f t="shared" si="21"/>
        <v>2362639</v>
      </c>
      <c r="BC130" s="780">
        <v>-336639</v>
      </c>
      <c r="BD130" s="1008" t="s">
        <v>151</v>
      </c>
      <c r="BE130" s="679">
        <v>0</v>
      </c>
      <c r="BF130" s="153" t="s">
        <v>103</v>
      </c>
      <c r="BG130" s="94">
        <v>2354960.98</v>
      </c>
      <c r="BH130" s="766" t="s">
        <v>123</v>
      </c>
      <c r="BI130" s="775">
        <v>0</v>
      </c>
      <c r="BJ130" s="775">
        <v>0</v>
      </c>
      <c r="BK130" s="153" t="s">
        <v>103</v>
      </c>
      <c r="BL130" s="153" t="s">
        <v>124</v>
      </c>
      <c r="BM130" s="94" t="s">
        <v>103</v>
      </c>
      <c r="BN130" s="155" t="s">
        <v>103</v>
      </c>
      <c r="BO130" s="153" t="s">
        <v>103</v>
      </c>
      <c r="BP130" s="153" t="s">
        <v>103</v>
      </c>
      <c r="BQ130" s="153" t="s">
        <v>103</v>
      </c>
      <c r="BR130" s="153" t="s">
        <v>110</v>
      </c>
      <c r="BS130" s="153" t="s">
        <v>110</v>
      </c>
      <c r="BT130" s="153" t="s">
        <v>110</v>
      </c>
      <c r="BU130" s="153" t="s">
        <v>104</v>
      </c>
      <c r="BV130" s="153" t="s">
        <v>104</v>
      </c>
      <c r="BW130" s="153" t="s">
        <v>110</v>
      </c>
      <c r="BX130" s="153" t="s">
        <v>110</v>
      </c>
      <c r="BY130" s="153" t="s">
        <v>110</v>
      </c>
      <c r="BZ130" s="153" t="s">
        <v>110</v>
      </c>
    </row>
    <row r="131" spans="1:83" ht="14.1" customHeight="1">
      <c r="A131" s="503"/>
      <c r="B131" s="164" t="s">
        <v>416</v>
      </c>
      <c r="C131" s="155">
        <v>800060253</v>
      </c>
      <c r="D131" s="153">
        <v>9873</v>
      </c>
      <c r="E131" s="153">
        <v>90405</v>
      </c>
      <c r="F131" s="153">
        <v>6037702102</v>
      </c>
      <c r="G131" s="153" t="s">
        <v>110</v>
      </c>
      <c r="H131" s="153" t="s">
        <v>150</v>
      </c>
      <c r="I131" s="508" t="s">
        <v>416</v>
      </c>
      <c r="J131" s="153" t="s">
        <v>117</v>
      </c>
      <c r="K131" s="156">
        <v>0</v>
      </c>
      <c r="L131" s="153">
        <v>9873</v>
      </c>
      <c r="M131" s="153" t="s">
        <v>104</v>
      </c>
      <c r="Q131" s="156" t="s">
        <v>139</v>
      </c>
      <c r="V131" s="149">
        <v>37810</v>
      </c>
      <c r="X131" s="149">
        <v>38384</v>
      </c>
      <c r="Y131" s="149">
        <v>39671</v>
      </c>
      <c r="Z131" s="149">
        <v>39671</v>
      </c>
      <c r="AA131" s="149">
        <v>37810</v>
      </c>
      <c r="AB131" s="763" t="s">
        <v>151</v>
      </c>
      <c r="AC131" s="594" t="s">
        <v>116</v>
      </c>
      <c r="AD131" s="153" t="s">
        <v>103</v>
      </c>
      <c r="AE131" s="149" t="s">
        <v>103</v>
      </c>
      <c r="AF131" s="596">
        <v>10</v>
      </c>
      <c r="AG131" s="596">
        <v>0</v>
      </c>
      <c r="AH131" s="595">
        <v>3692</v>
      </c>
      <c r="AI131" s="614">
        <v>0.69924242424242422</v>
      </c>
      <c r="AJ131" s="607">
        <v>1400</v>
      </c>
      <c r="AK131" s="153" t="s">
        <v>152</v>
      </c>
      <c r="AL131" s="791" t="s">
        <v>116</v>
      </c>
      <c r="AO131" s="963"/>
      <c r="AP131" s="519">
        <v>1300000</v>
      </c>
      <c r="AQ131" s="574">
        <v>2532673</v>
      </c>
      <c r="AR131" s="153" t="s">
        <v>116</v>
      </c>
      <c r="AS131" s="153" t="s">
        <v>116</v>
      </c>
      <c r="AT131" s="777" t="s">
        <v>122</v>
      </c>
      <c r="AU131" s="777" t="s">
        <v>122</v>
      </c>
      <c r="AV131" s="777" t="s">
        <v>122</v>
      </c>
      <c r="AW131" s="777" t="s">
        <v>122</v>
      </c>
      <c r="AX131" s="155" t="s">
        <v>103</v>
      </c>
      <c r="AY131" s="155" t="s">
        <v>103</v>
      </c>
      <c r="AZ131" s="155" t="s">
        <v>103</v>
      </c>
      <c r="BB131" s="574">
        <f t="shared" si="21"/>
        <v>2532673</v>
      </c>
      <c r="BC131" s="780">
        <v>-1232673</v>
      </c>
      <c r="BD131" s="1012" t="s">
        <v>122</v>
      </c>
      <c r="BE131" s="679">
        <v>-7069</v>
      </c>
      <c r="BF131" s="153">
        <v>2010</v>
      </c>
      <c r="BG131" s="94">
        <v>2532673</v>
      </c>
      <c r="BH131" s="766" t="s">
        <v>123</v>
      </c>
      <c r="BI131" s="774">
        <v>0</v>
      </c>
      <c r="BJ131" s="774">
        <v>0</v>
      </c>
      <c r="BK131" s="153" t="s">
        <v>103</v>
      </c>
      <c r="BL131" s="153" t="s">
        <v>124</v>
      </c>
      <c r="BM131" s="94" t="s">
        <v>103</v>
      </c>
      <c r="BN131" s="155" t="s">
        <v>103</v>
      </c>
      <c r="BO131" s="153" t="s">
        <v>103</v>
      </c>
      <c r="BP131" s="153" t="s">
        <v>103</v>
      </c>
      <c r="BQ131" s="153" t="s">
        <v>103</v>
      </c>
      <c r="BR131" s="153" t="s">
        <v>116</v>
      </c>
      <c r="BS131" s="153" t="s">
        <v>116</v>
      </c>
      <c r="BT131" s="153" t="s">
        <v>116</v>
      </c>
      <c r="BU131" s="153" t="s">
        <v>116</v>
      </c>
      <c r="BV131" s="153" t="s">
        <v>116</v>
      </c>
      <c r="BW131" s="153" t="s">
        <v>116</v>
      </c>
      <c r="BX131" s="153" t="s">
        <v>256</v>
      </c>
      <c r="BY131" s="153" t="s">
        <v>116</v>
      </c>
      <c r="BZ131" s="153" t="s">
        <v>116</v>
      </c>
      <c r="CA131" s="616" t="s">
        <v>116</v>
      </c>
      <c r="CB131" s="153" t="s">
        <v>116</v>
      </c>
      <c r="CC131" s="153" t="s">
        <v>116</v>
      </c>
      <c r="CD131" s="153" t="s">
        <v>116</v>
      </c>
      <c r="CE131" s="153" t="s">
        <v>116</v>
      </c>
    </row>
    <row r="132" spans="1:83" ht="14.1" customHeight="1">
      <c r="A132" s="503" t="s">
        <v>417</v>
      </c>
      <c r="B132" s="164" t="s">
        <v>103</v>
      </c>
      <c r="C132" s="155" t="s">
        <v>103</v>
      </c>
      <c r="D132" s="153" t="s">
        <v>103</v>
      </c>
      <c r="E132" s="153" t="s">
        <v>103</v>
      </c>
      <c r="F132" s="958" t="s">
        <v>103</v>
      </c>
      <c r="G132" s="153" t="s">
        <v>110</v>
      </c>
      <c r="H132" s="673">
        <v>6.6531140269820738E-2</v>
      </c>
      <c r="I132" s="508" t="s">
        <v>103</v>
      </c>
      <c r="J132" s="958" t="s">
        <v>103</v>
      </c>
      <c r="K132" s="958" t="s">
        <v>103</v>
      </c>
      <c r="L132" s="155" t="s">
        <v>103</v>
      </c>
      <c r="M132" s="155" t="s">
        <v>103</v>
      </c>
      <c r="N132" s="156">
        <v>0</v>
      </c>
      <c r="O132" s="156" t="s">
        <v>103</v>
      </c>
      <c r="P132" s="156">
        <v>0</v>
      </c>
      <c r="Q132" s="958" t="s">
        <v>103</v>
      </c>
      <c r="R132" s="156">
        <v>0</v>
      </c>
      <c r="S132" s="156">
        <v>0</v>
      </c>
      <c r="T132" s="958" t="s">
        <v>105</v>
      </c>
      <c r="U132" s="153" t="s">
        <v>110</v>
      </c>
      <c r="V132" s="518" t="s">
        <v>103</v>
      </c>
      <c r="W132" s="991" t="s">
        <v>103</v>
      </c>
      <c r="X132" s="991" t="s">
        <v>103</v>
      </c>
      <c r="Y132" s="991" t="s">
        <v>103</v>
      </c>
      <c r="Z132" s="518" t="s">
        <v>103</v>
      </c>
      <c r="AA132" s="991" t="s">
        <v>103</v>
      </c>
      <c r="AB132" s="155" t="s">
        <v>103</v>
      </c>
      <c r="AC132" s="959" t="s">
        <v>103</v>
      </c>
      <c r="AD132" s="155" t="s">
        <v>103</v>
      </c>
      <c r="AE132" s="155" t="s">
        <v>103</v>
      </c>
      <c r="AF132" s="155" t="s">
        <v>103</v>
      </c>
      <c r="AG132" s="155" t="s">
        <v>103</v>
      </c>
      <c r="AH132" s="992" t="s">
        <v>103</v>
      </c>
      <c r="AI132" s="960" t="s">
        <v>103</v>
      </c>
      <c r="AJ132" s="992" t="s">
        <v>103</v>
      </c>
      <c r="AK132" s="155" t="s">
        <v>103</v>
      </c>
      <c r="AL132" s="993" t="s">
        <v>103</v>
      </c>
      <c r="AM132" s="155"/>
      <c r="AN132" s="155"/>
      <c r="AO132" s="994"/>
      <c r="AP132" s="94">
        <v>0</v>
      </c>
      <c r="AQ132" s="578">
        <v>0</v>
      </c>
      <c r="AR132" s="155" t="s">
        <v>103</v>
      </c>
      <c r="AS132" s="155" t="s">
        <v>103</v>
      </c>
      <c r="AT132" s="155" t="s">
        <v>103</v>
      </c>
      <c r="AU132" s="155" t="s">
        <v>103</v>
      </c>
      <c r="AV132" s="155" t="s">
        <v>103</v>
      </c>
      <c r="AW132" s="155" t="s">
        <v>103</v>
      </c>
      <c r="AX132" s="155" t="s">
        <v>103</v>
      </c>
      <c r="AY132" s="155" t="s">
        <v>103</v>
      </c>
      <c r="AZ132" s="155" t="s">
        <v>103</v>
      </c>
      <c r="BA132" s="155" t="s">
        <v>103</v>
      </c>
      <c r="BB132" s="155" t="s">
        <v>103</v>
      </c>
      <c r="BC132" s="155" t="s">
        <v>103</v>
      </c>
      <c r="BD132" s="155" t="s">
        <v>103</v>
      </c>
      <c r="BE132" s="989" t="s">
        <v>103</v>
      </c>
      <c r="BF132" s="155" t="s">
        <v>103</v>
      </c>
      <c r="BG132" s="961">
        <v>0</v>
      </c>
      <c r="BH132" s="155" t="s">
        <v>103</v>
      </c>
      <c r="BI132" s="990" t="s">
        <v>103</v>
      </c>
      <c r="BJ132" s="155" t="s">
        <v>103</v>
      </c>
      <c r="BK132" s="155" t="s">
        <v>103</v>
      </c>
      <c r="BL132" s="155" t="s">
        <v>103</v>
      </c>
      <c r="BM132" s="155" t="s">
        <v>103</v>
      </c>
      <c r="BN132" s="155" t="s">
        <v>103</v>
      </c>
      <c r="BO132" s="155" t="s">
        <v>103</v>
      </c>
      <c r="BP132" s="155" t="s">
        <v>103</v>
      </c>
      <c r="BQ132" s="155" t="s">
        <v>103</v>
      </c>
      <c r="BR132" s="155" t="s">
        <v>103</v>
      </c>
      <c r="BS132" s="155" t="s">
        <v>103</v>
      </c>
      <c r="BT132" s="155" t="s">
        <v>103</v>
      </c>
      <c r="BU132" s="155" t="s">
        <v>103</v>
      </c>
      <c r="BV132" s="155" t="s">
        <v>103</v>
      </c>
      <c r="BW132" s="155" t="s">
        <v>103</v>
      </c>
      <c r="BX132" s="155" t="s">
        <v>103</v>
      </c>
      <c r="BY132" s="155" t="s">
        <v>103</v>
      </c>
      <c r="BZ132" s="155" t="s">
        <v>103</v>
      </c>
      <c r="CA132" s="155" t="s">
        <v>103</v>
      </c>
      <c r="CB132" s="155" t="s">
        <v>103</v>
      </c>
      <c r="CC132" s="155" t="s">
        <v>103</v>
      </c>
      <c r="CD132" s="155" t="s">
        <v>103</v>
      </c>
      <c r="CE132" s="155" t="s">
        <v>103</v>
      </c>
    </row>
    <row r="133" spans="1:83" ht="14.1" customHeight="1">
      <c r="A133" s="503" t="s">
        <v>418</v>
      </c>
      <c r="B133" s="164" t="s">
        <v>103</v>
      </c>
      <c r="C133" s="155" t="s">
        <v>103</v>
      </c>
      <c r="D133" s="153" t="s">
        <v>103</v>
      </c>
      <c r="E133" s="153" t="s">
        <v>103</v>
      </c>
      <c r="F133" s="958" t="s">
        <v>103</v>
      </c>
      <c r="G133" s="153" t="s">
        <v>104</v>
      </c>
      <c r="H133" s="673">
        <v>0.12136066547831253</v>
      </c>
      <c r="I133" s="508" t="s">
        <v>103</v>
      </c>
      <c r="J133" s="958" t="s">
        <v>103</v>
      </c>
      <c r="K133" s="958" t="s">
        <v>103</v>
      </c>
      <c r="L133" s="155" t="s">
        <v>103</v>
      </c>
      <c r="M133" s="155" t="s">
        <v>103</v>
      </c>
      <c r="N133" s="156">
        <v>0</v>
      </c>
      <c r="O133" s="156" t="s">
        <v>103</v>
      </c>
      <c r="P133" s="156">
        <v>0</v>
      </c>
      <c r="Q133" s="958" t="s">
        <v>103</v>
      </c>
      <c r="R133" s="156">
        <v>0</v>
      </c>
      <c r="S133" s="156">
        <v>0</v>
      </c>
      <c r="T133" s="958" t="s">
        <v>105</v>
      </c>
      <c r="U133" s="153" t="s">
        <v>104</v>
      </c>
      <c r="V133" s="518" t="s">
        <v>103</v>
      </c>
      <c r="W133" s="991" t="s">
        <v>103</v>
      </c>
      <c r="X133" s="991" t="s">
        <v>103</v>
      </c>
      <c r="Y133" s="991" t="s">
        <v>103</v>
      </c>
      <c r="Z133" s="518" t="s">
        <v>103</v>
      </c>
      <c r="AA133" s="991" t="s">
        <v>103</v>
      </c>
      <c r="AB133" s="155" t="s">
        <v>103</v>
      </c>
      <c r="AC133" s="959" t="s">
        <v>103</v>
      </c>
      <c r="AD133" s="155" t="s">
        <v>103</v>
      </c>
      <c r="AE133" s="155" t="s">
        <v>103</v>
      </c>
      <c r="AF133" s="155" t="s">
        <v>103</v>
      </c>
      <c r="AG133" s="155" t="s">
        <v>103</v>
      </c>
      <c r="AH133" s="992" t="s">
        <v>103</v>
      </c>
      <c r="AI133" s="960" t="s">
        <v>103</v>
      </c>
      <c r="AJ133" s="992" t="s">
        <v>103</v>
      </c>
      <c r="AK133" s="155" t="s">
        <v>103</v>
      </c>
      <c r="AL133" s="993" t="s">
        <v>103</v>
      </c>
      <c r="AM133" s="155"/>
      <c r="AN133" s="155"/>
      <c r="AO133" s="994"/>
      <c r="AP133" s="94">
        <v>0</v>
      </c>
      <c r="AQ133" s="578">
        <v>0</v>
      </c>
      <c r="AR133" s="155" t="s">
        <v>103</v>
      </c>
      <c r="AS133" s="155" t="s">
        <v>103</v>
      </c>
      <c r="AT133" s="155" t="s">
        <v>103</v>
      </c>
      <c r="AU133" s="155" t="s">
        <v>103</v>
      </c>
      <c r="AV133" s="155" t="s">
        <v>103</v>
      </c>
      <c r="AW133" s="155" t="s">
        <v>103</v>
      </c>
      <c r="AX133" s="155" t="s">
        <v>103</v>
      </c>
      <c r="AY133" s="155" t="s">
        <v>103</v>
      </c>
      <c r="AZ133" s="155" t="s">
        <v>103</v>
      </c>
      <c r="BA133" s="155" t="s">
        <v>103</v>
      </c>
      <c r="BB133" s="155" t="s">
        <v>103</v>
      </c>
      <c r="BC133" s="155" t="s">
        <v>103</v>
      </c>
      <c r="BD133" s="155" t="s">
        <v>103</v>
      </c>
      <c r="BE133" s="989" t="s">
        <v>103</v>
      </c>
      <c r="BF133" s="155" t="s">
        <v>103</v>
      </c>
      <c r="BG133" s="961">
        <v>0</v>
      </c>
      <c r="BH133" s="155" t="s">
        <v>103</v>
      </c>
      <c r="BI133" s="990" t="s">
        <v>103</v>
      </c>
      <c r="BJ133" s="155" t="s">
        <v>103</v>
      </c>
      <c r="BK133" s="155" t="s">
        <v>103</v>
      </c>
      <c r="BL133" s="155" t="s">
        <v>103</v>
      </c>
      <c r="BM133" s="155" t="s">
        <v>103</v>
      </c>
      <c r="BN133" s="155" t="s">
        <v>103</v>
      </c>
      <c r="BO133" s="155" t="s">
        <v>103</v>
      </c>
      <c r="BP133" s="155" t="s">
        <v>103</v>
      </c>
      <c r="BQ133" s="155" t="s">
        <v>103</v>
      </c>
      <c r="BR133" s="155" t="s">
        <v>103</v>
      </c>
      <c r="BS133" s="155" t="s">
        <v>103</v>
      </c>
      <c r="BT133" s="155" t="s">
        <v>103</v>
      </c>
      <c r="BU133" s="155" t="s">
        <v>103</v>
      </c>
      <c r="BV133" s="155" t="s">
        <v>103</v>
      </c>
      <c r="BW133" s="155" t="s">
        <v>103</v>
      </c>
      <c r="BX133" s="155" t="s">
        <v>103</v>
      </c>
      <c r="BY133" s="155" t="s">
        <v>103</v>
      </c>
      <c r="BZ133" s="155" t="s">
        <v>103</v>
      </c>
      <c r="CA133" s="155" t="s">
        <v>103</v>
      </c>
      <c r="CB133" s="155" t="s">
        <v>103</v>
      </c>
      <c r="CC133" s="155" t="s">
        <v>103</v>
      </c>
      <c r="CD133" s="155" t="s">
        <v>103</v>
      </c>
      <c r="CE133" s="155" t="s">
        <v>103</v>
      </c>
    </row>
    <row r="134" spans="1:83" ht="27.6" customHeight="1">
      <c r="A134" s="503" t="s">
        <v>419</v>
      </c>
      <c r="B134" s="164" t="s">
        <v>420</v>
      </c>
      <c r="C134" s="155" t="s">
        <v>421</v>
      </c>
      <c r="D134" s="153" t="s">
        <v>422</v>
      </c>
      <c r="E134" s="153">
        <v>92345</v>
      </c>
      <c r="F134" s="153">
        <v>6037433802</v>
      </c>
      <c r="G134" s="155" t="s">
        <v>104</v>
      </c>
      <c r="H134" s="674">
        <v>0.25400552486187844</v>
      </c>
      <c r="I134" s="508" t="s">
        <v>420</v>
      </c>
      <c r="J134" s="153" t="s">
        <v>117</v>
      </c>
      <c r="K134" s="572" t="s">
        <v>205</v>
      </c>
      <c r="L134" s="153" t="s">
        <v>422</v>
      </c>
      <c r="M134" s="153" t="s">
        <v>110</v>
      </c>
      <c r="N134" s="156">
        <v>1</v>
      </c>
      <c r="P134" s="156">
        <v>0</v>
      </c>
      <c r="Q134" s="989" t="s">
        <v>131</v>
      </c>
      <c r="R134" s="156">
        <v>0</v>
      </c>
      <c r="S134" s="156">
        <v>0</v>
      </c>
      <c r="T134" s="958" t="s">
        <v>105</v>
      </c>
      <c r="U134" s="153" t="s">
        <v>104</v>
      </c>
      <c r="V134" s="149">
        <v>39917</v>
      </c>
      <c r="W134" s="149">
        <v>39979</v>
      </c>
      <c r="X134" s="149">
        <v>44083</v>
      </c>
      <c r="Y134" s="149">
        <v>44385</v>
      </c>
      <c r="Z134" s="149" t="s">
        <v>103</v>
      </c>
      <c r="AA134" s="149">
        <v>39917</v>
      </c>
      <c r="AB134" s="153" t="s">
        <v>103</v>
      </c>
      <c r="AC134" s="594">
        <f>W134-V134</f>
        <v>62</v>
      </c>
      <c r="AD134" s="149">
        <v>44385</v>
      </c>
      <c r="AE134" s="149" t="s">
        <v>103</v>
      </c>
      <c r="AF134" s="153" t="s">
        <v>103</v>
      </c>
      <c r="AG134" s="153" t="s">
        <v>103</v>
      </c>
      <c r="AH134" s="596" t="s">
        <v>103</v>
      </c>
      <c r="AI134" s="960" t="s">
        <v>103</v>
      </c>
      <c r="AJ134" s="607">
        <v>2370</v>
      </c>
      <c r="AK134" s="153" t="s">
        <v>120</v>
      </c>
      <c r="AL134" s="791" t="s">
        <v>103</v>
      </c>
      <c r="AO134" s="963"/>
      <c r="AP134" s="94">
        <v>1050000</v>
      </c>
      <c r="AQ134" s="574">
        <v>0</v>
      </c>
      <c r="AR134" s="153" t="s">
        <v>116</v>
      </c>
      <c r="AS134" s="153" t="s">
        <v>116</v>
      </c>
      <c r="AT134" s="777" t="s">
        <v>122</v>
      </c>
      <c r="AU134" s="777" t="s">
        <v>122</v>
      </c>
      <c r="AV134" s="777" t="s">
        <v>122</v>
      </c>
      <c r="AW134" s="777" t="s">
        <v>122</v>
      </c>
      <c r="AX134" s="155" t="s">
        <v>103</v>
      </c>
      <c r="AY134" s="155" t="s">
        <v>103</v>
      </c>
      <c r="AZ134" s="155" t="s">
        <v>103</v>
      </c>
      <c r="BA134" s="156">
        <v>0</v>
      </c>
      <c r="BB134" s="153"/>
      <c r="BC134" s="780" t="s">
        <v>103</v>
      </c>
      <c r="BD134" s="153" t="s">
        <v>103</v>
      </c>
      <c r="BE134" s="679" t="s">
        <v>103</v>
      </c>
      <c r="BF134" s="156" t="s">
        <v>103</v>
      </c>
      <c r="BG134" s="94">
        <v>94357.73</v>
      </c>
      <c r="BH134" s="766">
        <v>1495162</v>
      </c>
      <c r="BI134" s="775">
        <v>0</v>
      </c>
      <c r="BJ134" s="775">
        <v>0</v>
      </c>
      <c r="BK134" s="153" t="s">
        <v>103</v>
      </c>
      <c r="BL134" s="94" t="s">
        <v>124</v>
      </c>
      <c r="BM134" s="94" t="s">
        <v>124</v>
      </c>
      <c r="BN134" s="94" t="s">
        <v>124</v>
      </c>
      <c r="BO134" s="153" t="s">
        <v>116</v>
      </c>
      <c r="BP134" s="153" t="s">
        <v>124</v>
      </c>
      <c r="BQ134" s="153" t="s">
        <v>103</v>
      </c>
      <c r="BR134" s="153" t="s">
        <v>110</v>
      </c>
      <c r="BS134" s="153" t="s">
        <v>104</v>
      </c>
      <c r="BT134" s="153" t="s">
        <v>110</v>
      </c>
      <c r="BU134" s="153" t="s">
        <v>110</v>
      </c>
      <c r="BV134" s="153" t="s">
        <v>103</v>
      </c>
      <c r="BW134" s="153" t="s">
        <v>110</v>
      </c>
      <c r="BX134" s="153" t="s">
        <v>110</v>
      </c>
      <c r="BY134" s="153" t="s">
        <v>110</v>
      </c>
      <c r="BZ134" s="153" t="s">
        <v>110</v>
      </c>
      <c r="CA134" s="616" t="s">
        <v>103</v>
      </c>
      <c r="CB134" s="153" t="s">
        <v>103</v>
      </c>
      <c r="CC134" s="153" t="s">
        <v>110</v>
      </c>
      <c r="CD134" s="153" t="s">
        <v>110</v>
      </c>
      <c r="CE134" s="153" t="s">
        <v>103</v>
      </c>
    </row>
    <row r="135" spans="1:83" ht="12" customHeight="1">
      <c r="A135" s="503" t="s">
        <v>423</v>
      </c>
      <c r="B135" s="164" t="s">
        <v>424</v>
      </c>
      <c r="C135" s="155" t="s">
        <v>103</v>
      </c>
      <c r="D135" s="153">
        <v>7209</v>
      </c>
      <c r="E135" s="153">
        <v>90280</v>
      </c>
      <c r="F135" s="153">
        <v>6037535501</v>
      </c>
      <c r="G135" s="155" t="s">
        <v>104</v>
      </c>
      <c r="H135" s="674">
        <v>0.45566879456452758</v>
      </c>
      <c r="I135" s="508" t="s">
        <v>424</v>
      </c>
      <c r="J135" s="153" t="s">
        <v>117</v>
      </c>
      <c r="K135" s="572" t="s">
        <v>217</v>
      </c>
      <c r="L135" s="153">
        <v>7209</v>
      </c>
      <c r="M135" s="153" t="s">
        <v>110</v>
      </c>
      <c r="N135" s="156">
        <v>4</v>
      </c>
      <c r="P135" s="156">
        <v>0</v>
      </c>
      <c r="Q135" s="156" t="s">
        <v>119</v>
      </c>
      <c r="R135" s="156">
        <v>0</v>
      </c>
      <c r="S135" s="156">
        <v>1</v>
      </c>
      <c r="T135" s="958" t="s">
        <v>105</v>
      </c>
      <c r="U135" s="153" t="s">
        <v>104</v>
      </c>
      <c r="V135" s="149">
        <v>39350</v>
      </c>
      <c r="W135" s="149" t="s">
        <v>103</v>
      </c>
      <c r="X135" s="149" t="s">
        <v>103</v>
      </c>
      <c r="Y135" s="149" t="s">
        <v>103</v>
      </c>
      <c r="Z135" s="149" t="s">
        <v>103</v>
      </c>
      <c r="AA135" s="149" t="s">
        <v>103</v>
      </c>
      <c r="AB135" s="153" t="s">
        <v>103</v>
      </c>
      <c r="AC135" s="594" t="s">
        <v>103</v>
      </c>
      <c r="AD135" s="153" t="s">
        <v>103</v>
      </c>
      <c r="AE135" s="149" t="s">
        <v>103</v>
      </c>
      <c r="AF135" s="153" t="s">
        <v>103</v>
      </c>
      <c r="AG135" s="153" t="s">
        <v>103</v>
      </c>
      <c r="AH135" s="596" t="s">
        <v>103</v>
      </c>
      <c r="AI135" s="960" t="s">
        <v>103</v>
      </c>
      <c r="AJ135" s="607" t="s">
        <v>103</v>
      </c>
      <c r="AK135" s="153" t="s">
        <v>120</v>
      </c>
      <c r="AL135" s="791" t="s">
        <v>103</v>
      </c>
      <c r="AO135" s="963"/>
      <c r="AP135" s="94">
        <v>4900000</v>
      </c>
      <c r="AQ135" s="574">
        <v>0</v>
      </c>
      <c r="AR135" s="153" t="s">
        <v>116</v>
      </c>
      <c r="AS135" s="153" t="s">
        <v>116</v>
      </c>
      <c r="AT135" s="777" t="s">
        <v>121</v>
      </c>
      <c r="AU135" s="777" t="s">
        <v>122</v>
      </c>
      <c r="AV135" s="777" t="s">
        <v>122</v>
      </c>
      <c r="AW135" s="777" t="s">
        <v>122</v>
      </c>
      <c r="AX135" s="155" t="s">
        <v>103</v>
      </c>
      <c r="AY135" s="155" t="s">
        <v>103</v>
      </c>
      <c r="AZ135" s="155" t="s">
        <v>103</v>
      </c>
      <c r="BB135" s="153"/>
      <c r="BC135" s="780" t="s">
        <v>103</v>
      </c>
      <c r="BD135" s="153" t="s">
        <v>103</v>
      </c>
      <c r="BE135" s="679" t="s">
        <v>103</v>
      </c>
      <c r="BF135" s="156" t="s">
        <v>103</v>
      </c>
      <c r="BG135" s="94">
        <v>0</v>
      </c>
      <c r="BH135" s="149" t="s">
        <v>103</v>
      </c>
      <c r="BI135" s="774" t="s">
        <v>103</v>
      </c>
      <c r="BJ135" s="149" t="s">
        <v>103</v>
      </c>
      <c r="BK135" s="149" t="s">
        <v>103</v>
      </c>
      <c r="BL135" s="153" t="s">
        <v>124</v>
      </c>
      <c r="BM135" s="94" t="s">
        <v>103</v>
      </c>
      <c r="BN135" s="155" t="s">
        <v>103</v>
      </c>
      <c r="BO135" s="153" t="s">
        <v>103</v>
      </c>
      <c r="BP135" s="153" t="s">
        <v>103</v>
      </c>
      <c r="BQ135" s="153" t="s">
        <v>103</v>
      </c>
      <c r="BR135" s="153" t="s">
        <v>116</v>
      </c>
      <c r="BS135" s="153" t="s">
        <v>116</v>
      </c>
      <c r="BT135" s="153" t="s">
        <v>116</v>
      </c>
      <c r="BU135" s="153" t="s">
        <v>116</v>
      </c>
      <c r="BV135" s="153" t="s">
        <v>116</v>
      </c>
      <c r="BW135" s="153" t="s">
        <v>116</v>
      </c>
      <c r="BX135" s="153" t="s">
        <v>116</v>
      </c>
      <c r="BY135" s="153" t="s">
        <v>116</v>
      </c>
      <c r="BZ135" s="153" t="s">
        <v>116</v>
      </c>
      <c r="CA135" s="616" t="s">
        <v>116</v>
      </c>
      <c r="CB135" s="153" t="s">
        <v>116</v>
      </c>
      <c r="CC135" s="153" t="s">
        <v>103</v>
      </c>
      <c r="CD135" s="153" t="s">
        <v>103</v>
      </c>
      <c r="CE135" s="153" t="s">
        <v>103</v>
      </c>
    </row>
    <row r="136" spans="1:83" ht="11.1" customHeight="1">
      <c r="A136" s="503"/>
      <c r="B136" s="1013" t="s">
        <v>425</v>
      </c>
      <c r="C136" s="155" t="s">
        <v>103</v>
      </c>
      <c r="D136" s="153">
        <v>7210</v>
      </c>
      <c r="E136" s="153">
        <v>90280</v>
      </c>
      <c r="F136" s="153">
        <v>6037535603</v>
      </c>
      <c r="G136" s="153" t="s">
        <v>104</v>
      </c>
      <c r="H136" s="153" t="s">
        <v>150</v>
      </c>
      <c r="I136" s="508" t="s">
        <v>425</v>
      </c>
      <c r="J136" s="153" t="s">
        <v>117</v>
      </c>
      <c r="K136" s="572" t="s">
        <v>217</v>
      </c>
      <c r="L136" s="153">
        <v>7210</v>
      </c>
      <c r="M136" s="153" t="s">
        <v>110</v>
      </c>
      <c r="Q136" s="156" t="s">
        <v>119</v>
      </c>
      <c r="V136" s="149">
        <v>39350</v>
      </c>
      <c r="W136" s="149" t="s">
        <v>103</v>
      </c>
      <c r="X136" s="149" t="s">
        <v>103</v>
      </c>
      <c r="Y136" s="149" t="s">
        <v>103</v>
      </c>
      <c r="Z136" s="149" t="s">
        <v>103</v>
      </c>
      <c r="AA136" s="149" t="s">
        <v>103</v>
      </c>
      <c r="AB136" s="153" t="s">
        <v>103</v>
      </c>
      <c r="AC136" s="594" t="s">
        <v>103</v>
      </c>
      <c r="AD136" s="153" t="s">
        <v>103</v>
      </c>
      <c r="AE136" s="149" t="s">
        <v>103</v>
      </c>
      <c r="AF136" s="153" t="s">
        <v>103</v>
      </c>
      <c r="AG136" s="153" t="s">
        <v>103</v>
      </c>
      <c r="AH136" s="596" t="s">
        <v>103</v>
      </c>
      <c r="AI136" s="960" t="s">
        <v>103</v>
      </c>
      <c r="AJ136" s="607" t="s">
        <v>103</v>
      </c>
      <c r="AK136" s="153" t="s">
        <v>120</v>
      </c>
      <c r="AL136" s="791" t="s">
        <v>103</v>
      </c>
      <c r="AO136" s="963"/>
      <c r="AP136" s="154">
        <v>0</v>
      </c>
      <c r="AQ136" s="574">
        <v>0</v>
      </c>
      <c r="AR136" s="153" t="s">
        <v>116</v>
      </c>
      <c r="AS136" s="153" t="s">
        <v>116</v>
      </c>
      <c r="AT136" s="777" t="s">
        <v>121</v>
      </c>
      <c r="AU136" s="777" t="s">
        <v>122</v>
      </c>
      <c r="AV136" s="777" t="s">
        <v>122</v>
      </c>
      <c r="AW136" s="777" t="s">
        <v>122</v>
      </c>
      <c r="AX136" s="155" t="s">
        <v>103</v>
      </c>
      <c r="AY136" s="155" t="s">
        <v>103</v>
      </c>
      <c r="AZ136" s="155" t="s">
        <v>103</v>
      </c>
      <c r="BA136" s="153" t="s">
        <v>103</v>
      </c>
      <c r="BB136" s="153" t="s">
        <v>103</v>
      </c>
      <c r="BC136" s="780" t="s">
        <v>103</v>
      </c>
      <c r="BD136" s="153" t="s">
        <v>103</v>
      </c>
      <c r="BE136" s="679" t="s">
        <v>103</v>
      </c>
      <c r="BF136" s="156" t="s">
        <v>103</v>
      </c>
      <c r="BG136" s="94">
        <v>0</v>
      </c>
      <c r="BH136" s="766" t="s">
        <v>123</v>
      </c>
      <c r="BI136" s="774">
        <v>0</v>
      </c>
      <c r="BJ136" s="774">
        <v>0</v>
      </c>
      <c r="BL136" s="153" t="s">
        <v>124</v>
      </c>
      <c r="BM136" s="94" t="s">
        <v>103</v>
      </c>
      <c r="BN136" s="155" t="s">
        <v>103</v>
      </c>
      <c r="BO136" s="153" t="s">
        <v>103</v>
      </c>
      <c r="BP136" s="153" t="s">
        <v>103</v>
      </c>
      <c r="BQ136" s="153" t="s">
        <v>103</v>
      </c>
      <c r="BR136" s="153" t="s">
        <v>116</v>
      </c>
      <c r="BS136" s="153" t="s">
        <v>116</v>
      </c>
      <c r="BT136" s="153" t="s">
        <v>116</v>
      </c>
      <c r="BU136" s="153" t="s">
        <v>116</v>
      </c>
      <c r="BV136" s="153" t="s">
        <v>116</v>
      </c>
      <c r="BW136" s="153" t="s">
        <v>116</v>
      </c>
      <c r="BX136" s="153" t="s">
        <v>116</v>
      </c>
      <c r="BY136" s="153" t="s">
        <v>116</v>
      </c>
      <c r="BZ136" s="153" t="s">
        <v>116</v>
      </c>
      <c r="CA136" s="616" t="s">
        <v>116</v>
      </c>
      <c r="CB136" s="153" t="s">
        <v>116</v>
      </c>
      <c r="CC136" s="153" t="s">
        <v>103</v>
      </c>
      <c r="CD136" s="153" t="s">
        <v>103</v>
      </c>
      <c r="CE136" s="153" t="s">
        <v>103</v>
      </c>
    </row>
    <row r="137" spans="1:83" ht="12.6" customHeight="1">
      <c r="A137" s="503"/>
      <c r="B137" s="1013" t="s">
        <v>426</v>
      </c>
      <c r="C137" s="155" t="s">
        <v>103</v>
      </c>
      <c r="D137" s="153">
        <v>7351</v>
      </c>
      <c r="E137" s="153">
        <v>90280</v>
      </c>
      <c r="F137" s="153">
        <v>6037536103</v>
      </c>
      <c r="G137" s="153" t="s">
        <v>104</v>
      </c>
      <c r="H137" s="153" t="s">
        <v>150</v>
      </c>
      <c r="I137" s="508" t="s">
        <v>426</v>
      </c>
      <c r="J137" s="153" t="s">
        <v>117</v>
      </c>
      <c r="K137" s="572" t="s">
        <v>217</v>
      </c>
      <c r="L137" s="153">
        <v>7351</v>
      </c>
      <c r="M137" s="153" t="s">
        <v>110</v>
      </c>
      <c r="Q137" s="156" t="s">
        <v>119</v>
      </c>
      <c r="V137" s="149">
        <v>40218</v>
      </c>
      <c r="W137" s="149" t="s">
        <v>103</v>
      </c>
      <c r="X137" s="149" t="s">
        <v>103</v>
      </c>
      <c r="Y137" s="149" t="s">
        <v>103</v>
      </c>
      <c r="Z137" s="149" t="s">
        <v>103</v>
      </c>
      <c r="AA137" s="149" t="s">
        <v>103</v>
      </c>
      <c r="AB137" s="153" t="s">
        <v>103</v>
      </c>
      <c r="AC137" s="594" t="s">
        <v>103</v>
      </c>
      <c r="AD137" s="153" t="s">
        <v>103</v>
      </c>
      <c r="AE137" s="149" t="s">
        <v>103</v>
      </c>
      <c r="AF137" s="153" t="s">
        <v>103</v>
      </c>
      <c r="AG137" s="153" t="s">
        <v>103</v>
      </c>
      <c r="AH137" s="596" t="s">
        <v>103</v>
      </c>
      <c r="AI137" s="960" t="s">
        <v>103</v>
      </c>
      <c r="AJ137" s="607" t="s">
        <v>103</v>
      </c>
      <c r="AK137" s="153" t="s">
        <v>120</v>
      </c>
      <c r="AL137" s="791" t="s">
        <v>103</v>
      </c>
      <c r="AO137" s="963"/>
      <c r="AP137" s="154">
        <v>0</v>
      </c>
      <c r="AQ137" s="574">
        <v>0</v>
      </c>
      <c r="AR137" s="153" t="s">
        <v>116</v>
      </c>
      <c r="AS137" s="153" t="s">
        <v>116</v>
      </c>
      <c r="AT137" s="777" t="s">
        <v>121</v>
      </c>
      <c r="AU137" s="777" t="s">
        <v>122</v>
      </c>
      <c r="AV137" s="777" t="s">
        <v>122</v>
      </c>
      <c r="AW137" s="777" t="s">
        <v>122</v>
      </c>
      <c r="AX137" s="155" t="s">
        <v>103</v>
      </c>
      <c r="AY137" s="155" t="s">
        <v>103</v>
      </c>
      <c r="AZ137" s="155" t="s">
        <v>103</v>
      </c>
      <c r="BA137" s="153" t="s">
        <v>103</v>
      </c>
      <c r="BB137" s="153" t="s">
        <v>103</v>
      </c>
      <c r="BC137" s="780" t="s">
        <v>103</v>
      </c>
      <c r="BD137" s="153" t="s">
        <v>103</v>
      </c>
      <c r="BE137" s="679" t="s">
        <v>103</v>
      </c>
      <c r="BF137" s="156" t="s">
        <v>103</v>
      </c>
      <c r="BG137" s="94">
        <v>0</v>
      </c>
      <c r="BH137" s="766" t="s">
        <v>123</v>
      </c>
      <c r="BI137" s="774">
        <v>0</v>
      </c>
      <c r="BJ137" s="774">
        <v>0</v>
      </c>
      <c r="BK137" s="153" t="s">
        <v>103</v>
      </c>
      <c r="BL137" s="153" t="s">
        <v>124</v>
      </c>
      <c r="BM137" s="94" t="s">
        <v>103</v>
      </c>
      <c r="BN137" s="155" t="s">
        <v>103</v>
      </c>
      <c r="BO137" s="153" t="s">
        <v>103</v>
      </c>
      <c r="BP137" s="153" t="s">
        <v>103</v>
      </c>
      <c r="BQ137" s="153" t="s">
        <v>103</v>
      </c>
      <c r="BR137" s="153" t="s">
        <v>116</v>
      </c>
      <c r="BS137" s="153" t="s">
        <v>116</v>
      </c>
      <c r="BT137" s="153" t="s">
        <v>116</v>
      </c>
      <c r="BU137" s="153" t="s">
        <v>116</v>
      </c>
      <c r="BV137" s="153" t="s">
        <v>116</v>
      </c>
      <c r="BW137" s="153" t="s">
        <v>116</v>
      </c>
      <c r="BX137" s="153" t="s">
        <v>116</v>
      </c>
      <c r="BY137" s="153" t="s">
        <v>116</v>
      </c>
      <c r="BZ137" s="153" t="s">
        <v>116</v>
      </c>
      <c r="CA137" s="616" t="s">
        <v>116</v>
      </c>
      <c r="CB137" s="153" t="s">
        <v>116</v>
      </c>
      <c r="CC137" s="153" t="s">
        <v>103</v>
      </c>
      <c r="CD137" s="153" t="s">
        <v>103</v>
      </c>
      <c r="CE137" s="153" t="s">
        <v>103</v>
      </c>
    </row>
    <row r="138" spans="1:83" ht="27.6" customHeight="1">
      <c r="A138" s="503"/>
      <c r="B138" s="573" t="s">
        <v>427</v>
      </c>
      <c r="C138" s="155" t="s">
        <v>428</v>
      </c>
      <c r="D138" s="153">
        <v>7128</v>
      </c>
      <c r="E138" s="153">
        <v>90280</v>
      </c>
      <c r="F138" s="153">
        <v>6037536104</v>
      </c>
      <c r="G138" s="153" t="s">
        <v>104</v>
      </c>
      <c r="H138" s="153" t="s">
        <v>150</v>
      </c>
      <c r="I138" s="508" t="s">
        <v>427</v>
      </c>
      <c r="J138" s="153" t="s">
        <v>117</v>
      </c>
      <c r="K138" s="156">
        <v>0</v>
      </c>
      <c r="L138" s="153">
        <v>7128</v>
      </c>
      <c r="M138" s="153" t="s">
        <v>104</v>
      </c>
      <c r="Q138" s="156" t="s">
        <v>139</v>
      </c>
      <c r="V138" s="149">
        <v>38937</v>
      </c>
      <c r="W138" s="149">
        <v>38957</v>
      </c>
      <c r="X138" s="149">
        <v>40191</v>
      </c>
      <c r="Y138" s="149">
        <v>40459</v>
      </c>
      <c r="Z138" s="149">
        <v>40459</v>
      </c>
      <c r="AA138" s="149">
        <v>38937</v>
      </c>
      <c r="AB138" s="763" t="s">
        <v>151</v>
      </c>
      <c r="AC138" s="594">
        <v>14.285714285714286</v>
      </c>
      <c r="AD138" s="153" t="s">
        <v>103</v>
      </c>
      <c r="AE138" s="149" t="s">
        <v>103</v>
      </c>
      <c r="AF138" s="596">
        <v>10</v>
      </c>
      <c r="AG138" s="596">
        <v>9</v>
      </c>
      <c r="AH138" s="595">
        <v>1621</v>
      </c>
      <c r="AI138" s="614">
        <v>0.30700757575757576</v>
      </c>
      <c r="AJ138" s="607">
        <v>2100</v>
      </c>
      <c r="AK138" s="153" t="s">
        <v>120</v>
      </c>
      <c r="AL138" s="791" t="s">
        <v>116</v>
      </c>
      <c r="AO138" s="963"/>
      <c r="AP138" s="519">
        <v>1100000</v>
      </c>
      <c r="AQ138" s="574">
        <v>1577649</v>
      </c>
      <c r="AR138" s="153" t="s">
        <v>116</v>
      </c>
      <c r="AS138" s="153" t="s">
        <v>116</v>
      </c>
      <c r="AT138" s="156">
        <v>0</v>
      </c>
      <c r="AU138" s="777" t="s">
        <v>122</v>
      </c>
      <c r="AV138" s="777" t="s">
        <v>122</v>
      </c>
      <c r="AW138" s="777" t="s">
        <v>122</v>
      </c>
      <c r="AX138" s="155" t="s">
        <v>103</v>
      </c>
      <c r="AY138" s="155" t="s">
        <v>103</v>
      </c>
      <c r="AZ138" s="155" t="s">
        <v>103</v>
      </c>
      <c r="BA138" s="156">
        <v>0</v>
      </c>
      <c r="BB138" s="574">
        <f t="shared" ref="BB138" si="22">AQ138</f>
        <v>1577649</v>
      </c>
      <c r="BC138" s="780">
        <v>-477649</v>
      </c>
      <c r="BD138" s="1090" t="s">
        <v>121</v>
      </c>
      <c r="BE138" s="679">
        <v>0</v>
      </c>
      <c r="BF138" s="153" t="s">
        <v>103</v>
      </c>
      <c r="BG138" s="94">
        <v>1577649</v>
      </c>
      <c r="BH138" s="766">
        <v>2757346</v>
      </c>
      <c r="BI138" s="774">
        <v>0</v>
      </c>
      <c r="BJ138" s="774">
        <v>0</v>
      </c>
      <c r="BK138" s="153" t="s">
        <v>103</v>
      </c>
      <c r="BL138" s="153" t="s">
        <v>124</v>
      </c>
      <c r="BM138" s="94" t="s">
        <v>103</v>
      </c>
      <c r="BN138" s="155" t="s">
        <v>103</v>
      </c>
      <c r="BO138" s="153" t="s">
        <v>103</v>
      </c>
      <c r="BP138" s="153" t="s">
        <v>103</v>
      </c>
      <c r="BQ138" s="153" t="s">
        <v>103</v>
      </c>
      <c r="BR138" s="153" t="s">
        <v>116</v>
      </c>
      <c r="BS138" s="153" t="s">
        <v>116</v>
      </c>
      <c r="BT138" s="153" t="s">
        <v>116</v>
      </c>
      <c r="BU138" s="153" t="s">
        <v>116</v>
      </c>
      <c r="BV138" s="153" t="s">
        <v>116</v>
      </c>
      <c r="BW138" s="153" t="s">
        <v>116</v>
      </c>
      <c r="BX138" s="153" t="s">
        <v>116</v>
      </c>
      <c r="BY138" s="153" t="s">
        <v>116</v>
      </c>
      <c r="BZ138" s="153" t="s">
        <v>116</v>
      </c>
      <c r="CA138" s="616" t="s">
        <v>116</v>
      </c>
      <c r="CB138" s="153" t="s">
        <v>116</v>
      </c>
      <c r="CC138" s="153" t="s">
        <v>116</v>
      </c>
      <c r="CD138" s="153" t="s">
        <v>116</v>
      </c>
      <c r="CE138" s="153" t="s">
        <v>116</v>
      </c>
    </row>
    <row r="139" spans="1:83" ht="41.45" customHeight="1">
      <c r="A139" s="503" t="s">
        <v>429</v>
      </c>
      <c r="B139" s="164" t="s">
        <v>430</v>
      </c>
      <c r="C139" s="155" t="s">
        <v>431</v>
      </c>
      <c r="D139" s="153">
        <v>7290</v>
      </c>
      <c r="E139" s="153">
        <v>91030</v>
      </c>
      <c r="F139" s="153">
        <v>6037480500</v>
      </c>
      <c r="G139" s="155" t="s">
        <v>110</v>
      </c>
      <c r="H139" s="674">
        <v>8.1489915419648673E-2</v>
      </c>
      <c r="I139" s="508" t="s">
        <v>430</v>
      </c>
      <c r="J139" s="153" t="s">
        <v>117</v>
      </c>
      <c r="K139" s="572" t="s">
        <v>293</v>
      </c>
      <c r="L139" s="153">
        <v>7290</v>
      </c>
      <c r="M139" s="153" t="s">
        <v>110</v>
      </c>
      <c r="N139" s="156">
        <v>2</v>
      </c>
      <c r="P139" s="156">
        <v>0</v>
      </c>
      <c r="Q139" s="989" t="s">
        <v>131</v>
      </c>
      <c r="R139" s="156">
        <v>0</v>
      </c>
      <c r="S139" s="156">
        <v>1</v>
      </c>
      <c r="T139" s="958" t="s">
        <v>105</v>
      </c>
      <c r="U139" s="153" t="s">
        <v>110</v>
      </c>
      <c r="V139" s="149">
        <v>41409</v>
      </c>
      <c r="W139" s="149">
        <v>42405</v>
      </c>
      <c r="X139" s="149">
        <v>43684</v>
      </c>
      <c r="Y139" s="149">
        <v>43986</v>
      </c>
      <c r="Z139" s="149" t="s">
        <v>103</v>
      </c>
      <c r="AA139" s="149">
        <v>41409</v>
      </c>
      <c r="AB139" s="153" t="s">
        <v>103</v>
      </c>
      <c r="AC139" s="594">
        <f>W139-V139</f>
        <v>996</v>
      </c>
      <c r="AD139" s="149">
        <v>43986</v>
      </c>
      <c r="AE139" s="149" t="s">
        <v>103</v>
      </c>
      <c r="AF139" s="153" t="s">
        <v>103</v>
      </c>
      <c r="AG139" s="153" t="s">
        <v>103</v>
      </c>
      <c r="AH139" s="596" t="s">
        <v>103</v>
      </c>
      <c r="AI139" s="960" t="s">
        <v>103</v>
      </c>
      <c r="AJ139" s="607">
        <v>1080</v>
      </c>
      <c r="AK139" s="153" t="s">
        <v>152</v>
      </c>
      <c r="AL139" s="791" t="s">
        <v>103</v>
      </c>
      <c r="AO139" s="963"/>
      <c r="AP139" s="94">
        <v>2600000</v>
      </c>
      <c r="AQ139" s="574">
        <v>0</v>
      </c>
      <c r="AR139" s="153" t="s">
        <v>116</v>
      </c>
      <c r="AS139" s="153" t="s">
        <v>116</v>
      </c>
      <c r="AT139" s="777" t="s">
        <v>122</v>
      </c>
      <c r="AU139" s="777" t="s">
        <v>122</v>
      </c>
      <c r="AV139" s="777" t="s">
        <v>122</v>
      </c>
      <c r="AW139" s="777" t="s">
        <v>122</v>
      </c>
      <c r="AX139" s="155" t="s">
        <v>103</v>
      </c>
      <c r="AY139" s="155" t="s">
        <v>103</v>
      </c>
      <c r="AZ139" s="155" t="s">
        <v>103</v>
      </c>
      <c r="BA139" s="156">
        <v>0</v>
      </c>
      <c r="BB139" s="153"/>
      <c r="BC139" s="780" t="s">
        <v>103</v>
      </c>
      <c r="BD139" s="153" t="s">
        <v>103</v>
      </c>
      <c r="BE139" s="679" t="s">
        <v>103</v>
      </c>
      <c r="BF139" s="156" t="s">
        <v>103</v>
      </c>
      <c r="BG139" s="94">
        <v>900705.09</v>
      </c>
      <c r="BH139" s="766">
        <v>1915505</v>
      </c>
      <c r="BI139" s="774">
        <v>0</v>
      </c>
      <c r="BJ139" s="774">
        <v>0</v>
      </c>
      <c r="BK139" s="153" t="s">
        <v>103</v>
      </c>
      <c r="BL139" s="94" t="s">
        <v>124</v>
      </c>
      <c r="BM139" s="94" t="s">
        <v>124</v>
      </c>
      <c r="BN139" s="94" t="s">
        <v>124</v>
      </c>
      <c r="BO139" s="153" t="s">
        <v>116</v>
      </c>
      <c r="BP139" s="153" t="s">
        <v>124</v>
      </c>
      <c r="BQ139" s="153" t="s">
        <v>103</v>
      </c>
      <c r="BR139" s="153" t="s">
        <v>110</v>
      </c>
      <c r="BS139" s="153" t="s">
        <v>110</v>
      </c>
      <c r="BT139" s="153" t="s">
        <v>110</v>
      </c>
      <c r="BU139" s="153" t="s">
        <v>110</v>
      </c>
      <c r="BV139" s="153" t="s">
        <v>103</v>
      </c>
      <c r="BW139" s="153" t="s">
        <v>110</v>
      </c>
      <c r="BX139" s="153" t="s">
        <v>110</v>
      </c>
      <c r="BY139" s="153" t="s">
        <v>110</v>
      </c>
      <c r="BZ139" s="153" t="s">
        <v>110</v>
      </c>
      <c r="CA139" s="616" t="s">
        <v>103</v>
      </c>
      <c r="CB139" s="153" t="s">
        <v>103</v>
      </c>
      <c r="CC139" s="153" t="s">
        <v>110</v>
      </c>
      <c r="CD139" s="153" t="s">
        <v>110</v>
      </c>
      <c r="CE139" s="153" t="s">
        <v>103</v>
      </c>
    </row>
    <row r="140" spans="1:83" ht="14.1" customHeight="1">
      <c r="A140" s="503"/>
      <c r="B140" s="164" t="s">
        <v>432</v>
      </c>
      <c r="C140" s="155">
        <v>800083972</v>
      </c>
      <c r="D140" s="153">
        <v>6800</v>
      </c>
      <c r="E140" s="153">
        <v>91030</v>
      </c>
      <c r="F140" s="153">
        <v>6037480704</v>
      </c>
      <c r="G140" s="153" t="s">
        <v>110</v>
      </c>
      <c r="H140" s="153" t="s">
        <v>150</v>
      </c>
      <c r="I140" s="508" t="s">
        <v>432</v>
      </c>
      <c r="J140" s="153" t="s">
        <v>282</v>
      </c>
      <c r="K140" s="156">
        <v>0</v>
      </c>
      <c r="L140" s="153">
        <v>6800</v>
      </c>
      <c r="M140" s="153" t="s">
        <v>104</v>
      </c>
      <c r="Q140" s="156" t="s">
        <v>139</v>
      </c>
      <c r="V140" s="149">
        <v>38169</v>
      </c>
      <c r="W140" s="149">
        <v>38200</v>
      </c>
      <c r="X140" s="149">
        <v>38687</v>
      </c>
      <c r="Y140" s="149">
        <v>38883</v>
      </c>
      <c r="Z140" s="149">
        <v>38883</v>
      </c>
      <c r="AA140" s="149">
        <v>38169</v>
      </c>
      <c r="AB140" s="763" t="s">
        <v>121</v>
      </c>
      <c r="AC140" s="594">
        <v>22.142857142857146</v>
      </c>
      <c r="AD140" s="153" t="s">
        <v>103</v>
      </c>
      <c r="AE140" s="149" t="s">
        <v>103</v>
      </c>
      <c r="AF140" s="596" t="s">
        <v>103</v>
      </c>
      <c r="AG140" s="596" t="s">
        <v>103</v>
      </c>
      <c r="AH140" s="595" t="s">
        <v>103</v>
      </c>
      <c r="AI140" s="614">
        <v>0.53977272727272729</v>
      </c>
      <c r="AJ140" s="607">
        <v>2850</v>
      </c>
      <c r="AK140" s="153" t="s">
        <v>152</v>
      </c>
      <c r="AL140" s="791" t="s">
        <v>103</v>
      </c>
      <c r="AO140" s="963"/>
      <c r="AP140" s="519">
        <v>1384000</v>
      </c>
      <c r="AQ140" s="574">
        <v>1075430</v>
      </c>
      <c r="AR140" s="153" t="s">
        <v>116</v>
      </c>
      <c r="AS140" s="153" t="s">
        <v>116</v>
      </c>
      <c r="AT140" s="156">
        <v>0</v>
      </c>
      <c r="AU140" s="777" t="s">
        <v>122</v>
      </c>
      <c r="AV140" s="777" t="s">
        <v>122</v>
      </c>
      <c r="AW140" s="777" t="s">
        <v>122</v>
      </c>
      <c r="AX140" s="155" t="s">
        <v>103</v>
      </c>
      <c r="AY140" s="155" t="s">
        <v>103</v>
      </c>
      <c r="AZ140" s="155" t="s">
        <v>103</v>
      </c>
      <c r="BA140" s="156">
        <v>0</v>
      </c>
      <c r="BB140" s="574">
        <f t="shared" ref="BB140:BB141" si="23">AQ140</f>
        <v>1075430</v>
      </c>
      <c r="BC140" s="780">
        <v>308570</v>
      </c>
      <c r="BD140" s="1008" t="s">
        <v>121</v>
      </c>
      <c r="BE140" s="679">
        <v>2042</v>
      </c>
      <c r="BF140" s="153">
        <v>2007</v>
      </c>
      <c r="BG140" s="94">
        <v>1075430</v>
      </c>
      <c r="BH140" s="766" t="s">
        <v>123</v>
      </c>
      <c r="BI140" s="774">
        <v>0</v>
      </c>
      <c r="BJ140" s="774">
        <v>0</v>
      </c>
      <c r="BK140" s="153" t="s">
        <v>103</v>
      </c>
      <c r="BL140" s="153" t="s">
        <v>124</v>
      </c>
      <c r="BM140" s="94" t="s">
        <v>124</v>
      </c>
      <c r="BN140" s="155" t="s">
        <v>124</v>
      </c>
      <c r="BO140" s="153" t="s">
        <v>116</v>
      </c>
      <c r="BP140" s="153" t="s">
        <v>124</v>
      </c>
      <c r="BQ140" s="153" t="s">
        <v>103</v>
      </c>
      <c r="BR140" s="153" t="s">
        <v>110</v>
      </c>
      <c r="BS140" s="153" t="s">
        <v>110</v>
      </c>
      <c r="BT140" s="153" t="s">
        <v>361</v>
      </c>
      <c r="BU140" s="153" t="s">
        <v>110</v>
      </c>
      <c r="BV140" s="153" t="s">
        <v>103</v>
      </c>
      <c r="BW140" s="153" t="s">
        <v>110</v>
      </c>
      <c r="BX140" s="153" t="s">
        <v>110</v>
      </c>
      <c r="BY140" s="153" t="s">
        <v>110</v>
      </c>
      <c r="BZ140" s="153" t="s">
        <v>110</v>
      </c>
      <c r="CA140" s="616" t="s">
        <v>103</v>
      </c>
      <c r="CB140" s="153" t="s">
        <v>103</v>
      </c>
      <c r="CC140" s="153" t="s">
        <v>110</v>
      </c>
      <c r="CD140" s="153" t="s">
        <v>110</v>
      </c>
      <c r="CE140" s="153" t="s">
        <v>103</v>
      </c>
    </row>
    <row r="141" spans="1:83" ht="55.35" customHeight="1">
      <c r="A141" s="503" t="s">
        <v>433</v>
      </c>
      <c r="B141" s="164" t="s">
        <v>434</v>
      </c>
      <c r="C141" s="155" t="s">
        <v>435</v>
      </c>
      <c r="D141" s="572" t="s">
        <v>436</v>
      </c>
      <c r="E141" s="153">
        <v>91780</v>
      </c>
      <c r="F141" s="153">
        <v>6037481201</v>
      </c>
      <c r="G141" s="155" t="s">
        <v>110</v>
      </c>
      <c r="H141" s="674">
        <v>0.2041453935837842</v>
      </c>
      <c r="I141" s="508" t="s">
        <v>434</v>
      </c>
      <c r="J141" s="153" t="s">
        <v>117</v>
      </c>
      <c r="K141" s="572" t="s">
        <v>437</v>
      </c>
      <c r="L141" s="153" t="s">
        <v>436</v>
      </c>
      <c r="M141" s="153" t="s">
        <v>104</v>
      </c>
      <c r="N141" s="156">
        <v>1</v>
      </c>
      <c r="P141" s="156">
        <v>0</v>
      </c>
      <c r="Q141" s="156" t="s">
        <v>139</v>
      </c>
      <c r="R141" s="156">
        <v>0</v>
      </c>
      <c r="S141" s="156">
        <v>1</v>
      </c>
      <c r="T141" s="958" t="s">
        <v>105</v>
      </c>
      <c r="U141" s="153" t="s">
        <v>110</v>
      </c>
      <c r="V141" s="149">
        <v>37926</v>
      </c>
      <c r="W141" s="149">
        <v>37956</v>
      </c>
      <c r="X141" s="149">
        <v>38626</v>
      </c>
      <c r="Y141" s="149">
        <v>38800</v>
      </c>
      <c r="Z141" s="149">
        <v>38800</v>
      </c>
      <c r="AA141" s="149">
        <v>37926</v>
      </c>
      <c r="AB141" s="763" t="s">
        <v>151</v>
      </c>
      <c r="AC141" s="594">
        <v>21.428571428571427</v>
      </c>
      <c r="AD141" s="153" t="s">
        <v>103</v>
      </c>
      <c r="AE141" s="149" t="s">
        <v>103</v>
      </c>
      <c r="AF141" s="596" t="s">
        <v>103</v>
      </c>
      <c r="AG141" s="596" t="s">
        <v>103</v>
      </c>
      <c r="AH141" s="595" t="s">
        <v>103</v>
      </c>
      <c r="AI141" s="614">
        <v>2.2727272727272729</v>
      </c>
      <c r="AJ141" s="607">
        <v>12000</v>
      </c>
      <c r="AK141" s="153" t="s">
        <v>152</v>
      </c>
      <c r="AL141" s="791" t="s">
        <v>103</v>
      </c>
      <c r="AO141" s="963"/>
      <c r="AP141" s="94">
        <v>5600000</v>
      </c>
      <c r="AQ141" s="574">
        <v>6081727.0899999999</v>
      </c>
      <c r="AR141" s="153" t="s">
        <v>116</v>
      </c>
      <c r="AS141" s="153" t="s">
        <v>116</v>
      </c>
      <c r="AT141" s="156">
        <v>0</v>
      </c>
      <c r="AU141" s="777" t="s">
        <v>122</v>
      </c>
      <c r="AV141" s="777" t="s">
        <v>122</v>
      </c>
      <c r="AW141" s="777" t="s">
        <v>122</v>
      </c>
      <c r="AX141" s="155" t="s">
        <v>103</v>
      </c>
      <c r="AY141" s="155" t="s">
        <v>103</v>
      </c>
      <c r="AZ141" s="155" t="s">
        <v>103</v>
      </c>
      <c r="BA141" s="156">
        <v>0</v>
      </c>
      <c r="BB141" s="574">
        <f t="shared" si="23"/>
        <v>6081727.0899999999</v>
      </c>
      <c r="BC141" s="780">
        <v>-481727.08999999985</v>
      </c>
      <c r="BD141" s="1008" t="s">
        <v>151</v>
      </c>
      <c r="BE141" s="679" t="s">
        <v>256</v>
      </c>
      <c r="BF141" s="153" t="s">
        <v>258</v>
      </c>
      <c r="BG141" s="94">
        <v>6445711.4899999984</v>
      </c>
      <c r="BH141" s="766" t="s">
        <v>123</v>
      </c>
      <c r="BI141" s="774">
        <v>0</v>
      </c>
      <c r="BJ141" s="774">
        <v>0</v>
      </c>
      <c r="BK141" s="153" t="s">
        <v>103</v>
      </c>
      <c r="BL141" s="153" t="s">
        <v>124</v>
      </c>
      <c r="BM141" s="94" t="s">
        <v>103</v>
      </c>
      <c r="BN141" s="155" t="s">
        <v>103</v>
      </c>
      <c r="BO141" s="153" t="s">
        <v>103</v>
      </c>
      <c r="BP141" s="153" t="s">
        <v>103</v>
      </c>
      <c r="BQ141" s="153" t="s">
        <v>103</v>
      </c>
      <c r="BR141" s="153" t="s">
        <v>103</v>
      </c>
      <c r="BS141" s="153" t="s">
        <v>103</v>
      </c>
      <c r="BT141" s="153" t="s">
        <v>103</v>
      </c>
      <c r="BU141" s="153" t="s">
        <v>103</v>
      </c>
      <c r="BV141" s="153" t="s">
        <v>103</v>
      </c>
      <c r="BW141" s="153" t="s">
        <v>103</v>
      </c>
      <c r="BX141" s="153" t="s">
        <v>103</v>
      </c>
      <c r="BY141" s="153" t="s">
        <v>103</v>
      </c>
      <c r="BZ141" s="153" t="s">
        <v>103</v>
      </c>
      <c r="CA141" s="616" t="s">
        <v>103</v>
      </c>
      <c r="CB141" s="153" t="s">
        <v>103</v>
      </c>
      <c r="CC141" s="153" t="s">
        <v>103</v>
      </c>
      <c r="CD141" s="153" t="s">
        <v>103</v>
      </c>
      <c r="CE141" s="153" t="s">
        <v>103</v>
      </c>
    </row>
    <row r="142" spans="1:83" ht="15" customHeight="1">
      <c r="A142" s="503" t="s">
        <v>438</v>
      </c>
      <c r="B142" s="164" t="s">
        <v>439</v>
      </c>
      <c r="C142" s="155" t="s">
        <v>440</v>
      </c>
      <c r="D142" s="153" t="s">
        <v>441</v>
      </c>
      <c r="E142" s="153">
        <v>90503</v>
      </c>
      <c r="F142" s="153">
        <v>6037650605</v>
      </c>
      <c r="G142" s="155" t="s">
        <v>110</v>
      </c>
      <c r="H142" s="674">
        <v>0.10749433377072647</v>
      </c>
      <c r="I142" s="508" t="s">
        <v>439</v>
      </c>
      <c r="J142" s="153" t="s">
        <v>117</v>
      </c>
      <c r="K142" s="572" t="s">
        <v>222</v>
      </c>
      <c r="L142" s="153" t="s">
        <v>441</v>
      </c>
      <c r="M142" s="153" t="s">
        <v>110</v>
      </c>
      <c r="N142" s="156">
        <v>2</v>
      </c>
      <c r="P142" s="156">
        <v>0</v>
      </c>
      <c r="Q142" s="989" t="s">
        <v>131</v>
      </c>
      <c r="R142" s="156">
        <v>1</v>
      </c>
      <c r="S142" s="156">
        <v>0</v>
      </c>
      <c r="T142" s="958" t="s">
        <v>105</v>
      </c>
      <c r="U142" s="153" t="s">
        <v>104</v>
      </c>
      <c r="V142" s="149">
        <v>40589</v>
      </c>
      <c r="W142" s="149">
        <v>40702</v>
      </c>
      <c r="X142" s="149">
        <v>43198</v>
      </c>
      <c r="Y142" s="149">
        <v>44506</v>
      </c>
      <c r="Z142" s="149" t="s">
        <v>103</v>
      </c>
      <c r="AA142" s="149">
        <v>40589</v>
      </c>
      <c r="AB142" s="153" t="s">
        <v>103</v>
      </c>
      <c r="AC142" s="594">
        <f t="shared" ref="AC142:AC143" si="24">W142-V142</f>
        <v>113</v>
      </c>
      <c r="AD142" s="149">
        <v>44506</v>
      </c>
      <c r="AE142" s="149" t="s">
        <v>103</v>
      </c>
      <c r="AF142" s="153" t="s">
        <v>103</v>
      </c>
      <c r="AG142" s="153" t="s">
        <v>103</v>
      </c>
      <c r="AH142" s="596" t="s">
        <v>103</v>
      </c>
      <c r="AI142" s="960" t="s">
        <v>103</v>
      </c>
      <c r="AJ142" s="607">
        <v>5250</v>
      </c>
      <c r="AK142" s="153" t="s">
        <v>120</v>
      </c>
      <c r="AL142" s="791" t="s">
        <v>103</v>
      </c>
      <c r="AO142" s="963"/>
      <c r="AP142" s="94">
        <v>2900000</v>
      </c>
      <c r="AQ142" s="574">
        <v>0</v>
      </c>
      <c r="AR142" s="153" t="s">
        <v>116</v>
      </c>
      <c r="AS142" s="153" t="s">
        <v>116</v>
      </c>
      <c r="AT142" s="777" t="s">
        <v>122</v>
      </c>
      <c r="AU142" s="777" t="s">
        <v>122</v>
      </c>
      <c r="AV142" s="777" t="s">
        <v>122</v>
      </c>
      <c r="AW142" s="777" t="s">
        <v>122</v>
      </c>
      <c r="AX142" s="155" t="s">
        <v>103</v>
      </c>
      <c r="AY142" s="155" t="s">
        <v>103</v>
      </c>
      <c r="AZ142" s="155" t="s">
        <v>103</v>
      </c>
      <c r="BA142" s="156">
        <v>0</v>
      </c>
      <c r="BB142" s="153"/>
      <c r="BC142" s="780" t="s">
        <v>103</v>
      </c>
      <c r="BD142" s="153" t="s">
        <v>103</v>
      </c>
      <c r="BE142" s="679" t="s">
        <v>103</v>
      </c>
      <c r="BF142" s="156" t="s">
        <v>103</v>
      </c>
      <c r="BG142" s="94">
        <v>369253.96</v>
      </c>
      <c r="BH142" s="766">
        <v>0</v>
      </c>
      <c r="BI142" s="774">
        <v>2900000</v>
      </c>
      <c r="BJ142" s="774">
        <v>0</v>
      </c>
      <c r="BK142" s="153" t="s">
        <v>103</v>
      </c>
      <c r="BL142" s="94" t="s">
        <v>124</v>
      </c>
      <c r="BM142" s="94" t="s">
        <v>124</v>
      </c>
      <c r="BN142" s="94" t="s">
        <v>124</v>
      </c>
      <c r="BO142" s="153" t="s">
        <v>116</v>
      </c>
      <c r="BP142" s="153" t="s">
        <v>124</v>
      </c>
      <c r="BQ142" s="153" t="s">
        <v>103</v>
      </c>
      <c r="BR142" s="153" t="s">
        <v>104</v>
      </c>
      <c r="BS142" s="153" t="s">
        <v>104</v>
      </c>
      <c r="BT142" s="153" t="s">
        <v>104</v>
      </c>
      <c r="BU142" s="153" t="s">
        <v>104</v>
      </c>
      <c r="BV142" s="153" t="s">
        <v>110</v>
      </c>
      <c r="BW142" s="153" t="s">
        <v>104</v>
      </c>
      <c r="BX142" s="153" t="s">
        <v>104</v>
      </c>
      <c r="BY142" s="153" t="s">
        <v>104</v>
      </c>
      <c r="BZ142" s="153" t="s">
        <v>104</v>
      </c>
      <c r="CA142" s="616" t="s">
        <v>103</v>
      </c>
      <c r="CB142" s="153" t="s">
        <v>103</v>
      </c>
      <c r="CC142" s="153" t="s">
        <v>103</v>
      </c>
      <c r="CD142" s="153" t="s">
        <v>103</v>
      </c>
      <c r="CE142" s="153" t="s">
        <v>103</v>
      </c>
    </row>
    <row r="143" spans="1:83" ht="12" customHeight="1">
      <c r="A143" s="503"/>
      <c r="B143" s="1013" t="s">
        <v>442</v>
      </c>
      <c r="C143" s="155" t="s">
        <v>443</v>
      </c>
      <c r="D143" s="153" t="s">
        <v>441</v>
      </c>
      <c r="E143" s="153">
        <v>90503</v>
      </c>
      <c r="F143" s="153">
        <v>6037650800</v>
      </c>
      <c r="G143" s="153" t="s">
        <v>110</v>
      </c>
      <c r="H143" s="153" t="s">
        <v>150</v>
      </c>
      <c r="I143" s="508" t="s">
        <v>442</v>
      </c>
      <c r="J143" s="153" t="s">
        <v>117</v>
      </c>
      <c r="K143" s="572" t="s">
        <v>222</v>
      </c>
      <c r="L143" s="153" t="s">
        <v>441</v>
      </c>
      <c r="M143" s="153" t="s">
        <v>110</v>
      </c>
      <c r="Q143" s="156" t="s">
        <v>294</v>
      </c>
      <c r="V143" s="149">
        <v>40589</v>
      </c>
      <c r="W143" s="149">
        <v>40702</v>
      </c>
      <c r="X143" s="149">
        <v>43250</v>
      </c>
      <c r="Y143" s="149">
        <v>43976</v>
      </c>
      <c r="Z143" s="149" t="s">
        <v>103</v>
      </c>
      <c r="AA143" s="149">
        <v>40589</v>
      </c>
      <c r="AB143" s="153" t="s">
        <v>103</v>
      </c>
      <c r="AC143" s="594">
        <f t="shared" si="24"/>
        <v>113</v>
      </c>
      <c r="AD143" s="149">
        <v>43976</v>
      </c>
      <c r="AE143" s="149" t="s">
        <v>103</v>
      </c>
      <c r="AF143" s="153" t="s">
        <v>103</v>
      </c>
      <c r="AG143" s="153" t="s">
        <v>103</v>
      </c>
      <c r="AH143" s="596" t="s">
        <v>103</v>
      </c>
      <c r="AI143" s="960" t="s">
        <v>103</v>
      </c>
      <c r="AJ143" s="607">
        <v>2730</v>
      </c>
      <c r="AK143" s="153" t="s">
        <v>120</v>
      </c>
      <c r="AL143" s="791" t="s">
        <v>104</v>
      </c>
      <c r="AO143" s="963"/>
      <c r="AP143" s="94">
        <v>1800000</v>
      </c>
      <c r="AQ143" s="574">
        <v>0</v>
      </c>
      <c r="AR143" s="153" t="s">
        <v>116</v>
      </c>
      <c r="AS143" s="153" t="s">
        <v>116</v>
      </c>
      <c r="AT143" s="778">
        <v>84326</v>
      </c>
      <c r="AU143" s="777" t="s">
        <v>122</v>
      </c>
      <c r="AV143" s="777" t="s">
        <v>122</v>
      </c>
      <c r="AW143" s="777" t="s">
        <v>122</v>
      </c>
      <c r="AX143" s="155" t="s">
        <v>103</v>
      </c>
      <c r="AY143" s="155" t="s">
        <v>103</v>
      </c>
      <c r="AZ143" s="155" t="s">
        <v>103</v>
      </c>
      <c r="BA143" s="156">
        <v>84326</v>
      </c>
      <c r="BB143" s="153"/>
      <c r="BC143" s="780" t="s">
        <v>103</v>
      </c>
      <c r="BD143" s="153" t="s">
        <v>103</v>
      </c>
      <c r="BE143" s="679" t="s">
        <v>103</v>
      </c>
      <c r="BF143" s="156" t="s">
        <v>103</v>
      </c>
      <c r="BG143" s="94">
        <v>190896.16</v>
      </c>
      <c r="BH143" s="766">
        <v>1556379</v>
      </c>
      <c r="BI143" s="774">
        <v>243621</v>
      </c>
      <c r="BJ143" s="774">
        <v>0</v>
      </c>
      <c r="BK143" s="153" t="s">
        <v>103</v>
      </c>
      <c r="BL143" s="153" t="s">
        <v>116</v>
      </c>
      <c r="BM143" s="94" t="s">
        <v>124</v>
      </c>
      <c r="BN143" s="155" t="s">
        <v>116</v>
      </c>
      <c r="BO143" s="153" t="s">
        <v>116</v>
      </c>
      <c r="BP143" s="153" t="s">
        <v>124</v>
      </c>
      <c r="BQ143" s="153" t="s">
        <v>103</v>
      </c>
      <c r="BR143" s="153" t="s">
        <v>104</v>
      </c>
      <c r="BS143" s="153" t="s">
        <v>104</v>
      </c>
      <c r="BT143" s="153" t="s">
        <v>104</v>
      </c>
      <c r="BU143" s="153" t="s">
        <v>104</v>
      </c>
      <c r="BV143" s="153" t="s">
        <v>110</v>
      </c>
      <c r="BW143" s="153" t="s">
        <v>104</v>
      </c>
      <c r="BX143" s="153" t="s">
        <v>104</v>
      </c>
      <c r="BY143" s="153" t="s">
        <v>104</v>
      </c>
      <c r="BZ143" s="153" t="s">
        <v>110</v>
      </c>
      <c r="CA143" s="616" t="s">
        <v>103</v>
      </c>
      <c r="CB143" s="153" t="s">
        <v>103</v>
      </c>
      <c r="CC143" s="153" t="s">
        <v>110</v>
      </c>
      <c r="CD143" s="153" t="s">
        <v>103</v>
      </c>
      <c r="CE143" s="153" t="s">
        <v>103</v>
      </c>
    </row>
    <row r="144" spans="1:83" ht="41.45" customHeight="1">
      <c r="A144" s="503" t="s">
        <v>444</v>
      </c>
      <c r="B144" s="164" t="s">
        <v>445</v>
      </c>
      <c r="C144" s="155" t="s">
        <v>446</v>
      </c>
      <c r="D144" s="153" t="s">
        <v>447</v>
      </c>
      <c r="E144" s="153">
        <v>91789</v>
      </c>
      <c r="F144" s="153">
        <v>6037403401</v>
      </c>
      <c r="G144" s="155" t="s">
        <v>110</v>
      </c>
      <c r="H144" s="674">
        <v>0.12521566025215661</v>
      </c>
      <c r="I144" s="508" t="s">
        <v>445</v>
      </c>
      <c r="J144" s="153" t="s">
        <v>117</v>
      </c>
      <c r="K144" s="156">
        <v>0</v>
      </c>
      <c r="L144" s="153" t="s">
        <v>447</v>
      </c>
      <c r="M144" s="153" t="s">
        <v>104</v>
      </c>
      <c r="N144" s="156">
        <v>1</v>
      </c>
      <c r="P144" s="156">
        <v>0</v>
      </c>
      <c r="Q144" s="156" t="s">
        <v>139</v>
      </c>
      <c r="R144" s="156">
        <v>0</v>
      </c>
      <c r="S144" s="156">
        <v>1</v>
      </c>
      <c r="T144" s="958" t="s">
        <v>105</v>
      </c>
      <c r="U144" s="153" t="s">
        <v>110</v>
      </c>
      <c r="V144" s="149">
        <v>37433</v>
      </c>
      <c r="W144" s="149">
        <v>38139</v>
      </c>
      <c r="X144" s="149">
        <v>39027</v>
      </c>
      <c r="Y144" s="149">
        <v>39304</v>
      </c>
      <c r="Z144" s="149">
        <v>39304</v>
      </c>
      <c r="AA144" s="149">
        <v>37433</v>
      </c>
      <c r="AB144" s="763" t="s">
        <v>151</v>
      </c>
      <c r="AC144" s="594">
        <v>504.28571428571433</v>
      </c>
      <c r="AD144" s="153" t="s">
        <v>103</v>
      </c>
      <c r="AE144" s="149" t="s">
        <v>103</v>
      </c>
      <c r="AF144" s="596" t="s">
        <v>103</v>
      </c>
      <c r="AG144" s="596" t="s">
        <v>103</v>
      </c>
      <c r="AH144" s="595" t="s">
        <v>103</v>
      </c>
      <c r="AI144" s="614">
        <v>0.36458333333333331</v>
      </c>
      <c r="AJ144" s="607">
        <v>1925</v>
      </c>
      <c r="AK144" s="153" t="s">
        <v>200</v>
      </c>
      <c r="AL144" s="791" t="s">
        <v>110</v>
      </c>
      <c r="AO144" s="963"/>
      <c r="AP144" s="519">
        <v>780000</v>
      </c>
      <c r="AQ144" s="574">
        <v>847461</v>
      </c>
      <c r="AR144" s="153" t="s">
        <v>116</v>
      </c>
      <c r="AS144" s="153" t="s">
        <v>116</v>
      </c>
      <c r="AT144" s="1014">
        <v>0</v>
      </c>
      <c r="AU144" s="777" t="s">
        <v>122</v>
      </c>
      <c r="AV144" s="777" t="s">
        <v>122</v>
      </c>
      <c r="AW144" s="777" t="s">
        <v>122</v>
      </c>
      <c r="AX144" s="155" t="s">
        <v>103</v>
      </c>
      <c r="AY144" s="155" t="s">
        <v>103</v>
      </c>
      <c r="AZ144" s="155" t="s">
        <v>103</v>
      </c>
      <c r="BA144" s="156">
        <v>0</v>
      </c>
      <c r="BB144" s="574">
        <f t="shared" ref="BB144" si="25">AQ144</f>
        <v>847461</v>
      </c>
      <c r="BC144" s="780">
        <v>-67461</v>
      </c>
      <c r="BD144" s="1008" t="s">
        <v>151</v>
      </c>
      <c r="BE144" s="679">
        <v>0</v>
      </c>
      <c r="BF144" s="153" t="s">
        <v>103</v>
      </c>
      <c r="BG144" s="94">
        <v>847461</v>
      </c>
      <c r="BH144" s="766" t="s">
        <v>123</v>
      </c>
      <c r="BI144" s="774">
        <v>0</v>
      </c>
      <c r="BJ144" s="774">
        <v>0</v>
      </c>
      <c r="BK144" s="153" t="s">
        <v>103</v>
      </c>
      <c r="BL144" s="94" t="s">
        <v>124</v>
      </c>
      <c r="BM144" s="94" t="s">
        <v>124</v>
      </c>
      <c r="BN144" s="94" t="s">
        <v>124</v>
      </c>
      <c r="BO144" s="153" t="s">
        <v>116</v>
      </c>
      <c r="BP144" s="153" t="s">
        <v>124</v>
      </c>
      <c r="BQ144" s="153" t="s">
        <v>103</v>
      </c>
      <c r="BR144" s="153" t="s">
        <v>110</v>
      </c>
      <c r="BS144" s="153" t="s">
        <v>110</v>
      </c>
      <c r="BT144" s="153" t="s">
        <v>110</v>
      </c>
      <c r="BU144" s="153" t="s">
        <v>110</v>
      </c>
      <c r="BV144" s="153" t="s">
        <v>103</v>
      </c>
      <c r="BW144" s="153" t="s">
        <v>110</v>
      </c>
      <c r="BX144" s="153" t="s">
        <v>110</v>
      </c>
      <c r="BY144" s="153" t="s">
        <v>110</v>
      </c>
      <c r="BZ144" s="153" t="s">
        <v>110</v>
      </c>
      <c r="CA144" s="616" t="s">
        <v>110</v>
      </c>
      <c r="CB144" s="153" t="s">
        <v>110</v>
      </c>
      <c r="CC144" s="153" t="s">
        <v>110</v>
      </c>
      <c r="CD144" s="153" t="s">
        <v>110</v>
      </c>
      <c r="CE144" s="153" t="s">
        <v>110</v>
      </c>
    </row>
    <row r="145" spans="1:83" ht="14.1" customHeight="1">
      <c r="A145" s="503" t="s">
        <v>448</v>
      </c>
      <c r="B145" s="164" t="s">
        <v>103</v>
      </c>
      <c r="C145" s="155" t="s">
        <v>103</v>
      </c>
      <c r="D145" s="153" t="s">
        <v>103</v>
      </c>
      <c r="E145" s="153" t="s">
        <v>103</v>
      </c>
      <c r="F145" s="958" t="s">
        <v>103</v>
      </c>
      <c r="G145" s="153" t="s">
        <v>104</v>
      </c>
      <c r="H145" s="673">
        <v>0.23965709014948047</v>
      </c>
      <c r="I145" s="508" t="s">
        <v>103</v>
      </c>
      <c r="J145" s="958" t="s">
        <v>103</v>
      </c>
      <c r="K145" s="958" t="s">
        <v>103</v>
      </c>
      <c r="L145" s="155" t="s">
        <v>103</v>
      </c>
      <c r="M145" s="155" t="s">
        <v>103</v>
      </c>
      <c r="N145" s="156">
        <v>0</v>
      </c>
      <c r="O145" s="156" t="s">
        <v>103</v>
      </c>
      <c r="P145" s="156">
        <v>0</v>
      </c>
      <c r="Q145" s="958" t="s">
        <v>103</v>
      </c>
      <c r="R145" s="156">
        <v>0</v>
      </c>
      <c r="S145" s="156">
        <v>0</v>
      </c>
      <c r="T145" s="958" t="s">
        <v>105</v>
      </c>
      <c r="U145" s="153" t="s">
        <v>104</v>
      </c>
      <c r="V145" s="518" t="s">
        <v>103</v>
      </c>
      <c r="W145" s="991" t="s">
        <v>103</v>
      </c>
      <c r="X145" s="991" t="s">
        <v>103</v>
      </c>
      <c r="Y145" s="991" t="s">
        <v>103</v>
      </c>
      <c r="Z145" s="518" t="s">
        <v>103</v>
      </c>
      <c r="AA145" s="991" t="s">
        <v>103</v>
      </c>
      <c r="AB145" s="155" t="s">
        <v>103</v>
      </c>
      <c r="AC145" s="959" t="s">
        <v>103</v>
      </c>
      <c r="AD145" s="155" t="s">
        <v>103</v>
      </c>
      <c r="AE145" s="155" t="s">
        <v>103</v>
      </c>
      <c r="AF145" s="155" t="s">
        <v>103</v>
      </c>
      <c r="AG145" s="155" t="s">
        <v>103</v>
      </c>
      <c r="AH145" s="992" t="s">
        <v>103</v>
      </c>
      <c r="AI145" s="960" t="s">
        <v>103</v>
      </c>
      <c r="AJ145" s="992" t="s">
        <v>103</v>
      </c>
      <c r="AK145" s="155" t="s">
        <v>103</v>
      </c>
      <c r="AL145" s="993" t="s">
        <v>103</v>
      </c>
      <c r="AM145" s="155"/>
      <c r="AN145" s="155"/>
      <c r="AO145" s="994"/>
      <c r="AP145" s="94">
        <v>0</v>
      </c>
      <c r="AQ145" s="578">
        <v>0</v>
      </c>
      <c r="AR145" s="155" t="s">
        <v>103</v>
      </c>
      <c r="AS145" s="155" t="s">
        <v>103</v>
      </c>
      <c r="AT145" s="155" t="s">
        <v>103</v>
      </c>
      <c r="AU145" s="155" t="s">
        <v>103</v>
      </c>
      <c r="AV145" s="155" t="s">
        <v>103</v>
      </c>
      <c r="AW145" s="155" t="s">
        <v>103</v>
      </c>
      <c r="AX145" s="155" t="s">
        <v>103</v>
      </c>
      <c r="AY145" s="155" t="s">
        <v>103</v>
      </c>
      <c r="AZ145" s="155" t="s">
        <v>103</v>
      </c>
      <c r="BA145" s="155" t="s">
        <v>103</v>
      </c>
      <c r="BB145" s="155" t="s">
        <v>103</v>
      </c>
      <c r="BC145" s="155" t="s">
        <v>103</v>
      </c>
      <c r="BD145" s="155" t="s">
        <v>103</v>
      </c>
      <c r="BE145" s="989" t="s">
        <v>103</v>
      </c>
      <c r="BF145" s="155" t="s">
        <v>103</v>
      </c>
      <c r="BG145" s="961">
        <v>0</v>
      </c>
      <c r="BH145" s="155" t="s">
        <v>103</v>
      </c>
      <c r="BI145" s="990" t="s">
        <v>103</v>
      </c>
      <c r="BJ145" s="155" t="s">
        <v>103</v>
      </c>
      <c r="BK145" s="155" t="s">
        <v>103</v>
      </c>
      <c r="BL145" s="155" t="s">
        <v>103</v>
      </c>
      <c r="BM145" s="155" t="s">
        <v>103</v>
      </c>
      <c r="BN145" s="155" t="s">
        <v>103</v>
      </c>
      <c r="BO145" s="155" t="s">
        <v>103</v>
      </c>
      <c r="BP145" s="155" t="s">
        <v>103</v>
      </c>
      <c r="BQ145" s="155" t="s">
        <v>103</v>
      </c>
      <c r="BR145" s="155" t="s">
        <v>103</v>
      </c>
      <c r="BS145" s="155" t="s">
        <v>103</v>
      </c>
      <c r="BT145" s="155" t="s">
        <v>103</v>
      </c>
      <c r="BU145" s="155" t="s">
        <v>103</v>
      </c>
      <c r="BV145" s="155" t="s">
        <v>103</v>
      </c>
      <c r="BW145" s="155" t="s">
        <v>103</v>
      </c>
      <c r="BX145" s="155" t="s">
        <v>103</v>
      </c>
      <c r="BY145" s="155" t="s">
        <v>103</v>
      </c>
      <c r="BZ145" s="155" t="s">
        <v>103</v>
      </c>
      <c r="CA145" s="155" t="s">
        <v>103</v>
      </c>
      <c r="CB145" s="155" t="s">
        <v>103</v>
      </c>
      <c r="CC145" s="155" t="s">
        <v>103</v>
      </c>
      <c r="CD145" s="155" t="s">
        <v>103</v>
      </c>
      <c r="CE145" s="155" t="s">
        <v>103</v>
      </c>
    </row>
    <row r="146" spans="1:83" ht="27.6" customHeight="1">
      <c r="A146" s="503" t="s">
        <v>449</v>
      </c>
      <c r="B146" s="164" t="s">
        <v>450</v>
      </c>
      <c r="C146" s="155" t="s">
        <v>451</v>
      </c>
      <c r="D146" s="153" t="s">
        <v>452</v>
      </c>
      <c r="E146" s="153">
        <v>90069</v>
      </c>
      <c r="F146" s="153">
        <v>6037700400</v>
      </c>
      <c r="G146" s="155" t="s">
        <v>110</v>
      </c>
      <c r="H146" s="674">
        <v>0.12557969691436918</v>
      </c>
      <c r="I146" s="508" t="s">
        <v>450</v>
      </c>
      <c r="J146" s="153" t="s">
        <v>117</v>
      </c>
      <c r="K146" s="572" t="s">
        <v>130</v>
      </c>
      <c r="L146" s="153" t="s">
        <v>452</v>
      </c>
      <c r="M146" s="153" t="s">
        <v>104</v>
      </c>
      <c r="N146" s="156">
        <v>2</v>
      </c>
      <c r="P146" s="156">
        <v>0</v>
      </c>
      <c r="Q146" s="156" t="s">
        <v>139</v>
      </c>
      <c r="R146" s="156">
        <v>0</v>
      </c>
      <c r="S146" s="156">
        <v>1</v>
      </c>
      <c r="T146" s="958" t="s">
        <v>105</v>
      </c>
      <c r="U146" s="153" t="s">
        <v>110</v>
      </c>
      <c r="V146" s="149">
        <v>40833</v>
      </c>
      <c r="W146" s="149">
        <v>41113</v>
      </c>
      <c r="X146" s="149">
        <v>42596</v>
      </c>
      <c r="Y146" s="149">
        <v>43404</v>
      </c>
      <c r="Z146" s="149">
        <v>43404</v>
      </c>
      <c r="AA146" s="149">
        <v>40833</v>
      </c>
      <c r="AB146" s="763" t="s">
        <v>151</v>
      </c>
      <c r="AC146" s="594">
        <f>Z146-V146</f>
        <v>2571</v>
      </c>
      <c r="AD146" s="153" t="s">
        <v>103</v>
      </c>
      <c r="AE146" s="149" t="s">
        <v>103</v>
      </c>
      <c r="AF146" s="153">
        <v>10</v>
      </c>
      <c r="AG146" s="153">
        <v>13</v>
      </c>
      <c r="AH146" s="596">
        <v>2018</v>
      </c>
      <c r="AI146" s="960">
        <v>0.42007575759999999</v>
      </c>
      <c r="AJ146" s="691">
        <v>2218</v>
      </c>
      <c r="AK146" s="153" t="s">
        <v>120</v>
      </c>
      <c r="AL146" s="791" t="s">
        <v>104</v>
      </c>
      <c r="AO146" s="963"/>
      <c r="AP146" s="94">
        <v>1900000</v>
      </c>
      <c r="AQ146" s="574">
        <v>2392069.4800000004</v>
      </c>
      <c r="AR146" s="153" t="s">
        <v>103</v>
      </c>
      <c r="AS146" s="153" t="s">
        <v>103</v>
      </c>
      <c r="AT146" s="156">
        <v>0</v>
      </c>
      <c r="AU146" s="777" t="s">
        <v>122</v>
      </c>
      <c r="AV146" s="777" t="s">
        <v>122</v>
      </c>
      <c r="AW146" s="777" t="s">
        <v>122</v>
      </c>
      <c r="AX146" s="155" t="s">
        <v>103</v>
      </c>
      <c r="AY146" s="155" t="s">
        <v>103</v>
      </c>
      <c r="AZ146" s="155" t="s">
        <v>103</v>
      </c>
      <c r="BA146" s="156">
        <v>0</v>
      </c>
      <c r="BB146" s="574">
        <f t="shared" ref="BB146" si="26">AQ146</f>
        <v>2392069.4800000004</v>
      </c>
      <c r="BC146" s="780">
        <f>AP146-AQ146</f>
        <v>-492069.48000000045</v>
      </c>
      <c r="BD146" s="508" t="s">
        <v>103</v>
      </c>
      <c r="BE146" s="679" t="s">
        <v>103</v>
      </c>
      <c r="BF146" s="156" t="s">
        <v>103</v>
      </c>
      <c r="BG146" s="94">
        <v>2194132</v>
      </c>
      <c r="BH146" s="766">
        <v>587058</v>
      </c>
      <c r="BI146" s="774">
        <v>1312942</v>
      </c>
      <c r="BJ146" s="774">
        <v>0</v>
      </c>
      <c r="BK146" s="153" t="s">
        <v>103</v>
      </c>
      <c r="BL146" s="153" t="s">
        <v>124</v>
      </c>
      <c r="BM146" s="94" t="s">
        <v>103</v>
      </c>
      <c r="BN146" s="155" t="s">
        <v>103</v>
      </c>
      <c r="BO146" s="153" t="s">
        <v>103</v>
      </c>
      <c r="BP146" s="153" t="s">
        <v>103</v>
      </c>
      <c r="BQ146" s="153" t="s">
        <v>103</v>
      </c>
      <c r="BR146" s="153" t="s">
        <v>110</v>
      </c>
      <c r="BS146" s="153" t="s">
        <v>104</v>
      </c>
      <c r="BT146" s="153" t="s">
        <v>104</v>
      </c>
      <c r="BU146" s="153" t="s">
        <v>104</v>
      </c>
      <c r="BV146" s="153" t="s">
        <v>110</v>
      </c>
      <c r="BW146" s="153" t="s">
        <v>104</v>
      </c>
      <c r="BX146" s="153" t="s">
        <v>104</v>
      </c>
      <c r="BY146" s="153" t="s">
        <v>104</v>
      </c>
      <c r="BZ146" s="153" t="s">
        <v>110</v>
      </c>
      <c r="CA146" s="616" t="s">
        <v>103</v>
      </c>
      <c r="CB146" s="153" t="s">
        <v>103</v>
      </c>
      <c r="CC146" s="153" t="s">
        <v>110</v>
      </c>
      <c r="CD146" s="153" t="s">
        <v>103</v>
      </c>
      <c r="CE146" s="153" t="s">
        <v>103</v>
      </c>
    </row>
    <row r="147" spans="1:83" ht="24" customHeight="1">
      <c r="A147" s="503"/>
      <c r="B147" s="164" t="s">
        <v>453</v>
      </c>
      <c r="C147" s="155" t="s">
        <v>454</v>
      </c>
      <c r="D147" s="153" t="s">
        <v>452</v>
      </c>
      <c r="E147" s="153">
        <v>90069</v>
      </c>
      <c r="F147" s="153">
        <v>6037700400</v>
      </c>
      <c r="G147" s="153" t="s">
        <v>110</v>
      </c>
      <c r="H147" s="153" t="s">
        <v>150</v>
      </c>
      <c r="I147" s="508" t="s">
        <v>453</v>
      </c>
      <c r="J147" s="153" t="s">
        <v>117</v>
      </c>
      <c r="K147" s="572" t="s">
        <v>205</v>
      </c>
      <c r="L147" s="153" t="s">
        <v>452</v>
      </c>
      <c r="M147" s="153" t="s">
        <v>110</v>
      </c>
      <c r="Q147" s="989" t="s">
        <v>131</v>
      </c>
      <c r="V147" s="149">
        <v>40833</v>
      </c>
      <c r="W147" s="149">
        <v>42752</v>
      </c>
      <c r="X147" s="149">
        <v>43809</v>
      </c>
      <c r="Y147" s="149">
        <v>44111</v>
      </c>
      <c r="Z147" s="149" t="s">
        <v>103</v>
      </c>
      <c r="AA147" s="572" t="s">
        <v>455</v>
      </c>
      <c r="AB147" s="153" t="s">
        <v>103</v>
      </c>
      <c r="AC147" s="594">
        <f>W147-V147</f>
        <v>1919</v>
      </c>
      <c r="AD147" s="149">
        <v>44111</v>
      </c>
      <c r="AE147" s="149" t="s">
        <v>103</v>
      </c>
      <c r="AF147" s="153" t="s">
        <v>103</v>
      </c>
      <c r="AG147" s="153" t="s">
        <v>103</v>
      </c>
      <c r="AH147" s="596" t="s">
        <v>103</v>
      </c>
      <c r="AI147" s="960" t="s">
        <v>103</v>
      </c>
      <c r="AJ147" s="607">
        <v>2490</v>
      </c>
      <c r="AK147" s="153" t="s">
        <v>120</v>
      </c>
      <c r="AL147" s="791" t="s">
        <v>103</v>
      </c>
      <c r="AO147" s="963"/>
      <c r="AP147" s="94">
        <v>1900000</v>
      </c>
      <c r="AQ147" s="574">
        <v>0</v>
      </c>
      <c r="AR147" s="153" t="s">
        <v>116</v>
      </c>
      <c r="AS147" s="153" t="s">
        <v>116</v>
      </c>
      <c r="AT147" s="777" t="s">
        <v>121</v>
      </c>
      <c r="AU147" s="777" t="s">
        <v>122</v>
      </c>
      <c r="AV147" s="777" t="s">
        <v>122</v>
      </c>
      <c r="AW147" s="777" t="s">
        <v>122</v>
      </c>
      <c r="AX147" s="155" t="s">
        <v>103</v>
      </c>
      <c r="AY147" s="155" t="s">
        <v>103</v>
      </c>
      <c r="AZ147" s="155" t="s">
        <v>103</v>
      </c>
      <c r="BB147" s="153"/>
      <c r="BC147" s="780" t="s">
        <v>103</v>
      </c>
      <c r="BD147" s="153" t="s">
        <v>103</v>
      </c>
      <c r="BE147" s="679" t="s">
        <v>103</v>
      </c>
      <c r="BF147" s="156" t="s">
        <v>103</v>
      </c>
      <c r="BG147" s="94">
        <v>24574.65</v>
      </c>
      <c r="BH147" s="766">
        <v>809927</v>
      </c>
      <c r="BI147" s="774">
        <v>1042462</v>
      </c>
      <c r="BJ147" s="774"/>
      <c r="BL147" s="153" t="s">
        <v>124</v>
      </c>
      <c r="BM147" s="94" t="s">
        <v>103</v>
      </c>
      <c r="BN147" s="155" t="s">
        <v>103</v>
      </c>
      <c r="BO147" s="153" t="s">
        <v>103</v>
      </c>
      <c r="BP147" s="153" t="s">
        <v>103</v>
      </c>
      <c r="BQ147" s="153" t="s">
        <v>103</v>
      </c>
      <c r="BR147" s="153" t="s">
        <v>103</v>
      </c>
      <c r="BS147" s="153" t="s">
        <v>110</v>
      </c>
      <c r="BT147" s="153" t="s">
        <v>103</v>
      </c>
      <c r="BU147" s="153" t="s">
        <v>103</v>
      </c>
      <c r="BV147" s="153" t="s">
        <v>110</v>
      </c>
      <c r="BW147" s="153" t="s">
        <v>103</v>
      </c>
      <c r="BX147" s="153" t="s">
        <v>103</v>
      </c>
      <c r="BY147" s="153" t="s">
        <v>103</v>
      </c>
      <c r="BZ147" s="153" t="s">
        <v>103</v>
      </c>
      <c r="CA147" s="616" t="s">
        <v>103</v>
      </c>
      <c r="CB147" s="153" t="s">
        <v>103</v>
      </c>
      <c r="CC147" s="153" t="s">
        <v>110</v>
      </c>
      <c r="CD147" s="153" t="s">
        <v>103</v>
      </c>
      <c r="CE147" s="153" t="s">
        <v>103</v>
      </c>
    </row>
    <row r="148" spans="1:83" ht="13.35" customHeight="1">
      <c r="A148" s="503" t="s">
        <v>456</v>
      </c>
      <c r="B148" s="164" t="s">
        <v>103</v>
      </c>
      <c r="C148" s="155" t="s">
        <v>103</v>
      </c>
      <c r="D148" s="153" t="s">
        <v>103</v>
      </c>
      <c r="E148" s="153" t="s">
        <v>103</v>
      </c>
      <c r="F148" s="958" t="s">
        <v>103</v>
      </c>
      <c r="G148" s="153" t="s">
        <v>110</v>
      </c>
      <c r="H148" s="673">
        <v>5.6119801319593744E-2</v>
      </c>
      <c r="I148" s="508" t="s">
        <v>103</v>
      </c>
      <c r="J148" s="958" t="s">
        <v>103</v>
      </c>
      <c r="K148" s="958" t="s">
        <v>103</v>
      </c>
      <c r="L148" s="155" t="s">
        <v>103</v>
      </c>
      <c r="M148" s="155" t="s">
        <v>103</v>
      </c>
      <c r="N148" s="156">
        <v>1</v>
      </c>
      <c r="O148" s="156" t="s">
        <v>103</v>
      </c>
      <c r="P148" s="156">
        <v>0</v>
      </c>
      <c r="Q148" s="958" t="s">
        <v>103</v>
      </c>
      <c r="R148" s="156">
        <v>0</v>
      </c>
      <c r="S148" s="156">
        <v>0</v>
      </c>
      <c r="T148" s="958" t="s">
        <v>105</v>
      </c>
      <c r="U148" s="153" t="s">
        <v>110</v>
      </c>
      <c r="V148" s="518" t="s">
        <v>103</v>
      </c>
      <c r="W148" s="991" t="s">
        <v>103</v>
      </c>
      <c r="X148" s="991" t="s">
        <v>103</v>
      </c>
      <c r="Y148" s="991" t="s">
        <v>103</v>
      </c>
      <c r="Z148" s="518" t="s">
        <v>103</v>
      </c>
      <c r="AA148" s="991" t="s">
        <v>103</v>
      </c>
      <c r="AB148" s="155" t="s">
        <v>103</v>
      </c>
      <c r="AC148" s="959" t="s">
        <v>103</v>
      </c>
      <c r="AD148" s="155" t="s">
        <v>103</v>
      </c>
      <c r="AE148" s="155" t="s">
        <v>103</v>
      </c>
      <c r="AF148" s="155" t="s">
        <v>103</v>
      </c>
      <c r="AG148" s="155" t="s">
        <v>103</v>
      </c>
      <c r="AH148" s="992" t="s">
        <v>103</v>
      </c>
      <c r="AI148" s="960" t="s">
        <v>103</v>
      </c>
      <c r="AJ148" s="992" t="s">
        <v>103</v>
      </c>
      <c r="AK148" s="155" t="s">
        <v>103</v>
      </c>
      <c r="AL148" s="993" t="s">
        <v>103</v>
      </c>
      <c r="AM148" s="155"/>
      <c r="AN148" s="155"/>
      <c r="AO148" s="994"/>
      <c r="AP148" s="94">
        <v>0</v>
      </c>
      <c r="AQ148" s="578">
        <v>0</v>
      </c>
      <c r="AR148" s="155" t="s">
        <v>103</v>
      </c>
      <c r="AS148" s="155" t="s">
        <v>103</v>
      </c>
      <c r="AT148" s="155" t="s">
        <v>103</v>
      </c>
      <c r="AU148" s="155" t="s">
        <v>103</v>
      </c>
      <c r="AV148" s="155" t="s">
        <v>103</v>
      </c>
      <c r="AW148" s="155" t="s">
        <v>103</v>
      </c>
      <c r="AX148" s="155" t="s">
        <v>103</v>
      </c>
      <c r="AY148" s="155" t="s">
        <v>103</v>
      </c>
      <c r="AZ148" s="155" t="s">
        <v>103</v>
      </c>
      <c r="BA148" s="155" t="s">
        <v>103</v>
      </c>
      <c r="BB148" s="155" t="s">
        <v>103</v>
      </c>
      <c r="BC148" s="155" t="s">
        <v>103</v>
      </c>
      <c r="BD148" s="155" t="s">
        <v>103</v>
      </c>
      <c r="BE148" s="989" t="s">
        <v>103</v>
      </c>
      <c r="BF148" s="155" t="s">
        <v>103</v>
      </c>
      <c r="BG148" s="961">
        <v>0</v>
      </c>
      <c r="BH148" s="155" t="s">
        <v>103</v>
      </c>
      <c r="BI148" s="990" t="s">
        <v>103</v>
      </c>
      <c r="BJ148" s="155" t="s">
        <v>103</v>
      </c>
      <c r="BK148" s="155" t="s">
        <v>103</v>
      </c>
      <c r="BL148" s="155" t="s">
        <v>103</v>
      </c>
      <c r="BM148" s="155" t="s">
        <v>103</v>
      </c>
      <c r="BN148" s="155" t="s">
        <v>103</v>
      </c>
      <c r="BO148" s="155" t="s">
        <v>103</v>
      </c>
      <c r="BP148" s="155" t="s">
        <v>103</v>
      </c>
      <c r="BQ148" s="155" t="s">
        <v>103</v>
      </c>
      <c r="BR148" s="155" t="s">
        <v>103</v>
      </c>
      <c r="BS148" s="155" t="s">
        <v>103</v>
      </c>
      <c r="BT148" s="155" t="s">
        <v>103</v>
      </c>
      <c r="BU148" s="155" t="s">
        <v>103</v>
      </c>
      <c r="BV148" s="155" t="s">
        <v>103</v>
      </c>
      <c r="BW148" s="155" t="s">
        <v>103</v>
      </c>
      <c r="BX148" s="155" t="s">
        <v>103</v>
      </c>
      <c r="BY148" s="155" t="s">
        <v>103</v>
      </c>
      <c r="BZ148" s="155" t="s">
        <v>103</v>
      </c>
      <c r="CA148" s="155" t="s">
        <v>103</v>
      </c>
      <c r="CB148" s="155" t="s">
        <v>103</v>
      </c>
      <c r="CC148" s="155" t="s">
        <v>103</v>
      </c>
      <c r="CD148" s="155" t="s">
        <v>103</v>
      </c>
      <c r="CE148" s="155" t="s">
        <v>103</v>
      </c>
    </row>
    <row r="149" spans="1:83" ht="37.5" customHeight="1">
      <c r="A149" s="503" t="s">
        <v>457</v>
      </c>
      <c r="B149" s="164" t="s">
        <v>458</v>
      </c>
      <c r="C149" s="155" t="s">
        <v>459</v>
      </c>
      <c r="D149" s="153">
        <v>7433</v>
      </c>
      <c r="E149" s="153">
        <v>90602</v>
      </c>
      <c r="F149" s="153">
        <v>6037501002</v>
      </c>
      <c r="G149" s="155" t="s">
        <v>104</v>
      </c>
      <c r="H149" s="674">
        <v>0.26022580339966572</v>
      </c>
      <c r="I149" s="508" t="s">
        <v>458</v>
      </c>
      <c r="J149" s="153" t="s">
        <v>117</v>
      </c>
      <c r="L149" s="153">
        <v>7433</v>
      </c>
      <c r="M149" s="153" t="s">
        <v>110</v>
      </c>
      <c r="N149" s="156">
        <v>4</v>
      </c>
      <c r="P149" s="156">
        <v>0</v>
      </c>
      <c r="Q149" s="989" t="s">
        <v>131</v>
      </c>
      <c r="R149" s="156">
        <v>0</v>
      </c>
      <c r="S149" s="156">
        <v>1</v>
      </c>
      <c r="T149" s="958" t="s">
        <v>105</v>
      </c>
      <c r="U149" s="153" t="s">
        <v>104</v>
      </c>
      <c r="V149" s="149">
        <v>37390</v>
      </c>
      <c r="W149" s="149">
        <v>39252</v>
      </c>
      <c r="X149" s="149">
        <v>43548</v>
      </c>
      <c r="Y149" s="149">
        <v>43790</v>
      </c>
      <c r="Z149" s="149" t="s">
        <v>103</v>
      </c>
      <c r="AA149" s="149">
        <v>37390</v>
      </c>
      <c r="AB149" s="153" t="s">
        <v>103</v>
      </c>
      <c r="AC149" s="594">
        <f t="shared" ref="AC149:AC150" si="27">W149-V149</f>
        <v>1862</v>
      </c>
      <c r="AD149" s="149">
        <v>43790</v>
      </c>
      <c r="AE149" s="149" t="s">
        <v>103</v>
      </c>
      <c r="AF149" s="153" t="s">
        <v>103</v>
      </c>
      <c r="AG149" s="153" t="s">
        <v>103</v>
      </c>
      <c r="AH149" s="596" t="s">
        <v>103</v>
      </c>
      <c r="AI149" s="960" t="s">
        <v>103</v>
      </c>
      <c r="AJ149" s="607">
        <v>5220</v>
      </c>
      <c r="AK149" s="153" t="s">
        <v>152</v>
      </c>
      <c r="AL149" s="791" t="s">
        <v>103</v>
      </c>
      <c r="AO149" s="963"/>
      <c r="AP149" s="94">
        <v>3200000</v>
      </c>
      <c r="AQ149" s="574">
        <v>0</v>
      </c>
      <c r="AR149" s="153" t="s">
        <v>116</v>
      </c>
      <c r="AS149" s="153" t="s">
        <v>116</v>
      </c>
      <c r="AT149" s="777" t="s">
        <v>122</v>
      </c>
      <c r="AU149" s="777" t="s">
        <v>122</v>
      </c>
      <c r="AV149" s="777" t="s">
        <v>122</v>
      </c>
      <c r="AW149" s="777" t="s">
        <v>122</v>
      </c>
      <c r="AX149" s="155" t="s">
        <v>103</v>
      </c>
      <c r="AY149" s="155" t="s">
        <v>103</v>
      </c>
      <c r="AZ149" s="155" t="s">
        <v>103</v>
      </c>
      <c r="BA149" s="156">
        <v>0</v>
      </c>
      <c r="BB149" s="153"/>
      <c r="BC149" s="780" t="s">
        <v>103</v>
      </c>
      <c r="BD149" s="153" t="s">
        <v>103</v>
      </c>
      <c r="BE149" s="679" t="s">
        <v>103</v>
      </c>
      <c r="BF149" s="156" t="s">
        <v>103</v>
      </c>
      <c r="BG149" s="94">
        <v>353505</v>
      </c>
      <c r="BH149" s="766" t="s">
        <v>123</v>
      </c>
      <c r="BI149" s="774">
        <v>0</v>
      </c>
      <c r="BJ149" s="774">
        <v>0</v>
      </c>
      <c r="BK149" s="153" t="s">
        <v>103</v>
      </c>
      <c r="BL149" s="153" t="s">
        <v>124</v>
      </c>
      <c r="BM149" s="94" t="s">
        <v>103</v>
      </c>
      <c r="BN149" s="155" t="s">
        <v>103</v>
      </c>
      <c r="BO149" s="153" t="s">
        <v>103</v>
      </c>
      <c r="BP149" s="153" t="s">
        <v>103</v>
      </c>
      <c r="BQ149" s="153" t="s">
        <v>103</v>
      </c>
      <c r="BR149" s="153" t="s">
        <v>110</v>
      </c>
      <c r="BS149" s="153" t="s">
        <v>104</v>
      </c>
      <c r="BT149" s="153" t="s">
        <v>110</v>
      </c>
      <c r="BU149" s="153" t="s">
        <v>110</v>
      </c>
      <c r="BV149" s="153" t="s">
        <v>103</v>
      </c>
      <c r="BW149" s="153" t="s">
        <v>110</v>
      </c>
      <c r="BX149" s="153" t="s">
        <v>110</v>
      </c>
      <c r="BY149" s="153" t="s">
        <v>110</v>
      </c>
      <c r="BZ149" s="153" t="s">
        <v>110</v>
      </c>
      <c r="CA149" s="616" t="s">
        <v>110</v>
      </c>
      <c r="CB149" s="153" t="s">
        <v>110</v>
      </c>
      <c r="CC149" s="153" t="s">
        <v>110</v>
      </c>
      <c r="CD149" s="153" t="s">
        <v>110</v>
      </c>
      <c r="CE149" s="153" t="s">
        <v>110</v>
      </c>
    </row>
    <row r="150" spans="1:83" ht="26.1">
      <c r="A150" s="503"/>
      <c r="B150" s="1013" t="s">
        <v>460</v>
      </c>
      <c r="C150" s="155" t="s">
        <v>461</v>
      </c>
      <c r="D150" s="153">
        <v>7781</v>
      </c>
      <c r="E150" s="153">
        <v>90602</v>
      </c>
      <c r="F150" s="153">
        <v>6037500202</v>
      </c>
      <c r="G150" s="153" t="s">
        <v>110</v>
      </c>
      <c r="H150" s="153" t="s">
        <v>150</v>
      </c>
      <c r="I150" s="508" t="s">
        <v>460</v>
      </c>
      <c r="J150" s="153" t="s">
        <v>117</v>
      </c>
      <c r="K150" s="572" t="s">
        <v>205</v>
      </c>
      <c r="L150" s="153">
        <v>7781</v>
      </c>
      <c r="M150" s="153" t="s">
        <v>110</v>
      </c>
      <c r="Q150" s="989" t="s">
        <v>131</v>
      </c>
      <c r="V150" s="149">
        <v>38517</v>
      </c>
      <c r="W150" s="149">
        <v>41929</v>
      </c>
      <c r="X150" s="149">
        <v>43703</v>
      </c>
      <c r="Y150" s="149">
        <v>43921</v>
      </c>
      <c r="Z150" s="149" t="s">
        <v>103</v>
      </c>
      <c r="AA150" s="149">
        <v>38517</v>
      </c>
      <c r="AB150" s="153" t="s">
        <v>103</v>
      </c>
      <c r="AC150" s="594">
        <f t="shared" si="27"/>
        <v>3412</v>
      </c>
      <c r="AD150" s="149">
        <v>43921</v>
      </c>
      <c r="AE150" s="149" t="s">
        <v>103</v>
      </c>
      <c r="AF150" s="153" t="s">
        <v>103</v>
      </c>
      <c r="AG150" s="153" t="s">
        <v>103</v>
      </c>
      <c r="AH150" s="596" t="s">
        <v>103</v>
      </c>
      <c r="AI150" s="960" t="s">
        <v>103</v>
      </c>
      <c r="AJ150" s="607">
        <v>7430</v>
      </c>
      <c r="AK150" s="153" t="s">
        <v>152</v>
      </c>
      <c r="AL150" s="791" t="s">
        <v>103</v>
      </c>
      <c r="AO150" s="963"/>
      <c r="AP150" s="94">
        <v>4200000</v>
      </c>
      <c r="AQ150" s="574">
        <v>0</v>
      </c>
      <c r="AR150" s="153" t="s">
        <v>116</v>
      </c>
      <c r="AS150" s="153" t="s">
        <v>116</v>
      </c>
      <c r="AT150" s="777" t="s">
        <v>122</v>
      </c>
      <c r="AU150" s="777" t="s">
        <v>122</v>
      </c>
      <c r="AV150" s="777" t="s">
        <v>122</v>
      </c>
      <c r="AW150" s="777" t="s">
        <v>122</v>
      </c>
      <c r="AX150" s="155" t="s">
        <v>103</v>
      </c>
      <c r="AY150" s="155" t="s">
        <v>103</v>
      </c>
      <c r="AZ150" s="155" t="s">
        <v>103</v>
      </c>
      <c r="BA150" s="156">
        <v>0</v>
      </c>
      <c r="BB150" s="153"/>
      <c r="BC150" s="780" t="s">
        <v>103</v>
      </c>
      <c r="BD150" s="153" t="s">
        <v>103</v>
      </c>
      <c r="BE150" s="679" t="s">
        <v>103</v>
      </c>
      <c r="BF150" s="156" t="s">
        <v>103</v>
      </c>
      <c r="BG150" s="94">
        <v>19113.47</v>
      </c>
      <c r="BH150" s="766" t="s">
        <v>123</v>
      </c>
      <c r="BI150" s="774">
        <v>0</v>
      </c>
      <c r="BJ150" s="774">
        <v>0</v>
      </c>
      <c r="BK150" s="153" t="s">
        <v>103</v>
      </c>
      <c r="BL150" s="153" t="s">
        <v>124</v>
      </c>
      <c r="BM150" s="94" t="s">
        <v>103</v>
      </c>
      <c r="BN150" s="155" t="s">
        <v>103</v>
      </c>
      <c r="BO150" s="153" t="s">
        <v>103</v>
      </c>
      <c r="BP150" s="153" t="s">
        <v>103</v>
      </c>
      <c r="BQ150" s="153" t="s">
        <v>103</v>
      </c>
      <c r="BR150" s="153" t="s">
        <v>110</v>
      </c>
      <c r="BS150" s="153" t="s">
        <v>104</v>
      </c>
      <c r="BT150" s="153" t="s">
        <v>110</v>
      </c>
      <c r="BU150" s="153" t="s">
        <v>110</v>
      </c>
      <c r="BV150" s="153" t="s">
        <v>103</v>
      </c>
      <c r="BW150" s="153" t="s">
        <v>110</v>
      </c>
      <c r="BX150" s="153" t="s">
        <v>110</v>
      </c>
      <c r="BY150" s="153" t="s">
        <v>110</v>
      </c>
      <c r="BZ150" s="153" t="s">
        <v>110</v>
      </c>
      <c r="CA150" s="616" t="s">
        <v>110</v>
      </c>
      <c r="CB150" s="153" t="s">
        <v>110</v>
      </c>
      <c r="CC150" s="153" t="s">
        <v>110</v>
      </c>
      <c r="CD150" s="153" t="s">
        <v>110</v>
      </c>
      <c r="CE150" s="153" t="s">
        <v>110</v>
      </c>
    </row>
    <row r="151" spans="1:83" ht="51.95">
      <c r="A151" s="503"/>
      <c r="B151" s="1013" t="s">
        <v>462</v>
      </c>
      <c r="C151" s="155" t="s">
        <v>463</v>
      </c>
      <c r="D151" s="153">
        <v>7433</v>
      </c>
      <c r="E151" s="153">
        <v>90602</v>
      </c>
      <c r="F151" s="153">
        <v>6037500202</v>
      </c>
      <c r="G151" s="153" t="s">
        <v>110</v>
      </c>
      <c r="H151" s="153" t="s">
        <v>150</v>
      </c>
      <c r="I151" s="508" t="s">
        <v>462</v>
      </c>
      <c r="J151" s="153" t="s">
        <v>117</v>
      </c>
      <c r="K151" s="572" t="s">
        <v>178</v>
      </c>
      <c r="L151" s="153">
        <v>7433</v>
      </c>
      <c r="M151" s="153" t="s">
        <v>104</v>
      </c>
      <c r="Q151" s="156" t="s">
        <v>139</v>
      </c>
      <c r="V151" s="149">
        <v>37390</v>
      </c>
      <c r="W151" s="149">
        <v>38838</v>
      </c>
      <c r="X151" s="149">
        <v>38794</v>
      </c>
      <c r="Y151" s="149">
        <v>40232</v>
      </c>
      <c r="Z151" s="149">
        <v>40232</v>
      </c>
      <c r="AA151" s="149">
        <v>37390</v>
      </c>
      <c r="AB151" s="763" t="s">
        <v>151</v>
      </c>
      <c r="AC151" s="594">
        <v>1034.2857142857142</v>
      </c>
      <c r="AD151" s="153" t="s">
        <v>103</v>
      </c>
      <c r="AE151" s="149" t="s">
        <v>103</v>
      </c>
      <c r="AF151" s="596">
        <v>33</v>
      </c>
      <c r="AG151" s="596">
        <v>22</v>
      </c>
      <c r="AH151" s="595">
        <v>9055.3333333333339</v>
      </c>
      <c r="AI151" s="614">
        <v>1.7150252525252527</v>
      </c>
      <c r="AJ151" s="607">
        <v>6475</v>
      </c>
      <c r="AK151" s="153" t="s">
        <v>152</v>
      </c>
      <c r="AL151" s="791" t="s">
        <v>110</v>
      </c>
      <c r="AO151" s="963"/>
      <c r="AP151" s="154">
        <v>2590000</v>
      </c>
      <c r="AQ151" s="574">
        <v>2479259</v>
      </c>
      <c r="AR151" s="153" t="s">
        <v>116</v>
      </c>
      <c r="AS151" s="153" t="s">
        <v>116</v>
      </c>
      <c r="AT151" s="1014">
        <v>0</v>
      </c>
      <c r="AU151" s="777" t="s">
        <v>122</v>
      </c>
      <c r="AV151" s="777" t="s">
        <v>122</v>
      </c>
      <c r="AW151" s="777" t="s">
        <v>122</v>
      </c>
      <c r="AX151" s="155" t="s">
        <v>103</v>
      </c>
      <c r="AY151" s="155" t="s">
        <v>103</v>
      </c>
      <c r="AZ151" s="155" t="s">
        <v>103</v>
      </c>
      <c r="BA151" s="156">
        <v>0</v>
      </c>
      <c r="BB151" s="574">
        <f t="shared" ref="BB151" si="28">AQ151</f>
        <v>2479259</v>
      </c>
      <c r="BC151" s="780">
        <f>AP151-AQ151</f>
        <v>110741</v>
      </c>
      <c r="BD151" s="996" t="s">
        <v>464</v>
      </c>
      <c r="BE151" s="679">
        <v>0</v>
      </c>
      <c r="BF151" s="153" t="s">
        <v>103</v>
      </c>
      <c r="BG151" s="94">
        <v>2479259</v>
      </c>
      <c r="BH151" s="766" t="s">
        <v>123</v>
      </c>
      <c r="BI151" s="774">
        <v>0</v>
      </c>
      <c r="BJ151" s="774">
        <v>0</v>
      </c>
      <c r="BK151" s="153" t="s">
        <v>103</v>
      </c>
      <c r="BL151" s="153" t="s">
        <v>124</v>
      </c>
      <c r="BM151" s="94" t="s">
        <v>103</v>
      </c>
      <c r="BN151" s="155" t="s">
        <v>103</v>
      </c>
      <c r="BO151" s="153" t="s">
        <v>103</v>
      </c>
      <c r="BP151" s="153" t="s">
        <v>103</v>
      </c>
      <c r="BQ151" s="153" t="s">
        <v>103</v>
      </c>
      <c r="BR151" s="153" t="s">
        <v>110</v>
      </c>
      <c r="BS151" s="153" t="s">
        <v>104</v>
      </c>
      <c r="BT151" s="153" t="s">
        <v>110</v>
      </c>
      <c r="BU151" s="153" t="s">
        <v>110</v>
      </c>
      <c r="BV151" s="153" t="s">
        <v>103</v>
      </c>
      <c r="BW151" s="153" t="s">
        <v>110</v>
      </c>
      <c r="BX151" s="153" t="s">
        <v>110</v>
      </c>
      <c r="BY151" s="153" t="s">
        <v>110</v>
      </c>
      <c r="BZ151" s="153" t="s">
        <v>110</v>
      </c>
      <c r="CA151" s="616" t="s">
        <v>110</v>
      </c>
      <c r="CB151" s="153" t="s">
        <v>110</v>
      </c>
      <c r="CC151" s="153" t="s">
        <v>110</v>
      </c>
      <c r="CD151" s="153" t="s">
        <v>110</v>
      </c>
      <c r="CE151" s="153" t="s">
        <v>110</v>
      </c>
    </row>
    <row r="152" spans="1:83" ht="27.6" customHeight="1">
      <c r="A152" s="503"/>
      <c r="B152" s="165" t="s">
        <v>465</v>
      </c>
      <c r="C152" s="155" t="s">
        <v>466</v>
      </c>
      <c r="D152" s="153">
        <v>8722</v>
      </c>
      <c r="E152" s="153">
        <v>90602</v>
      </c>
      <c r="F152" s="153">
        <v>6037501803</v>
      </c>
      <c r="G152" s="153" t="s">
        <v>104</v>
      </c>
      <c r="H152" s="153" t="s">
        <v>150</v>
      </c>
      <c r="I152" s="508" t="s">
        <v>467</v>
      </c>
      <c r="J152" s="153" t="s">
        <v>117</v>
      </c>
      <c r="K152" s="572" t="s">
        <v>468</v>
      </c>
      <c r="L152" s="153">
        <v>8722</v>
      </c>
      <c r="M152" s="153" t="s">
        <v>110</v>
      </c>
      <c r="Q152" s="989" t="s">
        <v>131</v>
      </c>
      <c r="V152" s="149">
        <v>42227</v>
      </c>
      <c r="W152" s="149">
        <v>42487</v>
      </c>
      <c r="X152" s="149">
        <v>44187</v>
      </c>
      <c r="Y152" s="149">
        <v>44489</v>
      </c>
      <c r="Z152" s="149" t="s">
        <v>103</v>
      </c>
      <c r="AA152" s="572">
        <v>2016</v>
      </c>
      <c r="AB152" s="153" t="s">
        <v>103</v>
      </c>
      <c r="AC152" s="594">
        <f>W152-V152</f>
        <v>260</v>
      </c>
      <c r="AD152" s="149">
        <v>44489</v>
      </c>
      <c r="AE152" s="153" t="s">
        <v>103</v>
      </c>
      <c r="AF152" s="153" t="s">
        <v>103</v>
      </c>
      <c r="AG152" s="153" t="s">
        <v>103</v>
      </c>
      <c r="AH152" s="596" t="s">
        <v>103</v>
      </c>
      <c r="AI152" s="960" t="s">
        <v>103</v>
      </c>
      <c r="AJ152" s="607">
        <v>2080</v>
      </c>
      <c r="AK152" s="153" t="s">
        <v>152</v>
      </c>
      <c r="AL152" s="791" t="s">
        <v>103</v>
      </c>
      <c r="AO152" s="963"/>
      <c r="AP152" s="94">
        <v>1200000</v>
      </c>
      <c r="AQ152" s="574">
        <v>0</v>
      </c>
      <c r="AR152" s="153" t="s">
        <v>116</v>
      </c>
      <c r="AS152" s="153" t="s">
        <v>116</v>
      </c>
      <c r="AT152" s="777" t="s">
        <v>122</v>
      </c>
      <c r="AU152" s="777" t="s">
        <v>122</v>
      </c>
      <c r="AV152" s="777" t="s">
        <v>122</v>
      </c>
      <c r="AW152" s="777" t="s">
        <v>122</v>
      </c>
      <c r="AX152" s="155" t="s">
        <v>103</v>
      </c>
      <c r="AY152" s="155" t="s">
        <v>103</v>
      </c>
      <c r="AZ152" s="155" t="s">
        <v>103</v>
      </c>
      <c r="BA152" s="156">
        <v>0</v>
      </c>
      <c r="BB152" s="153"/>
      <c r="BC152" s="780" t="s">
        <v>103</v>
      </c>
      <c r="BD152" s="153" t="s">
        <v>103</v>
      </c>
      <c r="BE152" s="679" t="s">
        <v>103</v>
      </c>
      <c r="BF152" s="153" t="s">
        <v>103</v>
      </c>
      <c r="BG152" s="94">
        <v>40230.21</v>
      </c>
      <c r="BH152" s="766">
        <v>0</v>
      </c>
      <c r="BI152" s="774">
        <v>164725</v>
      </c>
      <c r="BJ152" s="774"/>
      <c r="BL152" s="153" t="s">
        <v>124</v>
      </c>
      <c r="BM152" s="94" t="s">
        <v>103</v>
      </c>
      <c r="BN152" s="155" t="s">
        <v>103</v>
      </c>
      <c r="BO152" s="153" t="s">
        <v>103</v>
      </c>
      <c r="BP152" s="153" t="s">
        <v>103</v>
      </c>
      <c r="BQ152" s="153" t="s">
        <v>103</v>
      </c>
      <c r="BR152" s="153" t="s">
        <v>110</v>
      </c>
      <c r="BS152" s="153" t="s">
        <v>104</v>
      </c>
      <c r="BT152" s="153" t="s">
        <v>110</v>
      </c>
      <c r="BU152" s="153" t="s">
        <v>110</v>
      </c>
      <c r="BV152" s="153" t="s">
        <v>103</v>
      </c>
      <c r="BW152" s="153" t="s">
        <v>110</v>
      </c>
      <c r="BX152" s="153" t="s">
        <v>110</v>
      </c>
      <c r="BY152" s="153" t="s">
        <v>110</v>
      </c>
      <c r="BZ152" s="153" t="s">
        <v>110</v>
      </c>
      <c r="CA152" s="616" t="s">
        <v>110</v>
      </c>
      <c r="CB152" s="153" t="s">
        <v>110</v>
      </c>
      <c r="CC152" s="153" t="s">
        <v>110</v>
      </c>
      <c r="CD152" s="153" t="s">
        <v>110</v>
      </c>
      <c r="CE152" s="153" t="s">
        <v>110</v>
      </c>
    </row>
    <row r="153" spans="1:83" ht="27.6" customHeight="1">
      <c r="A153" s="503" t="s">
        <v>469</v>
      </c>
      <c r="B153" s="164" t="s">
        <v>470</v>
      </c>
      <c r="C153" s="155" t="s">
        <v>471</v>
      </c>
      <c r="D153" s="153" t="s">
        <v>472</v>
      </c>
      <c r="E153" s="153">
        <v>91748</v>
      </c>
      <c r="F153" s="153">
        <v>6037408212</v>
      </c>
      <c r="G153" s="155" t="s">
        <v>110</v>
      </c>
      <c r="H153" s="675">
        <v>0.25945974154126422</v>
      </c>
      <c r="I153" s="508" t="s">
        <v>470</v>
      </c>
      <c r="J153" s="153" t="s">
        <v>117</v>
      </c>
      <c r="K153" s="572" t="s">
        <v>217</v>
      </c>
      <c r="L153" s="153" t="s">
        <v>472</v>
      </c>
      <c r="M153" s="153" t="s">
        <v>104</v>
      </c>
      <c r="N153" s="156">
        <v>10</v>
      </c>
      <c r="P153" s="156">
        <v>0</v>
      </c>
      <c r="Q153" s="156" t="s">
        <v>139</v>
      </c>
      <c r="R153" s="156">
        <v>1</v>
      </c>
      <c r="S153" s="156">
        <v>8</v>
      </c>
      <c r="T153" s="958" t="s">
        <v>105</v>
      </c>
      <c r="U153" s="153" t="s">
        <v>104</v>
      </c>
      <c r="V153" s="149">
        <v>41240</v>
      </c>
      <c r="W153" s="149">
        <v>41906</v>
      </c>
      <c r="X153" s="149">
        <v>42437</v>
      </c>
      <c r="Y153" s="149">
        <v>42722</v>
      </c>
      <c r="Z153" s="149">
        <v>42722</v>
      </c>
      <c r="AA153" s="149">
        <v>41240</v>
      </c>
      <c r="AB153" s="763" t="s">
        <v>121</v>
      </c>
      <c r="AC153" s="594">
        <v>475.71428571428567</v>
      </c>
      <c r="AD153" s="153" t="s">
        <v>103</v>
      </c>
      <c r="AE153" s="149" t="s">
        <v>103</v>
      </c>
      <c r="AF153" s="596">
        <v>21</v>
      </c>
      <c r="AG153" s="596">
        <v>42</v>
      </c>
      <c r="AH153" s="597">
        <v>3810</v>
      </c>
      <c r="AI153" s="615">
        <v>0.72159090909090906</v>
      </c>
      <c r="AJ153" s="607">
        <v>3830</v>
      </c>
      <c r="AK153" s="153" t="s">
        <v>120</v>
      </c>
      <c r="AL153" s="791" t="s">
        <v>110</v>
      </c>
      <c r="AO153" s="963"/>
      <c r="AP153" s="519">
        <v>2100000</v>
      </c>
      <c r="AQ153" s="580">
        <v>1142553.68</v>
      </c>
      <c r="AR153" s="153" t="s">
        <v>116</v>
      </c>
      <c r="AS153" s="153" t="s">
        <v>116</v>
      </c>
      <c r="AT153" s="1014">
        <v>0</v>
      </c>
      <c r="AU153" s="777" t="s">
        <v>122</v>
      </c>
      <c r="AV153" s="777" t="s">
        <v>122</v>
      </c>
      <c r="AW153" s="777" t="s">
        <v>122</v>
      </c>
      <c r="AX153" s="155" t="s">
        <v>103</v>
      </c>
      <c r="AY153" s="155" t="s">
        <v>103</v>
      </c>
      <c r="AZ153" s="155" t="s">
        <v>103</v>
      </c>
      <c r="BA153" s="156">
        <v>0</v>
      </c>
      <c r="BB153" s="574">
        <f t="shared" ref="BB153:BB156" si="29">AQ153</f>
        <v>1142553.68</v>
      </c>
      <c r="BC153" s="780">
        <v>957446.32000000007</v>
      </c>
      <c r="BD153" s="1008" t="s">
        <v>121</v>
      </c>
      <c r="BE153" s="679">
        <v>0</v>
      </c>
      <c r="BF153" s="153" t="s">
        <v>103</v>
      </c>
      <c r="BG153" s="519">
        <v>1142553.68</v>
      </c>
      <c r="BH153" s="769">
        <v>26305699</v>
      </c>
      <c r="BI153" s="774">
        <v>0</v>
      </c>
      <c r="BJ153" s="774">
        <v>0</v>
      </c>
      <c r="BK153" s="153" t="s">
        <v>103</v>
      </c>
      <c r="BL153" s="153" t="s">
        <v>124</v>
      </c>
      <c r="BM153" s="519" t="s">
        <v>103</v>
      </c>
      <c r="BN153" s="155" t="s">
        <v>103</v>
      </c>
      <c r="BO153" s="153" t="s">
        <v>103</v>
      </c>
      <c r="BP153" s="153" t="s">
        <v>103</v>
      </c>
      <c r="BQ153" s="153" t="s">
        <v>103</v>
      </c>
      <c r="BR153" s="153" t="s">
        <v>110</v>
      </c>
      <c r="BS153" s="153" t="s">
        <v>110</v>
      </c>
      <c r="BT153" s="153" t="s">
        <v>110</v>
      </c>
      <c r="BU153" s="153" t="s">
        <v>110</v>
      </c>
      <c r="BV153" s="153" t="s">
        <v>103</v>
      </c>
      <c r="BW153" s="153" t="s">
        <v>110</v>
      </c>
      <c r="BX153" s="153" t="s">
        <v>110</v>
      </c>
      <c r="BY153" s="153" t="s">
        <v>110</v>
      </c>
      <c r="BZ153" s="153" t="s">
        <v>110</v>
      </c>
      <c r="CA153" s="616" t="s">
        <v>110</v>
      </c>
      <c r="CB153" s="153" t="s">
        <v>110</v>
      </c>
      <c r="CC153" s="153" t="s">
        <v>110</v>
      </c>
      <c r="CD153" s="153" t="s">
        <v>110</v>
      </c>
      <c r="CE153" s="153" t="s">
        <v>110</v>
      </c>
    </row>
    <row r="154" spans="1:83" ht="27.6" customHeight="1">
      <c r="A154" s="503"/>
      <c r="B154" s="573" t="s">
        <v>473</v>
      </c>
      <c r="C154" s="155" t="s">
        <v>474</v>
      </c>
      <c r="D154" s="153" t="s">
        <v>472</v>
      </c>
      <c r="E154" s="153">
        <v>91748</v>
      </c>
      <c r="F154" s="153">
        <v>6037408704</v>
      </c>
      <c r="G154" s="153" t="s">
        <v>110</v>
      </c>
      <c r="H154" s="153" t="s">
        <v>150</v>
      </c>
      <c r="I154" s="508" t="s">
        <v>473</v>
      </c>
      <c r="J154" s="153" t="s">
        <v>117</v>
      </c>
      <c r="K154" s="572" t="s">
        <v>217</v>
      </c>
      <c r="L154" s="153" t="s">
        <v>472</v>
      </c>
      <c r="M154" s="153" t="s">
        <v>104</v>
      </c>
      <c r="Q154" s="156" t="s">
        <v>139</v>
      </c>
      <c r="V154" s="149">
        <v>41240</v>
      </c>
      <c r="W154" s="149">
        <v>41906</v>
      </c>
      <c r="X154" s="149">
        <v>42437</v>
      </c>
      <c r="Y154" s="149">
        <v>42722</v>
      </c>
      <c r="Z154" s="149">
        <v>42722</v>
      </c>
      <c r="AA154" s="149">
        <v>41240</v>
      </c>
      <c r="AB154" s="763" t="s">
        <v>151</v>
      </c>
      <c r="AC154" s="594">
        <v>475.71428571428567</v>
      </c>
      <c r="AD154" s="153" t="s">
        <v>103</v>
      </c>
      <c r="AE154" s="149" t="s">
        <v>103</v>
      </c>
      <c r="AF154" s="596">
        <v>18</v>
      </c>
      <c r="AG154" s="596">
        <v>0</v>
      </c>
      <c r="AH154" s="595">
        <v>5020.666666666667</v>
      </c>
      <c r="AI154" s="614">
        <v>0.95088383838383839</v>
      </c>
      <c r="AJ154" s="607">
        <v>3240</v>
      </c>
      <c r="AK154" s="153" t="s">
        <v>120</v>
      </c>
      <c r="AL154" s="791" t="s">
        <v>110</v>
      </c>
      <c r="AO154" s="963"/>
      <c r="AP154" s="519">
        <v>1800000</v>
      </c>
      <c r="AQ154" s="574">
        <v>2050012.73</v>
      </c>
      <c r="AR154" s="153" t="s">
        <v>116</v>
      </c>
      <c r="AS154" s="153" t="s">
        <v>116</v>
      </c>
      <c r="AT154" s="1014">
        <v>0</v>
      </c>
      <c r="AU154" s="777" t="s">
        <v>122</v>
      </c>
      <c r="AV154" s="777" t="s">
        <v>122</v>
      </c>
      <c r="AW154" s="777" t="s">
        <v>122</v>
      </c>
      <c r="AX154" s="155" t="s">
        <v>103</v>
      </c>
      <c r="AY154" s="155" t="s">
        <v>103</v>
      </c>
      <c r="AZ154" s="155" t="s">
        <v>103</v>
      </c>
      <c r="BA154" s="156">
        <v>0</v>
      </c>
      <c r="BB154" s="574">
        <f t="shared" si="29"/>
        <v>2050012.73</v>
      </c>
      <c r="BC154" s="780">
        <v>-250012.72999999998</v>
      </c>
      <c r="BD154" s="1008" t="s">
        <v>151</v>
      </c>
      <c r="BE154" s="679">
        <v>0</v>
      </c>
      <c r="BF154" s="153" t="s">
        <v>103</v>
      </c>
      <c r="BG154" s="94">
        <v>2050012.73</v>
      </c>
      <c r="BH154" s="769">
        <v>26305699</v>
      </c>
      <c r="BI154" s="774">
        <v>0</v>
      </c>
      <c r="BJ154" s="774">
        <v>0</v>
      </c>
      <c r="BK154" s="153" t="s">
        <v>103</v>
      </c>
      <c r="BL154" s="153" t="s">
        <v>124</v>
      </c>
      <c r="BM154" s="94" t="s">
        <v>103</v>
      </c>
      <c r="BN154" s="155" t="s">
        <v>103</v>
      </c>
      <c r="BO154" s="153" t="s">
        <v>103</v>
      </c>
      <c r="BP154" s="153" t="s">
        <v>103</v>
      </c>
      <c r="BQ154" s="153" t="s">
        <v>103</v>
      </c>
      <c r="BR154" s="153" t="s">
        <v>110</v>
      </c>
      <c r="BS154" s="153" t="s">
        <v>110</v>
      </c>
      <c r="BT154" s="153" t="s">
        <v>110</v>
      </c>
      <c r="BU154" s="153" t="s">
        <v>110</v>
      </c>
      <c r="BV154" s="153" t="s">
        <v>103</v>
      </c>
      <c r="BW154" s="153" t="s">
        <v>110</v>
      </c>
      <c r="BX154" s="153" t="s">
        <v>110</v>
      </c>
      <c r="BY154" s="153" t="s">
        <v>110</v>
      </c>
      <c r="BZ154" s="153" t="s">
        <v>110</v>
      </c>
      <c r="CA154" s="616" t="s">
        <v>110</v>
      </c>
      <c r="CB154" s="153" t="s">
        <v>110</v>
      </c>
      <c r="CC154" s="153" t="s">
        <v>110</v>
      </c>
      <c r="CD154" s="153" t="s">
        <v>110</v>
      </c>
      <c r="CE154" s="153" t="s">
        <v>110</v>
      </c>
    </row>
    <row r="155" spans="1:83" ht="32.450000000000003" customHeight="1">
      <c r="A155" s="503"/>
      <c r="B155" s="573" t="s">
        <v>475</v>
      </c>
      <c r="C155" s="155" t="s">
        <v>476</v>
      </c>
      <c r="D155" s="153" t="s">
        <v>477</v>
      </c>
      <c r="E155" s="153">
        <v>90232</v>
      </c>
      <c r="H155" s="153" t="s">
        <v>150</v>
      </c>
      <c r="I155" s="503" t="s">
        <v>478</v>
      </c>
      <c r="J155" s="153" t="s">
        <v>117</v>
      </c>
      <c r="K155" s="572" t="s">
        <v>283</v>
      </c>
      <c r="L155" s="153" t="s">
        <v>477</v>
      </c>
      <c r="M155" s="153" t="s">
        <v>110</v>
      </c>
      <c r="Q155" s="156" t="s">
        <v>139</v>
      </c>
      <c r="V155" s="149">
        <v>42535</v>
      </c>
      <c r="W155" s="149">
        <v>42634</v>
      </c>
      <c r="X155" s="149">
        <v>43276</v>
      </c>
      <c r="Y155" s="149">
        <v>43799</v>
      </c>
      <c r="Z155" s="149">
        <v>43799</v>
      </c>
      <c r="AA155" s="149">
        <v>42465</v>
      </c>
      <c r="AB155" s="153" t="s">
        <v>103</v>
      </c>
      <c r="AC155" s="594">
        <f>W155-V155</f>
        <v>99</v>
      </c>
      <c r="AD155" s="149">
        <v>43799</v>
      </c>
      <c r="AE155" s="149" t="s">
        <v>103</v>
      </c>
      <c r="AF155" s="1015">
        <v>6</v>
      </c>
      <c r="AG155" s="1016">
        <v>6</v>
      </c>
      <c r="AH155" s="1016">
        <v>780</v>
      </c>
      <c r="AI155" s="960">
        <v>0.23882575759999999</v>
      </c>
      <c r="AJ155" s="607">
        <v>1261</v>
      </c>
      <c r="AK155" s="153" t="s">
        <v>152</v>
      </c>
      <c r="AL155" s="791" t="s">
        <v>110</v>
      </c>
      <c r="AO155" s="963"/>
      <c r="AP155" s="94">
        <v>3200000</v>
      </c>
      <c r="AQ155" s="574">
        <v>865365</v>
      </c>
      <c r="AR155" s="153" t="s">
        <v>116</v>
      </c>
      <c r="AS155" s="153" t="s">
        <v>116</v>
      </c>
      <c r="AT155" s="1014">
        <v>0</v>
      </c>
      <c r="AU155" s="777" t="s">
        <v>122</v>
      </c>
      <c r="AV155" s="777" t="s">
        <v>122</v>
      </c>
      <c r="AW155" s="777" t="s">
        <v>122</v>
      </c>
      <c r="AX155" s="155" t="s">
        <v>103</v>
      </c>
      <c r="AY155" s="155" t="s">
        <v>103</v>
      </c>
      <c r="AZ155" s="155" t="s">
        <v>103</v>
      </c>
      <c r="BA155" s="156">
        <v>0</v>
      </c>
      <c r="BB155" s="574">
        <f t="shared" si="29"/>
        <v>865365</v>
      </c>
      <c r="BC155" s="780" t="s">
        <v>103</v>
      </c>
      <c r="BD155" s="508" t="s">
        <v>103</v>
      </c>
      <c r="BE155" s="679" t="s">
        <v>103</v>
      </c>
      <c r="BF155" s="156" t="s">
        <v>103</v>
      </c>
      <c r="BG155" s="94">
        <v>50996.9</v>
      </c>
      <c r="BH155" s="766">
        <v>33065446.715541169</v>
      </c>
      <c r="BI155" s="774">
        <v>0</v>
      </c>
      <c r="BJ155" s="774">
        <v>0</v>
      </c>
      <c r="BK155" s="153" t="s">
        <v>103</v>
      </c>
      <c r="BL155" s="153" t="s">
        <v>124</v>
      </c>
      <c r="BM155" s="94" t="s">
        <v>103</v>
      </c>
      <c r="BN155" s="155" t="s">
        <v>103</v>
      </c>
      <c r="BO155" s="153" t="s">
        <v>103</v>
      </c>
      <c r="BP155" s="153" t="s">
        <v>103</v>
      </c>
      <c r="BQ155" s="153" t="s">
        <v>103</v>
      </c>
      <c r="BR155" s="153" t="s">
        <v>110</v>
      </c>
      <c r="BS155" s="153" t="s">
        <v>110</v>
      </c>
      <c r="BT155" s="153" t="s">
        <v>110</v>
      </c>
      <c r="BU155" s="153" t="s">
        <v>110</v>
      </c>
      <c r="BV155" s="153" t="s">
        <v>103</v>
      </c>
      <c r="BW155" s="153" t="s">
        <v>110</v>
      </c>
      <c r="BX155" s="153" t="s">
        <v>110</v>
      </c>
      <c r="BY155" s="153" t="s">
        <v>110</v>
      </c>
      <c r="BZ155" s="153" t="s">
        <v>110</v>
      </c>
      <c r="CA155" s="616" t="s">
        <v>110</v>
      </c>
      <c r="CB155" s="153" t="s">
        <v>110</v>
      </c>
      <c r="CC155" s="153" t="s">
        <v>110</v>
      </c>
      <c r="CD155" s="153" t="s">
        <v>110</v>
      </c>
      <c r="CE155" s="153" t="s">
        <v>110</v>
      </c>
    </row>
    <row r="156" spans="1:83" ht="24" customHeight="1">
      <c r="A156" s="503"/>
      <c r="B156" s="573" t="s">
        <v>479</v>
      </c>
      <c r="C156" s="155" t="s">
        <v>476</v>
      </c>
      <c r="D156" s="153" t="s">
        <v>477</v>
      </c>
      <c r="E156" s="153">
        <v>90232</v>
      </c>
      <c r="H156" s="153" t="s">
        <v>150</v>
      </c>
      <c r="I156" s="503" t="s">
        <v>478</v>
      </c>
      <c r="J156" s="153" t="s">
        <v>117</v>
      </c>
      <c r="K156" s="572" t="s">
        <v>283</v>
      </c>
      <c r="L156" s="153" t="s">
        <v>477</v>
      </c>
      <c r="M156" s="153" t="s">
        <v>110</v>
      </c>
      <c r="Q156" s="156" t="s">
        <v>139</v>
      </c>
      <c r="V156" s="149">
        <v>42535</v>
      </c>
      <c r="W156" s="149">
        <v>42634</v>
      </c>
      <c r="X156" s="149">
        <v>43276</v>
      </c>
      <c r="Y156" s="149">
        <v>43827</v>
      </c>
      <c r="Z156" s="149">
        <v>43827</v>
      </c>
      <c r="AA156" s="149">
        <v>42465</v>
      </c>
      <c r="AB156" s="153" t="s">
        <v>103</v>
      </c>
      <c r="AD156" s="149">
        <v>43828</v>
      </c>
      <c r="AE156" s="149" t="s">
        <v>103</v>
      </c>
      <c r="AF156" s="1015">
        <v>6</v>
      </c>
      <c r="AG156" s="1016">
        <v>6</v>
      </c>
      <c r="AH156" s="1016">
        <v>780</v>
      </c>
      <c r="AI156" s="960"/>
      <c r="AJ156" s="607"/>
      <c r="AK156" s="153" t="s">
        <v>152</v>
      </c>
      <c r="AL156" s="791" t="s">
        <v>110</v>
      </c>
      <c r="AO156" s="963"/>
      <c r="AP156" s="94" t="s">
        <v>150</v>
      </c>
      <c r="AQ156" s="574">
        <v>629391.65999999992</v>
      </c>
      <c r="AR156" s="153" t="s">
        <v>116</v>
      </c>
      <c r="AS156" s="153" t="s">
        <v>116</v>
      </c>
      <c r="AT156" s="1014">
        <v>0</v>
      </c>
      <c r="AU156" s="777" t="s">
        <v>122</v>
      </c>
      <c r="AV156" s="777" t="s">
        <v>122</v>
      </c>
      <c r="AW156" s="777" t="s">
        <v>122</v>
      </c>
      <c r="AX156" s="155" t="s">
        <v>103</v>
      </c>
      <c r="AY156" s="155" t="s">
        <v>103</v>
      </c>
      <c r="AZ156" s="155" t="s">
        <v>103</v>
      </c>
      <c r="BA156" s="156">
        <v>0</v>
      </c>
      <c r="BB156" s="574">
        <f t="shared" si="29"/>
        <v>629391.65999999992</v>
      </c>
      <c r="BC156" s="780" t="s">
        <v>103</v>
      </c>
      <c r="BD156" s="508" t="s">
        <v>103</v>
      </c>
      <c r="BE156" s="679" t="s">
        <v>103</v>
      </c>
      <c r="BF156" s="156" t="s">
        <v>103</v>
      </c>
      <c r="BG156" s="94">
        <v>50996.9</v>
      </c>
      <c r="BH156" s="766">
        <v>33065446.715541169</v>
      </c>
      <c r="BI156" s="774">
        <v>0</v>
      </c>
      <c r="BJ156" s="774">
        <v>0</v>
      </c>
      <c r="BK156" s="153" t="s">
        <v>103</v>
      </c>
      <c r="BL156" s="153" t="s">
        <v>124</v>
      </c>
      <c r="BM156" s="94" t="s">
        <v>103</v>
      </c>
      <c r="BN156" s="155" t="s">
        <v>103</v>
      </c>
      <c r="BO156" s="153" t="s">
        <v>103</v>
      </c>
      <c r="BP156" s="153" t="s">
        <v>103</v>
      </c>
      <c r="BQ156" s="153" t="s">
        <v>103</v>
      </c>
      <c r="BR156" s="153" t="s">
        <v>110</v>
      </c>
      <c r="BS156" s="153" t="s">
        <v>110</v>
      </c>
      <c r="BT156" s="153" t="s">
        <v>110</v>
      </c>
      <c r="BU156" s="153" t="s">
        <v>110</v>
      </c>
      <c r="BV156" s="153" t="s">
        <v>103</v>
      </c>
      <c r="BW156" s="153" t="s">
        <v>110</v>
      </c>
      <c r="BX156" s="153" t="s">
        <v>110</v>
      </c>
      <c r="BY156" s="153" t="s">
        <v>110</v>
      </c>
      <c r="BZ156" s="153" t="s">
        <v>110</v>
      </c>
      <c r="CA156" s="616" t="s">
        <v>110</v>
      </c>
      <c r="CB156" s="153" t="s">
        <v>110</v>
      </c>
      <c r="CC156" s="153" t="s">
        <v>110</v>
      </c>
      <c r="CD156" s="153" t="s">
        <v>110</v>
      </c>
      <c r="CE156" s="153" t="s">
        <v>110</v>
      </c>
    </row>
    <row r="157" spans="1:83" ht="26.1">
      <c r="A157" s="503"/>
      <c r="B157" s="573" t="s">
        <v>480</v>
      </c>
      <c r="C157" s="155" t="s">
        <v>481</v>
      </c>
      <c r="D157" s="153" t="s">
        <v>482</v>
      </c>
      <c r="E157" s="153">
        <v>90290</v>
      </c>
      <c r="H157" s="153" t="s">
        <v>150</v>
      </c>
      <c r="I157" s="508" t="s">
        <v>483</v>
      </c>
      <c r="J157" s="153" t="s">
        <v>484</v>
      </c>
      <c r="K157" s="572" t="s">
        <v>222</v>
      </c>
      <c r="L157" s="153" t="s">
        <v>482</v>
      </c>
      <c r="M157" s="153" t="s">
        <v>110</v>
      </c>
      <c r="Q157" s="156" t="s">
        <v>294</v>
      </c>
      <c r="V157" s="149">
        <v>40932</v>
      </c>
      <c r="W157" s="149">
        <v>41028</v>
      </c>
      <c r="X157" s="149">
        <v>42064</v>
      </c>
      <c r="Y157" s="149">
        <v>43932</v>
      </c>
      <c r="Z157" s="149" t="s">
        <v>103</v>
      </c>
      <c r="AA157" s="149">
        <v>40932</v>
      </c>
      <c r="AB157" s="153" t="s">
        <v>103</v>
      </c>
      <c r="AC157" s="594">
        <f>W157-V157</f>
        <v>96</v>
      </c>
      <c r="AD157" s="149">
        <v>43421</v>
      </c>
      <c r="AE157" s="149" t="s">
        <v>103</v>
      </c>
      <c r="AF157" s="153" t="s">
        <v>103</v>
      </c>
      <c r="AG157" s="153" t="s">
        <v>103</v>
      </c>
      <c r="AH157" s="596" t="s">
        <v>103</v>
      </c>
      <c r="AI157" s="960" t="s">
        <v>103</v>
      </c>
      <c r="AJ157" s="607">
        <v>3360</v>
      </c>
      <c r="AK157" s="153" t="s">
        <v>120</v>
      </c>
      <c r="AL157" s="791" t="s">
        <v>104</v>
      </c>
      <c r="AO157" s="963"/>
      <c r="AP157" s="519">
        <v>3500000</v>
      </c>
      <c r="AQ157" s="580">
        <v>0</v>
      </c>
      <c r="AR157" s="153" t="s">
        <v>116</v>
      </c>
      <c r="AS157" s="153" t="s">
        <v>116</v>
      </c>
      <c r="AT157" s="1014">
        <v>0</v>
      </c>
      <c r="AU157" s="777" t="s">
        <v>122</v>
      </c>
      <c r="AV157" s="777" t="s">
        <v>122</v>
      </c>
      <c r="AW157" s="777" t="s">
        <v>122</v>
      </c>
      <c r="AX157" s="155" t="s">
        <v>103</v>
      </c>
      <c r="AY157" s="155" t="s">
        <v>103</v>
      </c>
      <c r="AZ157" s="155" t="s">
        <v>103</v>
      </c>
      <c r="BA157" s="156">
        <v>0</v>
      </c>
      <c r="BB157" s="153"/>
      <c r="BC157" s="780" t="s">
        <v>103</v>
      </c>
      <c r="BD157" s="153" t="s">
        <v>103</v>
      </c>
      <c r="BE157" s="679" t="s">
        <v>103</v>
      </c>
      <c r="BF157" s="156" t="s">
        <v>103</v>
      </c>
      <c r="BG157" s="519">
        <v>3872004.56</v>
      </c>
      <c r="BH157" s="769">
        <v>26305699</v>
      </c>
      <c r="BI157" s="774">
        <v>0</v>
      </c>
      <c r="BJ157" s="774">
        <v>0</v>
      </c>
      <c r="BK157" s="153" t="s">
        <v>103</v>
      </c>
      <c r="BL157" s="153" t="s">
        <v>124</v>
      </c>
      <c r="BM157" s="519" t="s">
        <v>103</v>
      </c>
      <c r="BN157" s="155" t="s">
        <v>103</v>
      </c>
      <c r="BO157" s="153" t="s">
        <v>103</v>
      </c>
      <c r="BP157" s="153" t="s">
        <v>103</v>
      </c>
      <c r="BQ157" s="153" t="s">
        <v>103</v>
      </c>
      <c r="BR157" s="153" t="s">
        <v>104</v>
      </c>
      <c r="BS157" s="153" t="s">
        <v>110</v>
      </c>
      <c r="BT157" s="153" t="s">
        <v>110</v>
      </c>
      <c r="BU157" s="153" t="s">
        <v>104</v>
      </c>
      <c r="BV157" s="153" t="s">
        <v>103</v>
      </c>
      <c r="BW157" s="153" t="s">
        <v>110</v>
      </c>
      <c r="BX157" s="153" t="s">
        <v>110</v>
      </c>
      <c r="BY157" s="153" t="s">
        <v>104</v>
      </c>
      <c r="BZ157" s="153" t="s">
        <v>104</v>
      </c>
      <c r="CA157" s="616" t="s">
        <v>103</v>
      </c>
      <c r="CB157" s="153" t="s">
        <v>103</v>
      </c>
      <c r="CC157" s="153" t="s">
        <v>104</v>
      </c>
      <c r="CD157" s="153" t="s">
        <v>103</v>
      </c>
      <c r="CE157" s="153" t="s">
        <v>103</v>
      </c>
    </row>
    <row r="158" spans="1:83" ht="12" customHeight="1">
      <c r="A158" s="503"/>
      <c r="B158" s="573" t="s">
        <v>485</v>
      </c>
      <c r="C158" s="155" t="s">
        <v>486</v>
      </c>
      <c r="D158" s="153" t="s">
        <v>487</v>
      </c>
      <c r="E158" s="153">
        <v>91775</v>
      </c>
      <c r="F158" s="153">
        <v>6037463000</v>
      </c>
      <c r="G158" s="153" t="s">
        <v>110</v>
      </c>
      <c r="H158" s="153" t="s">
        <v>150</v>
      </c>
      <c r="I158" s="508" t="s">
        <v>485</v>
      </c>
      <c r="J158" s="153" t="s">
        <v>117</v>
      </c>
      <c r="K158" s="572" t="s">
        <v>156</v>
      </c>
      <c r="L158" s="153" t="s">
        <v>487</v>
      </c>
      <c r="M158" s="153" t="s">
        <v>104</v>
      </c>
      <c r="Q158" s="156" t="s">
        <v>139</v>
      </c>
      <c r="V158" s="149">
        <v>38951</v>
      </c>
      <c r="W158" s="149">
        <v>39006</v>
      </c>
      <c r="X158" s="149">
        <v>39630</v>
      </c>
      <c r="Y158" s="149">
        <v>40878</v>
      </c>
      <c r="Z158" s="149">
        <v>40878</v>
      </c>
      <c r="AA158" s="149">
        <v>38951</v>
      </c>
      <c r="AB158" s="763" t="s">
        <v>121</v>
      </c>
      <c r="AC158" s="594">
        <v>39.285714285714285</v>
      </c>
      <c r="AD158" s="153" t="s">
        <v>103</v>
      </c>
      <c r="AE158" s="149" t="s">
        <v>103</v>
      </c>
      <c r="AF158" s="596">
        <v>119</v>
      </c>
      <c r="AG158" s="596">
        <v>63</v>
      </c>
      <c r="AH158" s="595">
        <v>22250.333333333332</v>
      </c>
      <c r="AI158" s="614">
        <v>4.2140782828282823</v>
      </c>
      <c r="AJ158" s="607">
        <v>23600</v>
      </c>
      <c r="AK158" s="153" t="s">
        <v>120</v>
      </c>
      <c r="AL158" s="791" t="s">
        <v>103</v>
      </c>
      <c r="AO158" s="963"/>
      <c r="AP158" s="519">
        <v>9600000</v>
      </c>
      <c r="AQ158" s="574">
        <v>8009210</v>
      </c>
      <c r="AR158" s="153" t="s">
        <v>116</v>
      </c>
      <c r="AS158" s="153" t="s">
        <v>116</v>
      </c>
      <c r="AT158" s="1014">
        <v>0</v>
      </c>
      <c r="AU158" s="777" t="s">
        <v>122</v>
      </c>
      <c r="AV158" s="777" t="s">
        <v>122</v>
      </c>
      <c r="AW158" s="777" t="s">
        <v>122</v>
      </c>
      <c r="AX158" s="155" t="s">
        <v>103</v>
      </c>
      <c r="AY158" s="155" t="s">
        <v>103</v>
      </c>
      <c r="AZ158" s="155" t="s">
        <v>103</v>
      </c>
      <c r="BA158" s="156">
        <v>0</v>
      </c>
      <c r="BB158" s="574">
        <f t="shared" ref="BB158:BB163" si="30">AQ158</f>
        <v>8009210</v>
      </c>
      <c r="BC158" s="780">
        <v>1590790</v>
      </c>
      <c r="BD158" s="1008" t="s">
        <v>121</v>
      </c>
      <c r="BE158" s="679">
        <v>0</v>
      </c>
      <c r="BF158" s="153" t="s">
        <v>103</v>
      </c>
      <c r="BG158" s="94">
        <v>8009210</v>
      </c>
      <c r="BH158" s="766">
        <v>14104770</v>
      </c>
      <c r="BI158" s="774">
        <v>0</v>
      </c>
      <c r="BJ158" s="774">
        <v>0</v>
      </c>
      <c r="BK158" s="153" t="s">
        <v>103</v>
      </c>
      <c r="BL158" s="153" t="s">
        <v>124</v>
      </c>
      <c r="BM158" s="94" t="s">
        <v>103</v>
      </c>
      <c r="BN158" s="155" t="s">
        <v>103</v>
      </c>
      <c r="BO158" s="153" t="s">
        <v>103</v>
      </c>
      <c r="BP158" s="153" t="s">
        <v>103</v>
      </c>
      <c r="BQ158" s="153" t="s">
        <v>103</v>
      </c>
      <c r="BR158" s="153" t="s">
        <v>103</v>
      </c>
      <c r="BS158" s="153" t="s">
        <v>103</v>
      </c>
      <c r="BT158" s="153" t="s">
        <v>103</v>
      </c>
      <c r="BU158" s="153" t="s">
        <v>103</v>
      </c>
      <c r="BV158" s="153" t="s">
        <v>103</v>
      </c>
      <c r="BW158" s="153" t="s">
        <v>103</v>
      </c>
      <c r="BX158" s="153" t="s">
        <v>103</v>
      </c>
      <c r="BY158" s="153" t="s">
        <v>103</v>
      </c>
      <c r="BZ158" s="153" t="s">
        <v>103</v>
      </c>
      <c r="CA158" s="616" t="s">
        <v>103</v>
      </c>
      <c r="CB158" s="153" t="s">
        <v>103</v>
      </c>
      <c r="CC158" s="153" t="s">
        <v>103</v>
      </c>
      <c r="CD158" s="153" t="s">
        <v>103</v>
      </c>
      <c r="CE158" s="153" t="s">
        <v>103</v>
      </c>
    </row>
    <row r="159" spans="1:83" ht="26.1">
      <c r="A159" s="503"/>
      <c r="B159" s="573" t="s">
        <v>488</v>
      </c>
      <c r="C159" s="155" t="s">
        <v>489</v>
      </c>
      <c r="D159" s="153" t="s">
        <v>490</v>
      </c>
      <c r="E159" s="153">
        <v>91732</v>
      </c>
      <c r="F159" s="153">
        <v>6037431400</v>
      </c>
      <c r="G159" s="153" t="s">
        <v>110</v>
      </c>
      <c r="H159" s="153" t="s">
        <v>150</v>
      </c>
      <c r="I159" s="508" t="s">
        <v>488</v>
      </c>
      <c r="J159" s="153" t="s">
        <v>117</v>
      </c>
      <c r="K159" s="156">
        <v>0</v>
      </c>
      <c r="L159" s="153" t="s">
        <v>490</v>
      </c>
      <c r="M159" s="153" t="s">
        <v>104</v>
      </c>
      <c r="Q159" s="156" t="s">
        <v>139</v>
      </c>
      <c r="V159" s="149">
        <v>38258</v>
      </c>
      <c r="W159" s="149">
        <v>38398</v>
      </c>
      <c r="X159" s="149">
        <v>39022</v>
      </c>
      <c r="Y159" s="149">
        <v>40575</v>
      </c>
      <c r="Z159" s="149">
        <v>40575</v>
      </c>
      <c r="AA159" s="149">
        <v>38258</v>
      </c>
      <c r="AB159" s="763" t="s">
        <v>151</v>
      </c>
      <c r="AC159" s="594">
        <v>100</v>
      </c>
      <c r="AD159" s="153" t="s">
        <v>103</v>
      </c>
      <c r="AE159" s="149" t="s">
        <v>103</v>
      </c>
      <c r="AF159" s="596">
        <v>0</v>
      </c>
      <c r="AG159" s="596">
        <v>0</v>
      </c>
      <c r="AH159" s="595">
        <v>960</v>
      </c>
      <c r="AI159" s="614">
        <v>0.18181818181818182</v>
      </c>
      <c r="AJ159" s="607">
        <v>13368</v>
      </c>
      <c r="AK159" s="153" t="s">
        <v>120</v>
      </c>
      <c r="AL159" s="791" t="s">
        <v>103</v>
      </c>
      <c r="AO159" s="963"/>
      <c r="AP159" s="519">
        <v>1500000</v>
      </c>
      <c r="AQ159" s="574">
        <v>2748087</v>
      </c>
      <c r="AR159" s="153" t="s">
        <v>116</v>
      </c>
      <c r="AS159" s="153" t="s">
        <v>116</v>
      </c>
      <c r="AT159" s="1014">
        <v>0</v>
      </c>
      <c r="AU159" s="777" t="s">
        <v>122</v>
      </c>
      <c r="AV159" s="777" t="s">
        <v>122</v>
      </c>
      <c r="AW159" s="777" t="s">
        <v>122</v>
      </c>
      <c r="AX159" s="155" t="s">
        <v>103</v>
      </c>
      <c r="AY159" s="155" t="s">
        <v>103</v>
      </c>
      <c r="AZ159" s="155" t="s">
        <v>103</v>
      </c>
      <c r="BA159" s="156">
        <v>0</v>
      </c>
      <c r="BB159" s="574">
        <f t="shared" si="30"/>
        <v>2748087</v>
      </c>
      <c r="BC159" s="780">
        <v>-1248087</v>
      </c>
      <c r="BD159" s="1012" t="s">
        <v>122</v>
      </c>
      <c r="BE159" s="679">
        <v>5964</v>
      </c>
      <c r="BF159" s="153">
        <v>2015</v>
      </c>
      <c r="BG159" s="94">
        <v>2748087</v>
      </c>
      <c r="BH159" s="766" t="s">
        <v>123</v>
      </c>
      <c r="BI159" s="774">
        <v>0</v>
      </c>
      <c r="BJ159" s="774">
        <v>0</v>
      </c>
      <c r="BK159" s="153" t="s">
        <v>103</v>
      </c>
      <c r="BL159" s="153" t="s">
        <v>124</v>
      </c>
      <c r="BM159" s="94" t="s">
        <v>103</v>
      </c>
      <c r="BN159" s="155" t="s">
        <v>103</v>
      </c>
      <c r="BO159" s="153" t="s">
        <v>103</v>
      </c>
      <c r="BP159" s="153" t="s">
        <v>103</v>
      </c>
      <c r="BQ159" s="153" t="s">
        <v>103</v>
      </c>
      <c r="BR159" s="153" t="s">
        <v>103</v>
      </c>
      <c r="BS159" s="153" t="s">
        <v>103</v>
      </c>
      <c r="BT159" s="153" t="s">
        <v>103</v>
      </c>
      <c r="BU159" s="153" t="s">
        <v>103</v>
      </c>
      <c r="BV159" s="153" t="s">
        <v>103</v>
      </c>
      <c r="BW159" s="153" t="s">
        <v>103</v>
      </c>
      <c r="BX159" s="153" t="s">
        <v>103</v>
      </c>
      <c r="BY159" s="153" t="s">
        <v>103</v>
      </c>
      <c r="BZ159" s="153" t="s">
        <v>103</v>
      </c>
      <c r="CA159" s="616" t="s">
        <v>103</v>
      </c>
      <c r="CB159" s="153" t="s">
        <v>103</v>
      </c>
      <c r="CC159" s="153" t="s">
        <v>103</v>
      </c>
      <c r="CD159" s="153" t="s">
        <v>103</v>
      </c>
      <c r="CE159" s="153" t="s">
        <v>103</v>
      </c>
    </row>
    <row r="160" spans="1:83" ht="51.95">
      <c r="A160" s="503"/>
      <c r="B160" s="573" t="s">
        <v>491</v>
      </c>
      <c r="C160" s="155" t="s">
        <v>492</v>
      </c>
      <c r="D160" s="153" t="s">
        <v>490</v>
      </c>
      <c r="E160" s="153">
        <v>91732</v>
      </c>
      <c r="F160" s="153">
        <v>6037431400</v>
      </c>
      <c r="G160" s="153" t="s">
        <v>110</v>
      </c>
      <c r="H160" s="153" t="s">
        <v>150</v>
      </c>
      <c r="I160" s="508" t="s">
        <v>491</v>
      </c>
      <c r="J160" s="153" t="s">
        <v>117</v>
      </c>
      <c r="K160" s="156">
        <v>0</v>
      </c>
      <c r="L160" s="153" t="s">
        <v>490</v>
      </c>
      <c r="M160" s="153" t="s">
        <v>104</v>
      </c>
      <c r="Q160" s="156" t="s">
        <v>139</v>
      </c>
      <c r="V160" s="149">
        <v>38258</v>
      </c>
      <c r="W160" s="149">
        <v>39006</v>
      </c>
      <c r="X160" s="149">
        <v>39783</v>
      </c>
      <c r="Y160" s="149">
        <v>40178</v>
      </c>
      <c r="Z160" s="149">
        <v>40178</v>
      </c>
      <c r="AA160" s="149">
        <v>38258</v>
      </c>
      <c r="AB160" s="763" t="s">
        <v>151</v>
      </c>
      <c r="AC160" s="594">
        <v>534.28571428571433</v>
      </c>
      <c r="AD160" s="153" t="s">
        <v>103</v>
      </c>
      <c r="AE160" s="149" t="s">
        <v>103</v>
      </c>
      <c r="AF160" s="596">
        <v>12</v>
      </c>
      <c r="AG160" s="596">
        <v>0</v>
      </c>
      <c r="AH160" s="595">
        <v>9701.3333333333339</v>
      </c>
      <c r="AI160" s="614">
        <v>1.8373737373737375</v>
      </c>
      <c r="AJ160" s="607">
        <v>13368</v>
      </c>
      <c r="AK160" s="153" t="s">
        <v>120</v>
      </c>
      <c r="AL160" s="791" t="s">
        <v>103</v>
      </c>
      <c r="AO160" s="963"/>
      <c r="AP160" s="519">
        <v>2293000</v>
      </c>
      <c r="AQ160" s="574">
        <v>3116086</v>
      </c>
      <c r="AR160" s="153" t="s">
        <v>116</v>
      </c>
      <c r="AS160" s="153" t="s">
        <v>116</v>
      </c>
      <c r="AT160" s="1014">
        <v>0</v>
      </c>
      <c r="AU160" s="777" t="s">
        <v>122</v>
      </c>
      <c r="AV160" s="777" t="s">
        <v>122</v>
      </c>
      <c r="AW160" s="777" t="s">
        <v>122</v>
      </c>
      <c r="AX160" s="155" t="s">
        <v>103</v>
      </c>
      <c r="AY160" s="155" t="s">
        <v>103</v>
      </c>
      <c r="AZ160" s="155" t="s">
        <v>103</v>
      </c>
      <c r="BA160" s="156">
        <v>0</v>
      </c>
      <c r="BB160" s="574">
        <f t="shared" si="30"/>
        <v>3116086</v>
      </c>
      <c r="BC160" s="780">
        <v>-823086</v>
      </c>
      <c r="BD160" s="1008" t="s">
        <v>151</v>
      </c>
      <c r="BE160" s="679">
        <v>12876</v>
      </c>
      <c r="BF160" s="153" t="s">
        <v>150</v>
      </c>
      <c r="BG160" s="94">
        <v>3116086</v>
      </c>
      <c r="BH160" s="766" t="s">
        <v>123</v>
      </c>
      <c r="BI160" s="774">
        <v>0</v>
      </c>
      <c r="BJ160" s="774">
        <v>0</v>
      </c>
      <c r="BK160" s="153" t="s">
        <v>103</v>
      </c>
      <c r="BL160" s="153" t="s">
        <v>124</v>
      </c>
      <c r="BM160" s="94" t="s">
        <v>103</v>
      </c>
      <c r="BN160" s="155" t="s">
        <v>103</v>
      </c>
      <c r="BO160" s="153" t="s">
        <v>103</v>
      </c>
      <c r="BP160" s="153" t="s">
        <v>103</v>
      </c>
      <c r="BQ160" s="153" t="s">
        <v>103</v>
      </c>
      <c r="BR160" s="153" t="s">
        <v>103</v>
      </c>
      <c r="BS160" s="153" t="s">
        <v>103</v>
      </c>
      <c r="BT160" s="153" t="s">
        <v>103</v>
      </c>
      <c r="BU160" s="153" t="s">
        <v>103</v>
      </c>
      <c r="BV160" s="153" t="s">
        <v>103</v>
      </c>
      <c r="BW160" s="153" t="s">
        <v>103</v>
      </c>
      <c r="BX160" s="153" t="s">
        <v>103</v>
      </c>
      <c r="BY160" s="153" t="s">
        <v>103</v>
      </c>
      <c r="BZ160" s="153" t="s">
        <v>103</v>
      </c>
      <c r="CA160" s="616" t="s">
        <v>103</v>
      </c>
      <c r="CB160" s="153" t="s">
        <v>103</v>
      </c>
      <c r="CC160" s="153" t="s">
        <v>103</v>
      </c>
      <c r="CD160" s="153" t="s">
        <v>103</v>
      </c>
      <c r="CE160" s="153" t="s">
        <v>103</v>
      </c>
    </row>
    <row r="161" spans="1:83" ht="38.450000000000003" customHeight="1">
      <c r="A161" s="503"/>
      <c r="B161" s="573" t="s">
        <v>493</v>
      </c>
      <c r="C161" s="155" t="s">
        <v>494</v>
      </c>
      <c r="D161" s="153" t="s">
        <v>495</v>
      </c>
      <c r="E161" s="153">
        <v>90502</v>
      </c>
      <c r="F161" s="153">
        <v>6037293201</v>
      </c>
      <c r="G161" s="153" t="s">
        <v>110</v>
      </c>
      <c r="H161" s="153" t="s">
        <v>150</v>
      </c>
      <c r="I161" s="508" t="s">
        <v>493</v>
      </c>
      <c r="J161" s="153" t="s">
        <v>117</v>
      </c>
      <c r="K161" s="156">
        <v>0</v>
      </c>
      <c r="L161" s="153" t="s">
        <v>495</v>
      </c>
      <c r="M161" s="153" t="s">
        <v>104</v>
      </c>
      <c r="Q161" s="156" t="s">
        <v>139</v>
      </c>
      <c r="V161" s="149">
        <v>31106</v>
      </c>
      <c r="W161" s="149">
        <v>38391</v>
      </c>
      <c r="X161" s="149">
        <v>39104</v>
      </c>
      <c r="Y161" s="149">
        <v>39388</v>
      </c>
      <c r="Z161" s="149">
        <v>39388</v>
      </c>
      <c r="AA161" s="149">
        <v>31106</v>
      </c>
      <c r="AB161" s="763" t="s">
        <v>121</v>
      </c>
      <c r="AC161" s="594">
        <v>5203.5714285714294</v>
      </c>
      <c r="AD161" s="153" t="s">
        <v>103</v>
      </c>
      <c r="AE161" s="149" t="s">
        <v>103</v>
      </c>
      <c r="AF161" s="596">
        <v>0</v>
      </c>
      <c r="AG161" s="596" t="s">
        <v>103</v>
      </c>
      <c r="AH161" s="597" t="s">
        <v>103</v>
      </c>
      <c r="AI161" s="614">
        <v>2.1335227272727271</v>
      </c>
      <c r="AJ161" s="607">
        <v>11265</v>
      </c>
      <c r="AK161" s="153" t="s">
        <v>152</v>
      </c>
      <c r="AL161" s="791" t="s">
        <v>103</v>
      </c>
      <c r="AO161" s="963"/>
      <c r="AP161" s="519">
        <v>3270000</v>
      </c>
      <c r="AQ161" s="580">
        <v>2076355</v>
      </c>
      <c r="AR161" s="153" t="s">
        <v>116</v>
      </c>
      <c r="AS161" s="153" t="s">
        <v>116</v>
      </c>
      <c r="AT161" s="1014">
        <v>0</v>
      </c>
      <c r="AU161" s="777" t="s">
        <v>122</v>
      </c>
      <c r="AV161" s="777" t="s">
        <v>122</v>
      </c>
      <c r="AW161" s="777" t="s">
        <v>122</v>
      </c>
      <c r="AX161" s="155" t="s">
        <v>103</v>
      </c>
      <c r="AY161" s="155" t="s">
        <v>103</v>
      </c>
      <c r="AZ161" s="155" t="s">
        <v>103</v>
      </c>
      <c r="BA161" s="156">
        <v>0</v>
      </c>
      <c r="BB161" s="574">
        <f t="shared" si="30"/>
        <v>2076355</v>
      </c>
      <c r="BC161" s="780">
        <v>1193645</v>
      </c>
      <c r="BD161" s="1008" t="s">
        <v>121</v>
      </c>
      <c r="BE161" s="679">
        <v>0</v>
      </c>
      <c r="BF161" s="153" t="s">
        <v>103</v>
      </c>
      <c r="BG161" s="519">
        <v>2076355</v>
      </c>
      <c r="BH161" s="769" t="s">
        <v>123</v>
      </c>
      <c r="BI161" s="774">
        <v>0</v>
      </c>
      <c r="BJ161" s="774">
        <v>0</v>
      </c>
      <c r="BK161" s="153" t="s">
        <v>103</v>
      </c>
      <c r="BL161" s="153" t="s">
        <v>124</v>
      </c>
      <c r="BM161" s="519" t="s">
        <v>103</v>
      </c>
      <c r="BN161" s="155" t="s">
        <v>103</v>
      </c>
      <c r="BO161" s="153" t="s">
        <v>103</v>
      </c>
      <c r="BP161" s="153" t="s">
        <v>103</v>
      </c>
      <c r="BQ161" s="153" t="s">
        <v>103</v>
      </c>
      <c r="BR161" s="153" t="s">
        <v>103</v>
      </c>
      <c r="BS161" s="153" t="s">
        <v>103</v>
      </c>
      <c r="BT161" s="153" t="s">
        <v>103</v>
      </c>
      <c r="BU161" s="153" t="s">
        <v>103</v>
      </c>
      <c r="BV161" s="153" t="s">
        <v>103</v>
      </c>
      <c r="BW161" s="153" t="s">
        <v>103</v>
      </c>
      <c r="BX161" s="153" t="s">
        <v>103</v>
      </c>
      <c r="BY161" s="153" t="s">
        <v>103</v>
      </c>
      <c r="BZ161" s="153" t="s">
        <v>103</v>
      </c>
      <c r="CA161" s="616" t="s">
        <v>103</v>
      </c>
      <c r="CB161" s="153" t="s">
        <v>103</v>
      </c>
      <c r="CC161" s="153" t="s">
        <v>103</v>
      </c>
      <c r="CD161" s="153" t="s">
        <v>103</v>
      </c>
      <c r="CE161" s="153" t="s">
        <v>103</v>
      </c>
    </row>
    <row r="162" spans="1:83" ht="41.45" customHeight="1">
      <c r="A162" s="503"/>
      <c r="B162" s="164" t="s">
        <v>496</v>
      </c>
      <c r="C162" s="155" t="s">
        <v>497</v>
      </c>
      <c r="D162" s="153" t="s">
        <v>498</v>
      </c>
      <c r="E162" s="153">
        <v>90274</v>
      </c>
      <c r="F162" s="153">
        <v>6037670201</v>
      </c>
      <c r="G162" s="153" t="s">
        <v>110</v>
      </c>
      <c r="H162" s="153" t="s">
        <v>150</v>
      </c>
      <c r="I162" s="508" t="s">
        <v>496</v>
      </c>
      <c r="J162" s="153" t="s">
        <v>282</v>
      </c>
      <c r="K162" s="156">
        <v>0</v>
      </c>
      <c r="L162" s="153" t="s">
        <v>498</v>
      </c>
      <c r="M162" s="153" t="s">
        <v>104</v>
      </c>
      <c r="Q162" s="156" t="s">
        <v>139</v>
      </c>
      <c r="V162" s="149" t="s">
        <v>150</v>
      </c>
      <c r="Y162" s="149">
        <v>39326</v>
      </c>
      <c r="Z162" s="149">
        <v>39326</v>
      </c>
      <c r="AA162" s="149" t="s">
        <v>150</v>
      </c>
      <c r="AB162" s="763" t="s">
        <v>121</v>
      </c>
      <c r="AC162" s="594" t="s">
        <v>116</v>
      </c>
      <c r="AD162" s="153" t="s">
        <v>103</v>
      </c>
      <c r="AE162" s="149" t="s">
        <v>103</v>
      </c>
      <c r="AF162" s="596">
        <v>11</v>
      </c>
      <c r="AG162" s="596">
        <v>2</v>
      </c>
      <c r="AH162" s="595">
        <v>4613.666666666667</v>
      </c>
      <c r="AI162" s="614">
        <v>0.87380050505050511</v>
      </c>
      <c r="AJ162" s="607">
        <v>10766</v>
      </c>
      <c r="AK162" s="153" t="s">
        <v>152</v>
      </c>
      <c r="AL162" s="791" t="s">
        <v>103</v>
      </c>
      <c r="AO162" s="963"/>
      <c r="AP162" s="519">
        <v>2964772</v>
      </c>
      <c r="AQ162" s="574">
        <v>2430758</v>
      </c>
      <c r="AR162" s="153" t="s">
        <v>116</v>
      </c>
      <c r="AS162" s="153" t="s">
        <v>116</v>
      </c>
      <c r="AT162" s="1014">
        <v>0</v>
      </c>
      <c r="AU162" s="777" t="s">
        <v>122</v>
      </c>
      <c r="AV162" s="777" t="s">
        <v>122</v>
      </c>
      <c r="AW162" s="777" t="s">
        <v>122</v>
      </c>
      <c r="AX162" s="155" t="s">
        <v>103</v>
      </c>
      <c r="AY162" s="155" t="s">
        <v>103</v>
      </c>
      <c r="AZ162" s="155" t="s">
        <v>103</v>
      </c>
      <c r="BA162" s="156">
        <v>0</v>
      </c>
      <c r="BB162" s="574">
        <f t="shared" si="30"/>
        <v>2430758</v>
      </c>
      <c r="BC162" s="780">
        <v>534014</v>
      </c>
      <c r="BD162" s="1008" t="s">
        <v>121</v>
      </c>
      <c r="BE162" s="679">
        <v>0</v>
      </c>
      <c r="BF162" s="153" t="s">
        <v>103</v>
      </c>
      <c r="BG162" s="94">
        <v>6170631.7399999993</v>
      </c>
      <c r="BH162" s="766" t="s">
        <v>123</v>
      </c>
      <c r="BI162" s="774">
        <v>0</v>
      </c>
      <c r="BJ162" s="774">
        <v>0</v>
      </c>
      <c r="BK162" s="153" t="s">
        <v>103</v>
      </c>
      <c r="BL162" s="153" t="s">
        <v>124</v>
      </c>
      <c r="BM162" s="94" t="s">
        <v>103</v>
      </c>
      <c r="BN162" s="155" t="s">
        <v>103</v>
      </c>
      <c r="BO162" s="153" t="s">
        <v>103</v>
      </c>
      <c r="BP162" s="153" t="s">
        <v>103</v>
      </c>
      <c r="BQ162" s="153" t="s">
        <v>103</v>
      </c>
      <c r="BR162" s="153" t="s">
        <v>103</v>
      </c>
      <c r="BS162" s="153" t="s">
        <v>103</v>
      </c>
      <c r="BT162" s="153" t="s">
        <v>103</v>
      </c>
      <c r="BU162" s="153" t="s">
        <v>103</v>
      </c>
      <c r="BV162" s="153" t="s">
        <v>103</v>
      </c>
      <c r="BW162" s="153" t="s">
        <v>103</v>
      </c>
      <c r="BX162" s="153" t="s">
        <v>103</v>
      </c>
      <c r="BY162" s="153" t="s">
        <v>103</v>
      </c>
      <c r="BZ162" s="153" t="s">
        <v>103</v>
      </c>
      <c r="CA162" s="616" t="s">
        <v>103</v>
      </c>
      <c r="CB162" s="153" t="s">
        <v>103</v>
      </c>
      <c r="CC162" s="153" t="s">
        <v>103</v>
      </c>
      <c r="CD162" s="153" t="s">
        <v>103</v>
      </c>
      <c r="CE162" s="153" t="s">
        <v>103</v>
      </c>
    </row>
    <row r="163" spans="1:83" ht="41.45" customHeight="1">
      <c r="A163" s="503"/>
      <c r="B163" s="164" t="s">
        <v>499</v>
      </c>
      <c r="C163" s="155" t="s">
        <v>500</v>
      </c>
      <c r="D163" s="153" t="s">
        <v>501</v>
      </c>
      <c r="E163" s="153">
        <v>90022</v>
      </c>
      <c r="F163" s="153">
        <v>6037530301</v>
      </c>
      <c r="G163" s="153" t="s">
        <v>110</v>
      </c>
      <c r="H163" s="153" t="s">
        <v>150</v>
      </c>
      <c r="I163" s="508" t="s">
        <v>499</v>
      </c>
      <c r="J163" s="153" t="s">
        <v>117</v>
      </c>
      <c r="K163" s="156">
        <v>0</v>
      </c>
      <c r="L163" s="153" t="s">
        <v>501</v>
      </c>
      <c r="M163" s="153" t="s">
        <v>104</v>
      </c>
      <c r="Q163" s="156" t="s">
        <v>139</v>
      </c>
      <c r="V163" s="149">
        <v>37763</v>
      </c>
      <c r="Y163" s="149">
        <v>38626</v>
      </c>
      <c r="Z163" s="149">
        <v>38626</v>
      </c>
      <c r="AA163" s="149">
        <v>37763</v>
      </c>
      <c r="AB163" s="763" t="s">
        <v>121</v>
      </c>
      <c r="AC163" s="594" t="s">
        <v>116</v>
      </c>
      <c r="AD163" s="153" t="s">
        <v>103</v>
      </c>
      <c r="AE163" s="149" t="s">
        <v>103</v>
      </c>
      <c r="AF163" s="596" t="s">
        <v>103</v>
      </c>
      <c r="AG163" s="596" t="s">
        <v>103</v>
      </c>
      <c r="AH163" s="595" t="s">
        <v>103</v>
      </c>
      <c r="AI163" s="614">
        <v>1.0037878787878789</v>
      </c>
      <c r="AJ163" s="607">
        <v>5300</v>
      </c>
      <c r="AK163" s="153" t="s">
        <v>152</v>
      </c>
      <c r="AL163" s="791" t="s">
        <v>103</v>
      </c>
      <c r="AO163" s="963"/>
      <c r="AP163" s="154">
        <v>1309000</v>
      </c>
      <c r="AQ163" s="574">
        <v>1226293</v>
      </c>
      <c r="AR163" s="153" t="s">
        <v>116</v>
      </c>
      <c r="AS163" s="153" t="s">
        <v>116</v>
      </c>
      <c r="AT163" s="777">
        <v>0</v>
      </c>
      <c r="AU163" s="777" t="s">
        <v>122</v>
      </c>
      <c r="AV163" s="777" t="s">
        <v>122</v>
      </c>
      <c r="AW163" s="777" t="s">
        <v>122</v>
      </c>
      <c r="AX163" s="155" t="s">
        <v>103</v>
      </c>
      <c r="AY163" s="155" t="s">
        <v>103</v>
      </c>
      <c r="AZ163" s="155" t="s">
        <v>103</v>
      </c>
      <c r="BA163" s="156">
        <v>0</v>
      </c>
      <c r="BB163" s="574">
        <f t="shared" si="30"/>
        <v>1226293</v>
      </c>
      <c r="BC163" s="780">
        <v>82707</v>
      </c>
      <c r="BD163" s="1008" t="s">
        <v>121</v>
      </c>
      <c r="BE163" s="679" t="s">
        <v>256</v>
      </c>
      <c r="BF163" s="153" t="s">
        <v>258</v>
      </c>
      <c r="BG163" s="94">
        <v>1226293</v>
      </c>
      <c r="BH163" s="766" t="s">
        <v>123</v>
      </c>
      <c r="BI163" s="774">
        <v>0</v>
      </c>
      <c r="BJ163" s="774">
        <v>0</v>
      </c>
      <c r="BK163" s="153" t="s">
        <v>103</v>
      </c>
      <c r="BL163" s="153" t="s">
        <v>124</v>
      </c>
      <c r="BM163" s="94" t="s">
        <v>103</v>
      </c>
      <c r="BN163" s="155" t="s">
        <v>103</v>
      </c>
      <c r="BO163" s="153" t="s">
        <v>103</v>
      </c>
      <c r="BP163" s="153" t="s">
        <v>103</v>
      </c>
      <c r="BQ163" s="153" t="s">
        <v>103</v>
      </c>
      <c r="BR163" s="153" t="s">
        <v>103</v>
      </c>
      <c r="BS163" s="153" t="s">
        <v>103</v>
      </c>
      <c r="BT163" s="153" t="s">
        <v>103</v>
      </c>
      <c r="BU163" s="153" t="s">
        <v>103</v>
      </c>
      <c r="BV163" s="153" t="s">
        <v>103</v>
      </c>
      <c r="BW163" s="153" t="s">
        <v>103</v>
      </c>
      <c r="BX163" s="153" t="s">
        <v>103</v>
      </c>
      <c r="BY163" s="153" t="s">
        <v>103</v>
      </c>
      <c r="BZ163" s="153" t="s">
        <v>103</v>
      </c>
      <c r="CA163" s="616" t="s">
        <v>103</v>
      </c>
      <c r="CB163" s="153" t="s">
        <v>103</v>
      </c>
      <c r="CC163" s="153" t="s">
        <v>103</v>
      </c>
      <c r="CD163" s="153" t="s">
        <v>103</v>
      </c>
      <c r="CE163" s="153" t="s">
        <v>103</v>
      </c>
    </row>
    <row r="164" spans="1:83" s="968" customFormat="1" ht="14.1" customHeight="1">
      <c r="A164" s="1045"/>
      <c r="B164" s="1054"/>
      <c r="C164" s="1059"/>
      <c r="D164" s="1054"/>
      <c r="E164" s="1054"/>
      <c r="F164" s="1054"/>
      <c r="G164" s="1054"/>
      <c r="H164" s="1054"/>
      <c r="I164" s="1072"/>
      <c r="J164" s="1054"/>
      <c r="K164" s="1054"/>
      <c r="L164" s="1054"/>
      <c r="M164" s="1054"/>
      <c r="N164" s="1069"/>
      <c r="O164" s="1069"/>
      <c r="P164" s="1069"/>
      <c r="Q164" s="1069"/>
      <c r="R164" s="1069"/>
      <c r="S164" s="1069"/>
      <c r="T164" s="1054"/>
      <c r="U164" s="1054"/>
      <c r="V164" s="1073"/>
      <c r="W164" s="1073"/>
      <c r="X164" s="1073"/>
      <c r="Y164" s="1073"/>
      <c r="Z164" s="1073"/>
      <c r="AA164" s="1073"/>
      <c r="AB164" s="1054"/>
      <c r="AC164" s="1074"/>
      <c r="AD164" s="1054"/>
      <c r="AE164" s="1054"/>
      <c r="AF164" s="1054"/>
      <c r="AG164" s="1054"/>
      <c r="AH164" s="1064"/>
      <c r="AI164" s="1065"/>
      <c r="AJ164" s="1064"/>
      <c r="AK164" s="1054"/>
      <c r="AL164" s="1066"/>
      <c r="AM164" s="1054"/>
      <c r="AN164" s="1054"/>
      <c r="AO164" s="1067"/>
      <c r="AP164" s="1070"/>
      <c r="AQ164" s="1068"/>
      <c r="AR164" s="1054"/>
      <c r="AS164" s="1054"/>
      <c r="AT164" s="1075"/>
      <c r="AU164" s="1054"/>
      <c r="AV164" s="1054"/>
      <c r="AW164" s="1054"/>
      <c r="AX164" s="1054"/>
      <c r="AY164" s="1054"/>
      <c r="AZ164" s="1054"/>
      <c r="BA164" s="1054"/>
      <c r="BB164" s="1054"/>
      <c r="BC164" s="1054"/>
      <c r="BD164" s="1054"/>
      <c r="BE164" s="1069"/>
      <c r="BF164" s="1054"/>
      <c r="BG164" s="1070"/>
      <c r="BH164" s="1054"/>
      <c r="BI164" s="1071"/>
      <c r="BJ164" s="1054"/>
      <c r="BK164" s="1054"/>
      <c r="BL164" s="1054"/>
      <c r="BM164" s="1070"/>
      <c r="BN164" s="1059"/>
      <c r="BO164" s="1054"/>
      <c r="BP164" s="1054"/>
      <c r="BQ164" s="1054"/>
      <c r="BR164" s="1054"/>
      <c r="BS164" s="1054"/>
      <c r="BT164" s="1054"/>
      <c r="BU164" s="1054"/>
      <c r="BV164" s="1054"/>
      <c r="BW164" s="1054"/>
      <c r="BX164" s="1054"/>
      <c r="BY164" s="1054"/>
      <c r="BZ164" s="1054"/>
      <c r="CA164" s="1054"/>
      <c r="CB164" s="1054"/>
      <c r="CC164" s="1054"/>
      <c r="CD164" s="1054"/>
      <c r="CE164" s="1054"/>
    </row>
    <row r="165" spans="1:83" ht="14.45" customHeight="1">
      <c r="A165" s="1009" t="s">
        <v>502</v>
      </c>
      <c r="B165" s="980"/>
      <c r="C165" s="997"/>
      <c r="D165" s="980"/>
      <c r="E165" s="980"/>
      <c r="F165" s="980"/>
      <c r="G165" s="980"/>
      <c r="H165" s="980"/>
      <c r="I165" s="1010"/>
      <c r="J165" s="980"/>
      <c r="K165" s="980"/>
      <c r="L165" s="980"/>
      <c r="M165" s="980"/>
      <c r="N165" s="1005"/>
      <c r="O165" s="1005"/>
      <c r="P165" s="1005"/>
      <c r="Q165" s="1005"/>
      <c r="R165" s="1005"/>
      <c r="S165" s="1005"/>
      <c r="T165" s="980"/>
      <c r="U165" s="980"/>
      <c r="V165" s="1000"/>
      <c r="W165" s="1000"/>
      <c r="X165" s="1000"/>
      <c r="Y165" s="1000"/>
      <c r="Z165" s="1000"/>
      <c r="AA165" s="1000"/>
      <c r="AB165" s="980"/>
      <c r="AC165" s="1002">
        <v>0</v>
      </c>
      <c r="AD165" s="980"/>
      <c r="AE165" s="980"/>
      <c r="AF165" s="980"/>
      <c r="AG165" s="980"/>
      <c r="AH165" s="1003"/>
      <c r="AI165" s="1004"/>
      <c r="AJ165" s="1003"/>
      <c r="AK165" s="980"/>
      <c r="AL165" s="797"/>
      <c r="AM165" s="980"/>
      <c r="AN165" s="980"/>
      <c r="AO165" s="798"/>
      <c r="AP165" s="163"/>
      <c r="AQ165" s="579"/>
      <c r="AR165" s="980"/>
      <c r="AS165" s="980"/>
      <c r="AT165" s="980"/>
      <c r="AU165" s="980"/>
      <c r="AV165" s="980"/>
      <c r="AW165" s="980"/>
      <c r="AX165" s="980"/>
      <c r="AY165" s="980"/>
      <c r="AZ165" s="980"/>
      <c r="BA165" s="980"/>
      <c r="BB165" s="980"/>
      <c r="BC165" s="980"/>
      <c r="BD165" s="980"/>
      <c r="BE165" s="1005"/>
      <c r="BF165" s="980"/>
      <c r="BG165" s="163"/>
      <c r="BH165" s="980"/>
      <c r="BI165" s="1006"/>
      <c r="BJ165" s="980"/>
      <c r="BK165" s="980"/>
      <c r="BL165" s="980"/>
      <c r="BM165" s="163"/>
      <c r="BN165" s="997"/>
      <c r="BO165" s="980"/>
      <c r="BP165" s="980"/>
      <c r="BQ165" s="980"/>
      <c r="BR165" s="980"/>
      <c r="BS165" s="980"/>
      <c r="BT165" s="980"/>
      <c r="BU165" s="980"/>
      <c r="BV165" s="980"/>
      <c r="BW165" s="980"/>
      <c r="BX165" s="980"/>
      <c r="BY165" s="980"/>
      <c r="BZ165" s="980"/>
      <c r="CA165" s="980"/>
      <c r="CB165" s="980"/>
      <c r="CC165" s="980"/>
      <c r="CD165" s="980"/>
      <c r="CE165" s="980"/>
    </row>
    <row r="166" spans="1:83" ht="14.1" customHeight="1">
      <c r="A166" s="503" t="s">
        <v>503</v>
      </c>
      <c r="B166" s="164" t="s">
        <v>103</v>
      </c>
      <c r="C166" s="155" t="s">
        <v>103</v>
      </c>
      <c r="D166" s="153" t="s">
        <v>103</v>
      </c>
      <c r="E166" s="153" t="s">
        <v>103</v>
      </c>
      <c r="F166" s="958" t="s">
        <v>103</v>
      </c>
      <c r="G166" s="153" t="s">
        <v>104</v>
      </c>
      <c r="H166" s="673">
        <v>0</v>
      </c>
      <c r="I166" s="508" t="s">
        <v>103</v>
      </c>
      <c r="J166" s="958" t="s">
        <v>103</v>
      </c>
      <c r="K166" s="958" t="s">
        <v>103</v>
      </c>
      <c r="L166" s="155" t="s">
        <v>103</v>
      </c>
      <c r="M166" s="155" t="s">
        <v>103</v>
      </c>
      <c r="N166" s="156">
        <v>0</v>
      </c>
      <c r="O166" s="156" t="s">
        <v>103</v>
      </c>
      <c r="P166" s="156">
        <v>0</v>
      </c>
      <c r="Q166" s="958" t="s">
        <v>103</v>
      </c>
      <c r="R166" s="156">
        <v>0</v>
      </c>
      <c r="S166" s="156">
        <v>0</v>
      </c>
      <c r="T166" s="958" t="s">
        <v>105</v>
      </c>
      <c r="U166" s="153" t="s">
        <v>104</v>
      </c>
      <c r="V166" s="518" t="s">
        <v>103</v>
      </c>
      <c r="W166" s="991" t="s">
        <v>103</v>
      </c>
      <c r="X166" s="991" t="s">
        <v>103</v>
      </c>
      <c r="Y166" s="991" t="s">
        <v>103</v>
      </c>
      <c r="Z166" s="518" t="s">
        <v>103</v>
      </c>
      <c r="AA166" s="991" t="s">
        <v>103</v>
      </c>
      <c r="AB166" s="155" t="s">
        <v>103</v>
      </c>
      <c r="AC166" s="959" t="s">
        <v>103</v>
      </c>
      <c r="AD166" s="155" t="s">
        <v>103</v>
      </c>
      <c r="AE166" s="155" t="s">
        <v>103</v>
      </c>
      <c r="AF166" s="155" t="s">
        <v>103</v>
      </c>
      <c r="AG166" s="155" t="s">
        <v>103</v>
      </c>
      <c r="AH166" s="992" t="s">
        <v>103</v>
      </c>
      <c r="AI166" s="960" t="s">
        <v>103</v>
      </c>
      <c r="AJ166" s="992" t="s">
        <v>103</v>
      </c>
      <c r="AK166" s="155" t="s">
        <v>103</v>
      </c>
      <c r="AL166" s="993" t="s">
        <v>103</v>
      </c>
      <c r="AM166" s="155"/>
      <c r="AN166" s="155"/>
      <c r="AO166" s="994"/>
      <c r="AP166" s="94">
        <v>0</v>
      </c>
      <c r="AQ166" s="578">
        <v>0</v>
      </c>
      <c r="AR166" s="155" t="s">
        <v>103</v>
      </c>
      <c r="AS166" s="155" t="s">
        <v>103</v>
      </c>
      <c r="AT166" s="155" t="s">
        <v>103</v>
      </c>
      <c r="AU166" s="155" t="s">
        <v>103</v>
      </c>
      <c r="AV166" s="155" t="s">
        <v>103</v>
      </c>
      <c r="AW166" s="155" t="s">
        <v>103</v>
      </c>
      <c r="AX166" s="155" t="s">
        <v>103</v>
      </c>
      <c r="AY166" s="155" t="s">
        <v>103</v>
      </c>
      <c r="AZ166" s="155" t="s">
        <v>103</v>
      </c>
      <c r="BA166" s="155" t="s">
        <v>103</v>
      </c>
      <c r="BB166" s="155" t="s">
        <v>103</v>
      </c>
      <c r="BC166" s="155" t="s">
        <v>103</v>
      </c>
      <c r="BD166" s="155" t="s">
        <v>103</v>
      </c>
      <c r="BE166" s="989" t="s">
        <v>103</v>
      </c>
      <c r="BF166" s="155" t="s">
        <v>103</v>
      </c>
      <c r="BG166" s="961">
        <v>0</v>
      </c>
      <c r="BH166" s="155" t="s">
        <v>103</v>
      </c>
      <c r="BI166" s="990" t="s">
        <v>103</v>
      </c>
      <c r="BJ166" s="155" t="s">
        <v>103</v>
      </c>
      <c r="BK166" s="155" t="s">
        <v>103</v>
      </c>
      <c r="BL166" s="155" t="s">
        <v>103</v>
      </c>
      <c r="BM166" s="155" t="s">
        <v>103</v>
      </c>
      <c r="BN166" s="155" t="s">
        <v>103</v>
      </c>
      <c r="BO166" s="155" t="s">
        <v>103</v>
      </c>
      <c r="BP166" s="155" t="s">
        <v>103</v>
      </c>
      <c r="BQ166" s="155" t="s">
        <v>103</v>
      </c>
      <c r="BR166" s="155" t="s">
        <v>103</v>
      </c>
      <c r="BS166" s="155" t="s">
        <v>103</v>
      </c>
      <c r="BT166" s="155" t="s">
        <v>103</v>
      </c>
      <c r="BU166" s="155" t="s">
        <v>103</v>
      </c>
      <c r="BV166" s="155" t="s">
        <v>103</v>
      </c>
      <c r="BW166" s="155" t="s">
        <v>103</v>
      </c>
      <c r="BX166" s="155" t="s">
        <v>103</v>
      </c>
      <c r="BY166" s="155" t="s">
        <v>103</v>
      </c>
      <c r="BZ166" s="155" t="s">
        <v>103</v>
      </c>
      <c r="CA166" s="155" t="s">
        <v>103</v>
      </c>
      <c r="CB166" s="155" t="s">
        <v>103</v>
      </c>
      <c r="CC166" s="155" t="s">
        <v>103</v>
      </c>
      <c r="CD166" s="155" t="s">
        <v>103</v>
      </c>
      <c r="CE166" s="155" t="s">
        <v>103</v>
      </c>
    </row>
    <row r="167" spans="1:83" s="968" customFormat="1" ht="14.1" customHeight="1">
      <c r="A167" s="1045"/>
      <c r="B167" s="1054"/>
      <c r="C167" s="1059"/>
      <c r="D167" s="1054"/>
      <c r="E167" s="1054"/>
      <c r="F167" s="1054"/>
      <c r="G167" s="1054"/>
      <c r="H167" s="1054"/>
      <c r="I167" s="1072"/>
      <c r="J167" s="1054"/>
      <c r="K167" s="1054"/>
      <c r="L167" s="1054"/>
      <c r="M167" s="1054"/>
      <c r="N167" s="1069"/>
      <c r="O167" s="1069"/>
      <c r="P167" s="1069"/>
      <c r="Q167" s="1069"/>
      <c r="R167" s="1069"/>
      <c r="S167" s="1069"/>
      <c r="T167" s="1054"/>
      <c r="U167" s="1054"/>
      <c r="V167" s="1073"/>
      <c r="W167" s="1073"/>
      <c r="X167" s="1073"/>
      <c r="Y167" s="1073"/>
      <c r="Z167" s="1073"/>
      <c r="AA167" s="1073"/>
      <c r="AB167" s="1054"/>
      <c r="AC167" s="1074"/>
      <c r="AD167" s="1054"/>
      <c r="AE167" s="1054"/>
      <c r="AF167" s="1054"/>
      <c r="AG167" s="1054"/>
      <c r="AH167" s="1064"/>
      <c r="AI167" s="1065"/>
      <c r="AJ167" s="1064"/>
      <c r="AK167" s="1054"/>
      <c r="AL167" s="1066"/>
      <c r="AM167" s="1054"/>
      <c r="AN167" s="1054"/>
      <c r="AO167" s="1067"/>
      <c r="AP167" s="1070"/>
      <c r="AQ167" s="1068"/>
      <c r="AR167" s="1054"/>
      <c r="AS167" s="1054"/>
      <c r="AT167" s="1054"/>
      <c r="AU167" s="1054"/>
      <c r="AV167" s="1054"/>
      <c r="AW167" s="1054"/>
      <c r="AX167" s="1054"/>
      <c r="AY167" s="1054"/>
      <c r="AZ167" s="1054"/>
      <c r="BA167" s="1054"/>
      <c r="BB167" s="1054"/>
      <c r="BC167" s="1054"/>
      <c r="BD167" s="1054"/>
      <c r="BE167" s="1069"/>
      <c r="BF167" s="1054"/>
      <c r="BG167" s="1070"/>
      <c r="BH167" s="1054"/>
      <c r="BI167" s="1071"/>
      <c r="BJ167" s="1054"/>
      <c r="BK167" s="1054"/>
      <c r="BL167" s="1054"/>
      <c r="BM167" s="1070"/>
      <c r="BN167" s="1059"/>
      <c r="BO167" s="1054"/>
      <c r="BP167" s="1054"/>
      <c r="BQ167" s="1054"/>
      <c r="BR167" s="1054"/>
      <c r="BS167" s="1054"/>
      <c r="BT167" s="1054"/>
      <c r="BU167" s="1054"/>
      <c r="BV167" s="1054"/>
      <c r="BW167" s="1054"/>
      <c r="BX167" s="1054"/>
      <c r="BY167" s="1054"/>
      <c r="BZ167" s="1054"/>
      <c r="CA167" s="1054"/>
      <c r="CB167" s="1054"/>
      <c r="CC167" s="1054"/>
      <c r="CD167" s="1054"/>
      <c r="CE167" s="1054"/>
    </row>
    <row r="168" spans="1:83" ht="14.45" customHeight="1">
      <c r="A168" s="1009" t="s">
        <v>504</v>
      </c>
      <c r="B168" s="980"/>
      <c r="C168" s="997"/>
      <c r="D168" s="980"/>
      <c r="E168" s="980"/>
      <c r="F168" s="980"/>
      <c r="G168" s="980"/>
      <c r="H168" s="980"/>
      <c r="I168" s="1010"/>
      <c r="J168" s="980"/>
      <c r="K168" s="980"/>
      <c r="L168" s="980"/>
      <c r="M168" s="980"/>
      <c r="N168" s="1005"/>
      <c r="O168" s="1005"/>
      <c r="P168" s="1005"/>
      <c r="Q168" s="1005"/>
      <c r="R168" s="1005"/>
      <c r="S168" s="1005"/>
      <c r="T168" s="980"/>
      <c r="U168" s="980"/>
      <c r="V168" s="1000"/>
      <c r="W168" s="1000"/>
      <c r="X168" s="1000"/>
      <c r="Y168" s="1000"/>
      <c r="Z168" s="1000"/>
      <c r="AA168" s="1000"/>
      <c r="AB168" s="980"/>
      <c r="AC168" s="1002"/>
      <c r="AD168" s="980"/>
      <c r="AE168" s="980"/>
      <c r="AF168" s="980"/>
      <c r="AG168" s="980"/>
      <c r="AH168" s="1003"/>
      <c r="AI168" s="1004"/>
      <c r="AJ168" s="1003"/>
      <c r="AK168" s="980"/>
      <c r="AL168" s="797"/>
      <c r="AM168" s="980"/>
      <c r="AN168" s="980"/>
      <c r="AO168" s="798"/>
      <c r="AP168" s="163"/>
      <c r="AQ168" s="579"/>
      <c r="AR168" s="980"/>
      <c r="AS168" s="980"/>
      <c r="AT168" s="980"/>
      <c r="AU168" s="980"/>
      <c r="AV168" s="980"/>
      <c r="AW168" s="980"/>
      <c r="AX168" s="980"/>
      <c r="AY168" s="980"/>
      <c r="AZ168" s="980"/>
      <c r="BA168" s="980"/>
      <c r="BB168" s="980"/>
      <c r="BC168" s="980"/>
      <c r="BD168" s="980"/>
      <c r="BE168" s="1005"/>
      <c r="BF168" s="980"/>
      <c r="BG168" s="163"/>
      <c r="BH168" s="980"/>
      <c r="BI168" s="1006"/>
      <c r="BJ168" s="980"/>
      <c r="BK168" s="980"/>
      <c r="BL168" s="980"/>
      <c r="BM168" s="163"/>
      <c r="BN168" s="997"/>
      <c r="BO168" s="980"/>
      <c r="BP168" s="980"/>
      <c r="BQ168" s="980"/>
      <c r="BR168" s="980"/>
      <c r="BS168" s="980"/>
      <c r="BT168" s="980"/>
      <c r="BU168" s="980"/>
      <c r="BV168" s="980"/>
      <c r="BW168" s="980"/>
      <c r="BX168" s="980"/>
      <c r="BY168" s="980"/>
      <c r="BZ168" s="980"/>
      <c r="CA168" s="980"/>
      <c r="CB168" s="980"/>
      <c r="CC168" s="980"/>
      <c r="CD168" s="980"/>
      <c r="CE168" s="980"/>
    </row>
    <row r="169" spans="1:83" ht="27.6" customHeight="1">
      <c r="A169" s="503" t="s">
        <v>505</v>
      </c>
      <c r="B169" s="164" t="s">
        <v>506</v>
      </c>
      <c r="C169" s="155" t="s">
        <v>507</v>
      </c>
      <c r="D169" s="153" t="s">
        <v>508</v>
      </c>
      <c r="E169" s="153">
        <v>93546</v>
      </c>
      <c r="F169" s="153">
        <v>6051000200</v>
      </c>
      <c r="G169" s="153" t="s">
        <v>110</v>
      </c>
      <c r="H169" s="674">
        <v>3.2625535405085213E-2</v>
      </c>
      <c r="I169" s="508" t="s">
        <v>506</v>
      </c>
      <c r="J169" s="153" t="s">
        <v>282</v>
      </c>
      <c r="K169" s="572" t="s">
        <v>222</v>
      </c>
      <c r="L169" s="153" t="s">
        <v>508</v>
      </c>
      <c r="M169" s="153" t="s">
        <v>104</v>
      </c>
      <c r="N169" s="156">
        <v>1</v>
      </c>
      <c r="P169" s="156">
        <v>0</v>
      </c>
      <c r="Q169" s="156" t="s">
        <v>139</v>
      </c>
      <c r="R169" s="156">
        <v>0</v>
      </c>
      <c r="S169" s="156">
        <v>1</v>
      </c>
      <c r="T169" s="958" t="s">
        <v>105</v>
      </c>
      <c r="U169" s="153" t="s">
        <v>110</v>
      </c>
      <c r="V169" s="149">
        <v>41493</v>
      </c>
      <c r="W169" s="149">
        <v>41731</v>
      </c>
      <c r="X169" s="149">
        <v>42219</v>
      </c>
      <c r="Y169" s="149">
        <v>42631</v>
      </c>
      <c r="Z169" s="149">
        <v>42631</v>
      </c>
      <c r="AA169" s="149">
        <v>41493</v>
      </c>
      <c r="AB169" s="763" t="s">
        <v>121</v>
      </c>
      <c r="AC169" s="594">
        <v>170</v>
      </c>
      <c r="AD169" s="153" t="s">
        <v>103</v>
      </c>
      <c r="AE169" s="149" t="s">
        <v>103</v>
      </c>
      <c r="AF169" s="596">
        <v>3</v>
      </c>
      <c r="AG169" s="596">
        <v>0</v>
      </c>
      <c r="AH169" s="595">
        <v>1150</v>
      </c>
      <c r="AI169" s="614">
        <v>0.2178030303030303</v>
      </c>
      <c r="AJ169" s="607">
        <v>1260</v>
      </c>
      <c r="AK169" s="153" t="s">
        <v>120</v>
      </c>
      <c r="AL169" s="791" t="s">
        <v>104</v>
      </c>
      <c r="AO169" s="963"/>
      <c r="AP169" s="1017">
        <v>900000</v>
      </c>
      <c r="AQ169" s="574">
        <v>473446.0400000005</v>
      </c>
      <c r="AR169" s="153" t="s">
        <v>116</v>
      </c>
      <c r="AS169" s="153" t="s">
        <v>116</v>
      </c>
      <c r="AT169" s="156">
        <v>0</v>
      </c>
      <c r="AU169" s="777" t="s">
        <v>122</v>
      </c>
      <c r="AV169" s="777" t="s">
        <v>122</v>
      </c>
      <c r="AW169" s="777" t="s">
        <v>122</v>
      </c>
      <c r="AX169" s="155" t="s">
        <v>103</v>
      </c>
      <c r="AY169" s="155" t="s">
        <v>103</v>
      </c>
      <c r="AZ169" s="155" t="s">
        <v>103</v>
      </c>
      <c r="BA169" s="156">
        <v>0</v>
      </c>
      <c r="BB169" s="574">
        <f t="shared" ref="BB169:BB170" si="31">AQ169</f>
        <v>473446.0400000005</v>
      </c>
      <c r="BC169" s="780">
        <v>426553.9599999995</v>
      </c>
      <c r="BD169" s="1008" t="s">
        <v>121</v>
      </c>
      <c r="BE169" s="679">
        <v>-37907</v>
      </c>
      <c r="BF169" s="153">
        <v>2016</v>
      </c>
      <c r="BG169" s="94">
        <v>511353</v>
      </c>
      <c r="BH169" s="766">
        <v>567514</v>
      </c>
      <c r="BI169" s="774">
        <v>332486</v>
      </c>
      <c r="BJ169" s="774">
        <v>0</v>
      </c>
      <c r="BK169" s="153" t="s">
        <v>103</v>
      </c>
      <c r="BL169" s="153" t="s">
        <v>124</v>
      </c>
      <c r="BM169" s="94" t="s">
        <v>116</v>
      </c>
      <c r="BN169" s="155" t="s">
        <v>116</v>
      </c>
      <c r="BO169" s="153" t="s">
        <v>124</v>
      </c>
      <c r="BP169" s="153" t="s">
        <v>116</v>
      </c>
      <c r="BQ169" s="153" t="s">
        <v>103</v>
      </c>
      <c r="BR169" s="153" t="s">
        <v>110</v>
      </c>
      <c r="BS169" s="153" t="s">
        <v>104</v>
      </c>
      <c r="BT169" s="153" t="s">
        <v>110</v>
      </c>
      <c r="BU169" s="153" t="s">
        <v>110</v>
      </c>
      <c r="BV169" s="153" t="s">
        <v>110</v>
      </c>
      <c r="BW169" s="153" t="s">
        <v>110</v>
      </c>
      <c r="BX169" s="153" t="s">
        <v>110</v>
      </c>
      <c r="BY169" s="153" t="s">
        <v>509</v>
      </c>
      <c r="BZ169" s="153" t="s">
        <v>110</v>
      </c>
      <c r="CA169" s="616" t="s">
        <v>103</v>
      </c>
      <c r="CB169" s="153" t="s">
        <v>103</v>
      </c>
      <c r="CC169" s="153" t="s">
        <v>103</v>
      </c>
      <c r="CD169" s="153" t="s">
        <v>103</v>
      </c>
      <c r="CE169" s="153" t="s">
        <v>103</v>
      </c>
    </row>
    <row r="170" spans="1:83" ht="14.1" customHeight="1">
      <c r="A170" s="505" t="s">
        <v>510</v>
      </c>
      <c r="B170" s="164" t="s">
        <v>511</v>
      </c>
      <c r="C170" s="155" t="s">
        <v>512</v>
      </c>
      <c r="D170" s="153" t="s">
        <v>513</v>
      </c>
      <c r="E170" s="153">
        <v>93529</v>
      </c>
      <c r="F170" s="153">
        <v>6051000101</v>
      </c>
      <c r="G170" s="153" t="s">
        <v>110</v>
      </c>
      <c r="H170" s="674">
        <v>2.3279698733310511E-2</v>
      </c>
      <c r="I170" s="508" t="s">
        <v>511</v>
      </c>
      <c r="J170" s="153" t="s">
        <v>282</v>
      </c>
      <c r="K170" s="156">
        <v>0</v>
      </c>
      <c r="L170" s="153" t="s">
        <v>513</v>
      </c>
      <c r="M170" s="153" t="s">
        <v>104</v>
      </c>
      <c r="N170" s="156">
        <v>1</v>
      </c>
      <c r="P170" s="156">
        <v>0</v>
      </c>
      <c r="Q170" s="156" t="s">
        <v>139</v>
      </c>
      <c r="R170" s="156">
        <v>0</v>
      </c>
      <c r="S170" s="156">
        <v>1</v>
      </c>
      <c r="T170" s="958" t="s">
        <v>105</v>
      </c>
      <c r="U170" s="153" t="s">
        <v>110</v>
      </c>
      <c r="V170" s="149" t="s">
        <v>150</v>
      </c>
      <c r="Y170" s="149">
        <v>38626</v>
      </c>
      <c r="Z170" s="149">
        <v>38626</v>
      </c>
      <c r="AA170" s="149" t="s">
        <v>150</v>
      </c>
      <c r="AB170" s="763" t="s">
        <v>121</v>
      </c>
      <c r="AC170" s="594" t="s">
        <v>116</v>
      </c>
      <c r="AD170" s="153" t="s">
        <v>103</v>
      </c>
      <c r="AE170" s="149" t="s">
        <v>103</v>
      </c>
      <c r="AF170" s="596" t="s">
        <v>103</v>
      </c>
      <c r="AG170" s="596" t="s">
        <v>103</v>
      </c>
      <c r="AH170" s="595" t="s">
        <v>103</v>
      </c>
      <c r="AI170" s="614" t="s">
        <v>103</v>
      </c>
      <c r="AJ170" s="607"/>
      <c r="AK170" s="153" t="s">
        <v>152</v>
      </c>
      <c r="AL170" s="791" t="s">
        <v>104</v>
      </c>
      <c r="AO170" s="963"/>
      <c r="AP170" s="519">
        <v>0</v>
      </c>
      <c r="AQ170" s="574">
        <v>518951</v>
      </c>
      <c r="AR170" s="153" t="s">
        <v>116</v>
      </c>
      <c r="AS170" s="153" t="s">
        <v>116</v>
      </c>
      <c r="AT170" s="777" t="s">
        <v>122</v>
      </c>
      <c r="AU170" s="777" t="s">
        <v>122</v>
      </c>
      <c r="AV170" s="777" t="s">
        <v>122</v>
      </c>
      <c r="AW170" s="777" t="s">
        <v>122</v>
      </c>
      <c r="AX170" s="155" t="s">
        <v>103</v>
      </c>
      <c r="AY170" s="155" t="s">
        <v>103</v>
      </c>
      <c r="AZ170" s="155" t="s">
        <v>103</v>
      </c>
      <c r="BA170" s="153" t="s">
        <v>103</v>
      </c>
      <c r="BB170" s="574">
        <f t="shared" si="31"/>
        <v>518951</v>
      </c>
      <c r="BC170" s="780" t="s">
        <v>103</v>
      </c>
      <c r="BD170" s="508" t="s">
        <v>103</v>
      </c>
      <c r="BE170" s="679" t="s">
        <v>256</v>
      </c>
      <c r="BF170" s="153" t="s">
        <v>256</v>
      </c>
      <c r="BG170" s="94">
        <v>518951</v>
      </c>
      <c r="BH170" s="766" t="s">
        <v>123</v>
      </c>
      <c r="BI170" s="774">
        <v>0</v>
      </c>
      <c r="BJ170" s="774">
        <v>0</v>
      </c>
      <c r="BK170" s="153" t="s">
        <v>103</v>
      </c>
      <c r="BL170" s="153" t="s">
        <v>124</v>
      </c>
      <c r="BM170" s="94" t="s">
        <v>103</v>
      </c>
      <c r="BN170" s="155" t="s">
        <v>103</v>
      </c>
      <c r="BO170" s="153" t="s">
        <v>103</v>
      </c>
      <c r="BP170" s="153" t="s">
        <v>103</v>
      </c>
      <c r="BQ170" s="153" t="s">
        <v>103</v>
      </c>
      <c r="BR170" s="153" t="s">
        <v>110</v>
      </c>
      <c r="BS170" s="153" t="s">
        <v>110</v>
      </c>
      <c r="BT170" s="153" t="s">
        <v>110</v>
      </c>
      <c r="BU170" s="153" t="s">
        <v>110</v>
      </c>
      <c r="BV170" s="153" t="s">
        <v>110</v>
      </c>
      <c r="BW170" s="153" t="s">
        <v>110</v>
      </c>
      <c r="BX170" s="153" t="s">
        <v>110</v>
      </c>
      <c r="BZ170" s="153" t="s">
        <v>110</v>
      </c>
      <c r="CA170" s="616" t="s">
        <v>103</v>
      </c>
      <c r="CB170" s="153" t="s">
        <v>103</v>
      </c>
      <c r="CC170" s="153" t="s">
        <v>103</v>
      </c>
      <c r="CD170" s="153" t="s">
        <v>103</v>
      </c>
      <c r="CE170" s="153" t="s">
        <v>103</v>
      </c>
    </row>
    <row r="171" spans="1:83" s="968" customFormat="1" ht="14.1" customHeight="1">
      <c r="A171" s="1076"/>
      <c r="B171" s="1054"/>
      <c r="C171" s="1059"/>
      <c r="D171" s="1054"/>
      <c r="E171" s="1054"/>
      <c r="F171" s="1054"/>
      <c r="G171" s="1054"/>
      <c r="H171" s="1054"/>
      <c r="I171" s="1072"/>
      <c r="J171" s="1054"/>
      <c r="K171" s="1054"/>
      <c r="L171" s="1054"/>
      <c r="M171" s="1054"/>
      <c r="N171" s="1069"/>
      <c r="O171" s="1069"/>
      <c r="P171" s="1069"/>
      <c r="Q171" s="1069"/>
      <c r="R171" s="1069"/>
      <c r="S171" s="1069"/>
      <c r="T171" s="1054"/>
      <c r="U171" s="1054"/>
      <c r="V171" s="1073"/>
      <c r="W171" s="1073"/>
      <c r="X171" s="1073"/>
      <c r="Y171" s="1073"/>
      <c r="Z171" s="1073"/>
      <c r="AA171" s="1073"/>
      <c r="AB171" s="1054"/>
      <c r="AC171" s="1074"/>
      <c r="AD171" s="1054"/>
      <c r="AE171" s="1054"/>
      <c r="AF171" s="1054"/>
      <c r="AG171" s="1054"/>
      <c r="AH171" s="1064"/>
      <c r="AI171" s="1065"/>
      <c r="AJ171" s="1064"/>
      <c r="AK171" s="1054"/>
      <c r="AL171" s="1066"/>
      <c r="AM171" s="1054"/>
      <c r="AN171" s="1054"/>
      <c r="AO171" s="1067"/>
      <c r="AP171" s="1070"/>
      <c r="AQ171" s="1068"/>
      <c r="AR171" s="1054"/>
      <c r="AS171" s="1054"/>
      <c r="AT171" s="1054"/>
      <c r="AU171" s="1054"/>
      <c r="AV171" s="1054"/>
      <c r="AW171" s="1054"/>
      <c r="AX171" s="1054"/>
      <c r="AY171" s="1054"/>
      <c r="AZ171" s="1054"/>
      <c r="BA171" s="1054"/>
      <c r="BB171" s="1054"/>
      <c r="BC171" s="1054"/>
      <c r="BD171" s="1054"/>
      <c r="BE171" s="1069"/>
      <c r="BF171" s="1054"/>
      <c r="BG171" s="1070"/>
      <c r="BH171" s="1054"/>
      <c r="BI171" s="1071"/>
      <c r="BJ171" s="1054"/>
      <c r="BK171" s="1054"/>
      <c r="BL171" s="1054"/>
      <c r="BM171" s="1070"/>
      <c r="BN171" s="1059"/>
      <c r="BO171" s="1054"/>
      <c r="BP171" s="1054"/>
      <c r="BQ171" s="1054"/>
      <c r="BR171" s="1054"/>
      <c r="BS171" s="1054"/>
      <c r="BT171" s="1054"/>
      <c r="BU171" s="1054"/>
      <c r="BV171" s="1054"/>
      <c r="BW171" s="1054"/>
      <c r="BX171" s="1054"/>
      <c r="BY171" s="1054"/>
      <c r="BZ171" s="1054"/>
      <c r="CA171" s="1054"/>
      <c r="CB171" s="1054"/>
      <c r="CC171" s="1054"/>
      <c r="CD171" s="1054"/>
      <c r="CE171" s="1054"/>
    </row>
    <row r="172" spans="1:83" ht="14.45" customHeight="1">
      <c r="A172" s="1009" t="s">
        <v>514</v>
      </c>
      <c r="B172" s="980"/>
      <c r="C172" s="997"/>
      <c r="D172" s="980"/>
      <c r="E172" s="980"/>
      <c r="F172" s="980"/>
      <c r="G172" s="980"/>
      <c r="H172" s="980"/>
      <c r="I172" s="1010"/>
      <c r="J172" s="980"/>
      <c r="K172" s="980"/>
      <c r="L172" s="980"/>
      <c r="M172" s="980"/>
      <c r="N172" s="1005"/>
      <c r="O172" s="1005"/>
      <c r="P172" s="1005"/>
      <c r="Q172" s="1005"/>
      <c r="R172" s="1005"/>
      <c r="S172" s="1005"/>
      <c r="T172" s="980"/>
      <c r="U172" s="980"/>
      <c r="V172" s="1000"/>
      <c r="W172" s="1000"/>
      <c r="X172" s="1000"/>
      <c r="Y172" s="1000"/>
      <c r="Z172" s="1000"/>
      <c r="AA172" s="1000"/>
      <c r="AB172" s="980"/>
      <c r="AC172" s="1002"/>
      <c r="AD172" s="980"/>
      <c r="AE172" s="980"/>
      <c r="AF172" s="980"/>
      <c r="AG172" s="980"/>
      <c r="AH172" s="1003"/>
      <c r="AI172" s="1004"/>
      <c r="AJ172" s="1003"/>
      <c r="AK172" s="980"/>
      <c r="AL172" s="797"/>
      <c r="AM172" s="980"/>
      <c r="AN172" s="980"/>
      <c r="AO172" s="798"/>
      <c r="AP172" s="163"/>
      <c r="AQ172" s="579"/>
      <c r="AR172" s="980"/>
      <c r="AS172" s="980"/>
      <c r="AT172" s="980"/>
      <c r="AU172" s="980"/>
      <c r="AV172" s="980"/>
      <c r="AW172" s="980"/>
      <c r="AX172" s="980"/>
      <c r="AY172" s="980"/>
      <c r="AZ172" s="980"/>
      <c r="BA172" s="980"/>
      <c r="BB172" s="980"/>
      <c r="BC172" s="980"/>
      <c r="BD172" s="980"/>
      <c r="BE172" s="1005"/>
      <c r="BF172" s="980"/>
      <c r="BG172" s="163"/>
      <c r="BH172" s="980"/>
      <c r="BI172" s="1006"/>
      <c r="BJ172" s="980"/>
      <c r="BK172" s="980"/>
      <c r="BL172" s="980"/>
      <c r="BM172" s="163"/>
      <c r="BN172" s="997"/>
      <c r="BO172" s="980"/>
      <c r="BP172" s="980"/>
      <c r="BQ172" s="980"/>
      <c r="BR172" s="980"/>
      <c r="BS172" s="980"/>
      <c r="BT172" s="980"/>
      <c r="BU172" s="980"/>
      <c r="BV172" s="980"/>
      <c r="BW172" s="980"/>
      <c r="BX172" s="980"/>
      <c r="BY172" s="980"/>
      <c r="BZ172" s="980"/>
      <c r="CA172" s="980"/>
      <c r="CB172" s="980"/>
      <c r="CC172" s="980"/>
      <c r="CD172" s="980"/>
      <c r="CE172" s="980"/>
    </row>
    <row r="173" spans="1:83" ht="14.1" customHeight="1">
      <c r="A173" s="503" t="s">
        <v>515</v>
      </c>
      <c r="B173" s="164" t="s">
        <v>103</v>
      </c>
      <c r="C173" s="155" t="s">
        <v>103</v>
      </c>
      <c r="D173" s="153" t="s">
        <v>103</v>
      </c>
      <c r="E173" s="153" t="s">
        <v>103</v>
      </c>
      <c r="F173" s="958" t="s">
        <v>103</v>
      </c>
      <c r="G173" s="153" t="s">
        <v>110</v>
      </c>
      <c r="H173" s="673">
        <v>7.187240080238759E-2</v>
      </c>
      <c r="I173" s="508" t="s">
        <v>103</v>
      </c>
      <c r="J173" s="958" t="s">
        <v>103</v>
      </c>
      <c r="K173" s="958" t="s">
        <v>103</v>
      </c>
      <c r="L173" s="155" t="s">
        <v>103</v>
      </c>
      <c r="M173" s="155" t="s">
        <v>103</v>
      </c>
      <c r="N173" s="156">
        <v>0</v>
      </c>
      <c r="O173" s="156" t="s">
        <v>103</v>
      </c>
      <c r="P173" s="156">
        <v>0</v>
      </c>
      <c r="Q173" s="958" t="s">
        <v>103</v>
      </c>
      <c r="R173" s="156">
        <v>0</v>
      </c>
      <c r="S173" s="156">
        <v>0</v>
      </c>
      <c r="T173" s="958" t="s">
        <v>105</v>
      </c>
      <c r="U173" s="153" t="s">
        <v>110</v>
      </c>
      <c r="V173" s="518" t="s">
        <v>103</v>
      </c>
      <c r="W173" s="991" t="s">
        <v>103</v>
      </c>
      <c r="X173" s="991" t="s">
        <v>103</v>
      </c>
      <c r="Y173" s="991" t="s">
        <v>103</v>
      </c>
      <c r="Z173" s="518" t="s">
        <v>103</v>
      </c>
      <c r="AA173" s="991" t="s">
        <v>103</v>
      </c>
      <c r="AB173" s="155" t="s">
        <v>103</v>
      </c>
      <c r="AC173" s="959" t="s">
        <v>103</v>
      </c>
      <c r="AD173" s="155" t="s">
        <v>103</v>
      </c>
      <c r="AE173" s="155" t="s">
        <v>103</v>
      </c>
      <c r="AF173" s="155" t="s">
        <v>103</v>
      </c>
      <c r="AG173" s="155" t="s">
        <v>103</v>
      </c>
      <c r="AH173" s="992" t="s">
        <v>103</v>
      </c>
      <c r="AI173" s="960" t="s">
        <v>103</v>
      </c>
      <c r="AJ173" s="992" t="s">
        <v>103</v>
      </c>
      <c r="AK173" s="155" t="s">
        <v>103</v>
      </c>
      <c r="AL173" s="993" t="s">
        <v>103</v>
      </c>
      <c r="AM173" s="155"/>
      <c r="AN173" s="155"/>
      <c r="AO173" s="994"/>
      <c r="AP173" s="519">
        <v>0</v>
      </c>
      <c r="AQ173" s="581">
        <v>0</v>
      </c>
      <c r="AR173" s="155" t="s">
        <v>103</v>
      </c>
      <c r="AS173" s="155" t="s">
        <v>103</v>
      </c>
      <c r="AT173" s="155" t="s">
        <v>103</v>
      </c>
      <c r="AU173" s="155" t="s">
        <v>103</v>
      </c>
      <c r="AV173" s="155" t="s">
        <v>103</v>
      </c>
      <c r="AW173" s="155" t="s">
        <v>103</v>
      </c>
      <c r="AX173" s="155" t="s">
        <v>103</v>
      </c>
      <c r="AY173" s="155" t="s">
        <v>103</v>
      </c>
      <c r="AZ173" s="155" t="s">
        <v>103</v>
      </c>
      <c r="BA173" s="155" t="s">
        <v>103</v>
      </c>
      <c r="BB173" s="155" t="s">
        <v>103</v>
      </c>
      <c r="BC173" s="155" t="s">
        <v>103</v>
      </c>
      <c r="BD173" s="155" t="s">
        <v>103</v>
      </c>
      <c r="BE173" s="989" t="s">
        <v>103</v>
      </c>
      <c r="BF173" s="155" t="s">
        <v>103</v>
      </c>
      <c r="BG173" s="961">
        <v>0</v>
      </c>
      <c r="BH173" s="155" t="s">
        <v>103</v>
      </c>
      <c r="BI173" s="990" t="s">
        <v>103</v>
      </c>
      <c r="BJ173" s="155" t="s">
        <v>103</v>
      </c>
      <c r="BK173" s="155" t="s">
        <v>103</v>
      </c>
      <c r="BL173" s="155" t="s">
        <v>103</v>
      </c>
      <c r="BM173" s="155" t="s">
        <v>103</v>
      </c>
      <c r="BN173" s="155" t="s">
        <v>103</v>
      </c>
      <c r="BO173" s="155" t="s">
        <v>103</v>
      </c>
      <c r="BP173" s="155" t="s">
        <v>103</v>
      </c>
      <c r="BQ173" s="155" t="s">
        <v>103</v>
      </c>
      <c r="BR173" s="155" t="s">
        <v>103</v>
      </c>
      <c r="BS173" s="155" t="s">
        <v>103</v>
      </c>
      <c r="BT173" s="155" t="s">
        <v>103</v>
      </c>
      <c r="BU173" s="155" t="s">
        <v>103</v>
      </c>
      <c r="BV173" s="155" t="s">
        <v>103</v>
      </c>
      <c r="BW173" s="155" t="s">
        <v>103</v>
      </c>
      <c r="BX173" s="155" t="s">
        <v>103</v>
      </c>
      <c r="BY173" s="155" t="s">
        <v>103</v>
      </c>
      <c r="BZ173" s="155" t="s">
        <v>103</v>
      </c>
      <c r="CA173" s="155" t="s">
        <v>103</v>
      </c>
      <c r="CB173" s="155" t="s">
        <v>103</v>
      </c>
      <c r="CC173" s="155" t="s">
        <v>103</v>
      </c>
      <c r="CD173" s="155" t="s">
        <v>103</v>
      </c>
      <c r="CE173" s="155" t="s">
        <v>103</v>
      </c>
    </row>
    <row r="174" spans="1:83" ht="14.1" customHeight="1">
      <c r="A174" s="503" t="s">
        <v>516</v>
      </c>
      <c r="B174" s="164" t="s">
        <v>103</v>
      </c>
      <c r="C174" s="155" t="s">
        <v>103</v>
      </c>
      <c r="D174" s="153" t="s">
        <v>103</v>
      </c>
      <c r="E174" s="153" t="s">
        <v>103</v>
      </c>
      <c r="F174" s="958" t="s">
        <v>103</v>
      </c>
      <c r="G174" s="153" t="s">
        <v>104</v>
      </c>
      <c r="H174" s="673">
        <v>0.29561963460268548</v>
      </c>
      <c r="I174" s="508" t="s">
        <v>103</v>
      </c>
      <c r="J174" s="958" t="s">
        <v>103</v>
      </c>
      <c r="K174" s="958" t="s">
        <v>103</v>
      </c>
      <c r="L174" s="155" t="s">
        <v>103</v>
      </c>
      <c r="M174" s="155" t="s">
        <v>103</v>
      </c>
      <c r="N174" s="156">
        <v>0</v>
      </c>
      <c r="O174" s="156" t="s">
        <v>103</v>
      </c>
      <c r="P174" s="156">
        <v>0</v>
      </c>
      <c r="Q174" s="958" t="s">
        <v>103</v>
      </c>
      <c r="R174" s="156">
        <v>0</v>
      </c>
      <c r="S174" s="156">
        <v>0</v>
      </c>
      <c r="T174" s="958" t="s">
        <v>105</v>
      </c>
      <c r="U174" s="153" t="s">
        <v>104</v>
      </c>
      <c r="V174" s="518" t="s">
        <v>103</v>
      </c>
      <c r="W174" s="991" t="s">
        <v>103</v>
      </c>
      <c r="X174" s="991" t="s">
        <v>103</v>
      </c>
      <c r="Y174" s="991" t="s">
        <v>103</v>
      </c>
      <c r="Z174" s="518" t="s">
        <v>103</v>
      </c>
      <c r="AA174" s="991" t="s">
        <v>103</v>
      </c>
      <c r="AB174" s="155" t="s">
        <v>103</v>
      </c>
      <c r="AC174" s="959" t="s">
        <v>103</v>
      </c>
      <c r="AD174" s="155" t="s">
        <v>103</v>
      </c>
      <c r="AE174" s="155" t="s">
        <v>103</v>
      </c>
      <c r="AF174" s="155" t="s">
        <v>103</v>
      </c>
      <c r="AG174" s="155" t="s">
        <v>103</v>
      </c>
      <c r="AH174" s="992" t="s">
        <v>103</v>
      </c>
      <c r="AI174" s="960" t="s">
        <v>103</v>
      </c>
      <c r="AJ174" s="992" t="s">
        <v>103</v>
      </c>
      <c r="AK174" s="155" t="s">
        <v>103</v>
      </c>
      <c r="AL174" s="993" t="s">
        <v>103</v>
      </c>
      <c r="AM174" s="155"/>
      <c r="AN174" s="155"/>
      <c r="AO174" s="994"/>
      <c r="AP174" s="94">
        <v>0</v>
      </c>
      <c r="AQ174" s="578">
        <v>0</v>
      </c>
      <c r="AR174" s="155" t="s">
        <v>103</v>
      </c>
      <c r="AS174" s="155" t="s">
        <v>103</v>
      </c>
      <c r="AT174" s="155" t="s">
        <v>103</v>
      </c>
      <c r="AU174" s="155" t="s">
        <v>103</v>
      </c>
      <c r="AV174" s="155" t="s">
        <v>103</v>
      </c>
      <c r="AW174" s="155" t="s">
        <v>103</v>
      </c>
      <c r="AX174" s="155" t="s">
        <v>103</v>
      </c>
      <c r="AY174" s="155" t="s">
        <v>103</v>
      </c>
      <c r="AZ174" s="155" t="s">
        <v>103</v>
      </c>
      <c r="BA174" s="155" t="s">
        <v>103</v>
      </c>
      <c r="BB174" s="155" t="s">
        <v>103</v>
      </c>
      <c r="BC174" s="155" t="s">
        <v>103</v>
      </c>
      <c r="BD174" s="155" t="s">
        <v>103</v>
      </c>
      <c r="BE174" s="989" t="s">
        <v>103</v>
      </c>
      <c r="BF174" s="155" t="s">
        <v>103</v>
      </c>
      <c r="BG174" s="961">
        <v>0</v>
      </c>
      <c r="BH174" s="155" t="s">
        <v>103</v>
      </c>
      <c r="BI174" s="990" t="s">
        <v>103</v>
      </c>
      <c r="BJ174" s="155" t="s">
        <v>103</v>
      </c>
      <c r="BK174" s="155" t="s">
        <v>103</v>
      </c>
      <c r="BL174" s="155" t="s">
        <v>103</v>
      </c>
      <c r="BM174" s="155" t="s">
        <v>103</v>
      </c>
      <c r="BN174" s="155" t="s">
        <v>103</v>
      </c>
      <c r="BO174" s="155" t="s">
        <v>103</v>
      </c>
      <c r="BP174" s="155" t="s">
        <v>103</v>
      </c>
      <c r="BQ174" s="155" t="s">
        <v>103</v>
      </c>
      <c r="BR174" s="155" t="s">
        <v>103</v>
      </c>
      <c r="BS174" s="155" t="s">
        <v>103</v>
      </c>
      <c r="BT174" s="155" t="s">
        <v>103</v>
      </c>
      <c r="BU174" s="155" t="s">
        <v>103</v>
      </c>
      <c r="BV174" s="155" t="s">
        <v>103</v>
      </c>
      <c r="BW174" s="155" t="s">
        <v>103</v>
      </c>
      <c r="BX174" s="155" t="s">
        <v>103</v>
      </c>
      <c r="BY174" s="155" t="s">
        <v>103</v>
      </c>
      <c r="BZ174" s="155" t="s">
        <v>103</v>
      </c>
      <c r="CA174" s="155" t="s">
        <v>103</v>
      </c>
      <c r="CB174" s="155" t="s">
        <v>103</v>
      </c>
      <c r="CC174" s="155" t="s">
        <v>103</v>
      </c>
      <c r="CD174" s="155" t="s">
        <v>103</v>
      </c>
      <c r="CE174" s="155" t="s">
        <v>103</v>
      </c>
    </row>
    <row r="175" spans="1:83" ht="10.35" customHeight="1">
      <c r="A175" s="503" t="s">
        <v>517</v>
      </c>
      <c r="B175" s="164" t="s">
        <v>518</v>
      </c>
      <c r="C175" s="155" t="s">
        <v>519</v>
      </c>
      <c r="D175" s="153" t="s">
        <v>520</v>
      </c>
      <c r="E175" s="153">
        <v>92821</v>
      </c>
      <c r="F175" s="153">
        <v>6059001507</v>
      </c>
      <c r="G175" s="153" t="s">
        <v>110</v>
      </c>
      <c r="H175" s="674">
        <v>8.0769230769230774E-2</v>
      </c>
      <c r="I175" s="508" t="s">
        <v>518</v>
      </c>
      <c r="J175" s="153" t="s">
        <v>117</v>
      </c>
      <c r="K175" s="572" t="s">
        <v>222</v>
      </c>
      <c r="L175" s="153" t="s">
        <v>520</v>
      </c>
      <c r="M175" s="153" t="s">
        <v>104</v>
      </c>
      <c r="N175" s="156">
        <v>1</v>
      </c>
      <c r="P175" s="156">
        <v>0</v>
      </c>
      <c r="Q175" s="156" t="s">
        <v>139</v>
      </c>
      <c r="R175" s="156">
        <v>0</v>
      </c>
      <c r="S175" s="156">
        <v>1</v>
      </c>
      <c r="T175" s="958" t="s">
        <v>105</v>
      </c>
      <c r="U175" s="153" t="s">
        <v>110</v>
      </c>
      <c r="V175" s="149">
        <v>41583</v>
      </c>
      <c r="W175" s="149">
        <v>41698</v>
      </c>
      <c r="X175" s="149">
        <v>42917</v>
      </c>
      <c r="Y175" s="149">
        <v>43147</v>
      </c>
      <c r="Z175" s="149">
        <v>43147</v>
      </c>
      <c r="AA175" s="149">
        <v>41583</v>
      </c>
      <c r="AB175" s="763" t="s">
        <v>151</v>
      </c>
      <c r="AC175" s="594">
        <v>82.142857142857139</v>
      </c>
      <c r="AD175" s="149">
        <v>43147</v>
      </c>
      <c r="AE175" s="149" t="s">
        <v>103</v>
      </c>
      <c r="AF175" s="153">
        <v>27</v>
      </c>
      <c r="AG175" s="153" t="s">
        <v>150</v>
      </c>
      <c r="AH175" s="595">
        <v>5000</v>
      </c>
      <c r="AI175" s="960">
        <v>0.94696970000000003</v>
      </c>
      <c r="AJ175" s="607">
        <v>5000</v>
      </c>
      <c r="AK175" s="153" t="s">
        <v>152</v>
      </c>
      <c r="AL175" s="791" t="s">
        <v>110</v>
      </c>
      <c r="AO175" s="963"/>
      <c r="AP175" s="94">
        <v>1900000</v>
      </c>
      <c r="AQ175" s="574">
        <v>3786485.73</v>
      </c>
      <c r="AR175" s="153" t="s">
        <v>116</v>
      </c>
      <c r="AS175" s="153" t="s">
        <v>116</v>
      </c>
      <c r="AT175" s="156">
        <v>0</v>
      </c>
      <c r="AU175" s="777" t="s">
        <v>122</v>
      </c>
      <c r="AV175" s="777" t="s">
        <v>122</v>
      </c>
      <c r="AW175" s="777" t="s">
        <v>122</v>
      </c>
      <c r="AX175" s="155" t="s">
        <v>103</v>
      </c>
      <c r="AY175" s="155" t="s">
        <v>103</v>
      </c>
      <c r="AZ175" s="155" t="s">
        <v>103</v>
      </c>
      <c r="BA175" s="156">
        <v>0</v>
      </c>
      <c r="BB175" s="574">
        <f t="shared" ref="BB175:BB176" si="32">AQ175</f>
        <v>3786485.73</v>
      </c>
      <c r="BC175" s="780">
        <f>AP175-AQ175</f>
        <v>-1886485.73</v>
      </c>
      <c r="BD175" s="1008" t="s">
        <v>151</v>
      </c>
      <c r="BE175" s="156" t="s">
        <v>103</v>
      </c>
      <c r="BF175" s="156" t="s">
        <v>103</v>
      </c>
      <c r="BG175" s="94">
        <v>3234271.65</v>
      </c>
      <c r="BH175" s="766">
        <v>1517228</v>
      </c>
      <c r="BI175" s="774">
        <v>382772</v>
      </c>
      <c r="BJ175" s="774">
        <f>BG175-BH175-BI175</f>
        <v>1334271.6499999999</v>
      </c>
      <c r="BK175" s="153" t="s">
        <v>103</v>
      </c>
      <c r="BL175" s="153" t="s">
        <v>124</v>
      </c>
      <c r="BM175" s="94" t="s">
        <v>103</v>
      </c>
      <c r="BN175" s="155" t="s">
        <v>103</v>
      </c>
      <c r="BO175" s="153" t="s">
        <v>103</v>
      </c>
      <c r="BP175" s="153" t="s">
        <v>103</v>
      </c>
      <c r="BQ175" s="153" t="s">
        <v>103</v>
      </c>
      <c r="BR175" s="153" t="s">
        <v>110</v>
      </c>
      <c r="BS175" s="153" t="s">
        <v>104</v>
      </c>
      <c r="BT175" s="153" t="s">
        <v>104</v>
      </c>
      <c r="BU175" s="153" t="s">
        <v>103</v>
      </c>
      <c r="BV175" s="153" t="s">
        <v>110</v>
      </c>
      <c r="BW175" s="153" t="s">
        <v>104</v>
      </c>
      <c r="BX175" s="153" t="s">
        <v>110</v>
      </c>
      <c r="BY175" s="153" t="s">
        <v>110</v>
      </c>
      <c r="BZ175" s="153" t="s">
        <v>110</v>
      </c>
      <c r="CA175" s="616" t="s">
        <v>110</v>
      </c>
      <c r="CB175" s="153" t="s">
        <v>103</v>
      </c>
      <c r="CC175" s="153" t="s">
        <v>110</v>
      </c>
      <c r="CD175" s="153" t="s">
        <v>103</v>
      </c>
      <c r="CE175" s="153" t="s">
        <v>110</v>
      </c>
    </row>
    <row r="176" spans="1:83" ht="27.6" customHeight="1">
      <c r="A176" s="503" t="s">
        <v>521</v>
      </c>
      <c r="B176" s="164" t="s">
        <v>522</v>
      </c>
      <c r="C176" s="155" t="s">
        <v>523</v>
      </c>
      <c r="D176" s="153">
        <v>12550</v>
      </c>
      <c r="E176" s="153">
        <v>90620</v>
      </c>
      <c r="F176" s="153">
        <v>6059110500</v>
      </c>
      <c r="G176" s="153" t="s">
        <v>104</v>
      </c>
      <c r="H176" s="675">
        <v>0.22508722958827634</v>
      </c>
      <c r="I176" s="508" t="s">
        <v>522</v>
      </c>
      <c r="J176" s="153" t="s">
        <v>117</v>
      </c>
      <c r="K176" s="572" t="s">
        <v>217</v>
      </c>
      <c r="L176" s="153">
        <v>12550</v>
      </c>
      <c r="M176" s="153" t="s">
        <v>104</v>
      </c>
      <c r="N176" s="156">
        <v>1</v>
      </c>
      <c r="P176" s="156">
        <v>0</v>
      </c>
      <c r="Q176" s="156" t="s">
        <v>139</v>
      </c>
      <c r="R176" s="156">
        <v>0</v>
      </c>
      <c r="S176" s="156">
        <v>1</v>
      </c>
      <c r="T176" s="958" t="s">
        <v>105</v>
      </c>
      <c r="U176" s="153" t="s">
        <v>104</v>
      </c>
      <c r="V176" s="149">
        <v>40414</v>
      </c>
      <c r="W176" s="149">
        <v>40428</v>
      </c>
      <c r="X176" s="149">
        <v>41451</v>
      </c>
      <c r="Y176" s="149">
        <v>41632</v>
      </c>
      <c r="Z176" s="149">
        <v>41632</v>
      </c>
      <c r="AA176" s="149">
        <v>40414</v>
      </c>
      <c r="AB176" s="763" t="s">
        <v>121</v>
      </c>
      <c r="AC176" s="594">
        <v>10</v>
      </c>
      <c r="AD176" s="153" t="s">
        <v>103</v>
      </c>
      <c r="AE176" s="149" t="s">
        <v>103</v>
      </c>
      <c r="AF176" s="596">
        <v>19</v>
      </c>
      <c r="AG176" s="596">
        <v>22</v>
      </c>
      <c r="AH176" s="597">
        <v>5032.666666666667</v>
      </c>
      <c r="AI176" s="615">
        <v>0.9531565656565657</v>
      </c>
      <c r="AJ176" s="607">
        <v>6541</v>
      </c>
      <c r="AK176" s="153" t="s">
        <v>120</v>
      </c>
      <c r="AL176" s="791" t="s">
        <v>110</v>
      </c>
      <c r="AO176" s="963"/>
      <c r="AP176" s="1017">
        <v>3800000</v>
      </c>
      <c r="AQ176" s="580">
        <v>2646995</v>
      </c>
      <c r="AR176" s="153" t="s">
        <v>116</v>
      </c>
      <c r="AS176" s="153" t="s">
        <v>116</v>
      </c>
      <c r="AT176" s="156">
        <v>0</v>
      </c>
      <c r="AU176" s="777" t="s">
        <v>122</v>
      </c>
      <c r="AV176" s="777" t="s">
        <v>122</v>
      </c>
      <c r="AW176" s="777" t="s">
        <v>122</v>
      </c>
      <c r="AX176" s="155" t="s">
        <v>103</v>
      </c>
      <c r="AY176" s="155" t="s">
        <v>103</v>
      </c>
      <c r="AZ176" s="155" t="s">
        <v>103</v>
      </c>
      <c r="BA176" s="156">
        <v>0</v>
      </c>
      <c r="BB176" s="574">
        <f t="shared" si="32"/>
        <v>2646995</v>
      </c>
      <c r="BC176" s="780">
        <v>1153005</v>
      </c>
      <c r="BD176" s="1008" t="s">
        <v>121</v>
      </c>
      <c r="BE176" s="679">
        <v>240085</v>
      </c>
      <c r="BF176" s="153" t="s">
        <v>524</v>
      </c>
      <c r="BG176" s="519">
        <v>2646995</v>
      </c>
      <c r="BH176" s="769">
        <v>2902369</v>
      </c>
      <c r="BI176" s="774">
        <v>897631</v>
      </c>
      <c r="BJ176" s="774">
        <v>0</v>
      </c>
      <c r="BK176" s="153" t="s">
        <v>103</v>
      </c>
      <c r="BL176" s="153" t="s">
        <v>124</v>
      </c>
      <c r="BM176" s="519" t="s">
        <v>103</v>
      </c>
      <c r="BN176" s="155" t="s">
        <v>103</v>
      </c>
      <c r="BO176" s="153" t="s">
        <v>103</v>
      </c>
      <c r="BP176" s="153" t="s">
        <v>103</v>
      </c>
      <c r="BQ176" s="153" t="s">
        <v>103</v>
      </c>
      <c r="BR176" s="153" t="s">
        <v>104</v>
      </c>
      <c r="BS176" s="153" t="s">
        <v>104</v>
      </c>
      <c r="BT176" s="153" t="s">
        <v>104</v>
      </c>
      <c r="BU176" s="153" t="s">
        <v>104</v>
      </c>
      <c r="BV176" s="153" t="s">
        <v>110</v>
      </c>
      <c r="BW176" s="153" t="s">
        <v>110</v>
      </c>
      <c r="BX176" s="153" t="s">
        <v>104</v>
      </c>
      <c r="BY176" s="153" t="s">
        <v>110</v>
      </c>
      <c r="BZ176" s="153" t="s">
        <v>110</v>
      </c>
      <c r="CA176" s="616" t="s">
        <v>110</v>
      </c>
      <c r="CB176" s="153" t="s">
        <v>110</v>
      </c>
      <c r="CC176" s="153" t="s">
        <v>110</v>
      </c>
      <c r="CD176" s="153" t="s">
        <v>103</v>
      </c>
      <c r="CE176" s="153" t="s">
        <v>103</v>
      </c>
    </row>
    <row r="177" spans="1:83" ht="14.1" customHeight="1">
      <c r="A177" s="503" t="s">
        <v>525</v>
      </c>
      <c r="B177" s="164" t="s">
        <v>103</v>
      </c>
      <c r="C177" s="155" t="s">
        <v>103</v>
      </c>
      <c r="D177" s="153" t="s">
        <v>103</v>
      </c>
      <c r="E177" s="153" t="s">
        <v>103</v>
      </c>
      <c r="F177" s="958" t="s">
        <v>103</v>
      </c>
      <c r="G177" s="153" t="s">
        <v>104</v>
      </c>
      <c r="H177" s="673">
        <v>0.12706538066250297</v>
      </c>
      <c r="I177" s="508" t="s">
        <v>103</v>
      </c>
      <c r="J177" s="958" t="s">
        <v>103</v>
      </c>
      <c r="K177" s="958" t="s">
        <v>103</v>
      </c>
      <c r="L177" s="155" t="s">
        <v>103</v>
      </c>
      <c r="M177" s="155" t="s">
        <v>103</v>
      </c>
      <c r="N177" s="156">
        <v>0</v>
      </c>
      <c r="O177" s="156" t="s">
        <v>103</v>
      </c>
      <c r="P177" s="156">
        <v>0</v>
      </c>
      <c r="Q177" s="958" t="s">
        <v>103</v>
      </c>
      <c r="R177" s="156">
        <v>0</v>
      </c>
      <c r="S177" s="156">
        <v>0</v>
      </c>
      <c r="T177" s="958" t="s">
        <v>105</v>
      </c>
      <c r="U177" s="153" t="s">
        <v>104</v>
      </c>
      <c r="V177" s="518" t="s">
        <v>103</v>
      </c>
      <c r="W177" s="991" t="s">
        <v>103</v>
      </c>
      <c r="X177" s="991" t="s">
        <v>103</v>
      </c>
      <c r="Y177" s="991" t="s">
        <v>103</v>
      </c>
      <c r="Z177" s="518" t="s">
        <v>103</v>
      </c>
      <c r="AA177" s="991" t="s">
        <v>103</v>
      </c>
      <c r="AB177" s="155" t="s">
        <v>103</v>
      </c>
      <c r="AC177" s="959" t="s">
        <v>103</v>
      </c>
      <c r="AD177" s="155" t="s">
        <v>103</v>
      </c>
      <c r="AE177" s="155" t="s">
        <v>103</v>
      </c>
      <c r="AF177" s="155" t="s">
        <v>103</v>
      </c>
      <c r="AG177" s="155" t="s">
        <v>103</v>
      </c>
      <c r="AH177" s="992" t="s">
        <v>103</v>
      </c>
      <c r="AI177" s="960" t="s">
        <v>103</v>
      </c>
      <c r="AJ177" s="992" t="s">
        <v>103</v>
      </c>
      <c r="AK177" s="155" t="s">
        <v>103</v>
      </c>
      <c r="AL177" s="993" t="s">
        <v>103</v>
      </c>
      <c r="AM177" s="155"/>
      <c r="AN177" s="155"/>
      <c r="AO177" s="994"/>
      <c r="AP177" s="94">
        <v>0</v>
      </c>
      <c r="AQ177" s="578">
        <v>0</v>
      </c>
      <c r="AR177" s="155" t="s">
        <v>103</v>
      </c>
      <c r="AS177" s="155" t="s">
        <v>103</v>
      </c>
      <c r="AT177" s="155" t="s">
        <v>103</v>
      </c>
      <c r="AU177" s="155" t="s">
        <v>103</v>
      </c>
      <c r="AV177" s="155" t="s">
        <v>103</v>
      </c>
      <c r="AW177" s="155" t="s">
        <v>103</v>
      </c>
      <c r="AX177" s="155" t="s">
        <v>103</v>
      </c>
      <c r="AY177" s="155" t="s">
        <v>103</v>
      </c>
      <c r="AZ177" s="155" t="s">
        <v>103</v>
      </c>
      <c r="BA177" s="155" t="s">
        <v>103</v>
      </c>
      <c r="BB177" s="155" t="s">
        <v>103</v>
      </c>
      <c r="BC177" s="155" t="s">
        <v>103</v>
      </c>
      <c r="BD177" s="155" t="s">
        <v>103</v>
      </c>
      <c r="BE177" s="989" t="s">
        <v>103</v>
      </c>
      <c r="BF177" s="155" t="s">
        <v>103</v>
      </c>
      <c r="BG177" s="961">
        <v>0</v>
      </c>
      <c r="BH177" s="155" t="s">
        <v>103</v>
      </c>
      <c r="BI177" s="990" t="s">
        <v>103</v>
      </c>
      <c r="BJ177" s="155" t="s">
        <v>103</v>
      </c>
      <c r="BK177" s="155" t="s">
        <v>103</v>
      </c>
      <c r="BL177" s="155" t="s">
        <v>103</v>
      </c>
      <c r="BM177" s="155" t="s">
        <v>103</v>
      </c>
      <c r="BN177" s="155" t="s">
        <v>103</v>
      </c>
      <c r="BO177" s="155" t="s">
        <v>103</v>
      </c>
      <c r="BP177" s="155" t="s">
        <v>103</v>
      </c>
      <c r="BQ177" s="155" t="s">
        <v>103</v>
      </c>
      <c r="BR177" s="155" t="s">
        <v>103</v>
      </c>
      <c r="BS177" s="155" t="s">
        <v>103</v>
      </c>
      <c r="BT177" s="155" t="s">
        <v>103</v>
      </c>
      <c r="BU177" s="155" t="s">
        <v>103</v>
      </c>
      <c r="BV177" s="155" t="s">
        <v>103</v>
      </c>
      <c r="BW177" s="155" t="s">
        <v>103</v>
      </c>
      <c r="BX177" s="155" t="s">
        <v>103</v>
      </c>
      <c r="BY177" s="155" t="s">
        <v>103</v>
      </c>
      <c r="BZ177" s="155" t="s">
        <v>103</v>
      </c>
      <c r="CA177" s="155" t="s">
        <v>103</v>
      </c>
      <c r="CB177" s="155" t="s">
        <v>103</v>
      </c>
      <c r="CC177" s="155" t="s">
        <v>103</v>
      </c>
      <c r="CD177" s="155" t="s">
        <v>103</v>
      </c>
      <c r="CE177" s="155" t="s">
        <v>103</v>
      </c>
    </row>
    <row r="178" spans="1:83" ht="14.1" customHeight="1">
      <c r="A178" s="503" t="s">
        <v>526</v>
      </c>
      <c r="B178" s="164" t="s">
        <v>103</v>
      </c>
      <c r="C178" s="155" t="s">
        <v>103</v>
      </c>
      <c r="D178" s="153" t="s">
        <v>103</v>
      </c>
      <c r="E178" s="153" t="s">
        <v>103</v>
      </c>
      <c r="F178" s="958" t="s">
        <v>103</v>
      </c>
      <c r="G178" s="153" t="s">
        <v>110</v>
      </c>
      <c r="H178" s="673">
        <v>0.11680395387149918</v>
      </c>
      <c r="I178" s="508" t="s">
        <v>103</v>
      </c>
      <c r="J178" s="958" t="s">
        <v>103</v>
      </c>
      <c r="K178" s="958" t="s">
        <v>103</v>
      </c>
      <c r="L178" s="155" t="s">
        <v>103</v>
      </c>
      <c r="M178" s="155" t="s">
        <v>103</v>
      </c>
      <c r="N178" s="156">
        <v>0</v>
      </c>
      <c r="O178" s="156" t="s">
        <v>103</v>
      </c>
      <c r="P178" s="156">
        <v>0</v>
      </c>
      <c r="Q178" s="958" t="s">
        <v>103</v>
      </c>
      <c r="R178" s="156">
        <v>0</v>
      </c>
      <c r="S178" s="156">
        <v>0</v>
      </c>
      <c r="T178" s="958" t="s">
        <v>105</v>
      </c>
      <c r="U178" s="153" t="s">
        <v>110</v>
      </c>
      <c r="V178" s="518" t="s">
        <v>103</v>
      </c>
      <c r="W178" s="991" t="s">
        <v>103</v>
      </c>
      <c r="X178" s="991" t="s">
        <v>103</v>
      </c>
      <c r="Y178" s="991" t="s">
        <v>103</v>
      </c>
      <c r="Z178" s="518" t="s">
        <v>103</v>
      </c>
      <c r="AA178" s="991" t="s">
        <v>103</v>
      </c>
      <c r="AB178" s="155" t="s">
        <v>103</v>
      </c>
      <c r="AC178" s="959" t="s">
        <v>103</v>
      </c>
      <c r="AD178" s="155" t="s">
        <v>103</v>
      </c>
      <c r="AE178" s="155" t="s">
        <v>103</v>
      </c>
      <c r="AF178" s="155" t="s">
        <v>103</v>
      </c>
      <c r="AG178" s="155" t="s">
        <v>103</v>
      </c>
      <c r="AH178" s="992" t="s">
        <v>103</v>
      </c>
      <c r="AI178" s="960" t="s">
        <v>103</v>
      </c>
      <c r="AJ178" s="992" t="s">
        <v>103</v>
      </c>
      <c r="AK178" s="155" t="s">
        <v>103</v>
      </c>
      <c r="AL178" s="993" t="s">
        <v>103</v>
      </c>
      <c r="AM178" s="155"/>
      <c r="AN178" s="155"/>
      <c r="AO178" s="994"/>
      <c r="AP178" s="94">
        <v>0</v>
      </c>
      <c r="AQ178" s="578">
        <v>0</v>
      </c>
      <c r="AR178" s="155" t="s">
        <v>103</v>
      </c>
      <c r="AS178" s="155" t="s">
        <v>103</v>
      </c>
      <c r="AT178" s="155" t="s">
        <v>103</v>
      </c>
      <c r="AU178" s="155" t="s">
        <v>103</v>
      </c>
      <c r="AV178" s="155" t="s">
        <v>103</v>
      </c>
      <c r="AW178" s="155" t="s">
        <v>103</v>
      </c>
      <c r="AX178" s="155" t="s">
        <v>103</v>
      </c>
      <c r="AY178" s="155" t="s">
        <v>103</v>
      </c>
      <c r="AZ178" s="155" t="s">
        <v>103</v>
      </c>
      <c r="BA178" s="155" t="s">
        <v>103</v>
      </c>
      <c r="BB178" s="155" t="s">
        <v>103</v>
      </c>
      <c r="BC178" s="155" t="s">
        <v>103</v>
      </c>
      <c r="BD178" s="155" t="s">
        <v>103</v>
      </c>
      <c r="BE178" s="989" t="s">
        <v>103</v>
      </c>
      <c r="BF178" s="155" t="s">
        <v>103</v>
      </c>
      <c r="BG178" s="961">
        <v>0</v>
      </c>
      <c r="BH178" s="155" t="s">
        <v>103</v>
      </c>
      <c r="BI178" s="990" t="s">
        <v>103</v>
      </c>
      <c r="BJ178" s="155" t="s">
        <v>103</v>
      </c>
      <c r="BK178" s="155" t="s">
        <v>103</v>
      </c>
      <c r="BL178" s="155" t="s">
        <v>103</v>
      </c>
      <c r="BM178" s="155" t="s">
        <v>103</v>
      </c>
      <c r="BN178" s="155" t="s">
        <v>103</v>
      </c>
      <c r="BO178" s="155" t="s">
        <v>103</v>
      </c>
      <c r="BP178" s="155" t="s">
        <v>103</v>
      </c>
      <c r="BQ178" s="155" t="s">
        <v>103</v>
      </c>
      <c r="BR178" s="155" t="s">
        <v>103</v>
      </c>
      <c r="BS178" s="155" t="s">
        <v>103</v>
      </c>
      <c r="BT178" s="155" t="s">
        <v>103</v>
      </c>
      <c r="BU178" s="155" t="s">
        <v>103</v>
      </c>
      <c r="BV178" s="155" t="s">
        <v>103</v>
      </c>
      <c r="BW178" s="155" t="s">
        <v>103</v>
      </c>
      <c r="BX178" s="155" t="s">
        <v>103</v>
      </c>
      <c r="BY178" s="155" t="s">
        <v>103</v>
      </c>
      <c r="BZ178" s="155" t="s">
        <v>103</v>
      </c>
      <c r="CA178" s="155" t="s">
        <v>103</v>
      </c>
      <c r="CB178" s="155" t="s">
        <v>103</v>
      </c>
      <c r="CC178" s="155" t="s">
        <v>103</v>
      </c>
      <c r="CD178" s="155" t="s">
        <v>103</v>
      </c>
      <c r="CE178" s="155" t="s">
        <v>103</v>
      </c>
    </row>
    <row r="179" spans="1:83" ht="41.45" customHeight="1">
      <c r="A179" s="503" t="s">
        <v>527</v>
      </c>
      <c r="B179" s="164" t="s">
        <v>528</v>
      </c>
      <c r="C179" s="155" t="s">
        <v>529</v>
      </c>
      <c r="D179" s="153">
        <v>9183</v>
      </c>
      <c r="E179" s="153">
        <v>92708</v>
      </c>
      <c r="F179" s="153">
        <v>6059099250</v>
      </c>
      <c r="G179" s="153" t="s">
        <v>110</v>
      </c>
      <c r="H179" s="674">
        <v>0.11879810813317258</v>
      </c>
      <c r="I179" s="508" t="s">
        <v>528</v>
      </c>
      <c r="J179" s="153" t="s">
        <v>117</v>
      </c>
      <c r="K179" s="572" t="s">
        <v>130</v>
      </c>
      <c r="L179" s="153">
        <v>9183</v>
      </c>
      <c r="M179" s="153" t="s">
        <v>104</v>
      </c>
      <c r="N179" s="156">
        <v>1</v>
      </c>
      <c r="P179" s="156">
        <v>0</v>
      </c>
      <c r="Q179" s="156" t="s">
        <v>139</v>
      </c>
      <c r="R179" s="156">
        <v>0</v>
      </c>
      <c r="S179" s="156">
        <v>1</v>
      </c>
      <c r="T179" s="958" t="s">
        <v>105</v>
      </c>
      <c r="U179" s="153" t="s">
        <v>110</v>
      </c>
      <c r="V179" s="590">
        <v>39679</v>
      </c>
      <c r="W179" s="149">
        <v>39387</v>
      </c>
      <c r="X179" s="149">
        <v>39888</v>
      </c>
      <c r="Y179" s="149">
        <v>40051</v>
      </c>
      <c r="Z179" s="149">
        <v>40051</v>
      </c>
      <c r="AA179" s="149">
        <v>39679</v>
      </c>
      <c r="AB179" s="763" t="s">
        <v>151</v>
      </c>
      <c r="AC179" s="594">
        <v>-208.57142857142858</v>
      </c>
      <c r="AD179" s="153" t="s">
        <v>103</v>
      </c>
      <c r="AE179" s="149" t="s">
        <v>103</v>
      </c>
      <c r="AF179" s="596">
        <v>8</v>
      </c>
      <c r="AG179" s="596">
        <v>11</v>
      </c>
      <c r="AH179" s="595">
        <v>1861.3333333333333</v>
      </c>
      <c r="AI179" s="614">
        <v>0.35252525252525252</v>
      </c>
      <c r="AJ179" s="607">
        <v>1200</v>
      </c>
      <c r="AK179" s="153" t="s">
        <v>152</v>
      </c>
      <c r="AL179" s="791" t="s">
        <v>110</v>
      </c>
      <c r="AO179" s="963"/>
      <c r="AP179" s="1017">
        <v>865000</v>
      </c>
      <c r="AQ179" s="574">
        <v>1047062</v>
      </c>
      <c r="AR179" s="153" t="s">
        <v>116</v>
      </c>
      <c r="AS179" s="153" t="s">
        <v>116</v>
      </c>
      <c r="AT179" s="777" t="s">
        <v>122</v>
      </c>
      <c r="AU179" s="777" t="s">
        <v>122</v>
      </c>
      <c r="AV179" s="777" t="s">
        <v>122</v>
      </c>
      <c r="AW179" s="777" t="s">
        <v>122</v>
      </c>
      <c r="AX179" s="155" t="s">
        <v>103</v>
      </c>
      <c r="AY179" s="155" t="s">
        <v>103</v>
      </c>
      <c r="AZ179" s="155" t="s">
        <v>103</v>
      </c>
      <c r="BB179" s="574">
        <f t="shared" ref="BB179:BB181" si="33">AQ179</f>
        <v>1047062</v>
      </c>
      <c r="BC179" s="780">
        <v>-182062</v>
      </c>
      <c r="BD179" s="1008" t="s">
        <v>151</v>
      </c>
      <c r="BE179" s="679">
        <v>0</v>
      </c>
      <c r="BF179" s="153" t="s">
        <v>103</v>
      </c>
      <c r="BG179" s="94">
        <v>1047062</v>
      </c>
      <c r="BH179" s="766">
        <v>847573</v>
      </c>
      <c r="BI179" s="774">
        <v>17427</v>
      </c>
      <c r="BJ179" s="774">
        <v>0</v>
      </c>
      <c r="BK179" s="153" t="s">
        <v>103</v>
      </c>
      <c r="BL179" s="153" t="s">
        <v>124</v>
      </c>
      <c r="BM179" s="94" t="s">
        <v>103</v>
      </c>
      <c r="BN179" s="155" t="s">
        <v>103</v>
      </c>
      <c r="BO179" s="153" t="s">
        <v>103</v>
      </c>
      <c r="BP179" s="153" t="s">
        <v>103</v>
      </c>
      <c r="BQ179" s="153" t="s">
        <v>103</v>
      </c>
      <c r="BR179" s="153" t="s">
        <v>103</v>
      </c>
      <c r="BS179" s="153" t="s">
        <v>103</v>
      </c>
      <c r="BT179" s="153" t="s">
        <v>103</v>
      </c>
      <c r="BU179" s="153" t="s">
        <v>103</v>
      </c>
      <c r="BV179" s="153" t="s">
        <v>103</v>
      </c>
      <c r="BW179" s="153" t="s">
        <v>103</v>
      </c>
      <c r="BX179" s="153" t="s">
        <v>103</v>
      </c>
      <c r="BY179" s="153" t="s">
        <v>103</v>
      </c>
      <c r="BZ179" s="153" t="s">
        <v>103</v>
      </c>
      <c r="CA179" s="616" t="s">
        <v>116</v>
      </c>
      <c r="CB179" s="153" t="s">
        <v>116</v>
      </c>
      <c r="CC179" s="153" t="s">
        <v>116</v>
      </c>
      <c r="CD179" s="153" t="s">
        <v>116</v>
      </c>
      <c r="CE179" s="153" t="s">
        <v>116</v>
      </c>
    </row>
    <row r="180" spans="1:83" ht="41.45" customHeight="1">
      <c r="A180" s="503" t="s">
        <v>530</v>
      </c>
      <c r="B180" s="164" t="s">
        <v>531</v>
      </c>
      <c r="C180" s="155" t="s">
        <v>532</v>
      </c>
      <c r="D180" s="153" t="s">
        <v>533</v>
      </c>
      <c r="E180" s="153">
        <v>92831</v>
      </c>
      <c r="F180" s="153">
        <v>6059011602</v>
      </c>
      <c r="G180" s="153" t="s">
        <v>104</v>
      </c>
      <c r="H180" s="674">
        <v>0.14982359569240999</v>
      </c>
      <c r="I180" s="508" t="s">
        <v>531</v>
      </c>
      <c r="J180" s="153" t="s">
        <v>117</v>
      </c>
      <c r="K180" s="572" t="s">
        <v>534</v>
      </c>
      <c r="L180" s="153" t="s">
        <v>533</v>
      </c>
      <c r="M180" s="153" t="s">
        <v>104</v>
      </c>
      <c r="N180" s="156">
        <v>3</v>
      </c>
      <c r="P180" s="156">
        <v>0</v>
      </c>
      <c r="Q180" s="156" t="s">
        <v>139</v>
      </c>
      <c r="R180" s="156">
        <v>1</v>
      </c>
      <c r="S180" s="156">
        <v>2</v>
      </c>
      <c r="T180" s="958" t="s">
        <v>105</v>
      </c>
      <c r="U180" s="153" t="s">
        <v>104</v>
      </c>
      <c r="V180" s="149">
        <v>40666</v>
      </c>
      <c r="W180" s="149">
        <v>40786</v>
      </c>
      <c r="X180" s="149">
        <v>41827</v>
      </c>
      <c r="Y180" s="149">
        <v>42310</v>
      </c>
      <c r="Z180" s="149">
        <v>42310</v>
      </c>
      <c r="AA180" s="149">
        <v>40666</v>
      </c>
      <c r="AB180" s="763" t="s">
        <v>151</v>
      </c>
      <c r="AC180" s="594">
        <v>85.714285714285708</v>
      </c>
      <c r="AD180" s="153" t="s">
        <v>103</v>
      </c>
      <c r="AE180" s="149" t="s">
        <v>103</v>
      </c>
      <c r="AF180" s="596">
        <v>11</v>
      </c>
      <c r="AG180" s="596">
        <v>1</v>
      </c>
      <c r="AH180" s="595">
        <v>3268</v>
      </c>
      <c r="AI180" s="614">
        <v>0.6189393939393939</v>
      </c>
      <c r="AJ180" s="607">
        <v>3221</v>
      </c>
      <c r="AK180" s="153" t="s">
        <v>152</v>
      </c>
      <c r="AL180" s="791" t="s">
        <v>110</v>
      </c>
      <c r="AO180" s="963"/>
      <c r="AP180" s="1017">
        <v>1700000</v>
      </c>
      <c r="AQ180" s="574">
        <v>2348409.4400000004</v>
      </c>
      <c r="AR180" s="153" t="s">
        <v>116</v>
      </c>
      <c r="AS180" s="153" t="s">
        <v>116</v>
      </c>
      <c r="AT180" s="156">
        <v>0</v>
      </c>
      <c r="AU180" s="777" t="s">
        <v>122</v>
      </c>
      <c r="AV180" s="777" t="s">
        <v>122</v>
      </c>
      <c r="AW180" s="777" t="s">
        <v>122</v>
      </c>
      <c r="AX180" s="155" t="s">
        <v>103</v>
      </c>
      <c r="AY180" s="155" t="s">
        <v>103</v>
      </c>
      <c r="AZ180" s="155" t="s">
        <v>103</v>
      </c>
      <c r="BA180" s="156">
        <v>0</v>
      </c>
      <c r="BB180" s="574">
        <f t="shared" si="33"/>
        <v>2348409.4400000004</v>
      </c>
      <c r="BC180" s="780">
        <v>-648409.44000000041</v>
      </c>
      <c r="BD180" s="1008" t="s">
        <v>151</v>
      </c>
      <c r="BE180" s="679">
        <v>0</v>
      </c>
      <c r="BF180" s="153" t="s">
        <v>103</v>
      </c>
      <c r="BG180" s="94">
        <v>2348409.4400000004</v>
      </c>
      <c r="BH180" s="766">
        <v>6451502</v>
      </c>
      <c r="BI180" s="774">
        <v>0</v>
      </c>
      <c r="BJ180" s="774">
        <v>0</v>
      </c>
      <c r="BK180" s="153" t="s">
        <v>103</v>
      </c>
      <c r="BL180" s="153" t="s">
        <v>124</v>
      </c>
      <c r="BM180" s="94" t="s">
        <v>103</v>
      </c>
      <c r="BN180" s="155" t="s">
        <v>103</v>
      </c>
      <c r="BO180" s="153" t="s">
        <v>103</v>
      </c>
      <c r="BP180" s="153" t="s">
        <v>103</v>
      </c>
      <c r="BQ180" s="153" t="s">
        <v>103</v>
      </c>
      <c r="BR180" s="153" t="s">
        <v>110</v>
      </c>
      <c r="BS180" s="153" t="s">
        <v>104</v>
      </c>
      <c r="BT180" s="153" t="s">
        <v>110</v>
      </c>
      <c r="BU180" s="153" t="s">
        <v>104</v>
      </c>
      <c r="BV180" s="153" t="s">
        <v>110</v>
      </c>
      <c r="BW180" s="153" t="s">
        <v>104</v>
      </c>
      <c r="BX180" s="153" t="s">
        <v>104</v>
      </c>
      <c r="BY180" s="153" t="s">
        <v>104</v>
      </c>
      <c r="BZ180" s="153" t="s">
        <v>110</v>
      </c>
      <c r="CA180" s="616" t="s">
        <v>110</v>
      </c>
      <c r="CB180" s="153" t="s">
        <v>110</v>
      </c>
      <c r="CC180" s="153" t="s">
        <v>110</v>
      </c>
      <c r="CD180" s="153" t="s">
        <v>103</v>
      </c>
      <c r="CE180" s="153" t="s">
        <v>110</v>
      </c>
    </row>
    <row r="181" spans="1:83" ht="27.6" customHeight="1">
      <c r="A181" s="503"/>
      <c r="B181" s="164" t="s">
        <v>535</v>
      </c>
      <c r="C181" s="155" t="s">
        <v>536</v>
      </c>
      <c r="D181" s="153" t="s">
        <v>537</v>
      </c>
      <c r="E181" s="153">
        <v>92831</v>
      </c>
      <c r="F181" s="153">
        <v>6059011602</v>
      </c>
      <c r="G181" s="153" t="s">
        <v>104</v>
      </c>
      <c r="H181" s="153" t="s">
        <v>150</v>
      </c>
      <c r="I181" s="508" t="s">
        <v>535</v>
      </c>
      <c r="J181" s="153" t="s">
        <v>117</v>
      </c>
      <c r="K181" s="572" t="s">
        <v>534</v>
      </c>
      <c r="L181" s="153" t="s">
        <v>537</v>
      </c>
      <c r="M181" s="153" t="s">
        <v>104</v>
      </c>
      <c r="Q181" s="156" t="s">
        <v>139</v>
      </c>
      <c r="V181" s="149">
        <v>40316</v>
      </c>
      <c r="W181" s="149">
        <v>40872</v>
      </c>
      <c r="X181" s="149">
        <v>41680</v>
      </c>
      <c r="Y181" s="149">
        <v>41789</v>
      </c>
      <c r="Z181" s="149">
        <v>41789</v>
      </c>
      <c r="AA181" s="149">
        <v>40316</v>
      </c>
      <c r="AB181" s="763" t="s">
        <v>121</v>
      </c>
      <c r="AC181" s="594">
        <v>397.14285714285717</v>
      </c>
      <c r="AD181" s="153" t="s">
        <v>103</v>
      </c>
      <c r="AE181" s="149" t="s">
        <v>103</v>
      </c>
      <c r="AF181" s="596">
        <v>5</v>
      </c>
      <c r="AG181" s="596">
        <v>30</v>
      </c>
      <c r="AH181" s="595">
        <v>2844</v>
      </c>
      <c r="AI181" s="614">
        <v>0.53863636363636369</v>
      </c>
      <c r="AJ181" s="607">
        <v>1816</v>
      </c>
      <c r="AK181" s="153" t="s">
        <v>152</v>
      </c>
      <c r="AL181" s="791" t="s">
        <v>110</v>
      </c>
      <c r="AO181" s="963"/>
      <c r="AP181" s="1017">
        <v>1000000</v>
      </c>
      <c r="AQ181" s="574">
        <v>733204</v>
      </c>
      <c r="AR181" s="153" t="s">
        <v>116</v>
      </c>
      <c r="AS181" s="153" t="s">
        <v>116</v>
      </c>
      <c r="AT181" s="156">
        <v>0</v>
      </c>
      <c r="AU181" s="777" t="s">
        <v>122</v>
      </c>
      <c r="AV181" s="777" t="s">
        <v>122</v>
      </c>
      <c r="AW181" s="777" t="s">
        <v>122</v>
      </c>
      <c r="AX181" s="155" t="s">
        <v>103</v>
      </c>
      <c r="AY181" s="155" t="s">
        <v>103</v>
      </c>
      <c r="AZ181" s="155" t="s">
        <v>103</v>
      </c>
      <c r="BA181" s="156">
        <v>0</v>
      </c>
      <c r="BB181" s="574">
        <f t="shared" si="33"/>
        <v>733204</v>
      </c>
      <c r="BC181" s="780">
        <v>266796</v>
      </c>
      <c r="BD181" s="1008" t="s">
        <v>121</v>
      </c>
      <c r="BE181" s="679">
        <v>-86049</v>
      </c>
      <c r="BF181" s="153">
        <v>2016</v>
      </c>
      <c r="BG181" s="94">
        <v>733204</v>
      </c>
      <c r="BH181" s="766">
        <v>6233082</v>
      </c>
      <c r="BI181" s="774">
        <v>0</v>
      </c>
      <c r="BJ181" s="774">
        <v>0</v>
      </c>
      <c r="BK181" s="153" t="s">
        <v>103</v>
      </c>
      <c r="BL181" s="153" t="s">
        <v>124</v>
      </c>
      <c r="BM181" s="94" t="s">
        <v>103</v>
      </c>
      <c r="BN181" s="155" t="s">
        <v>103</v>
      </c>
      <c r="BO181" s="153" t="s">
        <v>103</v>
      </c>
      <c r="BP181" s="153" t="s">
        <v>103</v>
      </c>
      <c r="BQ181" s="153" t="s">
        <v>103</v>
      </c>
      <c r="BR181" s="153" t="s">
        <v>110</v>
      </c>
      <c r="BS181" s="153" t="s">
        <v>104</v>
      </c>
      <c r="BT181" s="153" t="s">
        <v>110</v>
      </c>
      <c r="BU181" s="153" t="s">
        <v>104</v>
      </c>
      <c r="BV181" s="153" t="s">
        <v>110</v>
      </c>
      <c r="BW181" s="153" t="s">
        <v>104</v>
      </c>
      <c r="BX181" s="153" t="s">
        <v>104</v>
      </c>
      <c r="BY181" s="153" t="s">
        <v>104</v>
      </c>
      <c r="BZ181" s="153" t="s">
        <v>110</v>
      </c>
      <c r="CA181" s="616" t="s">
        <v>110</v>
      </c>
      <c r="CB181" s="153" t="s">
        <v>110</v>
      </c>
      <c r="CC181" s="153" t="s">
        <v>110</v>
      </c>
      <c r="CD181" s="153" t="s">
        <v>103</v>
      </c>
      <c r="CE181" s="153" t="s">
        <v>110</v>
      </c>
    </row>
    <row r="182" spans="1:83" ht="33.6" customHeight="1">
      <c r="A182" s="503"/>
      <c r="B182" s="164" t="s">
        <v>538</v>
      </c>
      <c r="C182" s="155" t="s">
        <v>539</v>
      </c>
      <c r="D182" s="153" t="s">
        <v>537</v>
      </c>
      <c r="E182" s="153">
        <v>93274</v>
      </c>
      <c r="F182" s="153">
        <v>6059011602</v>
      </c>
      <c r="G182" s="153" t="s">
        <v>104</v>
      </c>
      <c r="H182" s="153" t="s">
        <v>150</v>
      </c>
      <c r="I182" s="508" t="s">
        <v>538</v>
      </c>
      <c r="J182" s="153" t="s">
        <v>117</v>
      </c>
      <c r="K182" s="572" t="s">
        <v>534</v>
      </c>
      <c r="L182" s="153" t="s">
        <v>537</v>
      </c>
      <c r="M182" s="153" t="s">
        <v>104</v>
      </c>
      <c r="Q182" s="156" t="s">
        <v>294</v>
      </c>
      <c r="V182" s="149">
        <v>40316</v>
      </c>
      <c r="W182" s="149">
        <v>40406</v>
      </c>
      <c r="X182" s="149">
        <v>42593</v>
      </c>
      <c r="Y182" s="149">
        <v>42944</v>
      </c>
      <c r="Z182" s="149">
        <v>42944</v>
      </c>
      <c r="AA182" s="149">
        <v>40316</v>
      </c>
      <c r="AB182" s="763" t="s">
        <v>121</v>
      </c>
      <c r="AC182" s="594">
        <v>64.285714285714292</v>
      </c>
      <c r="AD182" s="153"/>
      <c r="AE182" s="149" t="s">
        <v>103</v>
      </c>
      <c r="AF182" s="596">
        <v>11</v>
      </c>
      <c r="AG182" s="596" t="s">
        <v>103</v>
      </c>
      <c r="AH182" s="595">
        <v>2646</v>
      </c>
      <c r="AI182" s="614">
        <v>0.5011363636363636</v>
      </c>
      <c r="AJ182" s="607">
        <v>2646</v>
      </c>
      <c r="AK182" s="153" t="s">
        <v>152</v>
      </c>
      <c r="AL182" s="791" t="s">
        <v>110</v>
      </c>
      <c r="AO182" s="963"/>
      <c r="AP182" s="1017">
        <v>1400000</v>
      </c>
      <c r="AQ182" s="574">
        <v>1386625.0299999998</v>
      </c>
      <c r="AR182" s="153" t="s">
        <v>116</v>
      </c>
      <c r="AS182" s="153" t="s">
        <v>116</v>
      </c>
      <c r="AT182" s="156">
        <v>0</v>
      </c>
      <c r="AU182" s="777" t="s">
        <v>122</v>
      </c>
      <c r="AV182" s="777" t="s">
        <v>122</v>
      </c>
      <c r="AW182" s="777" t="s">
        <v>122</v>
      </c>
      <c r="AX182" s="155" t="s">
        <v>103</v>
      </c>
      <c r="AY182" s="155" t="s">
        <v>103</v>
      </c>
      <c r="AZ182" s="155" t="s">
        <v>103</v>
      </c>
      <c r="BA182" s="156">
        <v>0</v>
      </c>
      <c r="BB182" s="153"/>
      <c r="BC182" s="780">
        <v>13374.970000000205</v>
      </c>
      <c r="BD182" s="763" t="s">
        <v>121</v>
      </c>
      <c r="BE182" s="679" t="s">
        <v>103</v>
      </c>
      <c r="BF182" s="156" t="s">
        <v>103</v>
      </c>
      <c r="BG182" s="94">
        <v>1417196.75</v>
      </c>
      <c r="BH182" s="766">
        <v>6233082</v>
      </c>
      <c r="BI182" s="774">
        <v>0</v>
      </c>
      <c r="BJ182" s="774">
        <v>0</v>
      </c>
      <c r="BK182" s="153" t="s">
        <v>103</v>
      </c>
      <c r="BL182" s="153" t="s">
        <v>124</v>
      </c>
      <c r="BM182" s="94" t="s">
        <v>103</v>
      </c>
      <c r="BN182" s="155" t="s">
        <v>103</v>
      </c>
      <c r="BO182" s="153" t="s">
        <v>103</v>
      </c>
      <c r="BP182" s="153" t="s">
        <v>103</v>
      </c>
      <c r="BQ182" s="153" t="s">
        <v>103</v>
      </c>
      <c r="BR182" s="153" t="s">
        <v>110</v>
      </c>
      <c r="BS182" s="153" t="s">
        <v>216</v>
      </c>
      <c r="BT182" s="153" t="s">
        <v>110</v>
      </c>
      <c r="BU182" s="153" t="s">
        <v>104</v>
      </c>
      <c r="BV182" s="153" t="s">
        <v>110</v>
      </c>
      <c r="BW182" s="153" t="s">
        <v>104</v>
      </c>
      <c r="BX182" s="153" t="s">
        <v>104</v>
      </c>
      <c r="BY182" s="153" t="s">
        <v>104</v>
      </c>
      <c r="BZ182" s="153" t="s">
        <v>110</v>
      </c>
      <c r="CA182" s="616" t="s">
        <v>110</v>
      </c>
      <c r="CB182" s="153" t="s">
        <v>110</v>
      </c>
      <c r="CC182" s="153" t="s">
        <v>110</v>
      </c>
      <c r="CD182" s="153" t="s">
        <v>103</v>
      </c>
      <c r="CE182" s="153" t="s">
        <v>110</v>
      </c>
    </row>
    <row r="183" spans="1:83" ht="27.6" customHeight="1">
      <c r="A183" s="503" t="s">
        <v>540</v>
      </c>
      <c r="B183" s="164" t="s">
        <v>541</v>
      </c>
      <c r="C183" s="155" t="s">
        <v>542</v>
      </c>
      <c r="D183" s="153" t="s">
        <v>543</v>
      </c>
      <c r="E183" s="153">
        <v>92843</v>
      </c>
      <c r="F183" s="153">
        <v>6059088901</v>
      </c>
      <c r="G183" s="153" t="s">
        <v>110</v>
      </c>
      <c r="H183" s="674">
        <v>0.28177602039873617</v>
      </c>
      <c r="I183" s="508" t="s">
        <v>541</v>
      </c>
      <c r="J183" s="153" t="s">
        <v>117</v>
      </c>
      <c r="K183" s="572" t="s">
        <v>130</v>
      </c>
      <c r="L183" s="153" t="s">
        <v>543</v>
      </c>
      <c r="M183" s="153" t="s">
        <v>104</v>
      </c>
      <c r="N183" s="156">
        <v>3</v>
      </c>
      <c r="P183" s="156">
        <v>0</v>
      </c>
      <c r="Q183" s="156" t="s">
        <v>139</v>
      </c>
      <c r="R183" s="156">
        <v>0</v>
      </c>
      <c r="S183" s="156">
        <v>2</v>
      </c>
      <c r="T183" s="958" t="s">
        <v>105</v>
      </c>
      <c r="U183" s="153" t="s">
        <v>104</v>
      </c>
      <c r="V183" s="149">
        <v>40309</v>
      </c>
      <c r="W183" s="149">
        <v>40345</v>
      </c>
      <c r="X183" s="149">
        <v>41372</v>
      </c>
      <c r="Y183" s="149">
        <v>41609</v>
      </c>
      <c r="Z183" s="149">
        <v>41609</v>
      </c>
      <c r="AA183" s="149">
        <v>40309</v>
      </c>
      <c r="AB183" s="763" t="s">
        <v>121</v>
      </c>
      <c r="AC183" s="594">
        <v>25.714285714285715</v>
      </c>
      <c r="AD183" s="153" t="s">
        <v>103</v>
      </c>
      <c r="AE183" s="149" t="s">
        <v>103</v>
      </c>
      <c r="AF183" s="596">
        <v>41</v>
      </c>
      <c r="AG183" s="596">
        <v>15</v>
      </c>
      <c r="AH183" s="595">
        <v>8938.3333333333339</v>
      </c>
      <c r="AI183" s="614">
        <v>1.6928661616161618</v>
      </c>
      <c r="AJ183" s="607">
        <v>7316</v>
      </c>
      <c r="AK183" s="153" t="s">
        <v>120</v>
      </c>
      <c r="AL183" s="791" t="s">
        <v>110</v>
      </c>
      <c r="AO183" s="963"/>
      <c r="AP183" s="1017">
        <v>4500000</v>
      </c>
      <c r="AQ183" s="574">
        <v>3552072</v>
      </c>
      <c r="AR183" s="153" t="s">
        <v>116</v>
      </c>
      <c r="AS183" s="153" t="s">
        <v>116</v>
      </c>
      <c r="AT183" s="156">
        <v>0</v>
      </c>
      <c r="AU183" s="777" t="s">
        <v>122</v>
      </c>
      <c r="AV183" s="777" t="s">
        <v>122</v>
      </c>
      <c r="AW183" s="777" t="s">
        <v>122</v>
      </c>
      <c r="AX183" s="155" t="s">
        <v>103</v>
      </c>
      <c r="AY183" s="155" t="s">
        <v>103</v>
      </c>
      <c r="AZ183" s="155" t="s">
        <v>103</v>
      </c>
      <c r="BA183" s="156">
        <v>0</v>
      </c>
      <c r="BB183" s="574">
        <f t="shared" ref="BB183:BB184" si="34">AQ183</f>
        <v>3552072</v>
      </c>
      <c r="BC183" s="780">
        <v>947928</v>
      </c>
      <c r="BD183" s="1008" t="s">
        <v>121</v>
      </c>
      <c r="BE183" s="679">
        <v>872</v>
      </c>
      <c r="BF183" s="153">
        <v>2015</v>
      </c>
      <c r="BG183" s="94">
        <v>3552072</v>
      </c>
      <c r="BH183" s="766">
        <v>5603067</v>
      </c>
      <c r="BI183" s="774">
        <v>0</v>
      </c>
      <c r="BJ183" s="774">
        <v>0</v>
      </c>
      <c r="BK183" s="153" t="s">
        <v>103</v>
      </c>
      <c r="BL183" s="153" t="s">
        <v>124</v>
      </c>
      <c r="BM183" s="94" t="s">
        <v>103</v>
      </c>
      <c r="BN183" s="155" t="s">
        <v>103</v>
      </c>
      <c r="BO183" s="153" t="s">
        <v>103</v>
      </c>
      <c r="BP183" s="153" t="s">
        <v>103</v>
      </c>
      <c r="BQ183" s="153" t="s">
        <v>103</v>
      </c>
      <c r="BR183" s="153" t="s">
        <v>104</v>
      </c>
      <c r="BS183" s="153" t="s">
        <v>110</v>
      </c>
      <c r="BT183" s="153" t="s">
        <v>110</v>
      </c>
      <c r="BU183" s="153" t="s">
        <v>104</v>
      </c>
      <c r="BV183" s="153" t="s">
        <v>110</v>
      </c>
      <c r="BW183" s="153" t="s">
        <v>104</v>
      </c>
      <c r="BX183" s="153" t="s">
        <v>104</v>
      </c>
      <c r="BY183" s="153" t="s">
        <v>110</v>
      </c>
      <c r="BZ183" s="153" t="s">
        <v>110</v>
      </c>
      <c r="CA183" s="616" t="s">
        <v>110</v>
      </c>
      <c r="CB183" s="153" t="s">
        <v>110</v>
      </c>
      <c r="CC183" s="153" t="s">
        <v>110</v>
      </c>
      <c r="CD183" s="153" t="s">
        <v>103</v>
      </c>
      <c r="CE183" s="153" t="s">
        <v>110</v>
      </c>
    </row>
    <row r="184" spans="1:83" ht="41.45" customHeight="1">
      <c r="A184" s="503"/>
      <c r="B184" s="1013" t="s">
        <v>544</v>
      </c>
      <c r="C184" s="155" t="s">
        <v>545</v>
      </c>
      <c r="D184" s="153" t="s">
        <v>546</v>
      </c>
      <c r="E184" s="153">
        <v>92843</v>
      </c>
      <c r="F184" s="153">
        <v>6059089001</v>
      </c>
      <c r="G184" s="153" t="s">
        <v>104</v>
      </c>
      <c r="H184" s="153" t="s">
        <v>150</v>
      </c>
      <c r="I184" s="508" t="s">
        <v>544</v>
      </c>
      <c r="J184" s="153" t="s">
        <v>117</v>
      </c>
      <c r="K184" s="572" t="s">
        <v>130</v>
      </c>
      <c r="L184" s="153" t="s">
        <v>546</v>
      </c>
      <c r="M184" s="153" t="s">
        <v>104</v>
      </c>
      <c r="Q184" s="156" t="s">
        <v>139</v>
      </c>
      <c r="V184" s="149">
        <v>39609</v>
      </c>
      <c r="W184" s="149">
        <v>39693</v>
      </c>
      <c r="X184" s="149">
        <v>40119</v>
      </c>
      <c r="Y184" s="149">
        <v>40274</v>
      </c>
      <c r="Z184" s="149">
        <v>40274</v>
      </c>
      <c r="AA184" s="149">
        <v>39609</v>
      </c>
      <c r="AB184" s="763" t="s">
        <v>151</v>
      </c>
      <c r="AC184" s="594">
        <v>60</v>
      </c>
      <c r="AD184" s="153" t="s">
        <v>103</v>
      </c>
      <c r="AE184" s="149" t="s">
        <v>103</v>
      </c>
      <c r="AF184" s="596">
        <v>6</v>
      </c>
      <c r="AG184" s="596" t="s">
        <v>103</v>
      </c>
      <c r="AH184" s="597">
        <v>1248</v>
      </c>
      <c r="AI184" s="615">
        <v>0.23636363636363636</v>
      </c>
      <c r="AJ184" s="607">
        <v>1100</v>
      </c>
      <c r="AK184" s="153" t="s">
        <v>547</v>
      </c>
      <c r="AL184" s="791" t="s">
        <v>110</v>
      </c>
      <c r="AO184" s="963"/>
      <c r="AP184" s="1017">
        <v>560000</v>
      </c>
      <c r="AQ184" s="580">
        <v>814917</v>
      </c>
      <c r="AR184" s="153" t="s">
        <v>116</v>
      </c>
      <c r="AS184" s="153" t="s">
        <v>116</v>
      </c>
      <c r="AT184" s="156">
        <v>0</v>
      </c>
      <c r="AU184" s="777" t="s">
        <v>122</v>
      </c>
      <c r="AV184" s="777" t="s">
        <v>122</v>
      </c>
      <c r="AW184" s="777" t="s">
        <v>122</v>
      </c>
      <c r="AX184" s="155" t="s">
        <v>103</v>
      </c>
      <c r="AY184" s="155" t="s">
        <v>103</v>
      </c>
      <c r="AZ184" s="155" t="s">
        <v>103</v>
      </c>
      <c r="BA184" s="156">
        <v>0</v>
      </c>
      <c r="BB184" s="574">
        <f t="shared" si="34"/>
        <v>814917</v>
      </c>
      <c r="BC184" s="780">
        <v>-254917</v>
      </c>
      <c r="BD184" s="508" t="s">
        <v>103</v>
      </c>
      <c r="BE184" s="679">
        <v>0</v>
      </c>
      <c r="BF184" s="153" t="s">
        <v>103</v>
      </c>
      <c r="BG184" s="519">
        <v>814917</v>
      </c>
      <c r="BH184" s="769">
        <v>5819655</v>
      </c>
      <c r="BI184" s="774">
        <v>0</v>
      </c>
      <c r="BJ184" s="774">
        <v>0</v>
      </c>
      <c r="BK184" s="153" t="s">
        <v>103</v>
      </c>
      <c r="BL184" s="153" t="s">
        <v>124</v>
      </c>
      <c r="BM184" s="519" t="s">
        <v>103</v>
      </c>
      <c r="BN184" s="155" t="s">
        <v>103</v>
      </c>
      <c r="BO184" s="153" t="s">
        <v>103</v>
      </c>
      <c r="BP184" s="153" t="s">
        <v>103</v>
      </c>
      <c r="BQ184" s="153" t="s">
        <v>103</v>
      </c>
      <c r="BR184" s="153" t="s">
        <v>103</v>
      </c>
      <c r="BS184" s="153" t="s">
        <v>103</v>
      </c>
      <c r="BT184" s="153" t="s">
        <v>103</v>
      </c>
      <c r="BU184" s="153" t="s">
        <v>103</v>
      </c>
      <c r="BV184" s="153" t="s">
        <v>103</v>
      </c>
      <c r="BW184" s="153" t="s">
        <v>103</v>
      </c>
      <c r="BX184" s="153" t="s">
        <v>103</v>
      </c>
      <c r="BY184" s="153" t="s">
        <v>103</v>
      </c>
      <c r="BZ184" s="153" t="s">
        <v>103</v>
      </c>
      <c r="CA184" s="616" t="s">
        <v>110</v>
      </c>
      <c r="CB184" s="153" t="s">
        <v>110</v>
      </c>
      <c r="CC184" s="153" t="s">
        <v>110</v>
      </c>
      <c r="CD184" s="153" t="s">
        <v>103</v>
      </c>
      <c r="CE184" s="153" t="s">
        <v>110</v>
      </c>
    </row>
    <row r="185" spans="1:83" ht="41.45" customHeight="1">
      <c r="A185" s="503"/>
      <c r="B185" s="1013" t="s">
        <v>548</v>
      </c>
      <c r="C185" s="155" t="s">
        <v>549</v>
      </c>
      <c r="D185" s="153" t="s">
        <v>550</v>
      </c>
      <c r="E185" s="153">
        <v>92844</v>
      </c>
      <c r="F185" s="153">
        <v>6059088801</v>
      </c>
      <c r="G185" s="153" t="s">
        <v>104</v>
      </c>
      <c r="H185" s="153" t="s">
        <v>150</v>
      </c>
      <c r="I185" s="508" t="str">
        <f>B185</f>
        <v xml:space="preserve">Magnolia/ Garden Grove Blvd to n/o Orangewood Ave </v>
      </c>
      <c r="J185" s="153" t="s">
        <v>117</v>
      </c>
      <c r="K185" s="572" t="s">
        <v>551</v>
      </c>
      <c r="L185" s="153" t="str">
        <f>D185</f>
        <v>9448-17</v>
      </c>
      <c r="M185" s="153" t="s">
        <v>110</v>
      </c>
      <c r="Q185" s="989" t="s">
        <v>131</v>
      </c>
      <c r="V185" s="149">
        <v>42913</v>
      </c>
      <c r="W185" s="149">
        <v>42844</v>
      </c>
      <c r="X185" s="149">
        <v>44143</v>
      </c>
      <c r="Y185" s="149">
        <v>44445</v>
      </c>
      <c r="Z185" s="149" t="s">
        <v>103</v>
      </c>
      <c r="AA185" s="149">
        <v>42913</v>
      </c>
      <c r="AB185" s="149" t="s">
        <v>103</v>
      </c>
      <c r="AC185" s="594" t="s">
        <v>103</v>
      </c>
      <c r="AD185" s="149">
        <v>44445</v>
      </c>
      <c r="AE185" s="149" t="s">
        <v>103</v>
      </c>
      <c r="AF185" s="596" t="s">
        <v>103</v>
      </c>
      <c r="AG185" s="596" t="s">
        <v>103</v>
      </c>
      <c r="AH185" s="597" t="s">
        <v>103</v>
      </c>
      <c r="AI185" s="615" t="s">
        <v>103</v>
      </c>
      <c r="AJ185" s="607">
        <v>9740</v>
      </c>
      <c r="AK185" s="153" t="s">
        <v>120</v>
      </c>
      <c r="AL185" s="791" t="s">
        <v>103</v>
      </c>
      <c r="AO185" s="963"/>
      <c r="AP185" s="1017">
        <v>5800000</v>
      </c>
      <c r="AQ185" s="580">
        <v>0</v>
      </c>
      <c r="AR185" s="153" t="s">
        <v>116</v>
      </c>
      <c r="AS185" s="153" t="s">
        <v>116</v>
      </c>
      <c r="AT185" s="777" t="s">
        <v>122</v>
      </c>
      <c r="AU185" s="777" t="s">
        <v>122</v>
      </c>
      <c r="AV185" s="777" t="s">
        <v>122</v>
      </c>
      <c r="AW185" s="777" t="s">
        <v>122</v>
      </c>
      <c r="AX185" s="155" t="s">
        <v>103</v>
      </c>
      <c r="AY185" s="155" t="s">
        <v>103</v>
      </c>
      <c r="AZ185" s="155" t="s">
        <v>103</v>
      </c>
      <c r="BA185" s="156">
        <v>0</v>
      </c>
      <c r="BB185" s="153"/>
      <c r="BC185" s="156">
        <v>0</v>
      </c>
      <c r="BD185" s="153" t="s">
        <v>103</v>
      </c>
      <c r="BE185" s="679">
        <v>0</v>
      </c>
      <c r="BF185" s="153" t="s">
        <v>103</v>
      </c>
      <c r="BG185" s="519">
        <v>0</v>
      </c>
      <c r="BH185" s="769">
        <v>3444349</v>
      </c>
      <c r="BI185" s="774">
        <v>0</v>
      </c>
      <c r="BJ185" s="774"/>
      <c r="BK185" s="153" t="s">
        <v>103</v>
      </c>
      <c r="BL185" s="153" t="s">
        <v>103</v>
      </c>
      <c r="BM185" s="153" t="s">
        <v>103</v>
      </c>
      <c r="BN185" s="153" t="s">
        <v>103</v>
      </c>
      <c r="BO185" s="153" t="s">
        <v>103</v>
      </c>
      <c r="BP185" s="153" t="s">
        <v>103</v>
      </c>
      <c r="BQ185" s="153" t="s">
        <v>103</v>
      </c>
      <c r="BR185" s="153" t="s">
        <v>103</v>
      </c>
      <c r="BS185" s="153" t="s">
        <v>103</v>
      </c>
      <c r="BT185" s="153" t="s">
        <v>103</v>
      </c>
      <c r="BU185" s="153" t="s">
        <v>103</v>
      </c>
      <c r="BV185" s="153" t="s">
        <v>103</v>
      </c>
      <c r="BW185" s="153" t="s">
        <v>103</v>
      </c>
      <c r="BX185" s="153" t="s">
        <v>103</v>
      </c>
      <c r="BY185" s="153" t="s">
        <v>103</v>
      </c>
      <c r="BZ185" s="153" t="s">
        <v>103</v>
      </c>
      <c r="CA185" s="153" t="s">
        <v>103</v>
      </c>
      <c r="CB185" s="153" t="s">
        <v>103</v>
      </c>
      <c r="CC185" s="153" t="s">
        <v>103</v>
      </c>
      <c r="CD185" s="153" t="s">
        <v>103</v>
      </c>
      <c r="CE185" s="153" t="s">
        <v>103</v>
      </c>
    </row>
    <row r="186" spans="1:83" ht="51.95">
      <c r="A186" s="503" t="s">
        <v>552</v>
      </c>
      <c r="B186" s="164" t="s">
        <v>553</v>
      </c>
      <c r="C186" s="155" t="s">
        <v>554</v>
      </c>
      <c r="D186" s="153" t="s">
        <v>555</v>
      </c>
      <c r="E186" s="153">
        <v>92648</v>
      </c>
      <c r="F186" s="153">
        <v>6059099245</v>
      </c>
      <c r="G186" s="153" t="s">
        <v>110</v>
      </c>
      <c r="H186" s="674">
        <v>9.334918209090394E-2</v>
      </c>
      <c r="I186" s="508" t="s">
        <v>553</v>
      </c>
      <c r="J186" s="153" t="s">
        <v>117</v>
      </c>
      <c r="K186" s="572" t="s">
        <v>217</v>
      </c>
      <c r="L186" s="153" t="s">
        <v>555</v>
      </c>
      <c r="M186" s="153" t="s">
        <v>104</v>
      </c>
      <c r="N186" s="156">
        <v>2</v>
      </c>
      <c r="P186" s="156">
        <v>0</v>
      </c>
      <c r="Q186" s="156" t="s">
        <v>139</v>
      </c>
      <c r="R186" s="156">
        <v>1</v>
      </c>
      <c r="S186" s="156">
        <v>1</v>
      </c>
      <c r="T186" s="958" t="s">
        <v>105</v>
      </c>
      <c r="U186" s="153" t="s">
        <v>104</v>
      </c>
      <c r="V186" s="149">
        <v>36815</v>
      </c>
      <c r="W186" s="149">
        <v>39254</v>
      </c>
      <c r="X186" s="149">
        <v>39764</v>
      </c>
      <c r="Y186" s="149">
        <v>40575</v>
      </c>
      <c r="Z186" s="149">
        <v>40575</v>
      </c>
      <c r="AA186" s="149">
        <v>36815</v>
      </c>
      <c r="AB186" s="763" t="s">
        <v>121</v>
      </c>
      <c r="AC186" s="594">
        <v>1742.1428571428573</v>
      </c>
      <c r="AD186" s="153" t="s">
        <v>103</v>
      </c>
      <c r="AE186" s="149" t="s">
        <v>103</v>
      </c>
      <c r="AF186" s="596">
        <v>48</v>
      </c>
      <c r="AG186" s="596">
        <v>48</v>
      </c>
      <c r="AH186" s="595">
        <v>18158</v>
      </c>
      <c r="AI186" s="614">
        <v>3.4390151515151515</v>
      </c>
      <c r="AJ186" s="607">
        <v>22176</v>
      </c>
      <c r="AK186" s="153" t="s">
        <v>556</v>
      </c>
      <c r="AL186" s="791" t="s">
        <v>104</v>
      </c>
      <c r="AO186" s="963"/>
      <c r="AP186" s="1017">
        <v>8539000</v>
      </c>
      <c r="AQ186" s="574">
        <v>6224124</v>
      </c>
      <c r="AR186" s="153" t="s">
        <v>116</v>
      </c>
      <c r="AS186" s="153" t="s">
        <v>116</v>
      </c>
      <c r="AT186" s="778">
        <v>300000</v>
      </c>
      <c r="AU186" s="777" t="s">
        <v>122</v>
      </c>
      <c r="AV186" s="777" t="s">
        <v>122</v>
      </c>
      <c r="AW186" s="777" t="s">
        <v>122</v>
      </c>
      <c r="AX186" s="155" t="s">
        <v>103</v>
      </c>
      <c r="AY186" s="155" t="s">
        <v>103</v>
      </c>
      <c r="AZ186" s="155" t="s">
        <v>103</v>
      </c>
      <c r="BA186" s="156">
        <v>300000</v>
      </c>
      <c r="BB186" s="574">
        <f t="shared" ref="BB186" si="35">AQ186</f>
        <v>6224124</v>
      </c>
      <c r="BC186" s="780">
        <v>2314876</v>
      </c>
      <c r="BD186" s="1008" t="s">
        <v>121</v>
      </c>
      <c r="BE186" s="679">
        <v>0</v>
      </c>
      <c r="BF186" s="153" t="s">
        <v>103</v>
      </c>
      <c r="BG186" s="94">
        <v>6224124</v>
      </c>
      <c r="BH186" s="766" t="s">
        <v>123</v>
      </c>
      <c r="BI186" s="774">
        <v>0</v>
      </c>
      <c r="BJ186" s="774">
        <v>0</v>
      </c>
      <c r="BK186" s="153" t="s">
        <v>103</v>
      </c>
      <c r="BL186" s="153" t="s">
        <v>124</v>
      </c>
      <c r="BM186" s="94" t="s">
        <v>103</v>
      </c>
      <c r="BN186" s="155" t="s">
        <v>103</v>
      </c>
      <c r="BO186" s="153" t="s">
        <v>103</v>
      </c>
      <c r="BP186" s="153" t="s">
        <v>103</v>
      </c>
      <c r="BQ186" s="153" t="s">
        <v>103</v>
      </c>
      <c r="BR186" s="153" t="s">
        <v>103</v>
      </c>
      <c r="BS186" s="153" t="s">
        <v>103</v>
      </c>
      <c r="BT186" s="153" t="s">
        <v>104</v>
      </c>
      <c r="BU186" s="153" t="s">
        <v>104</v>
      </c>
      <c r="BV186" s="153" t="s">
        <v>110</v>
      </c>
      <c r="BW186" s="153" t="s">
        <v>104</v>
      </c>
      <c r="BX186" s="153" t="s">
        <v>104</v>
      </c>
      <c r="BY186" s="153" t="s">
        <v>104</v>
      </c>
      <c r="BZ186" s="153" t="s">
        <v>104</v>
      </c>
      <c r="CA186" s="616" t="s">
        <v>104</v>
      </c>
      <c r="CB186" s="153" t="s">
        <v>104</v>
      </c>
      <c r="CC186" s="153" t="s">
        <v>104</v>
      </c>
      <c r="CD186" s="153" t="s">
        <v>104</v>
      </c>
      <c r="CE186" s="153" t="s">
        <v>104</v>
      </c>
    </row>
    <row r="187" spans="1:83" ht="41.45" customHeight="1">
      <c r="A187" s="503"/>
      <c r="B187" s="164" t="s">
        <v>557</v>
      </c>
      <c r="C187" s="155" t="s">
        <v>558</v>
      </c>
      <c r="D187" s="153" t="s">
        <v>559</v>
      </c>
      <c r="E187" s="153">
        <v>92646</v>
      </c>
      <c r="F187" s="153">
        <v>6059099238</v>
      </c>
      <c r="G187" s="153" t="s">
        <v>110</v>
      </c>
      <c r="H187" s="153" t="s">
        <v>150</v>
      </c>
      <c r="I187" s="508" t="s">
        <v>557</v>
      </c>
      <c r="J187" s="153" t="s">
        <v>117</v>
      </c>
      <c r="K187" s="572" t="s">
        <v>222</v>
      </c>
      <c r="L187" s="153" t="s">
        <v>559</v>
      </c>
      <c r="M187" s="153" t="s">
        <v>104</v>
      </c>
      <c r="Q187" s="156" t="s">
        <v>294</v>
      </c>
      <c r="V187" s="149">
        <v>41533</v>
      </c>
      <c r="W187" s="149">
        <v>41550</v>
      </c>
      <c r="X187" s="149">
        <v>42480</v>
      </c>
      <c r="Y187" s="149">
        <v>42818</v>
      </c>
      <c r="Z187" s="149">
        <v>42818</v>
      </c>
      <c r="AA187" s="149">
        <v>41533</v>
      </c>
      <c r="AB187" s="763" t="s">
        <v>151</v>
      </c>
      <c r="AC187" s="594">
        <v>12.142857142857142</v>
      </c>
      <c r="AD187" s="153"/>
      <c r="AE187" s="149" t="s">
        <v>103</v>
      </c>
      <c r="AF187" s="596">
        <v>15</v>
      </c>
      <c r="AG187" s="596">
        <v>3</v>
      </c>
      <c r="AH187" s="595">
        <v>772</v>
      </c>
      <c r="AI187" s="614">
        <v>0.14621212121212121</v>
      </c>
      <c r="AJ187" s="607">
        <v>9510</v>
      </c>
      <c r="AK187" s="153" t="s">
        <v>556</v>
      </c>
      <c r="AL187" s="791" t="s">
        <v>104</v>
      </c>
      <c r="AO187" s="963"/>
      <c r="AP187" s="1017">
        <v>5500000</v>
      </c>
      <c r="AQ187" s="574">
        <v>7576596.370000001</v>
      </c>
      <c r="AR187" s="153" t="s">
        <v>116</v>
      </c>
      <c r="AS187" s="153" t="s">
        <v>116</v>
      </c>
      <c r="AT187" s="778">
        <v>400000</v>
      </c>
      <c r="AU187" s="777" t="s">
        <v>122</v>
      </c>
      <c r="AV187" s="777" t="s">
        <v>122</v>
      </c>
      <c r="AW187" s="777" t="s">
        <v>122</v>
      </c>
      <c r="AX187" s="155" t="s">
        <v>103</v>
      </c>
      <c r="AY187" s="155" t="s">
        <v>103</v>
      </c>
      <c r="AZ187" s="155" t="s">
        <v>103</v>
      </c>
      <c r="BA187" s="156">
        <v>400000</v>
      </c>
      <c r="BB187" s="153"/>
      <c r="BC187" s="780">
        <v>-2076596.370000001</v>
      </c>
      <c r="BD187" s="763" t="s">
        <v>151</v>
      </c>
      <c r="BE187" s="679" t="s">
        <v>103</v>
      </c>
      <c r="BF187" s="156" t="s">
        <v>103</v>
      </c>
      <c r="BG187" s="94">
        <v>7904758.5700000003</v>
      </c>
      <c r="BH187" s="766">
        <v>3203829</v>
      </c>
      <c r="BI187" s="774">
        <v>0</v>
      </c>
      <c r="BJ187" s="774">
        <v>0</v>
      </c>
      <c r="BK187" s="153" t="s">
        <v>103</v>
      </c>
      <c r="BL187" s="153" t="s">
        <v>124</v>
      </c>
      <c r="BM187" s="94" t="s">
        <v>103</v>
      </c>
      <c r="BN187" s="155" t="s">
        <v>103</v>
      </c>
      <c r="BO187" s="153" t="s">
        <v>103</v>
      </c>
      <c r="BP187" s="153" t="s">
        <v>103</v>
      </c>
      <c r="BQ187" s="153" t="s">
        <v>103</v>
      </c>
      <c r="BR187" s="153" t="s">
        <v>104</v>
      </c>
      <c r="BS187" s="153" t="s">
        <v>104</v>
      </c>
      <c r="BT187" s="153" t="s">
        <v>560</v>
      </c>
      <c r="BU187" s="153" t="s">
        <v>104</v>
      </c>
      <c r="BV187" s="153" t="s">
        <v>110</v>
      </c>
      <c r="BW187" s="153" t="s">
        <v>104</v>
      </c>
      <c r="BX187" s="153" t="s">
        <v>104</v>
      </c>
      <c r="BY187" s="153" t="s">
        <v>104</v>
      </c>
      <c r="BZ187" s="153" t="s">
        <v>104</v>
      </c>
      <c r="CA187" s="616" t="s">
        <v>104</v>
      </c>
      <c r="CB187" s="153" t="s">
        <v>104</v>
      </c>
      <c r="CC187" s="153" t="s">
        <v>104</v>
      </c>
      <c r="CD187" s="153" t="s">
        <v>104</v>
      </c>
      <c r="CE187" s="153" t="s">
        <v>104</v>
      </c>
    </row>
    <row r="188" spans="1:83" ht="14.1" customHeight="1">
      <c r="A188" s="505" t="s">
        <v>561</v>
      </c>
      <c r="B188" s="164" t="s">
        <v>103</v>
      </c>
      <c r="C188" s="155" t="s">
        <v>103</v>
      </c>
      <c r="D188" s="153" t="s">
        <v>103</v>
      </c>
      <c r="E188" s="153" t="s">
        <v>103</v>
      </c>
      <c r="F188" s="958" t="s">
        <v>103</v>
      </c>
      <c r="G188" s="153" t="s">
        <v>110</v>
      </c>
      <c r="H188" s="673">
        <v>4.9453754354988728E-2</v>
      </c>
      <c r="I188" s="508" t="s">
        <v>103</v>
      </c>
      <c r="J188" s="958" t="s">
        <v>103</v>
      </c>
      <c r="K188" s="958" t="s">
        <v>103</v>
      </c>
      <c r="L188" s="155" t="s">
        <v>103</v>
      </c>
      <c r="M188" s="155" t="s">
        <v>103</v>
      </c>
      <c r="N188" s="156">
        <v>0</v>
      </c>
      <c r="O188" s="156" t="s">
        <v>103</v>
      </c>
      <c r="P188" s="156">
        <v>0</v>
      </c>
      <c r="Q188" s="958" t="s">
        <v>103</v>
      </c>
      <c r="R188" s="156">
        <v>0</v>
      </c>
      <c r="S188" s="156">
        <v>0</v>
      </c>
      <c r="T188" s="958" t="s">
        <v>105</v>
      </c>
      <c r="U188" s="153" t="s">
        <v>110</v>
      </c>
      <c r="V188" s="518" t="s">
        <v>103</v>
      </c>
      <c r="W188" s="991" t="s">
        <v>103</v>
      </c>
      <c r="X188" s="991" t="s">
        <v>103</v>
      </c>
      <c r="Y188" s="991" t="s">
        <v>103</v>
      </c>
      <c r="Z188" s="518" t="s">
        <v>103</v>
      </c>
      <c r="AA188" s="991" t="s">
        <v>103</v>
      </c>
      <c r="AB188" s="155" t="s">
        <v>103</v>
      </c>
      <c r="AC188" s="959" t="s">
        <v>103</v>
      </c>
      <c r="AD188" s="155" t="s">
        <v>103</v>
      </c>
      <c r="AE188" s="155" t="s">
        <v>103</v>
      </c>
      <c r="AF188" s="155" t="s">
        <v>103</v>
      </c>
      <c r="AG188" s="155" t="s">
        <v>103</v>
      </c>
      <c r="AH188" s="992" t="s">
        <v>103</v>
      </c>
      <c r="AI188" s="960" t="s">
        <v>103</v>
      </c>
      <c r="AJ188" s="992" t="s">
        <v>103</v>
      </c>
      <c r="AK188" s="155" t="s">
        <v>103</v>
      </c>
      <c r="AL188" s="993" t="s">
        <v>103</v>
      </c>
      <c r="AM188" s="155"/>
      <c r="AN188" s="155"/>
      <c r="AO188" s="994"/>
      <c r="AP188" s="94">
        <v>0</v>
      </c>
      <c r="AQ188" s="578">
        <v>0</v>
      </c>
      <c r="AR188" s="155" t="s">
        <v>103</v>
      </c>
      <c r="AS188" s="155" t="s">
        <v>103</v>
      </c>
      <c r="AT188" s="155" t="s">
        <v>103</v>
      </c>
      <c r="AU188" s="155" t="s">
        <v>103</v>
      </c>
      <c r="AV188" s="155" t="s">
        <v>103</v>
      </c>
      <c r="AW188" s="155" t="s">
        <v>103</v>
      </c>
      <c r="AX188" s="155" t="s">
        <v>103</v>
      </c>
      <c r="AY188" s="155" t="s">
        <v>103</v>
      </c>
      <c r="AZ188" s="155" t="s">
        <v>103</v>
      </c>
      <c r="BA188" s="155" t="s">
        <v>103</v>
      </c>
      <c r="BB188" s="155" t="s">
        <v>103</v>
      </c>
      <c r="BC188" s="155" t="s">
        <v>103</v>
      </c>
      <c r="BD188" s="155" t="s">
        <v>103</v>
      </c>
      <c r="BE188" s="989" t="s">
        <v>103</v>
      </c>
      <c r="BF188" s="155" t="s">
        <v>103</v>
      </c>
      <c r="BG188" s="961">
        <v>0</v>
      </c>
      <c r="BH188" s="155" t="s">
        <v>103</v>
      </c>
      <c r="BI188" s="990" t="s">
        <v>103</v>
      </c>
      <c r="BJ188" s="155" t="s">
        <v>103</v>
      </c>
      <c r="BK188" s="155" t="s">
        <v>103</v>
      </c>
      <c r="BL188" s="155" t="s">
        <v>103</v>
      </c>
      <c r="BM188" s="155" t="s">
        <v>103</v>
      </c>
      <c r="BN188" s="155" t="s">
        <v>103</v>
      </c>
      <c r="BO188" s="155" t="s">
        <v>103</v>
      </c>
      <c r="BP188" s="155" t="s">
        <v>103</v>
      </c>
      <c r="BQ188" s="155" t="s">
        <v>103</v>
      </c>
      <c r="BR188" s="155" t="s">
        <v>103</v>
      </c>
      <c r="BS188" s="155" t="s">
        <v>103</v>
      </c>
      <c r="BT188" s="155" t="s">
        <v>103</v>
      </c>
      <c r="BU188" s="155" t="s">
        <v>103</v>
      </c>
      <c r="BV188" s="155" t="s">
        <v>103</v>
      </c>
      <c r="BW188" s="155" t="s">
        <v>103</v>
      </c>
      <c r="BX188" s="155" t="s">
        <v>103</v>
      </c>
      <c r="BY188" s="155" t="s">
        <v>103</v>
      </c>
      <c r="BZ188" s="155" t="s">
        <v>103</v>
      </c>
      <c r="CA188" s="155" t="s">
        <v>103</v>
      </c>
      <c r="CB188" s="155" t="s">
        <v>103</v>
      </c>
      <c r="CC188" s="155" t="s">
        <v>103</v>
      </c>
      <c r="CD188" s="155" t="s">
        <v>103</v>
      </c>
      <c r="CE188" s="155" t="s">
        <v>103</v>
      </c>
    </row>
    <row r="189" spans="1:83" ht="14.1" customHeight="1">
      <c r="A189" s="503" t="s">
        <v>562</v>
      </c>
      <c r="B189" s="164" t="s">
        <v>563</v>
      </c>
      <c r="C189" s="155" t="s">
        <v>103</v>
      </c>
      <c r="D189" s="153">
        <v>4358</v>
      </c>
      <c r="E189" s="153">
        <v>90631</v>
      </c>
      <c r="F189" s="153">
        <v>6059001404</v>
      </c>
      <c r="G189" s="153" t="s">
        <v>104</v>
      </c>
      <c r="H189" s="674">
        <v>0.20901343960656293</v>
      </c>
      <c r="I189" s="508" t="s">
        <v>563</v>
      </c>
      <c r="J189" s="153" t="s">
        <v>117</v>
      </c>
      <c r="K189" s="572" t="s">
        <v>217</v>
      </c>
      <c r="L189" s="153">
        <v>4358</v>
      </c>
      <c r="M189" s="153" t="s">
        <v>110</v>
      </c>
      <c r="N189" s="156">
        <v>3</v>
      </c>
      <c r="P189" s="156">
        <v>0</v>
      </c>
      <c r="Q189" s="156" t="s">
        <v>119</v>
      </c>
      <c r="R189" s="156">
        <v>0</v>
      </c>
      <c r="S189" s="156">
        <v>1</v>
      </c>
      <c r="T189" s="958" t="s">
        <v>105</v>
      </c>
      <c r="U189" s="153" t="s">
        <v>104</v>
      </c>
      <c r="V189" s="149">
        <v>34928</v>
      </c>
      <c r="W189" s="149" t="s">
        <v>103</v>
      </c>
      <c r="X189" s="149" t="s">
        <v>103</v>
      </c>
      <c r="Y189" s="149" t="s">
        <v>103</v>
      </c>
      <c r="Z189" s="149" t="s">
        <v>103</v>
      </c>
      <c r="AA189" s="149" t="s">
        <v>103</v>
      </c>
      <c r="AB189" s="153" t="s">
        <v>103</v>
      </c>
      <c r="AC189" s="594" t="s">
        <v>103</v>
      </c>
      <c r="AD189" s="153" t="s">
        <v>103</v>
      </c>
      <c r="AE189" s="149" t="s">
        <v>103</v>
      </c>
      <c r="AF189" s="153" t="s">
        <v>103</v>
      </c>
      <c r="AG189" s="153" t="s">
        <v>103</v>
      </c>
      <c r="AH189" s="596" t="s">
        <v>103</v>
      </c>
      <c r="AI189" s="960" t="s">
        <v>103</v>
      </c>
      <c r="AJ189" s="607">
        <v>3870</v>
      </c>
      <c r="AK189" s="153" t="s">
        <v>556</v>
      </c>
      <c r="AL189" s="791" t="s">
        <v>110</v>
      </c>
      <c r="AO189" s="963"/>
      <c r="AP189" s="94">
        <v>1074500</v>
      </c>
      <c r="AQ189" s="574">
        <v>0</v>
      </c>
      <c r="AR189" s="153" t="s">
        <v>116</v>
      </c>
      <c r="AS189" s="153" t="s">
        <v>116</v>
      </c>
      <c r="AT189" s="777" t="s">
        <v>121</v>
      </c>
      <c r="AU189" s="777" t="s">
        <v>122</v>
      </c>
      <c r="AV189" s="777" t="s">
        <v>122</v>
      </c>
      <c r="AW189" s="777" t="s">
        <v>122</v>
      </c>
      <c r="AX189" s="155" t="s">
        <v>103</v>
      </c>
      <c r="AY189" s="155" t="s">
        <v>103</v>
      </c>
      <c r="AZ189" s="155" t="s">
        <v>103</v>
      </c>
      <c r="BB189" s="153"/>
      <c r="BC189" s="780" t="s">
        <v>103</v>
      </c>
      <c r="BD189" s="153" t="s">
        <v>103</v>
      </c>
      <c r="BE189" s="679" t="s">
        <v>103</v>
      </c>
      <c r="BF189" s="156" t="s">
        <v>103</v>
      </c>
      <c r="BG189" s="94">
        <v>0</v>
      </c>
      <c r="BH189" s="766" t="s">
        <v>123</v>
      </c>
      <c r="BI189" s="774">
        <v>0</v>
      </c>
      <c r="BJ189" s="774">
        <v>0</v>
      </c>
      <c r="BL189" s="94" t="s">
        <v>124</v>
      </c>
      <c r="BM189" s="94" t="s">
        <v>124</v>
      </c>
      <c r="BN189" s="94" t="s">
        <v>124</v>
      </c>
      <c r="BO189" s="153" t="s">
        <v>116</v>
      </c>
      <c r="BP189" s="153" t="s">
        <v>124</v>
      </c>
      <c r="BQ189" s="153" t="s">
        <v>103</v>
      </c>
      <c r="BR189" s="153" t="s">
        <v>103</v>
      </c>
      <c r="BS189" s="153" t="s">
        <v>103</v>
      </c>
      <c r="BT189" s="153" t="s">
        <v>103</v>
      </c>
      <c r="BU189" s="153" t="s">
        <v>103</v>
      </c>
      <c r="BV189" s="153" t="s">
        <v>103</v>
      </c>
      <c r="BW189" s="153" t="s">
        <v>103</v>
      </c>
      <c r="BX189" s="153" t="s">
        <v>103</v>
      </c>
      <c r="BY189" s="153" t="s">
        <v>103</v>
      </c>
      <c r="BZ189" s="153" t="s">
        <v>103</v>
      </c>
    </row>
    <row r="190" spans="1:83" ht="14.1" customHeight="1">
      <c r="A190" s="503"/>
      <c r="B190" s="164" t="s">
        <v>564</v>
      </c>
      <c r="C190" s="155" t="s">
        <v>103</v>
      </c>
      <c r="D190" s="153">
        <v>4358</v>
      </c>
      <c r="E190" s="153">
        <v>90631</v>
      </c>
      <c r="F190" s="153">
        <v>6059001402</v>
      </c>
      <c r="G190" s="153" t="s">
        <v>104</v>
      </c>
      <c r="H190" s="153" t="s">
        <v>150</v>
      </c>
      <c r="I190" s="508" t="s">
        <v>564</v>
      </c>
      <c r="J190" s="153" t="s">
        <v>117</v>
      </c>
      <c r="K190" s="572" t="s">
        <v>217</v>
      </c>
      <c r="L190" s="153">
        <v>4358</v>
      </c>
      <c r="M190" s="153" t="s">
        <v>110</v>
      </c>
      <c r="Q190" s="156" t="s">
        <v>119</v>
      </c>
      <c r="V190" s="149">
        <v>34928</v>
      </c>
      <c r="W190" s="149" t="s">
        <v>103</v>
      </c>
      <c r="X190" s="149" t="s">
        <v>103</v>
      </c>
      <c r="Y190" s="149" t="s">
        <v>103</v>
      </c>
      <c r="Z190" s="149" t="s">
        <v>103</v>
      </c>
      <c r="AA190" s="149" t="s">
        <v>103</v>
      </c>
      <c r="AB190" s="153" t="s">
        <v>103</v>
      </c>
      <c r="AC190" s="594" t="s">
        <v>103</v>
      </c>
      <c r="AD190" s="153" t="s">
        <v>103</v>
      </c>
      <c r="AE190" s="149" t="s">
        <v>103</v>
      </c>
      <c r="AF190" s="153" t="s">
        <v>103</v>
      </c>
      <c r="AG190" s="153" t="s">
        <v>103</v>
      </c>
      <c r="AH190" s="596" t="s">
        <v>103</v>
      </c>
      <c r="AI190" s="960" t="s">
        <v>103</v>
      </c>
      <c r="AJ190" s="607">
        <v>3210</v>
      </c>
      <c r="AK190" s="153" t="s">
        <v>556</v>
      </c>
      <c r="AL190" s="791" t="s">
        <v>110</v>
      </c>
      <c r="AO190" s="963"/>
      <c r="AP190" s="94">
        <v>904500</v>
      </c>
      <c r="AQ190" s="574">
        <v>0</v>
      </c>
      <c r="AR190" s="153" t="s">
        <v>116</v>
      </c>
      <c r="AS190" s="153" t="s">
        <v>116</v>
      </c>
      <c r="AT190" s="777" t="s">
        <v>121</v>
      </c>
      <c r="AU190" s="777" t="s">
        <v>122</v>
      </c>
      <c r="AV190" s="777" t="s">
        <v>122</v>
      </c>
      <c r="AW190" s="777" t="s">
        <v>122</v>
      </c>
      <c r="AX190" s="155" t="s">
        <v>103</v>
      </c>
      <c r="AY190" s="155" t="s">
        <v>103</v>
      </c>
      <c r="AZ190" s="155" t="s">
        <v>103</v>
      </c>
      <c r="BB190" s="153"/>
      <c r="BC190" s="780" t="s">
        <v>103</v>
      </c>
      <c r="BD190" s="153" t="s">
        <v>103</v>
      </c>
      <c r="BE190" s="679" t="s">
        <v>103</v>
      </c>
      <c r="BF190" s="156" t="s">
        <v>103</v>
      </c>
      <c r="BG190" s="94">
        <v>0</v>
      </c>
      <c r="BH190" s="766" t="s">
        <v>123</v>
      </c>
      <c r="BI190" s="774">
        <v>0</v>
      </c>
      <c r="BJ190" s="774">
        <v>0</v>
      </c>
      <c r="BL190" s="153" t="s">
        <v>116</v>
      </c>
      <c r="BM190" s="94" t="s">
        <v>124</v>
      </c>
      <c r="BN190" s="155" t="s">
        <v>124</v>
      </c>
      <c r="BO190" s="153" t="s">
        <v>116</v>
      </c>
      <c r="BP190" s="153" t="s">
        <v>124</v>
      </c>
      <c r="BQ190" s="153" t="s">
        <v>103</v>
      </c>
      <c r="BR190" s="153" t="s">
        <v>103</v>
      </c>
      <c r="BS190" s="153" t="s">
        <v>103</v>
      </c>
      <c r="BT190" s="153" t="s">
        <v>103</v>
      </c>
      <c r="BU190" s="153" t="s">
        <v>103</v>
      </c>
      <c r="BV190" s="153" t="s">
        <v>103</v>
      </c>
      <c r="BW190" s="153" t="s">
        <v>103</v>
      </c>
      <c r="BX190" s="153" t="s">
        <v>103</v>
      </c>
      <c r="BY190" s="153" t="s">
        <v>103</v>
      </c>
      <c r="BZ190" s="153" t="s">
        <v>103</v>
      </c>
    </row>
    <row r="191" spans="1:83" ht="55.35" customHeight="1">
      <c r="A191" s="503"/>
      <c r="B191" s="164" t="s">
        <v>565</v>
      </c>
      <c r="C191" s="155" t="s">
        <v>566</v>
      </c>
      <c r="D191" s="153">
        <v>5064</v>
      </c>
      <c r="E191" s="153">
        <v>90631</v>
      </c>
      <c r="F191" s="153">
        <v>6059001404</v>
      </c>
      <c r="G191" s="153" t="s">
        <v>104</v>
      </c>
      <c r="H191" s="153" t="s">
        <v>150</v>
      </c>
      <c r="I191" s="508" t="s">
        <v>565</v>
      </c>
      <c r="J191" s="153" t="s">
        <v>117</v>
      </c>
      <c r="K191" s="572" t="s">
        <v>217</v>
      </c>
      <c r="L191" s="153">
        <v>5064</v>
      </c>
      <c r="M191" s="153" t="s">
        <v>104</v>
      </c>
      <c r="Q191" s="156" t="s">
        <v>139</v>
      </c>
      <c r="V191" s="149">
        <v>38341</v>
      </c>
      <c r="W191" s="149">
        <v>38518</v>
      </c>
      <c r="X191" s="149">
        <v>39329</v>
      </c>
      <c r="Y191" s="149">
        <v>40192</v>
      </c>
      <c r="Z191" s="149">
        <v>40192</v>
      </c>
      <c r="AA191" s="149">
        <v>38341</v>
      </c>
      <c r="AB191" s="763" t="s">
        <v>151</v>
      </c>
      <c r="AC191" s="594">
        <v>126.42857142857142</v>
      </c>
      <c r="AD191" s="153" t="s">
        <v>103</v>
      </c>
      <c r="AE191" s="149" t="s">
        <v>103</v>
      </c>
      <c r="AF191" s="596">
        <v>35</v>
      </c>
      <c r="AG191" s="596">
        <v>60</v>
      </c>
      <c r="AH191" s="597">
        <v>9821</v>
      </c>
      <c r="AI191" s="615">
        <v>1.8600378787878789</v>
      </c>
      <c r="AJ191" s="607">
        <v>6288</v>
      </c>
      <c r="AK191" s="153" t="s">
        <v>120</v>
      </c>
      <c r="AL191" s="791" t="s">
        <v>110</v>
      </c>
      <c r="AO191" s="963"/>
      <c r="AP191" s="1017">
        <v>2700000</v>
      </c>
      <c r="AQ191" s="580">
        <v>2725454</v>
      </c>
      <c r="AR191" s="153" t="s">
        <v>116</v>
      </c>
      <c r="AS191" s="153" t="s">
        <v>116</v>
      </c>
      <c r="AT191" s="777" t="s">
        <v>122</v>
      </c>
      <c r="AU191" s="777" t="s">
        <v>122</v>
      </c>
      <c r="AV191" s="777" t="s">
        <v>122</v>
      </c>
      <c r="AW191" s="777" t="s">
        <v>122</v>
      </c>
      <c r="AX191" s="155" t="s">
        <v>103</v>
      </c>
      <c r="AY191" s="155" t="s">
        <v>103</v>
      </c>
      <c r="AZ191" s="155" t="s">
        <v>103</v>
      </c>
      <c r="BB191" s="574">
        <f t="shared" ref="BB191:BB193" si="36">AQ191</f>
        <v>2725454</v>
      </c>
      <c r="BC191" s="780">
        <v>-25454</v>
      </c>
      <c r="BD191" s="1008" t="s">
        <v>151</v>
      </c>
      <c r="BE191" s="679">
        <v>0</v>
      </c>
      <c r="BF191" s="153" t="s">
        <v>103</v>
      </c>
      <c r="BG191" s="519">
        <v>2725454</v>
      </c>
      <c r="BH191" s="769" t="s">
        <v>123</v>
      </c>
      <c r="BI191" s="774">
        <v>0</v>
      </c>
      <c r="BJ191" s="774">
        <v>0</v>
      </c>
      <c r="BK191" s="153" t="s">
        <v>103</v>
      </c>
      <c r="BL191" s="153" t="s">
        <v>116</v>
      </c>
      <c r="BM191" s="519" t="s">
        <v>124</v>
      </c>
      <c r="BN191" s="155" t="s">
        <v>124</v>
      </c>
      <c r="BO191" s="153" t="s">
        <v>116</v>
      </c>
      <c r="BP191" s="153" t="s">
        <v>124</v>
      </c>
      <c r="BQ191" s="153" t="s">
        <v>103</v>
      </c>
      <c r="BR191" s="153" t="s">
        <v>103</v>
      </c>
      <c r="BS191" s="153" t="s">
        <v>103</v>
      </c>
      <c r="BT191" s="153" t="s">
        <v>103</v>
      </c>
      <c r="BU191" s="153" t="s">
        <v>103</v>
      </c>
      <c r="BV191" s="153" t="s">
        <v>103</v>
      </c>
      <c r="BW191" s="153" t="s">
        <v>103</v>
      </c>
      <c r="BX191" s="153" t="s">
        <v>103</v>
      </c>
      <c r="BY191" s="153" t="s">
        <v>103</v>
      </c>
      <c r="BZ191" s="153" t="s">
        <v>103</v>
      </c>
      <c r="CA191" s="616" t="s">
        <v>116</v>
      </c>
      <c r="CB191" s="153" t="s">
        <v>116</v>
      </c>
      <c r="CC191" s="153" t="s">
        <v>116</v>
      </c>
      <c r="CD191" s="153" t="s">
        <v>116</v>
      </c>
      <c r="CE191" s="153" t="s">
        <v>116</v>
      </c>
    </row>
    <row r="192" spans="1:83" ht="27.6" customHeight="1">
      <c r="A192" s="503" t="s">
        <v>567</v>
      </c>
      <c r="B192" s="164" t="s">
        <v>568</v>
      </c>
      <c r="C192" s="155" t="s">
        <v>569</v>
      </c>
      <c r="D192" s="153" t="s">
        <v>570</v>
      </c>
      <c r="E192" s="153">
        <v>90263</v>
      </c>
      <c r="F192" s="153">
        <v>6059110116</v>
      </c>
      <c r="G192" s="153" t="s">
        <v>110</v>
      </c>
      <c r="H192" s="674">
        <v>0.14682609460172322</v>
      </c>
      <c r="I192" s="508" t="s">
        <v>568</v>
      </c>
      <c r="J192" s="153" t="s">
        <v>117</v>
      </c>
      <c r="K192" s="572" t="s">
        <v>130</v>
      </c>
      <c r="L192" s="153" t="s">
        <v>570</v>
      </c>
      <c r="M192" s="153" t="s">
        <v>104</v>
      </c>
      <c r="N192" s="156">
        <v>1</v>
      </c>
      <c r="P192" s="156">
        <v>0</v>
      </c>
      <c r="Q192" s="156" t="s">
        <v>139</v>
      </c>
      <c r="R192" s="156">
        <v>0</v>
      </c>
      <c r="S192" s="156">
        <v>1</v>
      </c>
      <c r="T192" s="958" t="s">
        <v>105</v>
      </c>
      <c r="U192" s="153" t="s">
        <v>110</v>
      </c>
      <c r="V192" s="149">
        <v>39980</v>
      </c>
      <c r="W192" s="149">
        <v>40014</v>
      </c>
      <c r="X192" s="149">
        <v>40497</v>
      </c>
      <c r="Y192" s="149">
        <v>40634</v>
      </c>
      <c r="Z192" s="149">
        <v>40634</v>
      </c>
      <c r="AA192" s="149">
        <v>39980</v>
      </c>
      <c r="AB192" s="763" t="s">
        <v>151</v>
      </c>
      <c r="AC192" s="594">
        <v>24.285714285714285</v>
      </c>
      <c r="AD192" s="153" t="s">
        <v>103</v>
      </c>
      <c r="AE192" s="149" t="s">
        <v>103</v>
      </c>
      <c r="AF192" s="596">
        <v>7</v>
      </c>
      <c r="AG192" s="596">
        <v>6</v>
      </c>
      <c r="AH192" s="595">
        <v>2137.3333333333335</v>
      </c>
      <c r="AI192" s="614">
        <v>0.40479797979797982</v>
      </c>
      <c r="AJ192" s="607">
        <v>1350</v>
      </c>
      <c r="AK192" s="153" t="s">
        <v>556</v>
      </c>
      <c r="AL192" s="791" t="s">
        <v>110</v>
      </c>
      <c r="AO192" s="963"/>
      <c r="AP192" s="1017">
        <v>645000</v>
      </c>
      <c r="AQ192" s="574">
        <v>655824</v>
      </c>
      <c r="AR192" s="153" t="s">
        <v>116</v>
      </c>
      <c r="AS192" s="153" t="s">
        <v>116</v>
      </c>
      <c r="AT192" s="156">
        <v>0</v>
      </c>
      <c r="AU192" s="777" t="s">
        <v>122</v>
      </c>
      <c r="AV192" s="777" t="s">
        <v>122</v>
      </c>
      <c r="AW192" s="777" t="s">
        <v>122</v>
      </c>
      <c r="AX192" s="155" t="s">
        <v>103</v>
      </c>
      <c r="AY192" s="155" t="s">
        <v>103</v>
      </c>
      <c r="AZ192" s="155" t="s">
        <v>103</v>
      </c>
      <c r="BA192" s="156">
        <v>0</v>
      </c>
      <c r="BB192" s="574">
        <f t="shared" si="36"/>
        <v>655824</v>
      </c>
      <c r="BC192" s="780">
        <v>-10824</v>
      </c>
      <c r="BD192" s="1008" t="s">
        <v>151</v>
      </c>
      <c r="BE192" s="679">
        <v>0</v>
      </c>
      <c r="BF192" s="153" t="s">
        <v>103</v>
      </c>
      <c r="BG192" s="94">
        <v>655824</v>
      </c>
      <c r="BH192" s="766">
        <v>559291</v>
      </c>
      <c r="BI192" s="775">
        <v>85709</v>
      </c>
      <c r="BJ192" s="775">
        <v>0</v>
      </c>
      <c r="BK192" s="153" t="s">
        <v>103</v>
      </c>
      <c r="BL192" s="153" t="s">
        <v>124</v>
      </c>
      <c r="BM192" s="94" t="s">
        <v>103</v>
      </c>
      <c r="BN192" s="155" t="s">
        <v>103</v>
      </c>
      <c r="BO192" s="153" t="s">
        <v>103</v>
      </c>
      <c r="BP192" s="153" t="s">
        <v>103</v>
      </c>
      <c r="BQ192" s="153" t="s">
        <v>103</v>
      </c>
      <c r="BR192" s="153" t="s">
        <v>110</v>
      </c>
      <c r="BS192" s="153" t="s">
        <v>110</v>
      </c>
      <c r="BT192" s="153" t="s">
        <v>110</v>
      </c>
      <c r="BU192" s="153" t="s">
        <v>110</v>
      </c>
      <c r="BV192" s="153" t="s">
        <v>110</v>
      </c>
      <c r="BW192" s="153" t="s">
        <v>110</v>
      </c>
      <c r="BX192" s="153" t="s">
        <v>110</v>
      </c>
      <c r="BY192" s="153" t="s">
        <v>110</v>
      </c>
      <c r="BZ192" s="153" t="s">
        <v>110</v>
      </c>
      <c r="CA192" s="616" t="s">
        <v>110</v>
      </c>
      <c r="CB192" s="153" t="s">
        <v>110</v>
      </c>
      <c r="CC192" s="153" t="s">
        <v>110</v>
      </c>
      <c r="CD192" s="153" t="s">
        <v>103</v>
      </c>
      <c r="CE192" s="153" t="s">
        <v>110</v>
      </c>
    </row>
    <row r="193" spans="1:83" ht="41.25" customHeight="1">
      <c r="A193" s="503" t="s">
        <v>571</v>
      </c>
      <c r="B193" s="164" t="s">
        <v>572</v>
      </c>
      <c r="C193" s="155" t="s">
        <v>573</v>
      </c>
      <c r="D193" s="153">
        <v>12.009</v>
      </c>
      <c r="E193" s="153">
        <v>92561</v>
      </c>
      <c r="F193" s="153">
        <v>6059062632</v>
      </c>
      <c r="G193" s="153" t="s">
        <v>110</v>
      </c>
      <c r="H193" s="674">
        <v>3.1574894108586833E-2</v>
      </c>
      <c r="I193" s="508" t="s">
        <v>572</v>
      </c>
      <c r="J193" s="153" t="s">
        <v>484</v>
      </c>
      <c r="K193" s="572" t="s">
        <v>205</v>
      </c>
      <c r="L193" s="153">
        <v>12.009</v>
      </c>
      <c r="M193" s="153" t="s">
        <v>104</v>
      </c>
      <c r="N193" s="156">
        <v>2</v>
      </c>
      <c r="O193" s="156">
        <v>0</v>
      </c>
      <c r="P193" s="156">
        <v>0</v>
      </c>
      <c r="Q193" s="156" t="s">
        <v>139</v>
      </c>
      <c r="R193" s="156">
        <v>0</v>
      </c>
      <c r="S193" s="156">
        <v>1</v>
      </c>
      <c r="T193" s="958" t="s">
        <v>105</v>
      </c>
      <c r="U193" s="153" t="s">
        <v>110</v>
      </c>
      <c r="V193" s="590">
        <v>40932</v>
      </c>
      <c r="W193" s="149">
        <v>40662</v>
      </c>
      <c r="X193" s="149">
        <v>42464</v>
      </c>
      <c r="Y193" s="149">
        <v>42818</v>
      </c>
      <c r="Z193" s="149">
        <v>42643</v>
      </c>
      <c r="AA193" s="149">
        <v>40932</v>
      </c>
      <c r="AB193" s="763" t="s">
        <v>151</v>
      </c>
      <c r="AC193" s="594">
        <v>-192.85714285714283</v>
      </c>
      <c r="AD193" s="153"/>
      <c r="AE193" s="149" t="s">
        <v>103</v>
      </c>
      <c r="AF193" s="596">
        <v>21</v>
      </c>
      <c r="AG193" s="596">
        <v>41</v>
      </c>
      <c r="AH193" s="595">
        <v>5017.333333333333</v>
      </c>
      <c r="AI193" s="614">
        <v>0.95025252525252524</v>
      </c>
      <c r="AJ193" s="607">
        <v>1440</v>
      </c>
      <c r="AK193" s="153" t="s">
        <v>556</v>
      </c>
      <c r="AL193" s="791" t="s">
        <v>110</v>
      </c>
      <c r="AO193" s="963"/>
      <c r="AP193" s="1017">
        <v>1350000</v>
      </c>
      <c r="AQ193" s="574">
        <v>1842408.17</v>
      </c>
      <c r="AR193" s="153" t="s">
        <v>116</v>
      </c>
      <c r="AS193" s="153" t="s">
        <v>116</v>
      </c>
      <c r="AT193" s="156">
        <v>0</v>
      </c>
      <c r="AU193" s="777" t="s">
        <v>122</v>
      </c>
      <c r="AV193" s="777" t="s">
        <v>122</v>
      </c>
      <c r="AW193" s="777" t="s">
        <v>122</v>
      </c>
      <c r="AX193" s="155" t="s">
        <v>103</v>
      </c>
      <c r="AY193" s="155" t="s">
        <v>103</v>
      </c>
      <c r="AZ193" s="155" t="s">
        <v>103</v>
      </c>
      <c r="BA193" s="156">
        <v>0</v>
      </c>
      <c r="BB193" s="574">
        <f t="shared" si="36"/>
        <v>1842408.17</v>
      </c>
      <c r="BC193" s="780">
        <v>-492408.16999999993</v>
      </c>
      <c r="BD193" s="1008" t="s">
        <v>151</v>
      </c>
      <c r="BE193" s="679">
        <v>0</v>
      </c>
      <c r="BF193" s="153" t="s">
        <v>103</v>
      </c>
      <c r="BG193" s="94">
        <v>1842408.17</v>
      </c>
      <c r="BH193" s="766">
        <v>2297209</v>
      </c>
      <c r="BI193" s="774">
        <v>375153</v>
      </c>
      <c r="BJ193" s="774">
        <v>327638</v>
      </c>
      <c r="BK193" s="153" t="s">
        <v>103</v>
      </c>
      <c r="BL193" s="153" t="s">
        <v>124</v>
      </c>
      <c r="BM193" s="94" t="s">
        <v>124</v>
      </c>
      <c r="BN193" s="155" t="s">
        <v>124</v>
      </c>
      <c r="BO193" s="153" t="s">
        <v>116</v>
      </c>
      <c r="BP193" s="153" t="s">
        <v>124</v>
      </c>
      <c r="BQ193" s="153" t="s">
        <v>103</v>
      </c>
      <c r="BR193" s="153" t="s">
        <v>104</v>
      </c>
      <c r="BS193" s="153" t="s">
        <v>104</v>
      </c>
      <c r="BT193" s="153" t="s">
        <v>104</v>
      </c>
      <c r="BU193" s="153" t="s">
        <v>104</v>
      </c>
      <c r="BV193" s="153" t="s">
        <v>110</v>
      </c>
      <c r="BW193" s="153" t="s">
        <v>104</v>
      </c>
      <c r="BX193" s="153" t="s">
        <v>104</v>
      </c>
      <c r="BY193" s="153" t="s">
        <v>104</v>
      </c>
      <c r="BZ193" s="153" t="s">
        <v>110</v>
      </c>
      <c r="CA193" s="616" t="s">
        <v>110</v>
      </c>
      <c r="CB193" s="153" t="s">
        <v>110</v>
      </c>
      <c r="CC193" s="153" t="s">
        <v>110</v>
      </c>
      <c r="CD193" s="153" t="s">
        <v>103</v>
      </c>
      <c r="CE193" s="153" t="s">
        <v>110</v>
      </c>
    </row>
    <row r="194" spans="1:83" ht="41.25" customHeight="1">
      <c r="A194" s="503"/>
      <c r="B194" s="164" t="s">
        <v>574</v>
      </c>
      <c r="C194" s="155" t="s">
        <v>575</v>
      </c>
      <c r="D194" s="153" t="s">
        <v>576</v>
      </c>
      <c r="E194" s="153">
        <v>92561</v>
      </c>
      <c r="F194" s="153">
        <v>6059062620</v>
      </c>
      <c r="G194" s="153" t="s">
        <v>110</v>
      </c>
      <c r="H194" s="674">
        <v>0.03</v>
      </c>
      <c r="I194" s="508" t="str">
        <f>B194</f>
        <v xml:space="preserve">PCH/ Arch St to Agate St </v>
      </c>
      <c r="J194" s="153" t="s">
        <v>484</v>
      </c>
      <c r="K194" s="572" t="s">
        <v>577</v>
      </c>
      <c r="L194" s="153" t="str">
        <f>D194</f>
        <v>19.023</v>
      </c>
      <c r="M194" s="153" t="s">
        <v>110</v>
      </c>
      <c r="P194" s="156">
        <v>1</v>
      </c>
      <c r="Q194" s="989" t="s">
        <v>131</v>
      </c>
      <c r="V194" s="590">
        <v>43571</v>
      </c>
      <c r="W194" s="149">
        <v>43585</v>
      </c>
      <c r="X194" s="149">
        <v>44200</v>
      </c>
      <c r="Y194" s="149">
        <v>44532</v>
      </c>
      <c r="Z194" s="149" t="s">
        <v>103</v>
      </c>
      <c r="AA194" s="149">
        <v>43571</v>
      </c>
      <c r="AB194" s="155" t="s">
        <v>103</v>
      </c>
      <c r="AC194" s="155">
        <f>W194-V194</f>
        <v>14</v>
      </c>
      <c r="AD194" s="149">
        <v>44532</v>
      </c>
      <c r="AE194" s="149" t="s">
        <v>103</v>
      </c>
      <c r="AF194" s="596" t="s">
        <v>256</v>
      </c>
      <c r="AG194" s="596" t="s">
        <v>258</v>
      </c>
      <c r="AH194" s="595" t="s">
        <v>103</v>
      </c>
      <c r="AI194" s="614" t="s">
        <v>103</v>
      </c>
      <c r="AJ194" s="607">
        <v>5450</v>
      </c>
      <c r="AK194" s="153" t="s">
        <v>152</v>
      </c>
      <c r="AL194" s="791" t="s">
        <v>103</v>
      </c>
      <c r="AO194" s="963"/>
      <c r="AP194" s="1017">
        <v>5000000</v>
      </c>
      <c r="AQ194" s="574">
        <v>0</v>
      </c>
      <c r="AR194" s="153" t="s">
        <v>116</v>
      </c>
      <c r="AS194" s="153" t="s">
        <v>116</v>
      </c>
      <c r="AT194" s="777" t="s">
        <v>122</v>
      </c>
      <c r="AU194" s="777" t="s">
        <v>122</v>
      </c>
      <c r="AV194" s="777" t="s">
        <v>122</v>
      </c>
      <c r="AW194" s="777" t="s">
        <v>122</v>
      </c>
      <c r="AX194" s="155" t="s">
        <v>103</v>
      </c>
      <c r="AY194" s="155" t="s">
        <v>103</v>
      </c>
      <c r="AZ194" s="155" t="s">
        <v>103</v>
      </c>
      <c r="BA194" s="155" t="s">
        <v>103</v>
      </c>
      <c r="BB194" s="155" t="s">
        <v>103</v>
      </c>
      <c r="BC194" s="155" t="s">
        <v>103</v>
      </c>
      <c r="BD194" s="155" t="s">
        <v>103</v>
      </c>
      <c r="BE194" s="679" t="s">
        <v>103</v>
      </c>
      <c r="BF194" s="153" t="s">
        <v>103</v>
      </c>
      <c r="BG194" s="94">
        <v>0</v>
      </c>
      <c r="BH194" s="766">
        <v>10572663.867408544</v>
      </c>
      <c r="BI194" s="774">
        <v>0</v>
      </c>
      <c r="BJ194" s="774">
        <v>0</v>
      </c>
      <c r="BK194" s="153" t="s">
        <v>103</v>
      </c>
      <c r="BL194" s="153" t="s">
        <v>124</v>
      </c>
      <c r="BO194" s="153" t="s">
        <v>116</v>
      </c>
      <c r="BP194" s="153" t="s">
        <v>124</v>
      </c>
      <c r="BQ194" s="153" t="s">
        <v>103</v>
      </c>
      <c r="BR194" s="153" t="s">
        <v>103</v>
      </c>
      <c r="BS194" s="153" t="s">
        <v>103</v>
      </c>
      <c r="BT194" s="153" t="s">
        <v>103</v>
      </c>
      <c r="BU194" s="153" t="s">
        <v>103</v>
      </c>
      <c r="BV194" s="153" t="s">
        <v>103</v>
      </c>
      <c r="BW194" s="153" t="s">
        <v>103</v>
      </c>
      <c r="BX194" s="153" t="s">
        <v>103</v>
      </c>
      <c r="BY194" s="153" t="s">
        <v>103</v>
      </c>
      <c r="BZ194" s="153" t="s">
        <v>103</v>
      </c>
      <c r="CA194" s="153" t="s">
        <v>103</v>
      </c>
      <c r="CB194" s="153" t="s">
        <v>103</v>
      </c>
      <c r="CC194" s="153" t="s">
        <v>103</v>
      </c>
      <c r="CD194" s="153" t="s">
        <v>103</v>
      </c>
      <c r="CE194" s="153" t="s">
        <v>103</v>
      </c>
    </row>
    <row r="195" spans="1:83" ht="14.1" customHeight="1">
      <c r="A195" s="503" t="s">
        <v>578</v>
      </c>
      <c r="B195" s="164" t="s">
        <v>103</v>
      </c>
      <c r="C195" s="155" t="s">
        <v>103</v>
      </c>
      <c r="D195" s="153" t="s">
        <v>103</v>
      </c>
      <c r="E195" s="153" t="s">
        <v>103</v>
      </c>
      <c r="F195" s="958" t="s">
        <v>103</v>
      </c>
      <c r="G195" s="153" t="s">
        <v>110</v>
      </c>
      <c r="H195" s="673">
        <v>0.10025665704202759</v>
      </c>
      <c r="I195" s="508" t="s">
        <v>103</v>
      </c>
      <c r="J195" s="958" t="s">
        <v>103</v>
      </c>
      <c r="K195" s="958" t="s">
        <v>103</v>
      </c>
      <c r="L195" s="155" t="s">
        <v>103</v>
      </c>
      <c r="M195" s="155" t="s">
        <v>103</v>
      </c>
      <c r="N195" s="156">
        <v>0</v>
      </c>
      <c r="O195" s="156" t="s">
        <v>103</v>
      </c>
      <c r="P195" s="156">
        <v>0</v>
      </c>
      <c r="Q195" s="958" t="s">
        <v>103</v>
      </c>
      <c r="R195" s="156">
        <v>0</v>
      </c>
      <c r="S195" s="156">
        <v>0</v>
      </c>
      <c r="T195" s="958" t="s">
        <v>105</v>
      </c>
      <c r="U195" s="153" t="s">
        <v>110</v>
      </c>
      <c r="V195" s="518" t="s">
        <v>103</v>
      </c>
      <c r="W195" s="991" t="s">
        <v>103</v>
      </c>
      <c r="X195" s="991" t="s">
        <v>103</v>
      </c>
      <c r="Y195" s="991" t="s">
        <v>103</v>
      </c>
      <c r="Z195" s="518" t="s">
        <v>103</v>
      </c>
      <c r="AA195" s="991" t="s">
        <v>103</v>
      </c>
      <c r="AB195" s="155" t="s">
        <v>103</v>
      </c>
      <c r="AC195" s="959" t="s">
        <v>103</v>
      </c>
      <c r="AD195" s="155" t="s">
        <v>103</v>
      </c>
      <c r="AE195" s="155" t="s">
        <v>103</v>
      </c>
      <c r="AF195" s="155" t="s">
        <v>103</v>
      </c>
      <c r="AG195" s="155" t="s">
        <v>103</v>
      </c>
      <c r="AH195" s="992" t="s">
        <v>103</v>
      </c>
      <c r="AI195" s="960" t="s">
        <v>103</v>
      </c>
      <c r="AJ195" s="992" t="s">
        <v>103</v>
      </c>
      <c r="AK195" s="155" t="s">
        <v>103</v>
      </c>
      <c r="AL195" s="993" t="s">
        <v>103</v>
      </c>
      <c r="AM195" s="155"/>
      <c r="AN195" s="155"/>
      <c r="AO195" s="994"/>
      <c r="AP195" s="94">
        <v>0</v>
      </c>
      <c r="AQ195" s="578">
        <v>0</v>
      </c>
      <c r="AR195" s="155" t="s">
        <v>103</v>
      </c>
      <c r="AS195" s="155" t="s">
        <v>103</v>
      </c>
      <c r="AT195" s="155" t="s">
        <v>103</v>
      </c>
      <c r="AU195" s="155" t="s">
        <v>103</v>
      </c>
      <c r="AV195" s="155" t="s">
        <v>103</v>
      </c>
      <c r="AW195" s="155" t="s">
        <v>103</v>
      </c>
      <c r="AX195" s="155" t="s">
        <v>103</v>
      </c>
      <c r="AY195" s="155" t="s">
        <v>103</v>
      </c>
      <c r="AZ195" s="155" t="s">
        <v>103</v>
      </c>
      <c r="BA195" s="155" t="s">
        <v>103</v>
      </c>
      <c r="BB195" s="155" t="s">
        <v>103</v>
      </c>
      <c r="BC195" s="155" t="s">
        <v>103</v>
      </c>
      <c r="BD195" s="155" t="s">
        <v>103</v>
      </c>
      <c r="BE195" s="989" t="s">
        <v>103</v>
      </c>
      <c r="BF195" s="155" t="s">
        <v>103</v>
      </c>
      <c r="BG195" s="961">
        <v>0</v>
      </c>
      <c r="BH195" s="155" t="s">
        <v>103</v>
      </c>
      <c r="BI195" s="990" t="s">
        <v>103</v>
      </c>
      <c r="BJ195" s="155" t="s">
        <v>103</v>
      </c>
      <c r="BK195" s="155" t="s">
        <v>103</v>
      </c>
      <c r="BL195" s="155" t="s">
        <v>103</v>
      </c>
      <c r="BM195" s="155" t="s">
        <v>103</v>
      </c>
      <c r="BN195" s="155" t="s">
        <v>103</v>
      </c>
      <c r="BO195" s="155" t="s">
        <v>103</v>
      </c>
      <c r="BP195" s="155" t="s">
        <v>103</v>
      </c>
      <c r="BQ195" s="155" t="s">
        <v>103</v>
      </c>
      <c r="BR195" s="155" t="s">
        <v>103</v>
      </c>
      <c r="BS195" s="155" t="s">
        <v>103</v>
      </c>
      <c r="BT195" s="155" t="s">
        <v>103</v>
      </c>
      <c r="BU195" s="155" t="s">
        <v>103</v>
      </c>
      <c r="BV195" s="155" t="s">
        <v>103</v>
      </c>
      <c r="BW195" s="155" t="s">
        <v>103</v>
      </c>
      <c r="BX195" s="155" t="s">
        <v>103</v>
      </c>
      <c r="BY195" s="155" t="s">
        <v>103</v>
      </c>
      <c r="BZ195" s="155" t="s">
        <v>103</v>
      </c>
      <c r="CA195" s="155" t="s">
        <v>103</v>
      </c>
      <c r="CB195" s="155" t="s">
        <v>103</v>
      </c>
      <c r="CC195" s="155" t="s">
        <v>103</v>
      </c>
      <c r="CD195" s="155" t="s">
        <v>103</v>
      </c>
      <c r="CE195" s="155" t="s">
        <v>103</v>
      </c>
    </row>
    <row r="196" spans="1:83" ht="14.1" customHeight="1">
      <c r="A196" s="503" t="s">
        <v>579</v>
      </c>
      <c r="B196" s="164" t="s">
        <v>103</v>
      </c>
      <c r="C196" s="155" t="s">
        <v>103</v>
      </c>
      <c r="D196" s="153" t="s">
        <v>103</v>
      </c>
      <c r="E196" s="153" t="s">
        <v>103</v>
      </c>
      <c r="F196" s="958" t="s">
        <v>103</v>
      </c>
      <c r="G196" s="153" t="s">
        <v>110</v>
      </c>
      <c r="H196" s="673">
        <v>6.6231913592826569E-2</v>
      </c>
      <c r="I196" s="508" t="s">
        <v>103</v>
      </c>
      <c r="J196" s="958" t="s">
        <v>103</v>
      </c>
      <c r="K196" s="958" t="s">
        <v>103</v>
      </c>
      <c r="L196" s="155" t="s">
        <v>103</v>
      </c>
      <c r="M196" s="155" t="s">
        <v>103</v>
      </c>
      <c r="N196" s="156">
        <v>0</v>
      </c>
      <c r="O196" s="156" t="s">
        <v>103</v>
      </c>
      <c r="P196" s="156">
        <v>0</v>
      </c>
      <c r="Q196" s="958" t="s">
        <v>103</v>
      </c>
      <c r="R196" s="156">
        <v>0</v>
      </c>
      <c r="S196" s="156">
        <v>0</v>
      </c>
      <c r="T196" s="958" t="s">
        <v>105</v>
      </c>
      <c r="U196" s="153" t="s">
        <v>110</v>
      </c>
      <c r="V196" s="518" t="s">
        <v>103</v>
      </c>
      <c r="W196" s="991" t="s">
        <v>103</v>
      </c>
      <c r="X196" s="991" t="s">
        <v>103</v>
      </c>
      <c r="Y196" s="991" t="s">
        <v>103</v>
      </c>
      <c r="Z196" s="518" t="s">
        <v>103</v>
      </c>
      <c r="AA196" s="991" t="s">
        <v>103</v>
      </c>
      <c r="AB196" s="155" t="s">
        <v>103</v>
      </c>
      <c r="AC196" s="959" t="s">
        <v>103</v>
      </c>
      <c r="AD196" s="155" t="s">
        <v>103</v>
      </c>
      <c r="AE196" s="155" t="s">
        <v>103</v>
      </c>
      <c r="AF196" s="155" t="s">
        <v>103</v>
      </c>
      <c r="AG196" s="155" t="s">
        <v>103</v>
      </c>
      <c r="AH196" s="992" t="s">
        <v>103</v>
      </c>
      <c r="AI196" s="960" t="s">
        <v>103</v>
      </c>
      <c r="AJ196" s="992" t="s">
        <v>103</v>
      </c>
      <c r="AK196" s="155" t="s">
        <v>103</v>
      </c>
      <c r="AL196" s="993" t="s">
        <v>103</v>
      </c>
      <c r="AM196" s="155"/>
      <c r="AN196" s="155"/>
      <c r="AO196" s="994"/>
      <c r="AP196" s="94">
        <v>0</v>
      </c>
      <c r="AQ196" s="578">
        <v>0</v>
      </c>
      <c r="AR196" s="155" t="s">
        <v>103</v>
      </c>
      <c r="AS196" s="155" t="s">
        <v>103</v>
      </c>
      <c r="AT196" s="155" t="s">
        <v>103</v>
      </c>
      <c r="AU196" s="155" t="s">
        <v>103</v>
      </c>
      <c r="AV196" s="155" t="s">
        <v>103</v>
      </c>
      <c r="AW196" s="155" t="s">
        <v>103</v>
      </c>
      <c r="AX196" s="155" t="s">
        <v>103</v>
      </c>
      <c r="AY196" s="155" t="s">
        <v>103</v>
      </c>
      <c r="AZ196" s="155" t="s">
        <v>103</v>
      </c>
      <c r="BA196" s="155" t="s">
        <v>103</v>
      </c>
      <c r="BB196" s="155" t="s">
        <v>103</v>
      </c>
      <c r="BC196" s="155" t="s">
        <v>103</v>
      </c>
      <c r="BD196" s="155" t="s">
        <v>103</v>
      </c>
      <c r="BE196" s="989" t="s">
        <v>103</v>
      </c>
      <c r="BF196" s="155" t="s">
        <v>103</v>
      </c>
      <c r="BG196" s="961">
        <v>0</v>
      </c>
      <c r="BH196" s="155" t="s">
        <v>103</v>
      </c>
      <c r="BI196" s="990" t="s">
        <v>103</v>
      </c>
      <c r="BJ196" s="155" t="s">
        <v>103</v>
      </c>
      <c r="BK196" s="155" t="s">
        <v>103</v>
      </c>
      <c r="BL196" s="155" t="s">
        <v>103</v>
      </c>
      <c r="BM196" s="155" t="s">
        <v>103</v>
      </c>
      <c r="BN196" s="155" t="s">
        <v>103</v>
      </c>
      <c r="BO196" s="155" t="s">
        <v>103</v>
      </c>
      <c r="BP196" s="155" t="s">
        <v>103</v>
      </c>
      <c r="BQ196" s="155" t="s">
        <v>103</v>
      </c>
      <c r="BR196" s="155" t="s">
        <v>103</v>
      </c>
      <c r="BS196" s="155" t="s">
        <v>103</v>
      </c>
      <c r="BT196" s="155" t="s">
        <v>103</v>
      </c>
      <c r="BU196" s="155" t="s">
        <v>103</v>
      </c>
      <c r="BV196" s="155" t="s">
        <v>103</v>
      </c>
      <c r="BW196" s="155" t="s">
        <v>103</v>
      </c>
      <c r="BX196" s="155" t="s">
        <v>103</v>
      </c>
      <c r="BY196" s="155" t="s">
        <v>103</v>
      </c>
      <c r="BZ196" s="155" t="s">
        <v>103</v>
      </c>
      <c r="CA196" s="155" t="s">
        <v>103</v>
      </c>
      <c r="CB196" s="155" t="s">
        <v>103</v>
      </c>
      <c r="CC196" s="155" t="s">
        <v>103</v>
      </c>
      <c r="CD196" s="155" t="s">
        <v>103</v>
      </c>
      <c r="CE196" s="155" t="s">
        <v>103</v>
      </c>
    </row>
    <row r="197" spans="1:83" ht="14.1" customHeight="1">
      <c r="A197" s="503" t="s">
        <v>580</v>
      </c>
      <c r="B197" s="164" t="s">
        <v>103</v>
      </c>
      <c r="C197" s="155" t="s">
        <v>103</v>
      </c>
      <c r="D197" s="153" t="s">
        <v>103</v>
      </c>
      <c r="E197" s="153" t="s">
        <v>103</v>
      </c>
      <c r="F197" s="958" t="s">
        <v>103</v>
      </c>
      <c r="G197" s="153" t="s">
        <v>110</v>
      </c>
      <c r="H197" s="673">
        <v>0.19858103613923583</v>
      </c>
      <c r="I197" s="508" t="s">
        <v>103</v>
      </c>
      <c r="J197" s="958" t="s">
        <v>103</v>
      </c>
      <c r="K197" s="958" t="s">
        <v>103</v>
      </c>
      <c r="L197" s="155" t="s">
        <v>103</v>
      </c>
      <c r="M197" s="155" t="s">
        <v>103</v>
      </c>
      <c r="N197" s="156">
        <v>0</v>
      </c>
      <c r="O197" s="156" t="s">
        <v>103</v>
      </c>
      <c r="P197" s="156">
        <v>0</v>
      </c>
      <c r="Q197" s="958" t="s">
        <v>103</v>
      </c>
      <c r="R197" s="156">
        <v>0</v>
      </c>
      <c r="S197" s="156">
        <v>0</v>
      </c>
      <c r="T197" s="958" t="s">
        <v>105</v>
      </c>
      <c r="U197" s="153" t="s">
        <v>110</v>
      </c>
      <c r="V197" s="518" t="s">
        <v>103</v>
      </c>
      <c r="W197" s="991" t="s">
        <v>103</v>
      </c>
      <c r="X197" s="991" t="s">
        <v>103</v>
      </c>
      <c r="Y197" s="991" t="s">
        <v>103</v>
      </c>
      <c r="Z197" s="518" t="s">
        <v>103</v>
      </c>
      <c r="AA197" s="991" t="s">
        <v>103</v>
      </c>
      <c r="AB197" s="155" t="s">
        <v>103</v>
      </c>
      <c r="AC197" s="959" t="s">
        <v>103</v>
      </c>
      <c r="AD197" s="155" t="s">
        <v>103</v>
      </c>
      <c r="AE197" s="155" t="s">
        <v>103</v>
      </c>
      <c r="AF197" s="155" t="s">
        <v>103</v>
      </c>
      <c r="AG197" s="155" t="s">
        <v>103</v>
      </c>
      <c r="AH197" s="992" t="s">
        <v>103</v>
      </c>
      <c r="AI197" s="960" t="s">
        <v>103</v>
      </c>
      <c r="AJ197" s="992" t="s">
        <v>103</v>
      </c>
      <c r="AK197" s="155" t="s">
        <v>103</v>
      </c>
      <c r="AL197" s="993" t="s">
        <v>103</v>
      </c>
      <c r="AM197" s="155"/>
      <c r="AN197" s="155"/>
      <c r="AO197" s="994"/>
      <c r="AP197" s="94">
        <v>0</v>
      </c>
      <c r="AQ197" s="578">
        <v>0</v>
      </c>
      <c r="AR197" s="155" t="s">
        <v>103</v>
      </c>
      <c r="AS197" s="155" t="s">
        <v>103</v>
      </c>
      <c r="AT197" s="155" t="s">
        <v>103</v>
      </c>
      <c r="AU197" s="155" t="s">
        <v>103</v>
      </c>
      <c r="AV197" s="155" t="s">
        <v>103</v>
      </c>
      <c r="AW197" s="155" t="s">
        <v>103</v>
      </c>
      <c r="AX197" s="155" t="s">
        <v>103</v>
      </c>
      <c r="AY197" s="155" t="s">
        <v>103</v>
      </c>
      <c r="AZ197" s="155" t="s">
        <v>103</v>
      </c>
      <c r="BA197" s="155" t="s">
        <v>103</v>
      </c>
      <c r="BB197" s="155" t="s">
        <v>103</v>
      </c>
      <c r="BC197" s="155" t="s">
        <v>103</v>
      </c>
      <c r="BD197" s="155" t="s">
        <v>103</v>
      </c>
      <c r="BE197" s="989" t="s">
        <v>103</v>
      </c>
      <c r="BF197" s="155" t="s">
        <v>103</v>
      </c>
      <c r="BG197" s="961">
        <v>0</v>
      </c>
      <c r="BH197" s="155" t="s">
        <v>103</v>
      </c>
      <c r="BI197" s="990" t="s">
        <v>103</v>
      </c>
      <c r="BJ197" s="155" t="s">
        <v>103</v>
      </c>
      <c r="BK197" s="155" t="s">
        <v>103</v>
      </c>
      <c r="BL197" s="155" t="s">
        <v>103</v>
      </c>
      <c r="BM197" s="155" t="s">
        <v>103</v>
      </c>
      <c r="BN197" s="155" t="s">
        <v>103</v>
      </c>
      <c r="BO197" s="155" t="s">
        <v>103</v>
      </c>
      <c r="BP197" s="155" t="s">
        <v>103</v>
      </c>
      <c r="BQ197" s="155" t="s">
        <v>103</v>
      </c>
      <c r="BR197" s="155" t="s">
        <v>103</v>
      </c>
      <c r="BS197" s="155" t="s">
        <v>103</v>
      </c>
      <c r="BT197" s="155" t="s">
        <v>103</v>
      </c>
      <c r="BU197" s="155" t="s">
        <v>103</v>
      </c>
      <c r="BV197" s="155" t="s">
        <v>103</v>
      </c>
      <c r="BW197" s="155" t="s">
        <v>103</v>
      </c>
      <c r="BX197" s="155" t="s">
        <v>103</v>
      </c>
      <c r="BY197" s="155" t="s">
        <v>103</v>
      </c>
      <c r="BZ197" s="155" t="s">
        <v>103</v>
      </c>
      <c r="CA197" s="155" t="s">
        <v>103</v>
      </c>
      <c r="CB197" s="155" t="s">
        <v>103</v>
      </c>
      <c r="CC197" s="155" t="s">
        <v>103</v>
      </c>
      <c r="CD197" s="155" t="s">
        <v>103</v>
      </c>
      <c r="CE197" s="155" t="s">
        <v>103</v>
      </c>
    </row>
    <row r="198" spans="1:83" ht="15" customHeight="1">
      <c r="A198" s="503" t="s">
        <v>581</v>
      </c>
      <c r="B198" s="164" t="s">
        <v>103</v>
      </c>
      <c r="C198" s="155" t="s">
        <v>103</v>
      </c>
      <c r="D198" s="153" t="s">
        <v>103</v>
      </c>
      <c r="E198" s="153" t="s">
        <v>103</v>
      </c>
      <c r="F198" s="958" t="s">
        <v>103</v>
      </c>
      <c r="G198" s="153" t="s">
        <v>110</v>
      </c>
      <c r="H198" s="673">
        <v>9.9487418452935697E-2</v>
      </c>
      <c r="I198" s="508" t="s">
        <v>103</v>
      </c>
      <c r="J198" s="958" t="s">
        <v>103</v>
      </c>
      <c r="K198" s="958" t="s">
        <v>103</v>
      </c>
      <c r="L198" s="155" t="s">
        <v>103</v>
      </c>
      <c r="M198" s="155" t="s">
        <v>103</v>
      </c>
      <c r="N198" s="156">
        <v>0</v>
      </c>
      <c r="O198" s="156" t="s">
        <v>103</v>
      </c>
      <c r="P198" s="156">
        <v>0</v>
      </c>
      <c r="Q198" s="958" t="s">
        <v>103</v>
      </c>
      <c r="R198" s="156">
        <v>0</v>
      </c>
      <c r="S198" s="156">
        <v>0</v>
      </c>
      <c r="T198" s="958" t="s">
        <v>105</v>
      </c>
      <c r="U198" s="153" t="s">
        <v>110</v>
      </c>
      <c r="V198" s="518" t="s">
        <v>103</v>
      </c>
      <c r="W198" s="991" t="s">
        <v>103</v>
      </c>
      <c r="X198" s="991" t="s">
        <v>103</v>
      </c>
      <c r="Y198" s="991" t="s">
        <v>103</v>
      </c>
      <c r="Z198" s="518" t="s">
        <v>103</v>
      </c>
      <c r="AA198" s="991" t="s">
        <v>103</v>
      </c>
      <c r="AB198" s="155" t="s">
        <v>103</v>
      </c>
      <c r="AC198" s="959" t="s">
        <v>103</v>
      </c>
      <c r="AD198" s="155" t="s">
        <v>103</v>
      </c>
      <c r="AE198" s="155" t="s">
        <v>103</v>
      </c>
      <c r="AF198" s="155" t="s">
        <v>103</v>
      </c>
      <c r="AG198" s="155" t="s">
        <v>103</v>
      </c>
      <c r="AH198" s="992" t="s">
        <v>103</v>
      </c>
      <c r="AI198" s="960" t="s">
        <v>103</v>
      </c>
      <c r="AJ198" s="992" t="s">
        <v>103</v>
      </c>
      <c r="AK198" s="155" t="s">
        <v>103</v>
      </c>
      <c r="AL198" s="993" t="s">
        <v>103</v>
      </c>
      <c r="AM198" s="155"/>
      <c r="AN198" s="155"/>
      <c r="AO198" s="994"/>
      <c r="AP198" s="94">
        <v>0</v>
      </c>
      <c r="AQ198" s="578">
        <v>0</v>
      </c>
      <c r="AR198" s="155" t="s">
        <v>103</v>
      </c>
      <c r="AS198" s="155" t="s">
        <v>103</v>
      </c>
      <c r="AT198" s="155" t="s">
        <v>103</v>
      </c>
      <c r="AU198" s="155" t="s">
        <v>103</v>
      </c>
      <c r="AV198" s="155" t="s">
        <v>103</v>
      </c>
      <c r="AW198" s="155" t="s">
        <v>103</v>
      </c>
      <c r="AX198" s="155" t="s">
        <v>103</v>
      </c>
      <c r="AY198" s="155" t="s">
        <v>103</v>
      </c>
      <c r="AZ198" s="155" t="s">
        <v>103</v>
      </c>
      <c r="BA198" s="155" t="s">
        <v>103</v>
      </c>
      <c r="BB198" s="155" t="s">
        <v>103</v>
      </c>
      <c r="BC198" s="155" t="s">
        <v>103</v>
      </c>
      <c r="BD198" s="155" t="s">
        <v>103</v>
      </c>
      <c r="BE198" s="989" t="s">
        <v>103</v>
      </c>
      <c r="BF198" s="155" t="s">
        <v>103</v>
      </c>
      <c r="BG198" s="961">
        <v>0</v>
      </c>
      <c r="BH198" s="155" t="s">
        <v>103</v>
      </c>
      <c r="BI198" s="990" t="s">
        <v>103</v>
      </c>
      <c r="BJ198" s="155" t="s">
        <v>103</v>
      </c>
      <c r="BK198" s="155" t="s">
        <v>103</v>
      </c>
      <c r="BL198" s="155" t="s">
        <v>103</v>
      </c>
      <c r="BM198" s="155" t="s">
        <v>103</v>
      </c>
      <c r="BN198" s="155" t="s">
        <v>103</v>
      </c>
      <c r="BO198" s="155" t="s">
        <v>103</v>
      </c>
      <c r="BP198" s="155" t="s">
        <v>103</v>
      </c>
      <c r="BQ198" s="155" t="s">
        <v>103</v>
      </c>
      <c r="BR198" s="155" t="s">
        <v>103</v>
      </c>
      <c r="BS198" s="155" t="s">
        <v>103</v>
      </c>
      <c r="BT198" s="155" t="s">
        <v>103</v>
      </c>
      <c r="BU198" s="155" t="s">
        <v>103</v>
      </c>
      <c r="BV198" s="155" t="s">
        <v>103</v>
      </c>
      <c r="BW198" s="155" t="s">
        <v>103</v>
      </c>
      <c r="BX198" s="155" t="s">
        <v>103</v>
      </c>
      <c r="BY198" s="155" t="s">
        <v>103</v>
      </c>
      <c r="BZ198" s="155" t="s">
        <v>103</v>
      </c>
      <c r="CA198" s="155" t="s">
        <v>103</v>
      </c>
      <c r="CB198" s="155" t="s">
        <v>103</v>
      </c>
      <c r="CC198" s="155" t="s">
        <v>103</v>
      </c>
      <c r="CD198" s="155" t="s">
        <v>103</v>
      </c>
      <c r="CE198" s="155" t="s">
        <v>103</v>
      </c>
    </row>
    <row r="199" spans="1:83" ht="27.6" customHeight="1">
      <c r="A199" s="503" t="s">
        <v>582</v>
      </c>
      <c r="B199" s="164" t="s">
        <v>583</v>
      </c>
      <c r="C199" s="155" t="s">
        <v>584</v>
      </c>
      <c r="D199" s="153">
        <v>1904</v>
      </c>
      <c r="E199" s="153">
        <v>90720</v>
      </c>
      <c r="F199" s="153">
        <v>6059110014</v>
      </c>
      <c r="G199" s="153" t="s">
        <v>110</v>
      </c>
      <c r="H199" s="674">
        <v>7.9150579150579145E-2</v>
      </c>
      <c r="I199" s="508" t="s">
        <v>583</v>
      </c>
      <c r="J199" s="153" t="s">
        <v>117</v>
      </c>
      <c r="K199" s="156">
        <v>0</v>
      </c>
      <c r="L199" s="153">
        <v>1904</v>
      </c>
      <c r="M199" s="153" t="s">
        <v>104</v>
      </c>
      <c r="N199" s="156">
        <v>1</v>
      </c>
      <c r="P199" s="156">
        <v>0</v>
      </c>
      <c r="Q199" s="156" t="s">
        <v>139</v>
      </c>
      <c r="R199" s="156">
        <v>0</v>
      </c>
      <c r="S199" s="156">
        <v>1</v>
      </c>
      <c r="T199" s="958" t="s">
        <v>105</v>
      </c>
      <c r="U199" s="153" t="s">
        <v>110</v>
      </c>
      <c r="V199" s="149">
        <v>37650</v>
      </c>
      <c r="W199" s="149">
        <v>39084</v>
      </c>
      <c r="X199" s="149">
        <v>39778</v>
      </c>
      <c r="Y199" s="149">
        <v>42156</v>
      </c>
      <c r="Z199" s="149">
        <v>42156</v>
      </c>
      <c r="AA199" s="149">
        <v>37650</v>
      </c>
      <c r="AB199" s="763" t="s">
        <v>151</v>
      </c>
      <c r="AC199" s="594">
        <v>1024.2857142857142</v>
      </c>
      <c r="AD199" s="153" t="s">
        <v>103</v>
      </c>
      <c r="AE199" s="149" t="s">
        <v>103</v>
      </c>
      <c r="AF199" s="596">
        <v>25</v>
      </c>
      <c r="AG199" s="596">
        <v>60</v>
      </c>
      <c r="AH199" s="595">
        <v>2855.3333333333335</v>
      </c>
      <c r="AI199" s="614">
        <v>0.54078282828282831</v>
      </c>
      <c r="AJ199" s="607">
        <v>2620</v>
      </c>
      <c r="AK199" s="153" t="s">
        <v>120</v>
      </c>
      <c r="AL199" s="791" t="s">
        <v>116</v>
      </c>
      <c r="AO199" s="963"/>
      <c r="AP199" s="1017">
        <v>1150000</v>
      </c>
      <c r="AQ199" s="574">
        <v>1530842.87</v>
      </c>
      <c r="AR199" s="153" t="s">
        <v>116</v>
      </c>
      <c r="AS199" s="153" t="s">
        <v>116</v>
      </c>
      <c r="AT199" s="777" t="s">
        <v>122</v>
      </c>
      <c r="AU199" s="777" t="s">
        <v>122</v>
      </c>
      <c r="AV199" s="777" t="s">
        <v>122</v>
      </c>
      <c r="AW199" s="777" t="s">
        <v>122</v>
      </c>
      <c r="AX199" s="155" t="s">
        <v>103</v>
      </c>
      <c r="AY199" s="155" t="s">
        <v>103</v>
      </c>
      <c r="AZ199" s="155" t="s">
        <v>103</v>
      </c>
      <c r="BB199" s="574">
        <f t="shared" ref="BB199:BB200" si="37">AQ199</f>
        <v>1530842.87</v>
      </c>
      <c r="BC199" s="780">
        <v>-380842.87000000011</v>
      </c>
      <c r="BD199" s="1008" t="s">
        <v>151</v>
      </c>
      <c r="BE199" s="679">
        <v>12845</v>
      </c>
      <c r="BF199" s="153">
        <v>2012</v>
      </c>
      <c r="BG199" s="94">
        <v>1530842.87</v>
      </c>
      <c r="BH199" s="766" t="s">
        <v>123</v>
      </c>
      <c r="BI199" s="774">
        <v>0</v>
      </c>
      <c r="BJ199" s="774">
        <v>0</v>
      </c>
      <c r="BK199" s="153" t="s">
        <v>103</v>
      </c>
      <c r="BL199" s="153" t="s">
        <v>124</v>
      </c>
      <c r="BM199" s="94" t="s">
        <v>103</v>
      </c>
      <c r="BN199" s="155" t="s">
        <v>103</v>
      </c>
      <c r="BO199" s="153" t="s">
        <v>103</v>
      </c>
      <c r="BP199" s="153" t="s">
        <v>103</v>
      </c>
      <c r="BQ199" s="153" t="s">
        <v>103</v>
      </c>
      <c r="BR199" s="153" t="s">
        <v>116</v>
      </c>
      <c r="BS199" s="153" t="s">
        <v>116</v>
      </c>
      <c r="BT199" s="153" t="s">
        <v>116</v>
      </c>
      <c r="BU199" s="153" t="s">
        <v>116</v>
      </c>
      <c r="BV199" s="153" t="s">
        <v>116</v>
      </c>
      <c r="BW199" s="153" t="s">
        <v>116</v>
      </c>
      <c r="BX199" s="153" t="s">
        <v>116</v>
      </c>
      <c r="BY199" s="153" t="s">
        <v>116</v>
      </c>
      <c r="BZ199" s="153" t="s">
        <v>116</v>
      </c>
      <c r="CA199" s="616" t="s">
        <v>116</v>
      </c>
      <c r="CB199" s="153" t="s">
        <v>116</v>
      </c>
      <c r="CC199" s="153" t="s">
        <v>116</v>
      </c>
      <c r="CD199" s="153" t="s">
        <v>116</v>
      </c>
      <c r="CE199" s="153" t="s">
        <v>116</v>
      </c>
    </row>
    <row r="200" spans="1:83" ht="41.45" customHeight="1">
      <c r="A200" s="503" t="s">
        <v>585</v>
      </c>
      <c r="B200" s="164" t="s">
        <v>586</v>
      </c>
      <c r="C200" s="155" t="s">
        <v>587</v>
      </c>
      <c r="D200" s="153" t="s">
        <v>588</v>
      </c>
      <c r="E200" s="153">
        <v>92691</v>
      </c>
      <c r="F200" s="153">
        <v>6059032015</v>
      </c>
      <c r="G200" s="153" t="s">
        <v>110</v>
      </c>
      <c r="H200" s="675">
        <v>8.6112329969284779E-2</v>
      </c>
      <c r="I200" s="508" t="s">
        <v>586</v>
      </c>
      <c r="J200" s="153" t="s">
        <v>117</v>
      </c>
      <c r="K200" s="572" t="s">
        <v>283</v>
      </c>
      <c r="L200" s="153" t="s">
        <v>588</v>
      </c>
      <c r="M200" s="153" t="s">
        <v>104</v>
      </c>
      <c r="N200" s="156">
        <v>1</v>
      </c>
      <c r="P200" s="156">
        <v>0</v>
      </c>
      <c r="Q200" s="156" t="s">
        <v>139</v>
      </c>
      <c r="R200" s="156">
        <v>0</v>
      </c>
      <c r="S200" s="156">
        <v>1</v>
      </c>
      <c r="T200" s="958" t="s">
        <v>105</v>
      </c>
      <c r="U200" s="153" t="s">
        <v>110</v>
      </c>
      <c r="V200" s="149">
        <v>35123</v>
      </c>
      <c r="W200" s="149">
        <v>35565</v>
      </c>
      <c r="X200" s="149">
        <v>39671</v>
      </c>
      <c r="Y200" s="149">
        <v>39759</v>
      </c>
      <c r="Z200" s="149">
        <v>39759</v>
      </c>
      <c r="AA200" s="149">
        <v>35123</v>
      </c>
      <c r="AB200" s="763" t="s">
        <v>121</v>
      </c>
      <c r="AC200" s="594">
        <v>315.71428571428572</v>
      </c>
      <c r="AD200" s="153" t="s">
        <v>103</v>
      </c>
      <c r="AE200" s="149" t="s">
        <v>103</v>
      </c>
      <c r="AF200" s="596">
        <v>9</v>
      </c>
      <c r="AG200" s="596">
        <v>0</v>
      </c>
      <c r="AH200" s="597">
        <v>1020</v>
      </c>
      <c r="AI200" s="615">
        <v>0.19318181818181818</v>
      </c>
      <c r="AJ200" s="607">
        <v>2300</v>
      </c>
      <c r="AK200" s="153" t="s">
        <v>152</v>
      </c>
      <c r="AL200" s="791" t="s">
        <v>110</v>
      </c>
      <c r="AO200" s="963"/>
      <c r="AP200" s="1017">
        <v>1160000</v>
      </c>
      <c r="AQ200" s="580">
        <v>1025881</v>
      </c>
      <c r="AR200" s="153" t="s">
        <v>116</v>
      </c>
      <c r="AS200" s="153" t="s">
        <v>116</v>
      </c>
      <c r="AT200" s="777" t="s">
        <v>122</v>
      </c>
      <c r="AU200" s="777" t="s">
        <v>122</v>
      </c>
      <c r="AV200" s="777" t="s">
        <v>122</v>
      </c>
      <c r="AW200" s="777" t="s">
        <v>122</v>
      </c>
      <c r="AX200" s="155" t="s">
        <v>103</v>
      </c>
      <c r="AY200" s="155" t="s">
        <v>103</v>
      </c>
      <c r="AZ200" s="155" t="s">
        <v>103</v>
      </c>
      <c r="BB200" s="574">
        <f t="shared" si="37"/>
        <v>1025881</v>
      </c>
      <c r="BC200" s="780">
        <v>134119</v>
      </c>
      <c r="BD200" s="1008" t="s">
        <v>121</v>
      </c>
      <c r="BE200" s="679">
        <v>0</v>
      </c>
      <c r="BF200" s="153" t="s">
        <v>103</v>
      </c>
      <c r="BG200" s="519">
        <v>1025881</v>
      </c>
      <c r="BH200" s="769" t="s">
        <v>123</v>
      </c>
      <c r="BI200" s="774">
        <v>0</v>
      </c>
      <c r="BJ200" s="774">
        <v>0</v>
      </c>
      <c r="BK200" s="153" t="s">
        <v>103</v>
      </c>
      <c r="BL200" s="153" t="s">
        <v>124</v>
      </c>
      <c r="BM200" s="519" t="s">
        <v>103</v>
      </c>
      <c r="BN200" s="155" t="s">
        <v>103</v>
      </c>
      <c r="BO200" s="153" t="s">
        <v>103</v>
      </c>
      <c r="BP200" s="153" t="s">
        <v>103</v>
      </c>
      <c r="BQ200" s="153" t="s">
        <v>103</v>
      </c>
      <c r="BR200" s="153" t="s">
        <v>103</v>
      </c>
      <c r="BS200" s="153" t="s">
        <v>103</v>
      </c>
      <c r="BT200" s="153" t="s">
        <v>103</v>
      </c>
      <c r="BU200" s="153" t="s">
        <v>103</v>
      </c>
      <c r="BV200" s="153" t="s">
        <v>103</v>
      </c>
      <c r="BW200" s="153" t="s">
        <v>103</v>
      </c>
      <c r="BX200" s="153" t="s">
        <v>103</v>
      </c>
      <c r="BY200" s="153" t="s">
        <v>103</v>
      </c>
      <c r="BZ200" s="153" t="s">
        <v>103</v>
      </c>
      <c r="CA200" s="616" t="s">
        <v>103</v>
      </c>
      <c r="CB200" s="153" t="s">
        <v>116</v>
      </c>
      <c r="CC200" s="153" t="s">
        <v>116</v>
      </c>
      <c r="CD200" s="153" t="s">
        <v>116</v>
      </c>
      <c r="CE200" s="153" t="s">
        <v>116</v>
      </c>
    </row>
    <row r="201" spans="1:83" ht="27.6" customHeight="1">
      <c r="A201" s="503" t="s">
        <v>589</v>
      </c>
      <c r="B201" s="164" t="s">
        <v>590</v>
      </c>
      <c r="C201" s="155" t="s">
        <v>591</v>
      </c>
      <c r="D201" s="153" t="s">
        <v>592</v>
      </c>
      <c r="E201" s="153">
        <v>92660</v>
      </c>
      <c r="F201" s="153">
        <v>6059063500</v>
      </c>
      <c r="G201" s="153" t="s">
        <v>110</v>
      </c>
      <c r="H201" s="674">
        <v>2.9502544281622779E-2</v>
      </c>
      <c r="I201" s="508" t="s">
        <v>590</v>
      </c>
      <c r="J201" s="153" t="s">
        <v>117</v>
      </c>
      <c r="K201" s="572" t="s">
        <v>205</v>
      </c>
      <c r="L201" s="153" t="s">
        <v>592</v>
      </c>
      <c r="M201" s="153" t="s">
        <v>110</v>
      </c>
      <c r="N201" s="156">
        <v>2</v>
      </c>
      <c r="P201" s="156">
        <v>0</v>
      </c>
      <c r="Q201" s="989" t="s">
        <v>131</v>
      </c>
      <c r="R201" s="156">
        <v>0</v>
      </c>
      <c r="S201" s="156">
        <v>1</v>
      </c>
      <c r="T201" s="958" t="s">
        <v>105</v>
      </c>
      <c r="U201" s="153" t="s">
        <v>110</v>
      </c>
      <c r="V201" s="149">
        <v>41590</v>
      </c>
      <c r="W201" s="149">
        <v>41597</v>
      </c>
      <c r="X201" s="149">
        <v>43857</v>
      </c>
      <c r="Y201" s="149">
        <v>43979</v>
      </c>
      <c r="Z201" s="149" t="s">
        <v>103</v>
      </c>
      <c r="AA201" s="149">
        <v>41590</v>
      </c>
      <c r="AB201" s="153" t="s">
        <v>103</v>
      </c>
      <c r="AC201" s="594">
        <f>W201-V201</f>
        <v>7</v>
      </c>
      <c r="AD201" s="149">
        <v>43979</v>
      </c>
      <c r="AE201" s="149" t="s">
        <v>103</v>
      </c>
      <c r="AF201" s="153" t="s">
        <v>103</v>
      </c>
      <c r="AG201" s="153" t="s">
        <v>103</v>
      </c>
      <c r="AH201" s="596" t="s">
        <v>103</v>
      </c>
      <c r="AI201" s="960" t="s">
        <v>103</v>
      </c>
      <c r="AJ201" s="607">
        <v>7480</v>
      </c>
      <c r="AK201" s="153" t="s">
        <v>556</v>
      </c>
      <c r="AL201" s="791" t="s">
        <v>110</v>
      </c>
      <c r="AO201" s="963"/>
      <c r="AP201" s="94">
        <v>4100000</v>
      </c>
      <c r="AQ201" s="574">
        <v>0</v>
      </c>
      <c r="AR201" s="153" t="s">
        <v>116</v>
      </c>
      <c r="AS201" s="153" t="s">
        <v>116</v>
      </c>
      <c r="AT201" s="777" t="s">
        <v>122</v>
      </c>
      <c r="AU201" s="777" t="s">
        <v>122</v>
      </c>
      <c r="AV201" s="777" t="s">
        <v>122</v>
      </c>
      <c r="AW201" s="777" t="s">
        <v>122</v>
      </c>
      <c r="AX201" s="155" t="s">
        <v>103</v>
      </c>
      <c r="AY201" s="155" t="s">
        <v>103</v>
      </c>
      <c r="AZ201" s="155" t="s">
        <v>103</v>
      </c>
      <c r="BA201" s="156">
        <v>0</v>
      </c>
      <c r="BB201" s="153"/>
      <c r="BC201" s="780" t="s">
        <v>103</v>
      </c>
      <c r="BD201" s="153" t="s">
        <v>103</v>
      </c>
      <c r="BE201" s="679" t="s">
        <v>103</v>
      </c>
      <c r="BF201" s="156" t="s">
        <v>103</v>
      </c>
      <c r="BG201" s="94">
        <v>1027616.37</v>
      </c>
      <c r="BH201" s="766">
        <v>1535332</v>
      </c>
      <c r="BI201" s="774">
        <v>1374805.99</v>
      </c>
      <c r="BJ201" s="774">
        <v>1063156.95</v>
      </c>
      <c r="BK201" s="153" t="s">
        <v>103</v>
      </c>
      <c r="BL201" s="153" t="s">
        <v>124</v>
      </c>
      <c r="BM201" s="94" t="s">
        <v>124</v>
      </c>
      <c r="BN201" s="155" t="s">
        <v>124</v>
      </c>
      <c r="BO201" s="153" t="s">
        <v>116</v>
      </c>
      <c r="BP201" s="153" t="s">
        <v>124</v>
      </c>
      <c r="BQ201" s="153" t="s">
        <v>103</v>
      </c>
      <c r="BR201" s="153" t="s">
        <v>104</v>
      </c>
      <c r="BS201" s="153" t="s">
        <v>104</v>
      </c>
      <c r="BT201" s="153" t="s">
        <v>104</v>
      </c>
      <c r="BU201" s="153" t="s">
        <v>104</v>
      </c>
      <c r="BV201" s="153" t="s">
        <v>104</v>
      </c>
      <c r="BW201" s="153" t="s">
        <v>104</v>
      </c>
      <c r="BX201" s="153" t="s">
        <v>104</v>
      </c>
      <c r="BY201" s="153" t="s">
        <v>104</v>
      </c>
      <c r="BZ201" s="153" t="s">
        <v>110</v>
      </c>
    </row>
    <row r="202" spans="1:83" ht="41.45" customHeight="1">
      <c r="A202" s="503"/>
      <c r="B202" s="164" t="s">
        <v>593</v>
      </c>
      <c r="C202" s="155" t="s">
        <v>594</v>
      </c>
      <c r="D202" s="153" t="s">
        <v>595</v>
      </c>
      <c r="E202" s="153">
        <v>92660</v>
      </c>
      <c r="F202" s="153">
        <v>6059063005</v>
      </c>
      <c r="G202" s="153" t="s">
        <v>110</v>
      </c>
      <c r="H202" s="153" t="s">
        <v>150</v>
      </c>
      <c r="I202" s="508" t="s">
        <v>593</v>
      </c>
      <c r="J202" s="153" t="s">
        <v>117</v>
      </c>
      <c r="K202" s="156">
        <v>0</v>
      </c>
      <c r="L202" s="153" t="s">
        <v>595</v>
      </c>
      <c r="M202" s="153" t="s">
        <v>104</v>
      </c>
      <c r="Q202" s="156" t="s">
        <v>139</v>
      </c>
      <c r="V202" s="149">
        <v>36795</v>
      </c>
      <c r="W202" s="149">
        <v>38139</v>
      </c>
      <c r="X202" s="149">
        <v>38726</v>
      </c>
      <c r="Y202" s="149">
        <v>38930</v>
      </c>
      <c r="Z202" s="149">
        <v>38930</v>
      </c>
      <c r="AA202" s="149">
        <v>36795</v>
      </c>
      <c r="AB202" s="763" t="s">
        <v>151</v>
      </c>
      <c r="AC202" s="594">
        <v>960</v>
      </c>
      <c r="AD202" s="153" t="s">
        <v>103</v>
      </c>
      <c r="AE202" s="149" t="s">
        <v>103</v>
      </c>
      <c r="AF202" s="596" t="s">
        <v>103</v>
      </c>
      <c r="AG202" s="596" t="s">
        <v>103</v>
      </c>
      <c r="AH202" s="595" t="s">
        <v>103</v>
      </c>
      <c r="AI202" s="614">
        <v>0.41193181818181818</v>
      </c>
      <c r="AJ202" s="607">
        <v>2175</v>
      </c>
      <c r="AK202" s="153" t="s">
        <v>556</v>
      </c>
      <c r="AL202" s="791" t="s">
        <v>110</v>
      </c>
      <c r="AO202" s="963"/>
      <c r="AP202" s="1017">
        <v>1065000</v>
      </c>
      <c r="AQ202" s="574">
        <v>1339034</v>
      </c>
      <c r="AR202" s="153" t="s">
        <v>116</v>
      </c>
      <c r="AS202" s="153" t="s">
        <v>116</v>
      </c>
      <c r="AT202" s="777" t="s">
        <v>122</v>
      </c>
      <c r="AU202" s="777" t="s">
        <v>122</v>
      </c>
      <c r="AV202" s="777" t="s">
        <v>122</v>
      </c>
      <c r="AW202" s="777" t="s">
        <v>122</v>
      </c>
      <c r="AX202" s="155" t="s">
        <v>103</v>
      </c>
      <c r="AY202" s="155" t="s">
        <v>103</v>
      </c>
      <c r="AZ202" s="155" t="s">
        <v>103</v>
      </c>
      <c r="BB202" s="574">
        <f t="shared" ref="BB202:BB203" si="38">AQ202</f>
        <v>1339034</v>
      </c>
      <c r="BC202" s="780">
        <v>-274034</v>
      </c>
      <c r="BD202" s="1008" t="s">
        <v>151</v>
      </c>
      <c r="BE202" s="679">
        <v>0</v>
      </c>
      <c r="BF202" s="153" t="s">
        <v>103</v>
      </c>
      <c r="BG202" s="94">
        <v>1339034</v>
      </c>
      <c r="BH202" s="766" t="s">
        <v>123</v>
      </c>
      <c r="BI202" s="774">
        <v>0</v>
      </c>
      <c r="BJ202" s="774">
        <v>0</v>
      </c>
      <c r="BK202" s="153" t="s">
        <v>103</v>
      </c>
      <c r="BL202" s="153" t="s">
        <v>116</v>
      </c>
      <c r="BM202" s="94" t="s">
        <v>124</v>
      </c>
      <c r="BN202" s="155" t="s">
        <v>124</v>
      </c>
      <c r="BO202" s="153" t="s">
        <v>116</v>
      </c>
      <c r="BP202" s="153" t="s">
        <v>124</v>
      </c>
      <c r="BQ202" s="153" t="s">
        <v>103</v>
      </c>
      <c r="BR202" s="153" t="s">
        <v>103</v>
      </c>
      <c r="BS202" s="153" t="s">
        <v>103</v>
      </c>
      <c r="BT202" s="153" t="s">
        <v>103</v>
      </c>
      <c r="BU202" s="153" t="s">
        <v>103</v>
      </c>
      <c r="BV202" s="153" t="s">
        <v>103</v>
      </c>
      <c r="BW202" s="153" t="s">
        <v>103</v>
      </c>
      <c r="BX202" s="153" t="s">
        <v>103</v>
      </c>
      <c r="BY202" s="153" t="s">
        <v>103</v>
      </c>
      <c r="BZ202" s="153" t="s">
        <v>103</v>
      </c>
      <c r="CA202" s="616" t="s">
        <v>116</v>
      </c>
      <c r="CB202" s="153" t="s">
        <v>116</v>
      </c>
      <c r="CC202" s="153" t="s">
        <v>116</v>
      </c>
      <c r="CD202" s="153" t="s">
        <v>116</v>
      </c>
      <c r="CE202" s="153" t="s">
        <v>116</v>
      </c>
    </row>
    <row r="203" spans="1:83" ht="27.6" customHeight="1">
      <c r="A203" s="503" t="s">
        <v>596</v>
      </c>
      <c r="B203" s="164" t="s">
        <v>597</v>
      </c>
      <c r="C203" s="155" t="s">
        <v>598</v>
      </c>
      <c r="D203" s="153">
        <v>10562</v>
      </c>
      <c r="E203" s="153">
        <v>92866</v>
      </c>
      <c r="F203" s="153">
        <v>6059075902</v>
      </c>
      <c r="G203" s="153" t="s">
        <v>110</v>
      </c>
      <c r="H203" s="674">
        <v>0.12781158561760642</v>
      </c>
      <c r="I203" s="508" t="s">
        <v>597</v>
      </c>
      <c r="J203" s="153" t="s">
        <v>117</v>
      </c>
      <c r="K203" s="572" t="s">
        <v>217</v>
      </c>
      <c r="L203" s="153">
        <v>10562</v>
      </c>
      <c r="M203" s="153" t="s">
        <v>104</v>
      </c>
      <c r="N203" s="156">
        <v>1</v>
      </c>
      <c r="P203" s="156">
        <v>0</v>
      </c>
      <c r="Q203" s="156" t="s">
        <v>139</v>
      </c>
      <c r="R203" s="156">
        <v>0</v>
      </c>
      <c r="S203" s="156">
        <v>1</v>
      </c>
      <c r="T203" s="958" t="s">
        <v>105</v>
      </c>
      <c r="U203" s="153" t="s">
        <v>104</v>
      </c>
      <c r="V203" s="149">
        <v>40708</v>
      </c>
      <c r="W203" s="149">
        <v>40722</v>
      </c>
      <c r="X203" s="149">
        <v>41470</v>
      </c>
      <c r="Y203" s="149">
        <v>41699</v>
      </c>
      <c r="Z203" s="149">
        <v>41699</v>
      </c>
      <c r="AA203" s="149">
        <v>40708</v>
      </c>
      <c r="AB203" s="763" t="s">
        <v>151</v>
      </c>
      <c r="AC203" s="594">
        <v>10</v>
      </c>
      <c r="AD203" s="153" t="s">
        <v>103</v>
      </c>
      <c r="AE203" s="149" t="s">
        <v>103</v>
      </c>
      <c r="AF203" s="596">
        <v>38</v>
      </c>
      <c r="AG203" s="596">
        <v>109</v>
      </c>
      <c r="AH203" s="595">
        <v>8753</v>
      </c>
      <c r="AI203" s="614">
        <v>1.6577651515151515</v>
      </c>
      <c r="AJ203" s="607">
        <v>8400</v>
      </c>
      <c r="AK203" s="153" t="s">
        <v>556</v>
      </c>
      <c r="AL203" s="791" t="s">
        <v>110</v>
      </c>
      <c r="AO203" s="963"/>
      <c r="AP203" s="1017">
        <v>4400000</v>
      </c>
      <c r="AQ203" s="574">
        <v>5286650</v>
      </c>
      <c r="AR203" s="153" t="s">
        <v>116</v>
      </c>
      <c r="AS203" s="153" t="s">
        <v>116</v>
      </c>
      <c r="AT203" s="156">
        <v>0</v>
      </c>
      <c r="AU203" s="777" t="s">
        <v>122</v>
      </c>
      <c r="AV203" s="777" t="s">
        <v>122</v>
      </c>
      <c r="AW203" s="777" t="s">
        <v>122</v>
      </c>
      <c r="AX203" s="155" t="s">
        <v>103</v>
      </c>
      <c r="AY203" s="155" t="s">
        <v>103</v>
      </c>
      <c r="AZ203" s="155" t="s">
        <v>103</v>
      </c>
      <c r="BA203" s="156">
        <v>0</v>
      </c>
      <c r="BB203" s="574">
        <f t="shared" si="38"/>
        <v>5286650</v>
      </c>
      <c r="BC203" s="780">
        <v>-886650</v>
      </c>
      <c r="BD203" s="1008" t="s">
        <v>151</v>
      </c>
      <c r="BE203" s="679">
        <v>-35450</v>
      </c>
      <c r="BF203" s="153" t="s">
        <v>103</v>
      </c>
      <c r="BG203" s="94">
        <v>5286650</v>
      </c>
      <c r="BH203" s="766">
        <v>3099118</v>
      </c>
      <c r="BI203" s="774">
        <v>1300882</v>
      </c>
      <c r="BJ203" s="774">
        <v>0</v>
      </c>
      <c r="BK203" s="153" t="s">
        <v>103</v>
      </c>
      <c r="BL203" s="94" t="s">
        <v>124</v>
      </c>
      <c r="BM203" s="94" t="s">
        <v>124</v>
      </c>
      <c r="BN203" s="94" t="s">
        <v>124</v>
      </c>
      <c r="BO203" s="153" t="s">
        <v>116</v>
      </c>
      <c r="BP203" s="153" t="s">
        <v>124</v>
      </c>
      <c r="BQ203" s="153" t="s">
        <v>103</v>
      </c>
      <c r="BR203" s="153" t="s">
        <v>110</v>
      </c>
      <c r="BS203" s="153" t="s">
        <v>104</v>
      </c>
      <c r="BT203" s="153" t="s">
        <v>104</v>
      </c>
      <c r="BU203" s="153" t="s">
        <v>110</v>
      </c>
      <c r="BV203" s="153" t="s">
        <v>110</v>
      </c>
      <c r="BW203" s="153" t="s">
        <v>104</v>
      </c>
      <c r="BX203" s="153" t="s">
        <v>104</v>
      </c>
      <c r="BY203" s="153" t="s">
        <v>110</v>
      </c>
      <c r="BZ203" s="153" t="s">
        <v>110</v>
      </c>
      <c r="CA203" s="616" t="s">
        <v>110</v>
      </c>
      <c r="CB203" s="153" t="s">
        <v>110</v>
      </c>
      <c r="CC203" s="153" t="s">
        <v>110</v>
      </c>
      <c r="CD203" s="153" t="s">
        <v>110</v>
      </c>
      <c r="CE203" s="153" t="s">
        <v>110</v>
      </c>
    </row>
    <row r="204" spans="1:83" ht="26.1">
      <c r="A204" s="503" t="s">
        <v>599</v>
      </c>
      <c r="B204" s="164" t="s">
        <v>600</v>
      </c>
      <c r="C204" s="155" t="s">
        <v>601</v>
      </c>
      <c r="D204" s="153" t="s">
        <v>602</v>
      </c>
      <c r="E204" s="153">
        <v>92870</v>
      </c>
      <c r="F204" s="958">
        <v>6059011722</v>
      </c>
      <c r="G204" s="153" t="s">
        <v>104</v>
      </c>
      <c r="H204" s="673">
        <v>0.12959251837007349</v>
      </c>
      <c r="I204" s="508" t="str">
        <f>B204</f>
        <v>Crowther 600' East of Melrose St</v>
      </c>
      <c r="J204" s="958" t="s">
        <v>117</v>
      </c>
      <c r="K204" s="958">
        <v>4</v>
      </c>
      <c r="L204" s="155" t="str">
        <f>D204</f>
        <v>R-2018-04</v>
      </c>
      <c r="M204" s="155" t="s">
        <v>110</v>
      </c>
      <c r="N204" s="156">
        <v>1</v>
      </c>
      <c r="O204" s="156">
        <v>0</v>
      </c>
      <c r="P204" s="156">
        <v>0</v>
      </c>
      <c r="Q204" s="989" t="s">
        <v>131</v>
      </c>
      <c r="R204" s="156">
        <v>0</v>
      </c>
      <c r="S204" s="156">
        <v>0</v>
      </c>
      <c r="T204" s="958" t="s">
        <v>105</v>
      </c>
      <c r="U204" s="153" t="s">
        <v>104</v>
      </c>
      <c r="V204" s="518">
        <v>43123</v>
      </c>
      <c r="W204" s="991">
        <v>43126</v>
      </c>
      <c r="X204" s="991">
        <v>43999</v>
      </c>
      <c r="Y204" s="991">
        <v>44210</v>
      </c>
      <c r="Z204" s="518" t="s">
        <v>103</v>
      </c>
      <c r="AA204" s="991">
        <v>43123</v>
      </c>
      <c r="AB204" s="155" t="s">
        <v>103</v>
      </c>
      <c r="AC204" s="959">
        <f>W204-V204</f>
        <v>3</v>
      </c>
      <c r="AD204" s="991">
        <v>44210</v>
      </c>
      <c r="AE204" s="155" t="s">
        <v>103</v>
      </c>
      <c r="AF204" s="155" t="s">
        <v>103</v>
      </c>
      <c r="AG204" s="155" t="s">
        <v>103</v>
      </c>
      <c r="AH204" s="992" t="s">
        <v>103</v>
      </c>
      <c r="AI204" s="960" t="s">
        <v>103</v>
      </c>
      <c r="AJ204" s="992" t="s">
        <v>103</v>
      </c>
      <c r="AK204" s="153" t="s">
        <v>120</v>
      </c>
      <c r="AL204" s="993" t="s">
        <v>103</v>
      </c>
      <c r="AM204" s="155"/>
      <c r="AN204" s="155"/>
      <c r="AO204" s="994"/>
      <c r="AP204" s="94">
        <v>800000</v>
      </c>
      <c r="AQ204" s="578">
        <v>0</v>
      </c>
      <c r="AR204" s="155" t="s">
        <v>116</v>
      </c>
      <c r="AS204" s="155" t="s">
        <v>116</v>
      </c>
      <c r="AT204" s="777" t="s">
        <v>122</v>
      </c>
      <c r="AU204" s="777" t="s">
        <v>122</v>
      </c>
      <c r="AV204" s="777" t="s">
        <v>122</v>
      </c>
      <c r="AW204" s="777" t="s">
        <v>122</v>
      </c>
      <c r="AX204" s="155" t="s">
        <v>124</v>
      </c>
      <c r="AY204" s="155" t="s">
        <v>124</v>
      </c>
      <c r="AZ204" s="155" t="s">
        <v>124</v>
      </c>
      <c r="BA204" s="155" t="s">
        <v>150</v>
      </c>
      <c r="BB204" s="155" t="s">
        <v>150</v>
      </c>
      <c r="BC204" s="155" t="s">
        <v>103</v>
      </c>
      <c r="BD204" s="155" t="s">
        <v>103</v>
      </c>
      <c r="BE204" s="989" t="s">
        <v>103</v>
      </c>
      <c r="BF204" s="155" t="s">
        <v>103</v>
      </c>
      <c r="BG204" s="961">
        <v>0</v>
      </c>
      <c r="BH204" s="766">
        <v>680380.73852844408</v>
      </c>
      <c r="BI204" s="990">
        <f>800000-BH204</f>
        <v>119619.26147155592</v>
      </c>
      <c r="BJ204" s="155" t="s">
        <v>103</v>
      </c>
      <c r="BK204" s="155" t="s">
        <v>103</v>
      </c>
      <c r="BL204" s="155" t="s">
        <v>103</v>
      </c>
      <c r="BM204" s="155" t="s">
        <v>103</v>
      </c>
      <c r="BN204" s="155" t="s">
        <v>103</v>
      </c>
      <c r="BO204" s="155" t="s">
        <v>103</v>
      </c>
      <c r="BP204" s="155" t="s">
        <v>103</v>
      </c>
      <c r="BQ204" s="155" t="s">
        <v>103</v>
      </c>
      <c r="BR204" s="155" t="s">
        <v>103</v>
      </c>
      <c r="BS204" s="155" t="s">
        <v>103</v>
      </c>
      <c r="BT204" s="155" t="s">
        <v>103</v>
      </c>
      <c r="BU204" s="155" t="s">
        <v>103</v>
      </c>
      <c r="BV204" s="155" t="s">
        <v>103</v>
      </c>
      <c r="BW204" s="155" t="s">
        <v>103</v>
      </c>
      <c r="BX204" s="155" t="s">
        <v>103</v>
      </c>
      <c r="BY204" s="155" t="s">
        <v>103</v>
      </c>
      <c r="BZ204" s="155" t="s">
        <v>103</v>
      </c>
      <c r="CA204" s="155" t="s">
        <v>103</v>
      </c>
      <c r="CB204" s="155" t="s">
        <v>103</v>
      </c>
      <c r="CC204" s="155" t="s">
        <v>103</v>
      </c>
      <c r="CD204" s="155" t="s">
        <v>103</v>
      </c>
      <c r="CE204" s="155" t="s">
        <v>103</v>
      </c>
    </row>
    <row r="205" spans="1:83" ht="14.1" customHeight="1">
      <c r="A205" s="503" t="s">
        <v>603</v>
      </c>
      <c r="B205" s="164" t="s">
        <v>103</v>
      </c>
      <c r="C205" s="155" t="s">
        <v>103</v>
      </c>
      <c r="D205" s="153" t="s">
        <v>103</v>
      </c>
      <c r="E205" s="153" t="s">
        <v>103</v>
      </c>
      <c r="F205" s="958" t="s">
        <v>103</v>
      </c>
      <c r="G205" s="153" t="s">
        <v>110</v>
      </c>
      <c r="H205" s="673">
        <v>8.640157093765341E-2</v>
      </c>
      <c r="I205" s="508" t="s">
        <v>103</v>
      </c>
      <c r="J205" s="958" t="s">
        <v>103</v>
      </c>
      <c r="K205" s="958" t="s">
        <v>103</v>
      </c>
      <c r="L205" s="155" t="s">
        <v>103</v>
      </c>
      <c r="M205" s="155" t="s">
        <v>103</v>
      </c>
      <c r="N205" s="156">
        <v>0</v>
      </c>
      <c r="O205" s="156" t="s">
        <v>103</v>
      </c>
      <c r="P205" s="156">
        <v>0</v>
      </c>
      <c r="Q205" s="958" t="s">
        <v>103</v>
      </c>
      <c r="R205" s="156">
        <v>0</v>
      </c>
      <c r="S205" s="156">
        <v>0</v>
      </c>
      <c r="T205" s="958" t="s">
        <v>105</v>
      </c>
      <c r="U205" s="153" t="s">
        <v>110</v>
      </c>
      <c r="V205" s="518" t="s">
        <v>103</v>
      </c>
      <c r="W205" s="991" t="s">
        <v>103</v>
      </c>
      <c r="X205" s="991" t="s">
        <v>103</v>
      </c>
      <c r="Y205" s="991" t="s">
        <v>103</v>
      </c>
      <c r="Z205" s="518" t="s">
        <v>103</v>
      </c>
      <c r="AA205" s="991" t="s">
        <v>103</v>
      </c>
      <c r="AB205" s="155" t="s">
        <v>103</v>
      </c>
      <c r="AC205" s="959" t="s">
        <v>103</v>
      </c>
      <c r="AD205" s="155" t="s">
        <v>103</v>
      </c>
      <c r="AE205" s="155" t="s">
        <v>103</v>
      </c>
      <c r="AF205" s="155" t="s">
        <v>103</v>
      </c>
      <c r="AG205" s="155" t="s">
        <v>103</v>
      </c>
      <c r="AH205" s="992" t="s">
        <v>103</v>
      </c>
      <c r="AI205" s="960" t="s">
        <v>103</v>
      </c>
      <c r="AJ205" s="992" t="s">
        <v>103</v>
      </c>
      <c r="AK205" s="155" t="s">
        <v>103</v>
      </c>
      <c r="AL205" s="993" t="s">
        <v>103</v>
      </c>
      <c r="AM205" s="155"/>
      <c r="AN205" s="155"/>
      <c r="AO205" s="994"/>
      <c r="AP205" s="94">
        <v>0</v>
      </c>
      <c r="AQ205" s="578">
        <v>0</v>
      </c>
      <c r="AR205" s="155" t="s">
        <v>103</v>
      </c>
      <c r="AS205" s="155" t="s">
        <v>103</v>
      </c>
      <c r="AT205" s="155" t="s">
        <v>103</v>
      </c>
      <c r="AU205" s="155" t="s">
        <v>103</v>
      </c>
      <c r="AV205" s="155" t="s">
        <v>103</v>
      </c>
      <c r="AW205" s="155" t="s">
        <v>103</v>
      </c>
      <c r="AX205" s="155" t="s">
        <v>103</v>
      </c>
      <c r="AY205" s="155" t="s">
        <v>103</v>
      </c>
      <c r="AZ205" s="155" t="s">
        <v>103</v>
      </c>
      <c r="BA205" s="155" t="s">
        <v>103</v>
      </c>
      <c r="BB205" s="155" t="s">
        <v>103</v>
      </c>
      <c r="BC205" s="155" t="s">
        <v>103</v>
      </c>
      <c r="BD205" s="155" t="s">
        <v>103</v>
      </c>
      <c r="BE205" s="989" t="s">
        <v>103</v>
      </c>
      <c r="BF205" s="155" t="s">
        <v>103</v>
      </c>
      <c r="BG205" s="961">
        <v>0</v>
      </c>
      <c r="BH205" s="155" t="s">
        <v>103</v>
      </c>
      <c r="BI205" s="990" t="s">
        <v>103</v>
      </c>
      <c r="BJ205" s="155" t="s">
        <v>103</v>
      </c>
      <c r="BK205" s="155" t="s">
        <v>103</v>
      </c>
      <c r="BL205" s="155" t="s">
        <v>103</v>
      </c>
      <c r="BM205" s="155" t="s">
        <v>103</v>
      </c>
      <c r="BN205" s="155" t="s">
        <v>103</v>
      </c>
      <c r="BO205" s="155" t="s">
        <v>103</v>
      </c>
      <c r="BP205" s="155" t="s">
        <v>103</v>
      </c>
      <c r="BQ205" s="155" t="s">
        <v>103</v>
      </c>
      <c r="BR205" s="155" t="s">
        <v>103</v>
      </c>
      <c r="BS205" s="155" t="s">
        <v>103</v>
      </c>
      <c r="BT205" s="155" t="s">
        <v>103</v>
      </c>
      <c r="BU205" s="155" t="s">
        <v>103</v>
      </c>
      <c r="BV205" s="155" t="s">
        <v>103</v>
      </c>
      <c r="BW205" s="155" t="s">
        <v>103</v>
      </c>
      <c r="BX205" s="155" t="s">
        <v>103</v>
      </c>
      <c r="BY205" s="155" t="s">
        <v>103</v>
      </c>
      <c r="BZ205" s="155" t="s">
        <v>103</v>
      </c>
      <c r="CA205" s="155" t="s">
        <v>103</v>
      </c>
      <c r="CB205" s="155" t="s">
        <v>103</v>
      </c>
      <c r="CC205" s="155" t="s">
        <v>103</v>
      </c>
      <c r="CD205" s="155" t="s">
        <v>103</v>
      </c>
      <c r="CE205" s="155" t="s">
        <v>103</v>
      </c>
    </row>
    <row r="206" spans="1:83" ht="14.1" customHeight="1">
      <c r="A206" s="503" t="s">
        <v>604</v>
      </c>
      <c r="B206" s="164" t="s">
        <v>605</v>
      </c>
      <c r="C206" s="155" t="s">
        <v>103</v>
      </c>
      <c r="D206" s="153" t="s">
        <v>606</v>
      </c>
      <c r="E206" s="153">
        <v>92703</v>
      </c>
      <c r="F206" s="153">
        <v>6059074801</v>
      </c>
      <c r="G206" s="153" t="s">
        <v>104</v>
      </c>
      <c r="H206" s="674">
        <v>0.30881895317718816</v>
      </c>
      <c r="I206" s="508" t="s">
        <v>605</v>
      </c>
      <c r="J206" s="153" t="s">
        <v>117</v>
      </c>
      <c r="L206" s="153" t="s">
        <v>606</v>
      </c>
      <c r="M206" s="153" t="s">
        <v>110</v>
      </c>
      <c r="N206" s="156">
        <v>8</v>
      </c>
      <c r="P206" s="156">
        <v>0</v>
      </c>
      <c r="Q206" s="156" t="s">
        <v>119</v>
      </c>
      <c r="R206" s="156">
        <v>0</v>
      </c>
      <c r="S206" s="156">
        <v>2</v>
      </c>
      <c r="T206" s="958" t="s">
        <v>105</v>
      </c>
      <c r="U206" s="153" t="s">
        <v>104</v>
      </c>
      <c r="V206" s="149">
        <v>34127</v>
      </c>
      <c r="W206" s="149" t="s">
        <v>103</v>
      </c>
      <c r="X206" s="149" t="s">
        <v>103</v>
      </c>
      <c r="Y206" s="149" t="s">
        <v>103</v>
      </c>
      <c r="Z206" s="149" t="s">
        <v>103</v>
      </c>
      <c r="AA206" s="149" t="s">
        <v>103</v>
      </c>
      <c r="AB206" s="153" t="s">
        <v>103</v>
      </c>
      <c r="AC206" s="594" t="s">
        <v>103</v>
      </c>
      <c r="AD206" s="153" t="s">
        <v>103</v>
      </c>
      <c r="AE206" s="149" t="s">
        <v>103</v>
      </c>
      <c r="AF206" s="153" t="s">
        <v>103</v>
      </c>
      <c r="AG206" s="153" t="s">
        <v>103</v>
      </c>
      <c r="AH206" s="596" t="s">
        <v>103</v>
      </c>
      <c r="AI206" s="960" t="s">
        <v>103</v>
      </c>
      <c r="AJ206" s="607">
        <v>2500</v>
      </c>
      <c r="AK206" s="153" t="s">
        <v>152</v>
      </c>
      <c r="AL206" s="791" t="s">
        <v>103</v>
      </c>
      <c r="AO206" s="963"/>
      <c r="AP206" s="94">
        <v>1185000</v>
      </c>
      <c r="AQ206" s="574">
        <v>0</v>
      </c>
      <c r="AR206" s="153" t="s">
        <v>116</v>
      </c>
      <c r="AS206" s="153" t="s">
        <v>116</v>
      </c>
      <c r="AT206" s="777" t="s">
        <v>121</v>
      </c>
      <c r="AU206" s="777" t="s">
        <v>122</v>
      </c>
      <c r="AV206" s="777" t="s">
        <v>122</v>
      </c>
      <c r="AW206" s="777" t="s">
        <v>122</v>
      </c>
      <c r="AX206" s="155" t="s">
        <v>103</v>
      </c>
      <c r="AY206" s="155" t="s">
        <v>103</v>
      </c>
      <c r="AZ206" s="155" t="s">
        <v>103</v>
      </c>
      <c r="BB206" s="153"/>
      <c r="BC206" s="780" t="s">
        <v>103</v>
      </c>
      <c r="BD206" s="153" t="s">
        <v>103</v>
      </c>
      <c r="BE206" s="679" t="s">
        <v>103</v>
      </c>
      <c r="BF206" s="156" t="s">
        <v>103</v>
      </c>
      <c r="BG206" s="94">
        <v>0</v>
      </c>
      <c r="BH206" s="766" t="s">
        <v>103</v>
      </c>
      <c r="BI206" s="774" t="s">
        <v>103</v>
      </c>
      <c r="BJ206" s="774" t="s">
        <v>103</v>
      </c>
      <c r="BK206" s="153" t="s">
        <v>103</v>
      </c>
      <c r="BL206" s="153" t="s">
        <v>124</v>
      </c>
      <c r="BM206" s="94" t="s">
        <v>103</v>
      </c>
      <c r="BN206" s="155" t="s">
        <v>103</v>
      </c>
      <c r="BO206" s="153" t="s">
        <v>103</v>
      </c>
      <c r="BP206" s="153" t="s">
        <v>103</v>
      </c>
      <c r="BQ206" s="153" t="s">
        <v>103</v>
      </c>
      <c r="BR206" s="153" t="s">
        <v>103</v>
      </c>
      <c r="BS206" s="153" t="s">
        <v>103</v>
      </c>
      <c r="BT206" s="153" t="s">
        <v>103</v>
      </c>
      <c r="BU206" s="153" t="s">
        <v>103</v>
      </c>
      <c r="BV206" s="153" t="s">
        <v>103</v>
      </c>
      <c r="BW206" s="153" t="s">
        <v>103</v>
      </c>
      <c r="BX206" s="153" t="s">
        <v>103</v>
      </c>
      <c r="BY206" s="153" t="s">
        <v>103</v>
      </c>
      <c r="BZ206" s="153" t="s">
        <v>103</v>
      </c>
    </row>
    <row r="207" spans="1:83" ht="55.35" customHeight="1">
      <c r="A207" s="503"/>
      <c r="B207" s="164" t="s">
        <v>607</v>
      </c>
      <c r="C207" s="155" t="s">
        <v>608</v>
      </c>
      <c r="D207" s="153" t="s">
        <v>609</v>
      </c>
      <c r="E207" s="153">
        <v>92703</v>
      </c>
      <c r="F207" s="153">
        <v>6059074801</v>
      </c>
      <c r="G207" s="153" t="s">
        <v>216</v>
      </c>
      <c r="H207" s="153" t="s">
        <v>150</v>
      </c>
      <c r="I207" s="508" t="s">
        <v>607</v>
      </c>
      <c r="J207" s="153" t="s">
        <v>117</v>
      </c>
      <c r="K207" s="156">
        <v>0</v>
      </c>
      <c r="L207" s="153" t="s">
        <v>609</v>
      </c>
      <c r="M207" s="153" t="s">
        <v>104</v>
      </c>
      <c r="Q207" s="156" t="s">
        <v>139</v>
      </c>
      <c r="U207" s="153" t="s">
        <v>104</v>
      </c>
      <c r="V207" s="149" t="s">
        <v>150</v>
      </c>
      <c r="W207" s="149" t="s">
        <v>103</v>
      </c>
      <c r="X207" s="149" t="s">
        <v>103</v>
      </c>
      <c r="Y207" s="149">
        <v>40130</v>
      </c>
      <c r="Z207" s="149">
        <v>40130</v>
      </c>
      <c r="AA207" s="149" t="s">
        <v>103</v>
      </c>
      <c r="AB207" s="763" t="s">
        <v>151</v>
      </c>
      <c r="AC207" s="594" t="s">
        <v>116</v>
      </c>
      <c r="AD207" s="153"/>
      <c r="AE207" s="149" t="s">
        <v>103</v>
      </c>
      <c r="AF207" s="596">
        <v>17</v>
      </c>
      <c r="AG207" s="596">
        <v>24</v>
      </c>
      <c r="AH207" s="595">
        <v>7760.666666666667</v>
      </c>
      <c r="AI207" s="614">
        <v>1.4698232323232323</v>
      </c>
      <c r="AJ207" s="608">
        <v>4883</v>
      </c>
      <c r="AK207" s="153" t="s">
        <v>152</v>
      </c>
      <c r="AL207" s="791" t="s">
        <v>110</v>
      </c>
      <c r="AO207" s="963"/>
      <c r="AP207" s="1017">
        <v>2296240</v>
      </c>
      <c r="AQ207" s="574">
        <v>2428301</v>
      </c>
      <c r="AR207" s="153" t="s">
        <v>116</v>
      </c>
      <c r="AS207" s="153" t="s">
        <v>116</v>
      </c>
      <c r="AT207" s="777" t="s">
        <v>122</v>
      </c>
      <c r="AU207" s="777" t="s">
        <v>122</v>
      </c>
      <c r="AV207" s="777" t="s">
        <v>122</v>
      </c>
      <c r="AW207" s="777" t="s">
        <v>122</v>
      </c>
      <c r="AX207" s="155" t="s">
        <v>103</v>
      </c>
      <c r="AY207" s="155" t="s">
        <v>103</v>
      </c>
      <c r="AZ207" s="155" t="s">
        <v>103</v>
      </c>
      <c r="BB207" s="574">
        <f t="shared" ref="BB207" si="39">AQ207</f>
        <v>2428301</v>
      </c>
      <c r="BC207" s="780">
        <v>-132061</v>
      </c>
      <c r="BD207" s="1008" t="s">
        <v>151</v>
      </c>
      <c r="BE207" s="679">
        <v>0</v>
      </c>
      <c r="BF207" s="153" t="s">
        <v>103</v>
      </c>
      <c r="BG207" s="94">
        <v>2428301</v>
      </c>
      <c r="BH207" s="766" t="s">
        <v>123</v>
      </c>
      <c r="BI207" s="774">
        <v>0</v>
      </c>
      <c r="BJ207" s="774">
        <v>0</v>
      </c>
      <c r="BK207" s="153" t="s">
        <v>103</v>
      </c>
      <c r="BL207" s="153" t="s">
        <v>124</v>
      </c>
      <c r="BM207" s="94" t="s">
        <v>103</v>
      </c>
      <c r="BN207" s="155" t="s">
        <v>103</v>
      </c>
      <c r="BO207" s="153" t="s">
        <v>103</v>
      </c>
      <c r="BP207" s="153" t="s">
        <v>103</v>
      </c>
      <c r="BQ207" s="153" t="s">
        <v>103</v>
      </c>
      <c r="BR207" s="153" t="s">
        <v>103</v>
      </c>
      <c r="BS207" s="153" t="s">
        <v>103</v>
      </c>
      <c r="BT207" s="153" t="s">
        <v>103</v>
      </c>
      <c r="BU207" s="153" t="s">
        <v>103</v>
      </c>
      <c r="BV207" s="153" t="s">
        <v>103</v>
      </c>
      <c r="BW207" s="153" t="s">
        <v>103</v>
      </c>
      <c r="BX207" s="153" t="s">
        <v>103</v>
      </c>
      <c r="BY207" s="153" t="s">
        <v>103</v>
      </c>
      <c r="BZ207" s="153" t="s">
        <v>103</v>
      </c>
      <c r="CA207" s="94" t="s">
        <v>103</v>
      </c>
      <c r="CB207" s="94" t="s">
        <v>103</v>
      </c>
      <c r="CC207" s="94" t="s">
        <v>103</v>
      </c>
      <c r="CD207" s="94" t="s">
        <v>103</v>
      </c>
      <c r="CE207" s="94" t="s">
        <v>103</v>
      </c>
    </row>
    <row r="208" spans="1:83" ht="14.1" customHeight="1">
      <c r="A208" s="503"/>
      <c r="B208" s="164" t="s">
        <v>610</v>
      </c>
      <c r="C208" s="155" t="s">
        <v>103</v>
      </c>
      <c r="D208" s="153" t="s">
        <v>606</v>
      </c>
      <c r="E208" s="153">
        <v>92703</v>
      </c>
      <c r="F208" s="153">
        <v>6059075202</v>
      </c>
      <c r="G208" s="153" t="s">
        <v>110</v>
      </c>
      <c r="H208" s="153" t="s">
        <v>150</v>
      </c>
      <c r="I208" s="508" t="s">
        <v>610</v>
      </c>
      <c r="J208" s="153" t="s">
        <v>117</v>
      </c>
      <c r="K208" s="572" t="s">
        <v>130</v>
      </c>
      <c r="L208" s="153" t="s">
        <v>606</v>
      </c>
      <c r="M208" s="153" t="s">
        <v>110</v>
      </c>
      <c r="Q208" s="156" t="s">
        <v>119</v>
      </c>
      <c r="U208" s="153" t="s">
        <v>104</v>
      </c>
      <c r="V208" s="149">
        <v>34127</v>
      </c>
      <c r="W208" s="149" t="s">
        <v>103</v>
      </c>
      <c r="X208" s="149" t="s">
        <v>103</v>
      </c>
      <c r="Y208" s="149" t="s">
        <v>103</v>
      </c>
      <c r="Z208" s="149" t="s">
        <v>103</v>
      </c>
      <c r="AA208" s="149" t="s">
        <v>103</v>
      </c>
      <c r="AB208" s="153" t="s">
        <v>103</v>
      </c>
      <c r="AC208" s="594" t="s">
        <v>103</v>
      </c>
      <c r="AD208" s="153" t="s">
        <v>103</v>
      </c>
      <c r="AE208" s="149" t="s">
        <v>103</v>
      </c>
      <c r="AF208" s="153" t="s">
        <v>103</v>
      </c>
      <c r="AG208" s="153" t="s">
        <v>103</v>
      </c>
      <c r="AH208" s="596" t="s">
        <v>103</v>
      </c>
      <c r="AI208" s="960" t="s">
        <v>103</v>
      </c>
      <c r="AJ208" s="607">
        <v>2200</v>
      </c>
      <c r="AK208" s="153" t="s">
        <v>152</v>
      </c>
      <c r="AL208" s="791" t="s">
        <v>103</v>
      </c>
      <c r="AO208" s="963"/>
      <c r="AP208" s="94">
        <v>1093000</v>
      </c>
      <c r="AQ208" s="574">
        <v>0</v>
      </c>
      <c r="AR208" s="153" t="s">
        <v>116</v>
      </c>
      <c r="AS208" s="153" t="s">
        <v>116</v>
      </c>
      <c r="AT208" s="777" t="s">
        <v>121</v>
      </c>
      <c r="AU208" s="777" t="s">
        <v>122</v>
      </c>
      <c r="AV208" s="777" t="s">
        <v>122</v>
      </c>
      <c r="AW208" s="777" t="s">
        <v>122</v>
      </c>
      <c r="AX208" s="155" t="s">
        <v>103</v>
      </c>
      <c r="AY208" s="155" t="s">
        <v>103</v>
      </c>
      <c r="AZ208" s="155" t="s">
        <v>103</v>
      </c>
      <c r="BA208" s="156">
        <v>0</v>
      </c>
      <c r="BB208" s="156">
        <v>0</v>
      </c>
      <c r="BC208" s="780" t="s">
        <v>103</v>
      </c>
      <c r="BD208" s="153" t="s">
        <v>103</v>
      </c>
      <c r="BE208" s="679" t="s">
        <v>103</v>
      </c>
      <c r="BF208" s="156" t="s">
        <v>103</v>
      </c>
      <c r="BG208" s="94">
        <v>0</v>
      </c>
      <c r="BH208" s="766" t="s">
        <v>103</v>
      </c>
      <c r="BI208" s="774" t="s">
        <v>103</v>
      </c>
      <c r="BJ208" s="774" t="s">
        <v>103</v>
      </c>
      <c r="BK208" s="153" t="s">
        <v>103</v>
      </c>
      <c r="BL208" s="153" t="s">
        <v>124</v>
      </c>
      <c r="BM208" s="94" t="s">
        <v>103</v>
      </c>
      <c r="BN208" s="155" t="s">
        <v>103</v>
      </c>
      <c r="BO208" s="153" t="s">
        <v>103</v>
      </c>
      <c r="BP208" s="153" t="s">
        <v>103</v>
      </c>
      <c r="BQ208" s="153" t="s">
        <v>103</v>
      </c>
      <c r="BR208" s="153" t="s">
        <v>103</v>
      </c>
      <c r="BS208" s="153" t="s">
        <v>103</v>
      </c>
      <c r="BT208" s="153" t="s">
        <v>103</v>
      </c>
      <c r="BU208" s="153" t="s">
        <v>103</v>
      </c>
      <c r="BV208" s="153" t="s">
        <v>103</v>
      </c>
      <c r="BW208" s="153" t="s">
        <v>103</v>
      </c>
      <c r="BX208" s="153" t="s">
        <v>103</v>
      </c>
      <c r="BY208" s="153" t="s">
        <v>103</v>
      </c>
      <c r="BZ208" s="153" t="s">
        <v>103</v>
      </c>
      <c r="CA208" s="94" t="s">
        <v>103</v>
      </c>
      <c r="CB208" s="94" t="s">
        <v>103</v>
      </c>
      <c r="CC208" s="94" t="s">
        <v>103</v>
      </c>
      <c r="CD208" s="94" t="s">
        <v>103</v>
      </c>
      <c r="CE208" s="94" t="s">
        <v>103</v>
      </c>
    </row>
    <row r="209" spans="1:83" ht="14.1" customHeight="1">
      <c r="A209" s="503"/>
      <c r="B209" s="164" t="s">
        <v>611</v>
      </c>
      <c r="C209" s="155" t="s">
        <v>103</v>
      </c>
      <c r="D209" s="153" t="s">
        <v>606</v>
      </c>
      <c r="E209" s="153">
        <v>92703</v>
      </c>
      <c r="F209" s="153">
        <v>6059074103</v>
      </c>
      <c r="G209" s="153" t="s">
        <v>110</v>
      </c>
      <c r="H209" s="153" t="s">
        <v>150</v>
      </c>
      <c r="I209" s="508" t="s">
        <v>611</v>
      </c>
      <c r="J209" s="153" t="s">
        <v>117</v>
      </c>
      <c r="K209" s="572" t="s">
        <v>130</v>
      </c>
      <c r="L209" s="153" t="s">
        <v>606</v>
      </c>
      <c r="M209" s="153" t="s">
        <v>110</v>
      </c>
      <c r="Q209" s="156" t="s">
        <v>119</v>
      </c>
      <c r="U209" s="153" t="s">
        <v>104</v>
      </c>
      <c r="V209" s="149">
        <v>34127</v>
      </c>
      <c r="W209" s="149" t="s">
        <v>103</v>
      </c>
      <c r="X209" s="149" t="s">
        <v>103</v>
      </c>
      <c r="Y209" s="149" t="s">
        <v>103</v>
      </c>
      <c r="Z209" s="149" t="s">
        <v>103</v>
      </c>
      <c r="AA209" s="149" t="s">
        <v>103</v>
      </c>
      <c r="AB209" s="153" t="s">
        <v>103</v>
      </c>
      <c r="AC209" s="594" t="s">
        <v>103</v>
      </c>
      <c r="AD209" s="153" t="s">
        <v>103</v>
      </c>
      <c r="AE209" s="149" t="s">
        <v>103</v>
      </c>
      <c r="AF209" s="153" t="s">
        <v>103</v>
      </c>
      <c r="AG209" s="153" t="s">
        <v>103</v>
      </c>
      <c r="AH209" s="596" t="s">
        <v>103</v>
      </c>
      <c r="AI209" s="960" t="s">
        <v>103</v>
      </c>
      <c r="AJ209" s="607">
        <v>3200</v>
      </c>
      <c r="AK209" s="153" t="s">
        <v>152</v>
      </c>
      <c r="AL209" s="791" t="s">
        <v>103</v>
      </c>
      <c r="AO209" s="963"/>
      <c r="AP209" s="94">
        <v>1800000</v>
      </c>
      <c r="AQ209" s="574">
        <v>0</v>
      </c>
      <c r="AR209" s="153" t="s">
        <v>116</v>
      </c>
      <c r="AS209" s="153" t="s">
        <v>116</v>
      </c>
      <c r="AT209" s="777" t="s">
        <v>121</v>
      </c>
      <c r="AU209" s="777" t="s">
        <v>122</v>
      </c>
      <c r="AV209" s="777" t="s">
        <v>122</v>
      </c>
      <c r="AW209" s="777" t="s">
        <v>122</v>
      </c>
      <c r="AX209" s="155" t="s">
        <v>103</v>
      </c>
      <c r="AY209" s="155" t="s">
        <v>103</v>
      </c>
      <c r="AZ209" s="155" t="s">
        <v>103</v>
      </c>
      <c r="BA209" s="156">
        <v>0</v>
      </c>
      <c r="BB209" s="156">
        <v>0</v>
      </c>
      <c r="BC209" s="780" t="s">
        <v>103</v>
      </c>
      <c r="BD209" s="153" t="s">
        <v>103</v>
      </c>
      <c r="BE209" s="679" t="s">
        <v>103</v>
      </c>
      <c r="BF209" s="156" t="s">
        <v>103</v>
      </c>
      <c r="BG209" s="94">
        <v>0</v>
      </c>
      <c r="BH209" s="766" t="s">
        <v>103</v>
      </c>
      <c r="BI209" s="774" t="s">
        <v>103</v>
      </c>
      <c r="BJ209" s="774" t="s">
        <v>103</v>
      </c>
      <c r="BK209" s="153" t="s">
        <v>103</v>
      </c>
      <c r="BL209" s="153" t="s">
        <v>124</v>
      </c>
      <c r="BM209" s="94" t="s">
        <v>103</v>
      </c>
      <c r="BN209" s="155" t="s">
        <v>103</v>
      </c>
      <c r="BO209" s="153" t="s">
        <v>103</v>
      </c>
      <c r="BP209" s="153" t="s">
        <v>103</v>
      </c>
      <c r="BQ209" s="153" t="s">
        <v>103</v>
      </c>
      <c r="BR209" s="153" t="s">
        <v>103</v>
      </c>
      <c r="BS209" s="153" t="s">
        <v>103</v>
      </c>
      <c r="BT209" s="153" t="s">
        <v>103</v>
      </c>
      <c r="BU209" s="153" t="s">
        <v>103</v>
      </c>
      <c r="BV209" s="153" t="s">
        <v>103</v>
      </c>
      <c r="BW209" s="153" t="s">
        <v>103</v>
      </c>
      <c r="BX209" s="153" t="s">
        <v>103</v>
      </c>
      <c r="BY209" s="153" t="s">
        <v>103</v>
      </c>
      <c r="BZ209" s="153" t="s">
        <v>103</v>
      </c>
      <c r="CA209" s="94" t="s">
        <v>103</v>
      </c>
      <c r="CB209" s="94" t="s">
        <v>103</v>
      </c>
      <c r="CC209" s="94" t="s">
        <v>103</v>
      </c>
      <c r="CD209" s="94" t="s">
        <v>103</v>
      </c>
      <c r="CE209" s="94" t="s">
        <v>103</v>
      </c>
    </row>
    <row r="210" spans="1:83" ht="14.1" customHeight="1">
      <c r="A210" s="503"/>
      <c r="B210" s="164" t="s">
        <v>612</v>
      </c>
      <c r="C210" s="155" t="s">
        <v>103</v>
      </c>
      <c r="D210" s="153" t="s">
        <v>606</v>
      </c>
      <c r="E210" s="153" t="s">
        <v>116</v>
      </c>
      <c r="H210" s="153" t="s">
        <v>150</v>
      </c>
      <c r="I210" s="508" t="s">
        <v>612</v>
      </c>
      <c r="J210" s="153" t="s">
        <v>117</v>
      </c>
      <c r="K210" s="572" t="s">
        <v>130</v>
      </c>
      <c r="L210" s="153" t="s">
        <v>606</v>
      </c>
      <c r="M210" s="153" t="s">
        <v>110</v>
      </c>
      <c r="Q210" s="156" t="s">
        <v>119</v>
      </c>
      <c r="U210" s="153" t="s">
        <v>104</v>
      </c>
      <c r="V210" s="149">
        <v>34127</v>
      </c>
      <c r="W210" s="149" t="s">
        <v>103</v>
      </c>
      <c r="X210" s="149" t="s">
        <v>103</v>
      </c>
      <c r="Y210" s="149" t="s">
        <v>103</v>
      </c>
      <c r="Z210" s="149" t="s">
        <v>103</v>
      </c>
      <c r="AA210" s="149" t="s">
        <v>103</v>
      </c>
      <c r="AB210" s="153" t="s">
        <v>103</v>
      </c>
      <c r="AC210" s="594" t="s">
        <v>103</v>
      </c>
      <c r="AD210" s="153" t="s">
        <v>103</v>
      </c>
      <c r="AE210" s="149" t="s">
        <v>103</v>
      </c>
      <c r="AF210" s="153" t="s">
        <v>103</v>
      </c>
      <c r="AG210" s="153" t="s">
        <v>103</v>
      </c>
      <c r="AH210" s="596" t="s">
        <v>103</v>
      </c>
      <c r="AI210" s="960" t="s">
        <v>103</v>
      </c>
      <c r="AJ210" s="607">
        <v>8050</v>
      </c>
      <c r="AK210" s="153" t="s">
        <v>152</v>
      </c>
      <c r="AL210" s="791" t="s">
        <v>103</v>
      </c>
      <c r="AO210" s="963"/>
      <c r="AP210" s="94">
        <v>10420000</v>
      </c>
      <c r="AQ210" s="574">
        <v>0</v>
      </c>
      <c r="AR210" s="153" t="s">
        <v>116</v>
      </c>
      <c r="AS210" s="153" t="s">
        <v>116</v>
      </c>
      <c r="AT210" s="777" t="s">
        <v>121</v>
      </c>
      <c r="AU210" s="777" t="s">
        <v>122</v>
      </c>
      <c r="AV210" s="777" t="s">
        <v>122</v>
      </c>
      <c r="AW210" s="777" t="s">
        <v>122</v>
      </c>
      <c r="AX210" s="155" t="s">
        <v>103</v>
      </c>
      <c r="AY210" s="155" t="s">
        <v>103</v>
      </c>
      <c r="AZ210" s="155" t="s">
        <v>103</v>
      </c>
      <c r="BA210" s="156">
        <v>0</v>
      </c>
      <c r="BB210" s="156">
        <v>0</v>
      </c>
      <c r="BC210" s="780" t="s">
        <v>103</v>
      </c>
      <c r="BD210" s="153" t="s">
        <v>103</v>
      </c>
      <c r="BE210" s="679" t="s">
        <v>103</v>
      </c>
      <c r="BF210" s="156" t="s">
        <v>103</v>
      </c>
      <c r="BG210" s="94">
        <v>0</v>
      </c>
      <c r="BH210" s="766" t="s">
        <v>103</v>
      </c>
      <c r="BI210" s="774" t="s">
        <v>103</v>
      </c>
      <c r="BJ210" s="774" t="s">
        <v>103</v>
      </c>
      <c r="BK210" s="153" t="s">
        <v>103</v>
      </c>
      <c r="BL210" s="153" t="s">
        <v>124</v>
      </c>
      <c r="BM210" s="94" t="s">
        <v>103</v>
      </c>
      <c r="BN210" s="155" t="s">
        <v>103</v>
      </c>
      <c r="BO210" s="153" t="s">
        <v>103</v>
      </c>
      <c r="BP210" s="153" t="s">
        <v>103</v>
      </c>
      <c r="BQ210" s="153" t="s">
        <v>103</v>
      </c>
      <c r="BR210" s="153" t="s">
        <v>103</v>
      </c>
      <c r="BS210" s="153" t="s">
        <v>103</v>
      </c>
      <c r="BT210" s="153" t="s">
        <v>103</v>
      </c>
      <c r="BU210" s="153" t="s">
        <v>103</v>
      </c>
      <c r="BV210" s="153" t="s">
        <v>103</v>
      </c>
      <c r="BW210" s="153" t="s">
        <v>103</v>
      </c>
      <c r="BX210" s="153" t="s">
        <v>103</v>
      </c>
      <c r="BY210" s="153" t="s">
        <v>103</v>
      </c>
      <c r="BZ210" s="153" t="s">
        <v>103</v>
      </c>
      <c r="CA210" s="94" t="s">
        <v>103</v>
      </c>
      <c r="CB210" s="94" t="s">
        <v>103</v>
      </c>
      <c r="CC210" s="94" t="s">
        <v>103</v>
      </c>
      <c r="CD210" s="94" t="s">
        <v>103</v>
      </c>
      <c r="CE210" s="94" t="s">
        <v>103</v>
      </c>
    </row>
    <row r="211" spans="1:83" ht="41.45" customHeight="1">
      <c r="A211" s="503"/>
      <c r="B211" s="164" t="s">
        <v>613</v>
      </c>
      <c r="C211" s="155" t="s">
        <v>614</v>
      </c>
      <c r="D211" s="153" t="s">
        <v>606</v>
      </c>
      <c r="E211" s="153">
        <v>92704</v>
      </c>
      <c r="F211" s="153">
        <v>6059074801</v>
      </c>
      <c r="G211" s="153" t="s">
        <v>104</v>
      </c>
      <c r="H211" s="153" t="s">
        <v>150</v>
      </c>
      <c r="I211" s="508" t="s">
        <v>613</v>
      </c>
      <c r="J211" s="153" t="s">
        <v>117</v>
      </c>
      <c r="K211" s="572" t="s">
        <v>130</v>
      </c>
      <c r="L211" s="153" t="s">
        <v>606</v>
      </c>
      <c r="M211" s="153" t="s">
        <v>104</v>
      </c>
      <c r="Q211" s="156" t="s">
        <v>139</v>
      </c>
      <c r="U211" s="153" t="s">
        <v>104</v>
      </c>
      <c r="V211" s="149">
        <v>34127</v>
      </c>
      <c r="W211" s="149">
        <v>39371</v>
      </c>
      <c r="X211" s="149">
        <v>39750</v>
      </c>
      <c r="Y211" s="149">
        <v>40184</v>
      </c>
      <c r="Z211" s="149">
        <v>40184</v>
      </c>
      <c r="AA211" s="149">
        <v>34127</v>
      </c>
      <c r="AB211" s="763" t="s">
        <v>151</v>
      </c>
      <c r="AC211" s="594">
        <v>3745.7142857142853</v>
      </c>
      <c r="AD211" s="153" t="s">
        <v>103</v>
      </c>
      <c r="AE211" s="149" t="s">
        <v>103</v>
      </c>
      <c r="AF211" s="596">
        <v>46</v>
      </c>
      <c r="AG211" s="596">
        <v>19</v>
      </c>
      <c r="AH211" s="595">
        <v>6853</v>
      </c>
      <c r="AI211" s="614">
        <v>1.2979166666666666</v>
      </c>
      <c r="AJ211" s="607">
        <v>4790</v>
      </c>
      <c r="AK211" s="153" t="s">
        <v>152</v>
      </c>
      <c r="AL211" s="791" t="s">
        <v>110</v>
      </c>
      <c r="AO211" s="963"/>
      <c r="AP211" s="1017">
        <v>2221000</v>
      </c>
      <c r="AQ211" s="574">
        <v>2498464</v>
      </c>
      <c r="AR211" s="153" t="s">
        <v>116</v>
      </c>
      <c r="AS211" s="153" t="s">
        <v>116</v>
      </c>
      <c r="AT211" s="777" t="s">
        <v>122</v>
      </c>
      <c r="AU211" s="777" t="s">
        <v>122</v>
      </c>
      <c r="AV211" s="777" t="s">
        <v>122</v>
      </c>
      <c r="AW211" s="777" t="s">
        <v>122</v>
      </c>
      <c r="AX211" s="155" t="s">
        <v>103</v>
      </c>
      <c r="AY211" s="155" t="s">
        <v>103</v>
      </c>
      <c r="AZ211" s="155" t="s">
        <v>103</v>
      </c>
      <c r="BA211" s="156">
        <v>0</v>
      </c>
      <c r="BB211" s="574">
        <f t="shared" ref="BB211" si="40">AQ211</f>
        <v>2498464</v>
      </c>
      <c r="BC211" s="780">
        <v>-277464</v>
      </c>
      <c r="BD211" s="1008" t="s">
        <v>151</v>
      </c>
      <c r="BE211" s="679">
        <v>0</v>
      </c>
      <c r="BF211" s="153" t="s">
        <v>103</v>
      </c>
      <c r="BG211" s="94">
        <v>2498464</v>
      </c>
      <c r="BH211" s="766" t="s">
        <v>123</v>
      </c>
      <c r="BI211" s="774">
        <v>0</v>
      </c>
      <c r="BJ211" s="774">
        <v>0</v>
      </c>
      <c r="BK211" s="153" t="s">
        <v>103</v>
      </c>
      <c r="BL211" s="153" t="s">
        <v>124</v>
      </c>
      <c r="BM211" s="94" t="s">
        <v>103</v>
      </c>
      <c r="BN211" s="155" t="s">
        <v>103</v>
      </c>
      <c r="BO211" s="153" t="s">
        <v>103</v>
      </c>
      <c r="BP211" s="153" t="s">
        <v>103</v>
      </c>
      <c r="BQ211" s="153" t="s">
        <v>103</v>
      </c>
      <c r="BR211" s="153" t="s">
        <v>103</v>
      </c>
      <c r="BS211" s="153" t="s">
        <v>103</v>
      </c>
      <c r="BT211" s="153" t="s">
        <v>103</v>
      </c>
      <c r="BU211" s="153" t="s">
        <v>103</v>
      </c>
      <c r="BV211" s="153" t="s">
        <v>103</v>
      </c>
      <c r="BW211" s="153" t="s">
        <v>103</v>
      </c>
      <c r="BX211" s="153" t="s">
        <v>103</v>
      </c>
      <c r="BY211" s="153" t="s">
        <v>103</v>
      </c>
      <c r="BZ211" s="153" t="s">
        <v>103</v>
      </c>
      <c r="CA211" s="94" t="s">
        <v>103</v>
      </c>
      <c r="CB211" s="94" t="s">
        <v>103</v>
      </c>
      <c r="CC211" s="94" t="s">
        <v>103</v>
      </c>
      <c r="CD211" s="94" t="s">
        <v>103</v>
      </c>
      <c r="CE211" s="94" t="s">
        <v>103</v>
      </c>
    </row>
    <row r="212" spans="1:83" ht="41.45" customHeight="1">
      <c r="A212" s="503"/>
      <c r="B212" s="164" t="s">
        <v>615</v>
      </c>
      <c r="C212" s="155" t="s">
        <v>616</v>
      </c>
      <c r="D212" s="153" t="s">
        <v>617</v>
      </c>
      <c r="E212" s="153">
        <v>92705</v>
      </c>
      <c r="F212" s="153">
        <v>6059074403</v>
      </c>
      <c r="G212" s="153" t="s">
        <v>104</v>
      </c>
      <c r="H212" s="153" t="s">
        <v>150</v>
      </c>
      <c r="I212" s="508" t="s">
        <v>618</v>
      </c>
      <c r="J212" s="153" t="s">
        <v>117</v>
      </c>
      <c r="K212" s="572" t="s">
        <v>205</v>
      </c>
      <c r="L212" s="153" t="s">
        <v>617</v>
      </c>
      <c r="M212" s="153" t="s">
        <v>110</v>
      </c>
      <c r="Q212" s="989" t="s">
        <v>131</v>
      </c>
      <c r="U212" s="153" t="s">
        <v>104</v>
      </c>
      <c r="V212" s="149">
        <v>43389</v>
      </c>
      <c r="W212" s="149">
        <v>43510</v>
      </c>
      <c r="X212" s="149">
        <v>44570</v>
      </c>
      <c r="Y212" s="149">
        <v>44962</v>
      </c>
      <c r="Z212" s="149" t="s">
        <v>103</v>
      </c>
      <c r="AA212" s="149">
        <v>43389</v>
      </c>
      <c r="AB212" s="153" t="s">
        <v>103</v>
      </c>
      <c r="AC212" s="153" t="s">
        <v>103</v>
      </c>
      <c r="AD212" s="149">
        <v>44962</v>
      </c>
      <c r="AE212" s="149" t="s">
        <v>103</v>
      </c>
      <c r="AF212" s="149" t="s">
        <v>103</v>
      </c>
      <c r="AG212" s="149" t="s">
        <v>103</v>
      </c>
      <c r="AH212" s="149" t="s">
        <v>103</v>
      </c>
      <c r="AI212" s="149" t="s">
        <v>103</v>
      </c>
      <c r="AJ212" s="607">
        <v>2880</v>
      </c>
      <c r="AK212" s="153" t="s">
        <v>120</v>
      </c>
      <c r="AL212" s="791" t="s">
        <v>103</v>
      </c>
      <c r="AO212" s="963"/>
      <c r="AP212" s="1017">
        <v>2000000</v>
      </c>
      <c r="AQ212" s="574">
        <v>0</v>
      </c>
      <c r="AR212" s="153" t="s">
        <v>116</v>
      </c>
      <c r="AS212" s="153" t="s">
        <v>116</v>
      </c>
      <c r="AT212" s="777" t="s">
        <v>122</v>
      </c>
      <c r="AU212" s="777" t="s">
        <v>122</v>
      </c>
      <c r="AV212" s="777" t="s">
        <v>122</v>
      </c>
      <c r="AW212" s="777" t="s">
        <v>122</v>
      </c>
      <c r="AX212" s="153" t="s">
        <v>116</v>
      </c>
      <c r="AY212" s="153" t="s">
        <v>116</v>
      </c>
      <c r="AZ212" s="153" t="s">
        <v>116</v>
      </c>
      <c r="BA212" s="156">
        <v>0</v>
      </c>
      <c r="BB212" s="156">
        <v>0</v>
      </c>
      <c r="BC212" s="156">
        <v>0</v>
      </c>
      <c r="BD212" s="153" t="s">
        <v>103</v>
      </c>
      <c r="BE212" s="153" t="s">
        <v>103</v>
      </c>
      <c r="BF212" s="153" t="s">
        <v>103</v>
      </c>
      <c r="BG212" s="153" t="s">
        <v>103</v>
      </c>
      <c r="BH212" s="766">
        <v>2099820</v>
      </c>
      <c r="BI212" s="774">
        <v>0</v>
      </c>
      <c r="BJ212" s="774">
        <v>0</v>
      </c>
      <c r="BK212" s="153" t="s">
        <v>103</v>
      </c>
      <c r="BL212" s="153" t="s">
        <v>124</v>
      </c>
      <c r="BM212" s="94" t="s">
        <v>103</v>
      </c>
      <c r="BN212" s="94" t="s">
        <v>103</v>
      </c>
      <c r="BO212" s="94" t="s">
        <v>103</v>
      </c>
      <c r="BP212" s="94" t="s">
        <v>103</v>
      </c>
      <c r="BQ212" s="94" t="s">
        <v>103</v>
      </c>
      <c r="BR212" s="94" t="s">
        <v>103</v>
      </c>
      <c r="BS212" s="94" t="s">
        <v>103</v>
      </c>
      <c r="BT212" s="94" t="s">
        <v>103</v>
      </c>
      <c r="BU212" s="94" t="s">
        <v>103</v>
      </c>
      <c r="BV212" s="94" t="s">
        <v>103</v>
      </c>
      <c r="BW212" s="94" t="s">
        <v>103</v>
      </c>
      <c r="BX212" s="94" t="s">
        <v>103</v>
      </c>
      <c r="BY212" s="94" t="s">
        <v>103</v>
      </c>
      <c r="BZ212" s="94" t="s">
        <v>103</v>
      </c>
      <c r="CA212" s="94" t="s">
        <v>103</v>
      </c>
      <c r="CB212" s="94" t="s">
        <v>103</v>
      </c>
      <c r="CC212" s="94" t="s">
        <v>103</v>
      </c>
      <c r="CD212" s="94" t="s">
        <v>103</v>
      </c>
      <c r="CE212" s="94" t="s">
        <v>103</v>
      </c>
    </row>
    <row r="213" spans="1:83" ht="41.45" customHeight="1">
      <c r="A213" s="503"/>
      <c r="B213" s="164" t="s">
        <v>619</v>
      </c>
      <c r="C213" s="155" t="s">
        <v>620</v>
      </c>
      <c r="D213" s="153" t="s">
        <v>617</v>
      </c>
      <c r="E213" s="153">
        <v>92705</v>
      </c>
      <c r="F213" s="153">
        <v>6059074403</v>
      </c>
      <c r="G213" s="153" t="s">
        <v>216</v>
      </c>
      <c r="H213" s="153" t="s">
        <v>150</v>
      </c>
      <c r="I213" s="508" t="s">
        <v>621</v>
      </c>
      <c r="J213" s="153" t="s">
        <v>117</v>
      </c>
      <c r="K213" s="572" t="s">
        <v>205</v>
      </c>
      <c r="L213" s="153" t="s">
        <v>617</v>
      </c>
      <c r="M213" s="153" t="s">
        <v>110</v>
      </c>
      <c r="Q213" s="989" t="s">
        <v>131</v>
      </c>
      <c r="U213" s="153" t="s">
        <v>104</v>
      </c>
      <c r="V213" s="149">
        <v>43389</v>
      </c>
      <c r="W213" s="149">
        <v>43510</v>
      </c>
      <c r="X213" s="149">
        <v>44237</v>
      </c>
      <c r="Y213" s="149">
        <v>44539</v>
      </c>
      <c r="Z213" s="149" t="s">
        <v>103</v>
      </c>
      <c r="AA213" s="149">
        <v>43389</v>
      </c>
      <c r="AB213" s="153" t="s">
        <v>103</v>
      </c>
      <c r="AC213" s="153">
        <f t="shared" ref="AC213:AC214" si="41">W213-V213</f>
        <v>121</v>
      </c>
      <c r="AD213" s="149">
        <v>44539</v>
      </c>
      <c r="AE213" s="149" t="s">
        <v>103</v>
      </c>
      <c r="AF213" s="149" t="s">
        <v>103</v>
      </c>
      <c r="AG213" s="149" t="s">
        <v>103</v>
      </c>
      <c r="AH213" s="149" t="s">
        <v>103</v>
      </c>
      <c r="AI213" s="149" t="s">
        <v>103</v>
      </c>
      <c r="AJ213" s="607">
        <v>2880</v>
      </c>
      <c r="AK213" s="153" t="s">
        <v>120</v>
      </c>
      <c r="AL213" s="791" t="s">
        <v>103</v>
      </c>
      <c r="AO213" s="963"/>
      <c r="AP213" s="1017">
        <v>5100000</v>
      </c>
      <c r="AQ213" s="574">
        <v>0</v>
      </c>
      <c r="AR213" s="153" t="s">
        <v>116</v>
      </c>
      <c r="AS213" s="153" t="s">
        <v>116</v>
      </c>
      <c r="AT213" s="777" t="s">
        <v>122</v>
      </c>
      <c r="AU213" s="777" t="s">
        <v>122</v>
      </c>
      <c r="AV213" s="777" t="s">
        <v>122</v>
      </c>
      <c r="AW213" s="777" t="s">
        <v>122</v>
      </c>
      <c r="AX213" s="153" t="s">
        <v>116</v>
      </c>
      <c r="AY213" s="153" t="s">
        <v>116</v>
      </c>
      <c r="AZ213" s="153" t="s">
        <v>116</v>
      </c>
      <c r="BA213" s="156">
        <v>0</v>
      </c>
      <c r="BB213" s="156">
        <v>0</v>
      </c>
      <c r="BC213" s="156">
        <v>0</v>
      </c>
      <c r="BD213" s="153" t="s">
        <v>103</v>
      </c>
      <c r="BE213" s="153" t="s">
        <v>103</v>
      </c>
      <c r="BF213" s="153" t="s">
        <v>103</v>
      </c>
      <c r="BG213" s="153" t="s">
        <v>103</v>
      </c>
      <c r="BH213" s="766">
        <v>2099820</v>
      </c>
      <c r="BI213" s="774">
        <f>5100000-BH213</f>
        <v>3000180</v>
      </c>
      <c r="BJ213" s="774">
        <v>0</v>
      </c>
      <c r="BK213" s="153" t="s">
        <v>103</v>
      </c>
      <c r="BL213" s="153" t="s">
        <v>124</v>
      </c>
      <c r="BM213" s="94" t="s">
        <v>103</v>
      </c>
      <c r="BN213" s="94" t="s">
        <v>103</v>
      </c>
      <c r="BO213" s="94" t="s">
        <v>103</v>
      </c>
      <c r="BP213" s="94" t="s">
        <v>103</v>
      </c>
      <c r="BQ213" s="94" t="s">
        <v>103</v>
      </c>
      <c r="BR213" s="94" t="s">
        <v>103</v>
      </c>
      <c r="BS213" s="94" t="s">
        <v>103</v>
      </c>
      <c r="BT213" s="94" t="s">
        <v>103</v>
      </c>
      <c r="BU213" s="94" t="s">
        <v>103</v>
      </c>
      <c r="BV213" s="94" t="s">
        <v>103</v>
      </c>
      <c r="BW213" s="94" t="s">
        <v>103</v>
      </c>
      <c r="BX213" s="94" t="s">
        <v>103</v>
      </c>
      <c r="BY213" s="94" t="s">
        <v>103</v>
      </c>
      <c r="BZ213" s="94" t="s">
        <v>103</v>
      </c>
      <c r="CA213" s="94" t="s">
        <v>103</v>
      </c>
      <c r="CB213" s="94" t="s">
        <v>103</v>
      </c>
      <c r="CC213" s="94" t="s">
        <v>103</v>
      </c>
      <c r="CD213" s="94" t="s">
        <v>103</v>
      </c>
      <c r="CE213" s="94" t="s">
        <v>103</v>
      </c>
    </row>
    <row r="214" spans="1:83" ht="41.45" customHeight="1">
      <c r="A214" s="503" t="s">
        <v>622</v>
      </c>
      <c r="B214" s="164" t="s">
        <v>623</v>
      </c>
      <c r="C214" s="155" t="s">
        <v>624</v>
      </c>
      <c r="D214" s="153">
        <v>6417</v>
      </c>
      <c r="E214" s="153">
        <v>90740</v>
      </c>
      <c r="F214" s="153">
        <v>6059099509</v>
      </c>
      <c r="G214" s="153" t="s">
        <v>110</v>
      </c>
      <c r="H214" s="674">
        <v>0.16937855322485787</v>
      </c>
      <c r="I214" s="508" t="s">
        <v>623</v>
      </c>
      <c r="J214" s="153" t="s">
        <v>117</v>
      </c>
      <c r="K214" s="572" t="s">
        <v>205</v>
      </c>
      <c r="L214" s="153">
        <v>6417</v>
      </c>
      <c r="M214" s="153" t="s">
        <v>104</v>
      </c>
      <c r="N214" s="156">
        <v>3</v>
      </c>
      <c r="O214" s="156">
        <v>0</v>
      </c>
      <c r="P214" s="156">
        <v>0</v>
      </c>
      <c r="Q214" s="156" t="s">
        <v>139</v>
      </c>
      <c r="R214" s="156">
        <v>0</v>
      </c>
      <c r="S214" s="156">
        <v>2</v>
      </c>
      <c r="T214" s="958" t="s">
        <v>105</v>
      </c>
      <c r="U214" s="153" t="s">
        <v>110</v>
      </c>
      <c r="V214" s="149">
        <v>41561</v>
      </c>
      <c r="W214" s="149">
        <v>42016</v>
      </c>
      <c r="X214" s="149">
        <v>43014</v>
      </c>
      <c r="Y214" s="149">
        <v>43250</v>
      </c>
      <c r="Z214" s="149">
        <v>43250</v>
      </c>
      <c r="AA214" s="149">
        <v>41561</v>
      </c>
      <c r="AB214" s="763" t="s">
        <v>151</v>
      </c>
      <c r="AC214" s="594">
        <f t="shared" si="41"/>
        <v>455</v>
      </c>
      <c r="AD214" s="149">
        <v>43250</v>
      </c>
      <c r="AE214" s="149" t="s">
        <v>103</v>
      </c>
      <c r="AF214" s="153">
        <v>3</v>
      </c>
      <c r="AG214" s="1018">
        <v>0</v>
      </c>
      <c r="AH214" s="596">
        <v>1462</v>
      </c>
      <c r="AI214" s="960">
        <v>0.17424200000000001</v>
      </c>
      <c r="AJ214" s="607">
        <v>920</v>
      </c>
      <c r="AK214" s="153" t="s">
        <v>152</v>
      </c>
      <c r="AL214" s="791" t="s">
        <v>104</v>
      </c>
      <c r="AO214" s="963"/>
      <c r="AP214" s="94">
        <v>500000</v>
      </c>
      <c r="AQ214" s="574">
        <f>1336453+360.95</f>
        <v>1336813.95</v>
      </c>
      <c r="AR214" s="153" t="s">
        <v>116</v>
      </c>
      <c r="AS214" s="153" t="s">
        <v>116</v>
      </c>
      <c r="AT214" s="679" t="s">
        <v>150</v>
      </c>
      <c r="AU214" s="777" t="s">
        <v>122</v>
      </c>
      <c r="AV214" s="777" t="s">
        <v>122</v>
      </c>
      <c r="AW214" s="777" t="s">
        <v>122</v>
      </c>
      <c r="AX214" s="155" t="s">
        <v>103</v>
      </c>
      <c r="AY214" s="155" t="s">
        <v>103</v>
      </c>
      <c r="AZ214" s="155" t="s">
        <v>103</v>
      </c>
      <c r="BA214" s="156">
        <v>0</v>
      </c>
      <c r="BB214" s="574">
        <f t="shared" ref="BB214" si="42">AQ214</f>
        <v>1336813.95</v>
      </c>
      <c r="BC214" s="780">
        <f>AP214-AQ214</f>
        <v>-836813.95</v>
      </c>
      <c r="BD214" s="1008" t="s">
        <v>151</v>
      </c>
      <c r="BE214" s="679">
        <v>0</v>
      </c>
      <c r="BF214" s="156" t="s">
        <v>103</v>
      </c>
      <c r="BG214" s="94">
        <v>1336453</v>
      </c>
      <c r="BH214" s="766">
        <v>858266</v>
      </c>
      <c r="BI214" s="774">
        <v>0</v>
      </c>
      <c r="BJ214" s="774">
        <v>0</v>
      </c>
      <c r="BK214" s="153" t="s">
        <v>103</v>
      </c>
      <c r="BL214" s="153" t="s">
        <v>124</v>
      </c>
      <c r="BM214" s="94" t="s">
        <v>124</v>
      </c>
      <c r="BN214" s="155" t="s">
        <v>103</v>
      </c>
      <c r="BO214" s="153" t="s">
        <v>103</v>
      </c>
      <c r="BP214" s="153" t="s">
        <v>103</v>
      </c>
      <c r="BQ214" s="153" t="s">
        <v>103</v>
      </c>
      <c r="BR214" s="153" t="s">
        <v>110</v>
      </c>
      <c r="BS214" s="153" t="s">
        <v>104</v>
      </c>
      <c r="BT214" s="153" t="s">
        <v>110</v>
      </c>
      <c r="BU214" s="153" t="s">
        <v>104</v>
      </c>
      <c r="BV214" s="153" t="s">
        <v>104</v>
      </c>
      <c r="BW214" s="153" t="s">
        <v>104</v>
      </c>
      <c r="BX214" s="153" t="s">
        <v>104</v>
      </c>
      <c r="BY214" s="153" t="s">
        <v>104</v>
      </c>
      <c r="BZ214" s="153" t="s">
        <v>104</v>
      </c>
      <c r="CA214" s="616" t="s">
        <v>103</v>
      </c>
      <c r="CB214" s="153" t="s">
        <v>103</v>
      </c>
      <c r="CC214" s="153" t="s">
        <v>110</v>
      </c>
      <c r="CD214" s="153" t="s">
        <v>103</v>
      </c>
      <c r="CE214" s="153" t="s">
        <v>625</v>
      </c>
    </row>
    <row r="215" spans="1:83" ht="21" customHeight="1">
      <c r="A215" s="503"/>
      <c r="B215" s="164" t="s">
        <v>626</v>
      </c>
      <c r="C215" s="155" t="s">
        <v>103</v>
      </c>
      <c r="D215" s="153">
        <v>6418</v>
      </c>
      <c r="E215" s="153">
        <v>90740</v>
      </c>
      <c r="F215" s="153">
        <v>6059099502</v>
      </c>
      <c r="G215" s="153" t="s">
        <v>110</v>
      </c>
      <c r="H215" s="153" t="s">
        <v>150</v>
      </c>
      <c r="I215" s="508" t="s">
        <v>626</v>
      </c>
      <c r="J215" s="153" t="s">
        <v>117</v>
      </c>
      <c r="K215" s="572" t="s">
        <v>205</v>
      </c>
      <c r="L215" s="153">
        <v>6418</v>
      </c>
      <c r="M215" s="153" t="s">
        <v>110</v>
      </c>
      <c r="Q215" s="156" t="s">
        <v>119</v>
      </c>
      <c r="V215" s="149">
        <v>41561</v>
      </c>
      <c r="W215" s="149" t="s">
        <v>103</v>
      </c>
      <c r="X215" s="149" t="s">
        <v>103</v>
      </c>
      <c r="Y215" s="149" t="s">
        <v>103</v>
      </c>
      <c r="Z215" s="149" t="s">
        <v>103</v>
      </c>
      <c r="AA215" s="149" t="s">
        <v>103</v>
      </c>
      <c r="AB215" s="153" t="s">
        <v>103</v>
      </c>
      <c r="AC215" s="594" t="s">
        <v>103</v>
      </c>
      <c r="AD215" s="153" t="s">
        <v>103</v>
      </c>
      <c r="AE215" s="149" t="s">
        <v>103</v>
      </c>
      <c r="AF215" s="153" t="s">
        <v>103</v>
      </c>
      <c r="AG215" s="153" t="s">
        <v>103</v>
      </c>
      <c r="AH215" s="596" t="s">
        <v>103</v>
      </c>
      <c r="AI215" s="960" t="s">
        <v>103</v>
      </c>
      <c r="AJ215" s="607">
        <v>1960</v>
      </c>
      <c r="AK215" s="153" t="s">
        <v>152</v>
      </c>
      <c r="AL215" s="791" t="s">
        <v>103</v>
      </c>
      <c r="AO215" s="963"/>
      <c r="AP215" s="519">
        <v>1100000</v>
      </c>
      <c r="AQ215" s="580">
        <v>0</v>
      </c>
      <c r="AR215" s="153" t="s">
        <v>116</v>
      </c>
      <c r="AS215" s="153" t="s">
        <v>116</v>
      </c>
      <c r="AT215" s="777" t="s">
        <v>121</v>
      </c>
      <c r="AU215" s="777" t="s">
        <v>122</v>
      </c>
      <c r="AV215" s="777" t="s">
        <v>122</v>
      </c>
      <c r="AW215" s="777" t="s">
        <v>122</v>
      </c>
      <c r="AX215" s="155" t="s">
        <v>103</v>
      </c>
      <c r="AY215" s="155" t="s">
        <v>103</v>
      </c>
      <c r="AZ215" s="155" t="s">
        <v>103</v>
      </c>
      <c r="BB215" s="153"/>
      <c r="BC215" s="780" t="s">
        <v>103</v>
      </c>
      <c r="BD215" s="153" t="s">
        <v>103</v>
      </c>
      <c r="BE215" s="679" t="s">
        <v>103</v>
      </c>
      <c r="BF215" s="156" t="s">
        <v>103</v>
      </c>
      <c r="BG215" s="519">
        <v>0</v>
      </c>
      <c r="BH215" s="769" t="s">
        <v>103</v>
      </c>
      <c r="BI215" s="774" t="s">
        <v>103</v>
      </c>
      <c r="BJ215" s="774" t="s">
        <v>103</v>
      </c>
      <c r="BK215" s="153" t="s">
        <v>103</v>
      </c>
      <c r="BL215" s="153" t="s">
        <v>124</v>
      </c>
      <c r="BM215" s="519" t="s">
        <v>103</v>
      </c>
      <c r="BN215" s="155" t="s">
        <v>103</v>
      </c>
      <c r="BO215" s="153" t="s">
        <v>103</v>
      </c>
      <c r="BP215" s="153" t="s">
        <v>103</v>
      </c>
      <c r="BQ215" s="153" t="s">
        <v>103</v>
      </c>
      <c r="BR215" s="153" t="s">
        <v>110</v>
      </c>
      <c r="BS215" s="153" t="s">
        <v>104</v>
      </c>
      <c r="BT215" s="153" t="s">
        <v>110</v>
      </c>
      <c r="BU215" s="153" t="s">
        <v>104</v>
      </c>
      <c r="BV215" s="153" t="s">
        <v>104</v>
      </c>
      <c r="BW215" s="153" t="s">
        <v>104</v>
      </c>
      <c r="BX215" s="153" t="s">
        <v>104</v>
      </c>
      <c r="BY215" s="153" t="s">
        <v>104</v>
      </c>
      <c r="BZ215" s="153" t="s">
        <v>104</v>
      </c>
      <c r="CA215" s="616" t="s">
        <v>110</v>
      </c>
      <c r="CB215" s="153" t="s">
        <v>103</v>
      </c>
      <c r="CC215" s="153" t="s">
        <v>110</v>
      </c>
      <c r="CD215" s="153" t="s">
        <v>103</v>
      </c>
      <c r="CE215" s="153" t="s">
        <v>103</v>
      </c>
    </row>
    <row r="216" spans="1:83" ht="27.6" customHeight="1">
      <c r="A216" s="503"/>
      <c r="B216" s="164" t="s">
        <v>627</v>
      </c>
      <c r="C216" s="155" t="s">
        <v>628</v>
      </c>
      <c r="D216" s="153">
        <v>5669</v>
      </c>
      <c r="E216" s="153">
        <v>90740</v>
      </c>
      <c r="F216" s="153">
        <v>6059099502</v>
      </c>
      <c r="G216" s="153" t="s">
        <v>110</v>
      </c>
      <c r="H216" s="153" t="s">
        <v>150</v>
      </c>
      <c r="I216" s="508" t="s">
        <v>627</v>
      </c>
      <c r="J216" s="153" t="s">
        <v>117</v>
      </c>
      <c r="K216" s="156">
        <v>0</v>
      </c>
      <c r="L216" s="153">
        <v>5669</v>
      </c>
      <c r="M216" s="153" t="s">
        <v>104</v>
      </c>
      <c r="Q216" s="156" t="s">
        <v>139</v>
      </c>
      <c r="R216" s="156">
        <v>0</v>
      </c>
      <c r="S216" s="156">
        <v>0</v>
      </c>
      <c r="V216" s="590">
        <v>39489</v>
      </c>
      <c r="W216" s="149">
        <v>39003</v>
      </c>
      <c r="X216" s="149">
        <v>40206</v>
      </c>
      <c r="Y216" s="149">
        <v>40392</v>
      </c>
      <c r="Z216" s="149">
        <v>40392</v>
      </c>
      <c r="AA216" s="149">
        <v>39489</v>
      </c>
      <c r="AB216" s="763" t="s">
        <v>121</v>
      </c>
      <c r="AC216" s="594">
        <v>-347.14285714285717</v>
      </c>
      <c r="AD216" s="153" t="s">
        <v>103</v>
      </c>
      <c r="AE216" s="149" t="s">
        <v>103</v>
      </c>
      <c r="AF216" s="596">
        <v>9</v>
      </c>
      <c r="AG216" s="596">
        <v>1</v>
      </c>
      <c r="AH216" s="595">
        <v>1743.3333333333333</v>
      </c>
      <c r="AI216" s="614">
        <v>0.33017676767676768</v>
      </c>
      <c r="AJ216" s="607">
        <v>2120</v>
      </c>
      <c r="AK216" s="153" t="s">
        <v>152</v>
      </c>
      <c r="AL216" s="791" t="s">
        <v>116</v>
      </c>
      <c r="AO216" s="963"/>
      <c r="AP216" s="1017">
        <v>1350000</v>
      </c>
      <c r="AQ216" s="574">
        <v>959707.61</v>
      </c>
      <c r="AR216" s="153" t="s">
        <v>116</v>
      </c>
      <c r="AS216" s="153" t="s">
        <v>116</v>
      </c>
      <c r="AT216" s="156">
        <v>0</v>
      </c>
      <c r="AU216" s="777" t="s">
        <v>122</v>
      </c>
      <c r="AV216" s="777" t="s">
        <v>122</v>
      </c>
      <c r="AW216" s="777" t="s">
        <v>122</v>
      </c>
      <c r="AX216" s="155" t="s">
        <v>103</v>
      </c>
      <c r="AY216" s="155" t="s">
        <v>103</v>
      </c>
      <c r="AZ216" s="155" t="s">
        <v>103</v>
      </c>
      <c r="BA216" s="156">
        <v>0</v>
      </c>
      <c r="BB216" s="574">
        <f t="shared" ref="BB216" si="43">AQ216</f>
        <v>959707.61</v>
      </c>
      <c r="BC216" s="780">
        <v>390292.39</v>
      </c>
      <c r="BD216" s="1008" t="s">
        <v>121</v>
      </c>
      <c r="BE216" s="679">
        <v>0</v>
      </c>
      <c r="BF216" s="153" t="s">
        <v>103</v>
      </c>
      <c r="BG216" s="94">
        <v>959707.61</v>
      </c>
      <c r="BH216" s="766">
        <v>1978056</v>
      </c>
      <c r="BI216" s="774">
        <v>0</v>
      </c>
      <c r="BJ216" s="774">
        <v>0</v>
      </c>
      <c r="BK216" s="153" t="s">
        <v>103</v>
      </c>
      <c r="BL216" s="153" t="s">
        <v>124</v>
      </c>
      <c r="BM216" s="94" t="s">
        <v>103</v>
      </c>
      <c r="BN216" s="155" t="s">
        <v>103</v>
      </c>
      <c r="BO216" s="153" t="s">
        <v>103</v>
      </c>
      <c r="BP216" s="153" t="s">
        <v>103</v>
      </c>
      <c r="BQ216" s="153" t="s">
        <v>103</v>
      </c>
      <c r="BR216" s="153" t="s">
        <v>103</v>
      </c>
      <c r="BS216" s="153" t="s">
        <v>104</v>
      </c>
      <c r="BT216" s="153" t="s">
        <v>103</v>
      </c>
      <c r="BU216" s="153" t="s">
        <v>104</v>
      </c>
      <c r="BV216" s="153" t="s">
        <v>104</v>
      </c>
      <c r="BW216" s="153" t="s">
        <v>103</v>
      </c>
      <c r="BX216" s="153" t="s">
        <v>110</v>
      </c>
      <c r="BY216" s="153" t="s">
        <v>104</v>
      </c>
      <c r="BZ216" s="153" t="s">
        <v>104</v>
      </c>
      <c r="CA216" s="616" t="s">
        <v>103</v>
      </c>
      <c r="CB216" s="153" t="s">
        <v>103</v>
      </c>
      <c r="CC216" s="153" t="s">
        <v>103</v>
      </c>
      <c r="CD216" s="153" t="s">
        <v>103</v>
      </c>
      <c r="CE216" s="153" t="s">
        <v>103</v>
      </c>
    </row>
    <row r="217" spans="1:83" ht="27.6" customHeight="1">
      <c r="A217" s="503" t="s">
        <v>629</v>
      </c>
      <c r="B217" s="164" t="s">
        <v>630</v>
      </c>
      <c r="C217" s="155" t="s">
        <v>631</v>
      </c>
      <c r="D217" s="153" t="s">
        <v>632</v>
      </c>
      <c r="E217" s="153">
        <v>90620</v>
      </c>
      <c r="F217" s="153">
        <v>6059088106</v>
      </c>
      <c r="G217" s="153" t="s">
        <v>110</v>
      </c>
      <c r="H217" s="674">
        <v>0.30132417851888182</v>
      </c>
      <c r="I217" s="508" t="s">
        <v>630</v>
      </c>
      <c r="J217" s="153" t="s">
        <v>117</v>
      </c>
      <c r="K217" s="572" t="s">
        <v>222</v>
      </c>
      <c r="L217" s="153" t="s">
        <v>632</v>
      </c>
      <c r="M217" s="153" t="s">
        <v>110</v>
      </c>
      <c r="N217" s="156">
        <v>1</v>
      </c>
      <c r="P217" s="156">
        <v>0</v>
      </c>
      <c r="Q217" s="989" t="s">
        <v>131</v>
      </c>
      <c r="R217" s="156">
        <v>0</v>
      </c>
      <c r="S217" s="156">
        <v>0</v>
      </c>
      <c r="T217" s="958" t="s">
        <v>105</v>
      </c>
      <c r="U217" s="153" t="s">
        <v>104</v>
      </c>
      <c r="V217" s="149">
        <v>42059</v>
      </c>
      <c r="W217" s="149">
        <v>42082</v>
      </c>
      <c r="X217" s="149">
        <v>43255</v>
      </c>
      <c r="Y217" s="149">
        <v>43465</v>
      </c>
      <c r="Z217" s="149" t="s">
        <v>103</v>
      </c>
      <c r="AA217" s="149">
        <v>42059</v>
      </c>
      <c r="AC217" s="594">
        <f>W217-V217</f>
        <v>23</v>
      </c>
      <c r="AD217" s="149">
        <v>44287</v>
      </c>
      <c r="AE217" s="149" t="s">
        <v>103</v>
      </c>
      <c r="AF217" s="153" t="s">
        <v>103</v>
      </c>
      <c r="AG217" s="153" t="s">
        <v>103</v>
      </c>
      <c r="AH217" s="596" t="s">
        <v>103</v>
      </c>
      <c r="AI217" s="960" t="s">
        <v>103</v>
      </c>
      <c r="AJ217" s="607">
        <v>4240</v>
      </c>
      <c r="AK217" s="153" t="s">
        <v>120</v>
      </c>
      <c r="AL217" s="791" t="s">
        <v>110</v>
      </c>
      <c r="AO217" s="963"/>
      <c r="AP217" s="94">
        <v>2400000</v>
      </c>
      <c r="AQ217" s="574">
        <v>0</v>
      </c>
      <c r="AR217" s="153" t="s">
        <v>116</v>
      </c>
      <c r="AS217" s="153" t="s">
        <v>116</v>
      </c>
      <c r="AT217" s="777" t="s">
        <v>122</v>
      </c>
      <c r="AU217" s="777" t="s">
        <v>122</v>
      </c>
      <c r="AV217" s="777" t="s">
        <v>122</v>
      </c>
      <c r="AW217" s="777" t="s">
        <v>122</v>
      </c>
      <c r="AX217" s="155" t="s">
        <v>103</v>
      </c>
      <c r="AY217" s="155" t="s">
        <v>103</v>
      </c>
      <c r="AZ217" s="155" t="s">
        <v>103</v>
      </c>
      <c r="BA217" s="156">
        <v>0</v>
      </c>
      <c r="BB217" s="153"/>
      <c r="BC217" s="780" t="s">
        <v>103</v>
      </c>
      <c r="BD217" s="153" t="s">
        <v>103</v>
      </c>
      <c r="BE217" s="679" t="s">
        <v>103</v>
      </c>
      <c r="BF217" s="156" t="s">
        <v>103</v>
      </c>
      <c r="BG217" s="94">
        <v>355377.06</v>
      </c>
      <c r="BH217" s="766">
        <v>2212643</v>
      </c>
      <c r="BI217" s="774">
        <v>187357</v>
      </c>
      <c r="BJ217" s="774">
        <v>0</v>
      </c>
      <c r="BK217" s="153" t="s">
        <v>103</v>
      </c>
      <c r="BL217" s="153" t="s">
        <v>124</v>
      </c>
      <c r="BM217" s="94" t="s">
        <v>103</v>
      </c>
      <c r="BN217" s="155" t="s">
        <v>103</v>
      </c>
      <c r="BO217" s="153" t="s">
        <v>103</v>
      </c>
      <c r="BP217" s="153" t="s">
        <v>103</v>
      </c>
      <c r="BQ217" s="153" t="s">
        <v>103</v>
      </c>
      <c r="BR217" s="153" t="s">
        <v>104</v>
      </c>
      <c r="BS217" s="153" t="s">
        <v>110</v>
      </c>
      <c r="BT217" s="153" t="s">
        <v>110</v>
      </c>
      <c r="BU217" s="153" t="s">
        <v>104</v>
      </c>
      <c r="BV217" s="153" t="s">
        <v>104</v>
      </c>
      <c r="BW217" s="153" t="s">
        <v>104</v>
      </c>
      <c r="BX217" s="153" t="s">
        <v>104</v>
      </c>
      <c r="BY217" s="153" t="s">
        <v>104</v>
      </c>
      <c r="BZ217" s="153" t="s">
        <v>110</v>
      </c>
    </row>
    <row r="218" spans="1:83" ht="14.1" customHeight="1">
      <c r="A218" s="503" t="s">
        <v>633</v>
      </c>
      <c r="B218" s="164" t="s">
        <v>103</v>
      </c>
      <c r="C218" s="155" t="s">
        <v>103</v>
      </c>
      <c r="D218" s="153" t="s">
        <v>103</v>
      </c>
      <c r="E218" s="153" t="s">
        <v>103</v>
      </c>
      <c r="F218" s="958" t="s">
        <v>103</v>
      </c>
      <c r="G218" s="153" t="s">
        <v>110</v>
      </c>
      <c r="H218" s="673">
        <v>0.14468186701683181</v>
      </c>
      <c r="I218" s="508" t="s">
        <v>103</v>
      </c>
      <c r="J218" s="958" t="s">
        <v>103</v>
      </c>
      <c r="K218" s="958" t="s">
        <v>103</v>
      </c>
      <c r="L218" s="155" t="s">
        <v>103</v>
      </c>
      <c r="M218" s="155" t="s">
        <v>103</v>
      </c>
      <c r="N218" s="156">
        <v>0</v>
      </c>
      <c r="O218" s="156" t="s">
        <v>103</v>
      </c>
      <c r="P218" s="156">
        <v>0</v>
      </c>
      <c r="Q218" s="958" t="s">
        <v>103</v>
      </c>
      <c r="R218" s="156">
        <v>0</v>
      </c>
      <c r="S218" s="156">
        <v>0</v>
      </c>
      <c r="T218" s="958" t="s">
        <v>105</v>
      </c>
      <c r="U218" s="153" t="s">
        <v>110</v>
      </c>
      <c r="V218" s="518" t="s">
        <v>103</v>
      </c>
      <c r="W218" s="991" t="s">
        <v>103</v>
      </c>
      <c r="X218" s="991" t="s">
        <v>103</v>
      </c>
      <c r="Y218" s="991" t="s">
        <v>103</v>
      </c>
      <c r="Z218" s="518" t="s">
        <v>103</v>
      </c>
      <c r="AA218" s="991" t="s">
        <v>103</v>
      </c>
      <c r="AB218" s="155" t="s">
        <v>103</v>
      </c>
      <c r="AC218" s="959" t="s">
        <v>103</v>
      </c>
      <c r="AD218" s="155" t="s">
        <v>103</v>
      </c>
      <c r="AE218" s="155" t="s">
        <v>103</v>
      </c>
      <c r="AF218" s="155" t="s">
        <v>103</v>
      </c>
      <c r="AG218" s="155" t="s">
        <v>103</v>
      </c>
      <c r="AH218" s="992" t="s">
        <v>103</v>
      </c>
      <c r="AI218" s="960" t="s">
        <v>103</v>
      </c>
      <c r="AJ218" s="992" t="s">
        <v>103</v>
      </c>
      <c r="AK218" s="155" t="s">
        <v>103</v>
      </c>
      <c r="AL218" s="993" t="s">
        <v>103</v>
      </c>
      <c r="AM218" s="155"/>
      <c r="AN218" s="155"/>
      <c r="AO218" s="994"/>
      <c r="AP218" s="519">
        <v>0</v>
      </c>
      <c r="AQ218" s="581">
        <v>0</v>
      </c>
      <c r="AR218" s="155" t="s">
        <v>103</v>
      </c>
      <c r="AS218" s="155" t="s">
        <v>103</v>
      </c>
      <c r="AT218" s="155" t="s">
        <v>103</v>
      </c>
      <c r="AU218" s="155" t="s">
        <v>103</v>
      </c>
      <c r="AV218" s="155" t="s">
        <v>103</v>
      </c>
      <c r="AW218" s="155" t="s">
        <v>103</v>
      </c>
      <c r="AX218" s="155" t="s">
        <v>103</v>
      </c>
      <c r="AY218" s="155" t="s">
        <v>103</v>
      </c>
      <c r="AZ218" s="155" t="s">
        <v>103</v>
      </c>
      <c r="BA218" s="155" t="s">
        <v>103</v>
      </c>
      <c r="BB218" s="155" t="s">
        <v>103</v>
      </c>
      <c r="BC218" s="155" t="s">
        <v>103</v>
      </c>
      <c r="BD218" s="155" t="s">
        <v>103</v>
      </c>
      <c r="BE218" s="989" t="s">
        <v>103</v>
      </c>
      <c r="BF218" s="155" t="s">
        <v>103</v>
      </c>
      <c r="BG218" s="961">
        <v>0</v>
      </c>
      <c r="BH218" s="155" t="s">
        <v>103</v>
      </c>
      <c r="BI218" s="990" t="s">
        <v>103</v>
      </c>
      <c r="BJ218" s="155" t="s">
        <v>103</v>
      </c>
      <c r="BK218" s="155" t="s">
        <v>103</v>
      </c>
      <c r="BL218" s="155" t="s">
        <v>103</v>
      </c>
      <c r="BM218" s="155" t="s">
        <v>103</v>
      </c>
      <c r="BN218" s="155" t="s">
        <v>103</v>
      </c>
      <c r="BO218" s="155" t="s">
        <v>103</v>
      </c>
      <c r="BP218" s="155" t="s">
        <v>103</v>
      </c>
      <c r="BQ218" s="155" t="s">
        <v>103</v>
      </c>
      <c r="BR218" s="155" t="s">
        <v>103</v>
      </c>
      <c r="BS218" s="155" t="s">
        <v>103</v>
      </c>
      <c r="BT218" s="155" t="s">
        <v>103</v>
      </c>
      <c r="BU218" s="155" t="s">
        <v>103</v>
      </c>
      <c r="BV218" s="155" t="s">
        <v>103</v>
      </c>
      <c r="BW218" s="155" t="s">
        <v>103</v>
      </c>
      <c r="BX218" s="155" t="s">
        <v>103</v>
      </c>
      <c r="BY218" s="155" t="s">
        <v>103</v>
      </c>
      <c r="BZ218" s="155" t="s">
        <v>103</v>
      </c>
      <c r="CA218" s="155" t="s">
        <v>103</v>
      </c>
      <c r="CB218" s="155" t="s">
        <v>103</v>
      </c>
      <c r="CC218" s="155" t="s">
        <v>103</v>
      </c>
      <c r="CD218" s="155" t="s">
        <v>103</v>
      </c>
      <c r="CE218" s="155" t="s">
        <v>103</v>
      </c>
    </row>
    <row r="219" spans="1:83" ht="41.45" customHeight="1">
      <c r="A219" s="503" t="s">
        <v>634</v>
      </c>
      <c r="B219" s="164" t="s">
        <v>635</v>
      </c>
      <c r="C219" s="155" t="s">
        <v>636</v>
      </c>
      <c r="D219" s="153" t="s">
        <v>637</v>
      </c>
      <c r="E219" s="153">
        <v>92861</v>
      </c>
      <c r="F219" s="153">
        <v>6059075811</v>
      </c>
      <c r="G219" s="153" t="s">
        <v>110</v>
      </c>
      <c r="H219" s="674">
        <v>2.7293064876957495E-2</v>
      </c>
      <c r="I219" s="508" t="s">
        <v>635</v>
      </c>
      <c r="J219" s="153" t="s">
        <v>117</v>
      </c>
      <c r="K219" s="156">
        <v>0</v>
      </c>
      <c r="L219" s="153" t="s">
        <v>637</v>
      </c>
      <c r="M219" s="153" t="s">
        <v>104</v>
      </c>
      <c r="N219" s="156">
        <v>1</v>
      </c>
      <c r="P219" s="156">
        <v>0</v>
      </c>
      <c r="Q219" s="156" t="s">
        <v>139</v>
      </c>
      <c r="R219" s="156">
        <v>0</v>
      </c>
      <c r="S219" s="156">
        <v>1</v>
      </c>
      <c r="T219" s="958" t="s">
        <v>105</v>
      </c>
      <c r="U219" s="153" t="s">
        <v>110</v>
      </c>
      <c r="V219" s="149">
        <v>40162</v>
      </c>
      <c r="W219" s="149">
        <v>40189</v>
      </c>
      <c r="X219" s="149">
        <v>40749</v>
      </c>
      <c r="Y219" s="149">
        <v>40848</v>
      </c>
      <c r="Z219" s="149">
        <v>40848</v>
      </c>
      <c r="AA219" s="149">
        <v>40162</v>
      </c>
      <c r="AB219" s="763" t="s">
        <v>151</v>
      </c>
      <c r="AC219" s="594">
        <v>19.285714285714285</v>
      </c>
      <c r="AD219" s="153" t="s">
        <v>103</v>
      </c>
      <c r="AE219" s="149" t="s">
        <v>103</v>
      </c>
      <c r="AF219" s="596">
        <v>4</v>
      </c>
      <c r="AG219" s="596">
        <v>11</v>
      </c>
      <c r="AH219" s="595">
        <v>964</v>
      </c>
      <c r="AI219" s="614">
        <v>0.18257575757575759</v>
      </c>
      <c r="AJ219" s="607">
        <v>640</v>
      </c>
      <c r="AK219" s="153" t="s">
        <v>152</v>
      </c>
      <c r="AL219" s="791" t="s">
        <v>110</v>
      </c>
      <c r="AO219" s="963"/>
      <c r="AP219" s="1017">
        <v>285000</v>
      </c>
      <c r="AQ219" s="574">
        <v>395357</v>
      </c>
      <c r="AR219" s="153" t="s">
        <v>116</v>
      </c>
      <c r="AS219" s="153" t="s">
        <v>116</v>
      </c>
      <c r="AT219" s="777" t="s">
        <v>122</v>
      </c>
      <c r="AU219" s="777" t="s">
        <v>122</v>
      </c>
      <c r="AV219" s="777" t="s">
        <v>122</v>
      </c>
      <c r="AW219" s="777" t="s">
        <v>122</v>
      </c>
      <c r="AX219" s="155" t="s">
        <v>103</v>
      </c>
      <c r="AY219" s="155" t="s">
        <v>103</v>
      </c>
      <c r="AZ219" s="155" t="s">
        <v>103</v>
      </c>
      <c r="BB219" s="574">
        <f t="shared" ref="BB219:BB220" si="44">AQ219</f>
        <v>395357</v>
      </c>
      <c r="BC219" s="780">
        <v>-110357</v>
      </c>
      <c r="BD219" s="1008" t="s">
        <v>151</v>
      </c>
      <c r="BE219" s="679">
        <v>0</v>
      </c>
      <c r="BF219" s="153" t="s">
        <v>103</v>
      </c>
      <c r="BG219" s="94">
        <v>395357</v>
      </c>
      <c r="BH219" s="766">
        <v>221626</v>
      </c>
      <c r="BI219" s="774">
        <v>56789.5</v>
      </c>
      <c r="BJ219" s="774">
        <v>6584.5</v>
      </c>
      <c r="BK219" s="153" t="s">
        <v>103</v>
      </c>
      <c r="BL219" s="153" t="s">
        <v>124</v>
      </c>
      <c r="BM219" s="94" t="s">
        <v>124</v>
      </c>
      <c r="BN219" s="155" t="s">
        <v>124</v>
      </c>
      <c r="BO219" s="153" t="s">
        <v>116</v>
      </c>
      <c r="BP219" s="153" t="s">
        <v>124</v>
      </c>
      <c r="BQ219" s="153" t="s">
        <v>103</v>
      </c>
      <c r="BR219" s="153" t="s">
        <v>103</v>
      </c>
      <c r="BS219" s="153" t="s">
        <v>103</v>
      </c>
      <c r="BT219" s="153" t="s">
        <v>103</v>
      </c>
      <c r="BU219" s="153" t="s">
        <v>103</v>
      </c>
      <c r="BV219" s="153" t="s">
        <v>103</v>
      </c>
      <c r="BW219" s="153" t="s">
        <v>103</v>
      </c>
      <c r="BX219" s="153" t="s">
        <v>103</v>
      </c>
      <c r="BY219" s="153" t="s">
        <v>103</v>
      </c>
      <c r="BZ219" s="153" t="s">
        <v>103</v>
      </c>
      <c r="CA219" s="616" t="s">
        <v>116</v>
      </c>
      <c r="CB219" s="153" t="s">
        <v>116</v>
      </c>
      <c r="CC219" s="153" t="s">
        <v>116</v>
      </c>
      <c r="CD219" s="153" t="s">
        <v>116</v>
      </c>
      <c r="CE219" s="153" t="s">
        <v>116</v>
      </c>
    </row>
    <row r="220" spans="1:83" ht="41.45" customHeight="1">
      <c r="A220" s="503" t="s">
        <v>638</v>
      </c>
      <c r="B220" s="164" t="s">
        <v>639</v>
      </c>
      <c r="C220" s="155" t="s">
        <v>640</v>
      </c>
      <c r="D220" s="153">
        <v>4160</v>
      </c>
      <c r="E220" s="153">
        <v>92683</v>
      </c>
      <c r="F220" s="153">
        <v>6059088903</v>
      </c>
      <c r="G220" s="153" t="s">
        <v>110</v>
      </c>
      <c r="H220" s="674">
        <v>0.25508133576366199</v>
      </c>
      <c r="I220" s="508" t="s">
        <v>639</v>
      </c>
      <c r="J220" s="153" t="s">
        <v>257</v>
      </c>
      <c r="K220" s="572" t="s">
        <v>118</v>
      </c>
      <c r="L220" s="153">
        <v>4160</v>
      </c>
      <c r="M220" s="153" t="s">
        <v>104</v>
      </c>
      <c r="N220" s="156">
        <v>2</v>
      </c>
      <c r="P220" s="156">
        <v>0</v>
      </c>
      <c r="Q220" s="156" t="s">
        <v>139</v>
      </c>
      <c r="R220" s="156">
        <v>0</v>
      </c>
      <c r="S220" s="156">
        <v>1</v>
      </c>
      <c r="T220" s="958" t="s">
        <v>105</v>
      </c>
      <c r="U220" s="153" t="s">
        <v>104</v>
      </c>
      <c r="V220" s="149">
        <v>39673</v>
      </c>
      <c r="W220" s="149">
        <v>39729</v>
      </c>
      <c r="X220" s="149">
        <v>40490</v>
      </c>
      <c r="Y220" s="149">
        <v>40817</v>
      </c>
      <c r="Z220" s="149">
        <v>40817</v>
      </c>
      <c r="AA220" s="149">
        <v>39673</v>
      </c>
      <c r="AB220" s="763" t="s">
        <v>121</v>
      </c>
      <c r="AC220" s="594">
        <v>40</v>
      </c>
      <c r="AD220" s="153" t="s">
        <v>103</v>
      </c>
      <c r="AE220" s="149" t="s">
        <v>103</v>
      </c>
      <c r="AF220" s="596">
        <v>58</v>
      </c>
      <c r="AG220" s="596" t="s">
        <v>103</v>
      </c>
      <c r="AH220" s="595">
        <v>10973</v>
      </c>
      <c r="AI220" s="614">
        <v>2.0782196969696969</v>
      </c>
      <c r="AJ220" s="607">
        <v>14925</v>
      </c>
      <c r="AK220" s="153" t="s">
        <v>120</v>
      </c>
      <c r="AL220" s="791" t="s">
        <v>116</v>
      </c>
      <c r="AO220" s="963"/>
      <c r="AP220" s="1017">
        <v>5983000</v>
      </c>
      <c r="AQ220" s="574">
        <v>4730150</v>
      </c>
      <c r="AR220" s="153" t="s">
        <v>116</v>
      </c>
      <c r="AS220" s="153" t="s">
        <v>116</v>
      </c>
      <c r="AT220" s="156">
        <v>0</v>
      </c>
      <c r="AU220" s="777" t="s">
        <v>122</v>
      </c>
      <c r="AV220" s="777" t="s">
        <v>122</v>
      </c>
      <c r="AW220" s="777" t="s">
        <v>122</v>
      </c>
      <c r="AX220" s="155" t="s">
        <v>103</v>
      </c>
      <c r="AY220" s="155" t="s">
        <v>103</v>
      </c>
      <c r="AZ220" s="155" t="s">
        <v>103</v>
      </c>
      <c r="BA220" s="156">
        <v>0</v>
      </c>
      <c r="BB220" s="574">
        <f t="shared" si="44"/>
        <v>4730150</v>
      </c>
      <c r="BC220" s="780">
        <v>1252850</v>
      </c>
      <c r="BD220" s="1008" t="s">
        <v>121</v>
      </c>
      <c r="BE220" s="679">
        <v>-569</v>
      </c>
      <c r="BF220" s="153">
        <v>2015</v>
      </c>
      <c r="BG220" s="94">
        <v>4730150</v>
      </c>
      <c r="BH220" s="766">
        <v>4749070</v>
      </c>
      <c r="BI220" s="774">
        <v>1233930</v>
      </c>
      <c r="BJ220" s="774">
        <v>0</v>
      </c>
      <c r="BK220" s="153" t="s">
        <v>103</v>
      </c>
      <c r="BL220" s="94" t="s">
        <v>124</v>
      </c>
      <c r="BM220" s="94" t="s">
        <v>124</v>
      </c>
      <c r="BN220" s="94" t="s">
        <v>124</v>
      </c>
      <c r="BO220" s="153" t="s">
        <v>116</v>
      </c>
      <c r="BP220" s="153" t="s">
        <v>124</v>
      </c>
      <c r="BQ220" s="153" t="s">
        <v>103</v>
      </c>
      <c r="BR220" s="153" t="s">
        <v>103</v>
      </c>
      <c r="BS220" s="153" t="s">
        <v>103</v>
      </c>
      <c r="BT220" s="153" t="s">
        <v>103</v>
      </c>
      <c r="BU220" s="153" t="s">
        <v>103</v>
      </c>
      <c r="BV220" s="153" t="s">
        <v>103</v>
      </c>
      <c r="BW220" s="153" t="s">
        <v>103</v>
      </c>
      <c r="BX220" s="153" t="s">
        <v>103</v>
      </c>
      <c r="BY220" s="153" t="s">
        <v>110</v>
      </c>
      <c r="BZ220" s="153" t="s">
        <v>110</v>
      </c>
      <c r="CA220" s="616" t="s">
        <v>116</v>
      </c>
      <c r="CB220" s="153" t="s">
        <v>116</v>
      </c>
      <c r="CC220" s="153" t="s">
        <v>116</v>
      </c>
      <c r="CD220" s="153" t="s">
        <v>116</v>
      </c>
      <c r="CE220" s="153" t="s">
        <v>116</v>
      </c>
    </row>
    <row r="221" spans="1:83" ht="41.45" customHeight="1">
      <c r="A221" s="503"/>
      <c r="B221" s="164" t="s">
        <v>641</v>
      </c>
      <c r="C221" s="155" t="s">
        <v>642</v>
      </c>
      <c r="D221" s="153">
        <v>4933</v>
      </c>
      <c r="E221" s="153">
        <v>92683</v>
      </c>
      <c r="F221" s="153">
        <v>6059088904</v>
      </c>
      <c r="G221" s="153" t="s">
        <v>150</v>
      </c>
      <c r="H221" s="153" t="s">
        <v>150</v>
      </c>
      <c r="I221" s="508" t="str">
        <f>B221</f>
        <v>Bolsa Ave/ Brookhurst</v>
      </c>
      <c r="J221" s="153" t="s">
        <v>117</v>
      </c>
      <c r="K221" s="572" t="s">
        <v>150</v>
      </c>
      <c r="L221" s="153">
        <v>4933</v>
      </c>
      <c r="M221" s="153" t="s">
        <v>110</v>
      </c>
      <c r="Q221" s="989" t="s">
        <v>131</v>
      </c>
      <c r="U221" s="153" t="s">
        <v>104</v>
      </c>
      <c r="V221" s="149">
        <v>43508</v>
      </c>
      <c r="W221" s="149">
        <v>43536</v>
      </c>
      <c r="X221" s="149">
        <v>44237</v>
      </c>
      <c r="Y221" s="149">
        <v>44539</v>
      </c>
      <c r="Z221" s="149" t="s">
        <v>103</v>
      </c>
      <c r="AA221" s="149">
        <v>43508</v>
      </c>
      <c r="AB221" s="153" t="s">
        <v>103</v>
      </c>
      <c r="AC221" s="153" t="s">
        <v>103</v>
      </c>
      <c r="AD221" s="149">
        <v>44539</v>
      </c>
      <c r="AE221" s="155" t="s">
        <v>103</v>
      </c>
      <c r="AF221" s="155" t="s">
        <v>103</v>
      </c>
      <c r="AG221" s="155" t="s">
        <v>103</v>
      </c>
      <c r="AH221" s="155" t="s">
        <v>103</v>
      </c>
      <c r="AI221" s="155" t="s">
        <v>103</v>
      </c>
      <c r="AJ221" s="155" t="s">
        <v>103</v>
      </c>
      <c r="AK221" s="153" t="s">
        <v>152</v>
      </c>
      <c r="AL221" s="791" t="s">
        <v>116</v>
      </c>
      <c r="AO221" s="963"/>
      <c r="AP221" s="1017">
        <v>3400000</v>
      </c>
      <c r="AQ221" s="574">
        <v>0</v>
      </c>
      <c r="AR221" s="153" t="s">
        <v>116</v>
      </c>
      <c r="AS221" s="153" t="s">
        <v>116</v>
      </c>
      <c r="AT221" s="777" t="s">
        <v>122</v>
      </c>
      <c r="AU221" s="777" t="s">
        <v>122</v>
      </c>
      <c r="AV221" s="777" t="s">
        <v>122</v>
      </c>
      <c r="AW221" s="777" t="s">
        <v>122</v>
      </c>
      <c r="AX221" s="156" t="s">
        <v>116</v>
      </c>
      <c r="AY221" s="156" t="s">
        <v>116</v>
      </c>
      <c r="AZ221" s="156" t="s">
        <v>116</v>
      </c>
      <c r="BA221" s="156" t="s">
        <v>150</v>
      </c>
      <c r="BB221" s="153" t="s">
        <v>150</v>
      </c>
      <c r="BC221" s="780" t="s">
        <v>150</v>
      </c>
      <c r="BD221" s="153" t="s">
        <v>103</v>
      </c>
      <c r="BE221" s="679" t="s">
        <v>103</v>
      </c>
      <c r="BF221" s="153" t="s">
        <v>103</v>
      </c>
      <c r="BG221" s="94" t="s">
        <v>103</v>
      </c>
      <c r="BH221" s="766">
        <v>2641363.2994545139</v>
      </c>
      <c r="BI221" s="774">
        <v>0</v>
      </c>
      <c r="BJ221" s="774">
        <v>0</v>
      </c>
      <c r="BK221" s="153" t="s">
        <v>103</v>
      </c>
      <c r="BL221" s="94" t="s">
        <v>103</v>
      </c>
      <c r="BM221" s="94" t="s">
        <v>103</v>
      </c>
      <c r="BN221" s="94" t="s">
        <v>103</v>
      </c>
      <c r="BO221" s="153" t="s">
        <v>116</v>
      </c>
      <c r="BP221" s="153" t="s">
        <v>103</v>
      </c>
      <c r="BQ221" s="153" t="s">
        <v>103</v>
      </c>
      <c r="BR221" s="153" t="s">
        <v>116</v>
      </c>
      <c r="BS221" s="153" t="s">
        <v>116</v>
      </c>
      <c r="BT221" s="153" t="s">
        <v>116</v>
      </c>
      <c r="BU221" s="153" t="s">
        <v>116</v>
      </c>
      <c r="BV221" s="153" t="s">
        <v>116</v>
      </c>
      <c r="BW221" s="153" t="s">
        <v>116</v>
      </c>
      <c r="BX221" s="153" t="s">
        <v>116</v>
      </c>
      <c r="BY221" s="153" t="s">
        <v>116</v>
      </c>
      <c r="BZ221" s="153" t="s">
        <v>116</v>
      </c>
      <c r="CA221" s="616" t="s">
        <v>116</v>
      </c>
      <c r="CB221" s="153" t="s">
        <v>116</v>
      </c>
      <c r="CC221" s="153" t="s">
        <v>116</v>
      </c>
      <c r="CD221" s="153" t="s">
        <v>116</v>
      </c>
      <c r="CE221" s="153" t="s">
        <v>116</v>
      </c>
    </row>
    <row r="222" spans="1:83" ht="26.1">
      <c r="A222" s="503" t="s">
        <v>643</v>
      </c>
      <c r="B222" s="164" t="s">
        <v>644</v>
      </c>
      <c r="C222" s="155" t="s">
        <v>645</v>
      </c>
      <c r="D222" s="153" t="s">
        <v>646</v>
      </c>
      <c r="E222" s="153">
        <v>92886</v>
      </c>
      <c r="F222" s="958">
        <v>6059021812</v>
      </c>
      <c r="G222" s="153" t="s">
        <v>110</v>
      </c>
      <c r="H222" s="673">
        <v>5.1701692393527988E-2</v>
      </c>
      <c r="I222" s="508" t="str">
        <f>B222</f>
        <v xml:space="preserve">Lakeview/ Yorba Linda to Lemon Drive </v>
      </c>
      <c r="J222" s="958" t="s">
        <v>117</v>
      </c>
      <c r="K222" s="958">
        <v>4</v>
      </c>
      <c r="L222" s="155" t="str">
        <f>D222</f>
        <v>2017-5498</v>
      </c>
      <c r="M222" s="155" t="s">
        <v>110</v>
      </c>
      <c r="N222" s="156">
        <v>1</v>
      </c>
      <c r="O222" s="156">
        <v>0</v>
      </c>
      <c r="P222" s="156">
        <v>0</v>
      </c>
      <c r="Q222" s="958" t="s">
        <v>294</v>
      </c>
      <c r="R222" s="156">
        <v>1</v>
      </c>
      <c r="S222" s="156">
        <v>0</v>
      </c>
      <c r="T222" s="958" t="s">
        <v>105</v>
      </c>
      <c r="U222" s="153" t="s">
        <v>110</v>
      </c>
      <c r="V222" s="518">
        <v>42962</v>
      </c>
      <c r="W222" s="991">
        <v>43105</v>
      </c>
      <c r="X222" s="991">
        <v>43703</v>
      </c>
      <c r="Y222" s="991">
        <v>44059</v>
      </c>
      <c r="Z222" s="518" t="s">
        <v>103</v>
      </c>
      <c r="AA222" s="991">
        <v>42962</v>
      </c>
      <c r="AB222" s="155" t="s">
        <v>103</v>
      </c>
      <c r="AC222" s="959" t="s">
        <v>103</v>
      </c>
      <c r="AD222" s="155" t="s">
        <v>103</v>
      </c>
      <c r="AE222" s="155" t="s">
        <v>103</v>
      </c>
      <c r="AF222" s="155" t="s">
        <v>103</v>
      </c>
      <c r="AG222" s="155" t="s">
        <v>103</v>
      </c>
      <c r="AH222" s="992" t="s">
        <v>103</v>
      </c>
      <c r="AI222" s="960" t="s">
        <v>103</v>
      </c>
      <c r="AJ222" s="992" t="s">
        <v>103</v>
      </c>
      <c r="AK222" s="153" t="s">
        <v>120</v>
      </c>
      <c r="AL222" s="993" t="s">
        <v>104</v>
      </c>
      <c r="AM222" s="155"/>
      <c r="AN222" s="155"/>
      <c r="AO222" s="994"/>
      <c r="AP222" s="94">
        <v>1460000</v>
      </c>
      <c r="AQ222" s="578">
        <v>0</v>
      </c>
      <c r="AR222" s="155" t="s">
        <v>116</v>
      </c>
      <c r="AS222" s="155" t="s">
        <v>116</v>
      </c>
      <c r="AT222" s="155" t="s">
        <v>116</v>
      </c>
      <c r="AU222" s="155" t="s">
        <v>116</v>
      </c>
      <c r="AV222" s="155" t="s">
        <v>116</v>
      </c>
      <c r="AW222" s="155" t="s">
        <v>116</v>
      </c>
      <c r="AX222" s="155" t="s">
        <v>116</v>
      </c>
      <c r="AY222" s="155" t="s">
        <v>116</v>
      </c>
      <c r="AZ222" s="155" t="s">
        <v>116</v>
      </c>
      <c r="BA222" s="155" t="s">
        <v>150</v>
      </c>
      <c r="BB222" s="155" t="s">
        <v>150</v>
      </c>
      <c r="BC222" s="155" t="s">
        <v>150</v>
      </c>
      <c r="BD222" s="155" t="s">
        <v>103</v>
      </c>
      <c r="BE222" s="989" t="s">
        <v>103</v>
      </c>
      <c r="BF222" s="155" t="s">
        <v>103</v>
      </c>
      <c r="BG222" s="961" t="s">
        <v>103</v>
      </c>
      <c r="BH222" s="155">
        <v>834843</v>
      </c>
      <c r="BI222" s="990">
        <v>0</v>
      </c>
      <c r="BJ222" s="964">
        <v>0</v>
      </c>
      <c r="BK222" s="155" t="s">
        <v>103</v>
      </c>
      <c r="BL222" s="155" t="s">
        <v>124</v>
      </c>
      <c r="BM222" s="155" t="s">
        <v>124</v>
      </c>
      <c r="BN222" s="155" t="s">
        <v>124</v>
      </c>
      <c r="BO222" s="155" t="s">
        <v>116</v>
      </c>
      <c r="BP222" s="155" t="s">
        <v>124</v>
      </c>
      <c r="BQ222" s="155" t="s">
        <v>103</v>
      </c>
      <c r="BR222" s="155" t="s">
        <v>103</v>
      </c>
      <c r="BS222" s="155" t="s">
        <v>103</v>
      </c>
      <c r="BT222" s="155" t="s">
        <v>103</v>
      </c>
      <c r="BU222" s="155" t="s">
        <v>103</v>
      </c>
      <c r="BV222" s="155" t="s">
        <v>103</v>
      </c>
      <c r="BW222" s="155" t="s">
        <v>103</v>
      </c>
      <c r="BX222" s="155" t="s">
        <v>103</v>
      </c>
      <c r="BY222" s="155" t="s">
        <v>110</v>
      </c>
      <c r="BZ222" s="155" t="s">
        <v>110</v>
      </c>
      <c r="CA222" s="155" t="s">
        <v>116</v>
      </c>
      <c r="CB222" s="155" t="s">
        <v>116</v>
      </c>
      <c r="CC222" s="155" t="s">
        <v>116</v>
      </c>
      <c r="CD222" s="155" t="s">
        <v>116</v>
      </c>
      <c r="CE222" s="155" t="s">
        <v>116</v>
      </c>
    </row>
    <row r="223" spans="1:83" ht="8.4499999999999993" customHeight="1">
      <c r="A223" s="503" t="s">
        <v>647</v>
      </c>
      <c r="B223" s="164" t="s">
        <v>648</v>
      </c>
      <c r="C223" s="155">
        <v>800061381</v>
      </c>
      <c r="D223" s="153" t="s">
        <v>649</v>
      </c>
      <c r="E223" s="153">
        <v>92651</v>
      </c>
      <c r="F223" s="153">
        <v>6059062649</v>
      </c>
      <c r="G223" s="153" t="s">
        <v>110</v>
      </c>
      <c r="H223" s="674">
        <v>9.9493869596990289E-2</v>
      </c>
      <c r="I223" s="508" t="s">
        <v>648</v>
      </c>
      <c r="J223" s="153" t="s">
        <v>484</v>
      </c>
      <c r="K223" s="572" t="s">
        <v>283</v>
      </c>
      <c r="L223" s="153" t="s">
        <v>649</v>
      </c>
      <c r="M223" s="153" t="s">
        <v>110</v>
      </c>
      <c r="N223" s="156">
        <v>3</v>
      </c>
      <c r="P223" s="156">
        <v>0</v>
      </c>
      <c r="Q223" s="989" t="s">
        <v>131</v>
      </c>
      <c r="R223" s="156">
        <v>0</v>
      </c>
      <c r="S223" s="156">
        <v>1</v>
      </c>
      <c r="T223" s="958" t="s">
        <v>105</v>
      </c>
      <c r="U223" s="153" t="s">
        <v>104</v>
      </c>
      <c r="V223" s="149">
        <v>37432</v>
      </c>
      <c r="W223" s="149">
        <v>39820</v>
      </c>
      <c r="X223" s="149" t="s">
        <v>650</v>
      </c>
      <c r="Y223" s="149" t="s">
        <v>650</v>
      </c>
      <c r="Z223" s="149" t="s">
        <v>103</v>
      </c>
      <c r="AA223" s="149">
        <v>37432</v>
      </c>
      <c r="AB223" s="153" t="s">
        <v>103</v>
      </c>
      <c r="AC223" s="594">
        <f t="shared" ref="AC223:AC224" si="45">W223-V223</f>
        <v>2388</v>
      </c>
      <c r="AD223" s="153" t="s">
        <v>116</v>
      </c>
      <c r="AE223" s="149" t="s">
        <v>103</v>
      </c>
      <c r="AF223" s="153" t="s">
        <v>103</v>
      </c>
      <c r="AG223" s="153" t="s">
        <v>103</v>
      </c>
      <c r="AH223" s="596" t="s">
        <v>103</v>
      </c>
      <c r="AI223" s="960" t="s">
        <v>103</v>
      </c>
      <c r="AJ223" s="607">
        <v>4800</v>
      </c>
      <c r="AK223" s="153" t="s">
        <v>651</v>
      </c>
      <c r="AL223" s="791" t="s">
        <v>110</v>
      </c>
      <c r="AO223" s="963"/>
      <c r="AP223" s="94">
        <v>3744000</v>
      </c>
      <c r="AQ223" s="574">
        <v>0</v>
      </c>
      <c r="AR223" s="153" t="s">
        <v>116</v>
      </c>
      <c r="AS223" s="153" t="s">
        <v>116</v>
      </c>
      <c r="AT223" s="777" t="s">
        <v>122</v>
      </c>
      <c r="AU223" s="777" t="s">
        <v>122</v>
      </c>
      <c r="AV223" s="777" t="s">
        <v>122</v>
      </c>
      <c r="AW223" s="777" t="s">
        <v>122</v>
      </c>
      <c r="AX223" s="155" t="s">
        <v>103</v>
      </c>
      <c r="AY223" s="155" t="s">
        <v>103</v>
      </c>
      <c r="AZ223" s="155" t="s">
        <v>103</v>
      </c>
      <c r="BA223" s="156">
        <v>0</v>
      </c>
      <c r="BB223" s="153"/>
      <c r="BC223" s="780" t="s">
        <v>103</v>
      </c>
      <c r="BD223" s="153" t="s">
        <v>103</v>
      </c>
      <c r="BE223" s="679" t="s">
        <v>103</v>
      </c>
      <c r="BF223" s="156" t="s">
        <v>103</v>
      </c>
      <c r="BG223" s="94">
        <v>125292.5</v>
      </c>
      <c r="BH223" s="766" t="s">
        <v>123</v>
      </c>
      <c r="BI223" s="775">
        <v>0</v>
      </c>
      <c r="BJ223" s="775">
        <v>0</v>
      </c>
      <c r="BK223" s="153" t="s">
        <v>103</v>
      </c>
      <c r="BL223" s="153" t="s">
        <v>124</v>
      </c>
      <c r="BM223" s="94" t="s">
        <v>103</v>
      </c>
      <c r="BN223" s="155" t="s">
        <v>103</v>
      </c>
      <c r="BO223" s="153" t="s">
        <v>103</v>
      </c>
      <c r="BP223" s="153" t="s">
        <v>103</v>
      </c>
      <c r="BQ223" s="153" t="s">
        <v>103</v>
      </c>
      <c r="BR223" s="153" t="s">
        <v>104</v>
      </c>
      <c r="BS223" s="153" t="s">
        <v>104</v>
      </c>
      <c r="BT223" s="153" t="s">
        <v>104</v>
      </c>
      <c r="BU223" s="153" t="s">
        <v>104</v>
      </c>
      <c r="BV223" s="153" t="s">
        <v>104</v>
      </c>
      <c r="BW223" s="153" t="s">
        <v>104</v>
      </c>
      <c r="BX223" s="153" t="s">
        <v>104</v>
      </c>
      <c r="BY223" s="153" t="s">
        <v>104</v>
      </c>
      <c r="BZ223" s="153" t="s">
        <v>110</v>
      </c>
      <c r="CA223" s="616" t="s">
        <v>103</v>
      </c>
      <c r="CB223" s="153" t="s">
        <v>103</v>
      </c>
      <c r="CC223" s="153" t="s">
        <v>103</v>
      </c>
      <c r="CD223" s="153" t="s">
        <v>103</v>
      </c>
      <c r="CE223" s="153" t="s">
        <v>103</v>
      </c>
    </row>
    <row r="224" spans="1:83" ht="12.6" customHeight="1">
      <c r="A224" s="503"/>
      <c r="B224" s="1013" t="s">
        <v>652</v>
      </c>
      <c r="C224" s="155" t="s">
        <v>653</v>
      </c>
      <c r="D224" s="153" t="s">
        <v>649</v>
      </c>
      <c r="E224" s="153">
        <v>92651</v>
      </c>
      <c r="F224" s="153">
        <v>6059062649</v>
      </c>
      <c r="G224" s="153" t="s">
        <v>110</v>
      </c>
      <c r="H224" s="153" t="s">
        <v>150</v>
      </c>
      <c r="I224" s="508" t="s">
        <v>652</v>
      </c>
      <c r="J224" s="153" t="s">
        <v>484</v>
      </c>
      <c r="K224" s="572" t="s">
        <v>283</v>
      </c>
      <c r="L224" s="153" t="s">
        <v>649</v>
      </c>
      <c r="M224" s="153" t="s">
        <v>110</v>
      </c>
      <c r="Q224" s="989" t="s">
        <v>131</v>
      </c>
      <c r="V224" s="149">
        <v>38528</v>
      </c>
      <c r="W224" s="149">
        <v>39933</v>
      </c>
      <c r="X224" s="149">
        <v>44617</v>
      </c>
      <c r="Y224" s="149">
        <v>44828</v>
      </c>
      <c r="Z224" s="149" t="s">
        <v>103</v>
      </c>
      <c r="AA224" s="149">
        <v>38528</v>
      </c>
      <c r="AB224" s="153" t="s">
        <v>103</v>
      </c>
      <c r="AC224" s="594">
        <f t="shared" si="45"/>
        <v>1405</v>
      </c>
      <c r="AD224" s="149">
        <v>44828</v>
      </c>
      <c r="AE224" s="149" t="s">
        <v>103</v>
      </c>
      <c r="AF224" s="153" t="s">
        <v>103</v>
      </c>
      <c r="AG224" s="153" t="s">
        <v>103</v>
      </c>
      <c r="AH224" s="596" t="s">
        <v>103</v>
      </c>
      <c r="AI224" s="960" t="s">
        <v>103</v>
      </c>
      <c r="AJ224" s="607">
        <v>10200</v>
      </c>
      <c r="AK224" s="153" t="s">
        <v>651</v>
      </c>
      <c r="AL224" s="791" t="s">
        <v>110</v>
      </c>
      <c r="AO224" s="963"/>
      <c r="AP224" s="94">
        <v>2968000</v>
      </c>
      <c r="AQ224" s="574">
        <v>0</v>
      </c>
      <c r="AR224" s="153" t="s">
        <v>116</v>
      </c>
      <c r="AS224" s="153" t="s">
        <v>116</v>
      </c>
      <c r="AT224" s="777" t="s">
        <v>122</v>
      </c>
      <c r="AU224" s="777" t="s">
        <v>122</v>
      </c>
      <c r="AV224" s="777" t="s">
        <v>122</v>
      </c>
      <c r="AW224" s="777" t="s">
        <v>122</v>
      </c>
      <c r="AX224" s="155" t="s">
        <v>103</v>
      </c>
      <c r="AY224" s="155" t="s">
        <v>103</v>
      </c>
      <c r="AZ224" s="155" t="s">
        <v>103</v>
      </c>
      <c r="BA224" s="156">
        <v>0</v>
      </c>
      <c r="BB224" s="153"/>
      <c r="BC224" s="780" t="s">
        <v>103</v>
      </c>
      <c r="BD224" s="153" t="s">
        <v>103</v>
      </c>
      <c r="BE224" s="679" t="s">
        <v>103</v>
      </c>
      <c r="BF224" s="156" t="s">
        <v>103</v>
      </c>
      <c r="BG224" s="94">
        <v>513388.12</v>
      </c>
      <c r="BH224" s="766" t="s">
        <v>123</v>
      </c>
      <c r="BI224" s="775">
        <v>0</v>
      </c>
      <c r="BJ224" s="775">
        <v>0</v>
      </c>
      <c r="BK224" s="153" t="s">
        <v>103</v>
      </c>
      <c r="BL224" s="153" t="s">
        <v>124</v>
      </c>
      <c r="BM224" s="94" t="s">
        <v>103</v>
      </c>
      <c r="BN224" s="155" t="s">
        <v>103</v>
      </c>
      <c r="BO224" s="153" t="s">
        <v>103</v>
      </c>
      <c r="BP224" s="153" t="s">
        <v>103</v>
      </c>
      <c r="BQ224" s="153" t="s">
        <v>103</v>
      </c>
      <c r="BR224" s="153" t="s">
        <v>104</v>
      </c>
      <c r="BS224" s="153" t="s">
        <v>104</v>
      </c>
      <c r="BT224" s="153" t="s">
        <v>104</v>
      </c>
      <c r="BU224" s="153" t="s">
        <v>104</v>
      </c>
      <c r="BV224" s="153" t="s">
        <v>104</v>
      </c>
      <c r="BW224" s="153" t="s">
        <v>104</v>
      </c>
      <c r="BX224" s="153" t="s">
        <v>104</v>
      </c>
      <c r="BY224" s="153" t="s">
        <v>104</v>
      </c>
      <c r="BZ224" s="153" t="s">
        <v>110</v>
      </c>
      <c r="CA224" s="616" t="s">
        <v>103</v>
      </c>
      <c r="CB224" s="153" t="s">
        <v>103</v>
      </c>
      <c r="CC224" s="153" t="s">
        <v>103</v>
      </c>
      <c r="CD224" s="153" t="s">
        <v>103</v>
      </c>
      <c r="CE224" s="153" t="s">
        <v>103</v>
      </c>
    </row>
    <row r="225" spans="1:83" ht="27.6" customHeight="1">
      <c r="A225" s="503"/>
      <c r="B225" s="1013" t="s">
        <v>654</v>
      </c>
      <c r="C225" s="155" t="s">
        <v>655</v>
      </c>
      <c r="D225" s="153" t="s">
        <v>656</v>
      </c>
      <c r="E225" s="153">
        <v>92649</v>
      </c>
      <c r="F225" s="153">
        <v>6059099417</v>
      </c>
      <c r="G225" s="153" t="s">
        <v>110</v>
      </c>
      <c r="H225" s="153" t="s">
        <v>150</v>
      </c>
      <c r="I225" s="508" t="s">
        <v>654</v>
      </c>
      <c r="J225" s="153" t="s">
        <v>117</v>
      </c>
      <c r="K225" s="572" t="s">
        <v>118</v>
      </c>
      <c r="L225" s="153" t="s">
        <v>656</v>
      </c>
      <c r="M225" s="153" t="s">
        <v>104</v>
      </c>
      <c r="Q225" s="156" t="s">
        <v>139</v>
      </c>
      <c r="V225" s="149">
        <v>38776</v>
      </c>
      <c r="W225" s="149">
        <v>38944</v>
      </c>
      <c r="X225" s="149">
        <v>41449</v>
      </c>
      <c r="Y225" s="149">
        <v>41670</v>
      </c>
      <c r="Z225" s="149">
        <v>41670</v>
      </c>
      <c r="AA225" s="149">
        <v>38776</v>
      </c>
      <c r="AB225" s="763" t="s">
        <v>151</v>
      </c>
      <c r="AC225" s="594">
        <v>120</v>
      </c>
      <c r="AD225" s="153" t="s">
        <v>103</v>
      </c>
      <c r="AE225" s="149" t="s">
        <v>103</v>
      </c>
      <c r="AF225" s="596">
        <v>44</v>
      </c>
      <c r="AG225" s="596">
        <v>94</v>
      </c>
      <c r="AH225" s="595">
        <v>7087.333333333333</v>
      </c>
      <c r="AI225" s="614">
        <v>1.3422979797979797</v>
      </c>
      <c r="AJ225" s="607">
        <v>6800</v>
      </c>
      <c r="AK225" s="153" t="s">
        <v>556</v>
      </c>
      <c r="AL225" s="791" t="s">
        <v>104</v>
      </c>
      <c r="AO225" s="963"/>
      <c r="AP225" s="1017">
        <v>2400000</v>
      </c>
      <c r="AQ225" s="574">
        <v>3692398</v>
      </c>
      <c r="AR225" s="153" t="s">
        <v>116</v>
      </c>
      <c r="AS225" s="153" t="s">
        <v>116</v>
      </c>
      <c r="AT225" s="778">
        <v>450000</v>
      </c>
      <c r="AU225" s="777" t="s">
        <v>122</v>
      </c>
      <c r="AV225" s="777" t="s">
        <v>122</v>
      </c>
      <c r="AW225" s="777" t="s">
        <v>122</v>
      </c>
      <c r="AX225" s="155" t="s">
        <v>103</v>
      </c>
      <c r="AY225" s="155" t="s">
        <v>103</v>
      </c>
      <c r="AZ225" s="155" t="s">
        <v>103</v>
      </c>
      <c r="BA225" s="156">
        <v>450000</v>
      </c>
      <c r="BB225" s="574">
        <f t="shared" ref="BB225" si="46">AQ225</f>
        <v>3692398</v>
      </c>
      <c r="BC225" s="780">
        <v>-1292398</v>
      </c>
      <c r="BD225" s="508" t="s">
        <v>657</v>
      </c>
      <c r="BE225" s="679">
        <v>20850</v>
      </c>
      <c r="BF225" s="153">
        <v>2015</v>
      </c>
      <c r="BG225" s="94">
        <v>3692398</v>
      </c>
      <c r="BH225" s="766">
        <v>0</v>
      </c>
      <c r="BI225" s="774">
        <v>1288525</v>
      </c>
      <c r="BJ225" s="774">
        <v>0</v>
      </c>
      <c r="BK225" s="153" t="s">
        <v>103</v>
      </c>
      <c r="BL225" s="153" t="s">
        <v>124</v>
      </c>
      <c r="BM225" s="94" t="s">
        <v>103</v>
      </c>
      <c r="BN225" s="155" t="s">
        <v>103</v>
      </c>
      <c r="BO225" s="153" t="s">
        <v>103</v>
      </c>
      <c r="BP225" s="153" t="s">
        <v>103</v>
      </c>
      <c r="BQ225" s="153" t="s">
        <v>103</v>
      </c>
      <c r="BR225" s="153" t="s">
        <v>104</v>
      </c>
      <c r="BS225" s="153" t="s">
        <v>104</v>
      </c>
      <c r="BT225" s="153" t="s">
        <v>104</v>
      </c>
      <c r="BU225" s="153" t="s">
        <v>104</v>
      </c>
      <c r="BV225" s="153" t="s">
        <v>110</v>
      </c>
      <c r="BW225" s="153" t="s">
        <v>104</v>
      </c>
      <c r="BX225" s="153" t="s">
        <v>104</v>
      </c>
      <c r="BY225" s="153" t="s">
        <v>104</v>
      </c>
      <c r="BZ225" s="153" t="s">
        <v>104</v>
      </c>
      <c r="CA225" s="616" t="s">
        <v>104</v>
      </c>
      <c r="CB225" s="153" t="s">
        <v>104</v>
      </c>
      <c r="CC225" s="153" t="s">
        <v>104</v>
      </c>
      <c r="CD225" s="153" t="s">
        <v>104</v>
      </c>
      <c r="CE225" s="153" t="s">
        <v>104</v>
      </c>
    </row>
    <row r="226" spans="1:83" s="968" customFormat="1" ht="14.1" customHeight="1">
      <c r="A226" s="1045"/>
      <c r="B226" s="1054"/>
      <c r="C226" s="1059"/>
      <c r="D226" s="1054"/>
      <c r="E226" s="1054"/>
      <c r="F226" s="1054"/>
      <c r="G226" s="1054"/>
      <c r="H226" s="1054"/>
      <c r="I226" s="1072"/>
      <c r="J226" s="1054"/>
      <c r="K226" s="1054"/>
      <c r="L226" s="1054"/>
      <c r="M226" s="1054"/>
      <c r="N226" s="1069"/>
      <c r="O226" s="1069"/>
      <c r="P226" s="1069"/>
      <c r="Q226" s="1069"/>
      <c r="R226" s="1069"/>
      <c r="S226" s="1069"/>
      <c r="T226" s="1054"/>
      <c r="U226" s="1054"/>
      <c r="V226" s="1073"/>
      <c r="W226" s="1073"/>
      <c r="X226" s="1073"/>
      <c r="Y226" s="1073"/>
      <c r="Z226" s="1073"/>
      <c r="AA226" s="1073"/>
      <c r="AB226" s="1054"/>
      <c r="AC226" s="1074"/>
      <c r="AD226" s="1054"/>
      <c r="AE226" s="1054"/>
      <c r="AF226" s="1054"/>
      <c r="AG226" s="1054"/>
      <c r="AH226" s="1064"/>
      <c r="AI226" s="1065"/>
      <c r="AJ226" s="1064"/>
      <c r="AK226" s="1054"/>
      <c r="AL226" s="1066"/>
      <c r="AM226" s="1054"/>
      <c r="AN226" s="1054"/>
      <c r="AO226" s="1067"/>
      <c r="AP226" s="1070"/>
      <c r="AQ226" s="1068"/>
      <c r="AR226" s="1054"/>
      <c r="AS226" s="1054"/>
      <c r="AT226" s="1054"/>
      <c r="AU226" s="1054"/>
      <c r="AV226" s="1054"/>
      <c r="AW226" s="1054"/>
      <c r="AX226" s="1054"/>
      <c r="AY226" s="1054"/>
      <c r="AZ226" s="1054"/>
      <c r="BA226" s="1054"/>
      <c r="BB226" s="1054"/>
      <c r="BC226" s="1054"/>
      <c r="BD226" s="1054"/>
      <c r="BE226" s="1069"/>
      <c r="BF226" s="1054"/>
      <c r="BG226" s="1070"/>
      <c r="BH226" s="1054"/>
      <c r="BI226" s="1071"/>
      <c r="BJ226" s="1054"/>
      <c r="BK226" s="1054"/>
      <c r="BL226" s="1054"/>
      <c r="BM226" s="1070"/>
      <c r="BN226" s="1059"/>
      <c r="BO226" s="1054"/>
      <c r="BP226" s="1054"/>
      <c r="BQ226" s="1054"/>
      <c r="BR226" s="1054"/>
      <c r="BS226" s="1054"/>
      <c r="BT226" s="1054"/>
      <c r="BU226" s="1054"/>
      <c r="BV226" s="1054"/>
      <c r="BW226" s="1054"/>
      <c r="BX226" s="1054"/>
      <c r="BY226" s="1054"/>
      <c r="BZ226" s="1054"/>
      <c r="CA226" s="1054"/>
      <c r="CB226" s="1054"/>
      <c r="CC226" s="1054"/>
      <c r="CD226" s="1054"/>
      <c r="CE226" s="1054"/>
    </row>
    <row r="227" spans="1:83" s="980" customFormat="1" ht="14.45" customHeight="1">
      <c r="A227" s="1009" t="s">
        <v>658</v>
      </c>
      <c r="C227" s="997"/>
      <c r="I227" s="1010"/>
      <c r="N227" s="1005"/>
      <c r="O227" s="1005"/>
      <c r="P227" s="1005"/>
      <c r="Q227" s="1005"/>
      <c r="R227" s="1005"/>
      <c r="S227" s="1005"/>
      <c r="V227" s="1000"/>
      <c r="W227" s="1000"/>
      <c r="X227" s="1000"/>
      <c r="Y227" s="1000"/>
      <c r="Z227" s="1000"/>
      <c r="AA227" s="1000"/>
      <c r="AC227" s="1002"/>
      <c r="AH227" s="1003"/>
      <c r="AI227" s="1004"/>
      <c r="AJ227" s="1003"/>
      <c r="AL227" s="797"/>
      <c r="AO227" s="798"/>
      <c r="AP227" s="163"/>
      <c r="AQ227" s="579"/>
      <c r="BE227" s="1005"/>
      <c r="BG227" s="163"/>
      <c r="BI227" s="1006"/>
      <c r="BM227" s="163"/>
      <c r="BN227" s="997"/>
    </row>
    <row r="228" spans="1:83" ht="27.6" customHeight="1">
      <c r="A228" s="503" t="s">
        <v>659</v>
      </c>
      <c r="B228" s="164" t="s">
        <v>660</v>
      </c>
      <c r="C228" s="155" t="s">
        <v>661</v>
      </c>
      <c r="D228" s="153" t="s">
        <v>662</v>
      </c>
      <c r="E228" s="153">
        <v>92223</v>
      </c>
      <c r="F228" s="153">
        <v>6065044000</v>
      </c>
      <c r="G228" s="153" t="s">
        <v>104</v>
      </c>
      <c r="H228" s="674">
        <v>9.8376698134929774E-2</v>
      </c>
      <c r="I228" s="508" t="s">
        <v>660</v>
      </c>
      <c r="J228" s="153" t="s">
        <v>117</v>
      </c>
      <c r="K228" s="572" t="s">
        <v>167</v>
      </c>
      <c r="L228" s="153" t="s">
        <v>662</v>
      </c>
      <c r="M228" s="153" t="s">
        <v>104</v>
      </c>
      <c r="N228" s="156">
        <v>1</v>
      </c>
      <c r="P228" s="156">
        <v>0</v>
      </c>
      <c r="Q228" s="156" t="s">
        <v>139</v>
      </c>
      <c r="R228" s="156">
        <v>0</v>
      </c>
      <c r="S228" s="156">
        <v>1</v>
      </c>
      <c r="T228" s="958" t="s">
        <v>105</v>
      </c>
      <c r="U228" s="153" t="s">
        <v>104</v>
      </c>
      <c r="V228" s="149">
        <v>38524</v>
      </c>
      <c r="W228" s="149">
        <v>38553</v>
      </c>
      <c r="X228" s="149">
        <v>40648</v>
      </c>
      <c r="Y228" s="149">
        <v>40715</v>
      </c>
      <c r="Z228" s="149">
        <v>40715</v>
      </c>
      <c r="AA228" s="149">
        <v>38524</v>
      </c>
      <c r="AB228" s="763" t="s">
        <v>151</v>
      </c>
      <c r="AC228" s="594">
        <v>20.714285714285715</v>
      </c>
      <c r="AD228" s="153" t="s">
        <v>103</v>
      </c>
      <c r="AE228" s="149" t="s">
        <v>103</v>
      </c>
      <c r="AF228" s="596">
        <v>10</v>
      </c>
      <c r="AG228" s="596">
        <v>13</v>
      </c>
      <c r="AH228" s="595">
        <v>1606.6666666666667</v>
      </c>
      <c r="AI228" s="614">
        <v>0.30429292929292928</v>
      </c>
      <c r="AJ228" s="607">
        <v>1230</v>
      </c>
      <c r="AK228" s="153" t="s">
        <v>120</v>
      </c>
      <c r="AL228" s="791" t="s">
        <v>104</v>
      </c>
      <c r="AO228" s="963"/>
      <c r="AP228" s="1017">
        <v>590000</v>
      </c>
      <c r="AQ228" s="574">
        <v>605874</v>
      </c>
      <c r="AR228" s="153" t="s">
        <v>116</v>
      </c>
      <c r="AS228" s="153" t="s">
        <v>116</v>
      </c>
      <c r="AT228" s="156">
        <v>0</v>
      </c>
      <c r="AU228" s="777" t="s">
        <v>122</v>
      </c>
      <c r="AV228" s="777" t="s">
        <v>122</v>
      </c>
      <c r="AW228" s="777" t="s">
        <v>122</v>
      </c>
      <c r="AX228" s="155" t="s">
        <v>103</v>
      </c>
      <c r="AY228" s="155" t="s">
        <v>103</v>
      </c>
      <c r="AZ228" s="155" t="s">
        <v>103</v>
      </c>
      <c r="BA228" s="156">
        <v>0</v>
      </c>
      <c r="BB228" s="574">
        <f t="shared" ref="BB228" si="47">AQ228</f>
        <v>605874</v>
      </c>
      <c r="BC228" s="780">
        <v>-15874</v>
      </c>
      <c r="BD228" s="508" t="s">
        <v>663</v>
      </c>
      <c r="BE228" s="679">
        <v>0</v>
      </c>
      <c r="BF228" s="153" t="s">
        <v>103</v>
      </c>
      <c r="BG228" s="94">
        <v>605874</v>
      </c>
      <c r="BH228" s="766" t="s">
        <v>123</v>
      </c>
      <c r="BI228" s="774">
        <v>0</v>
      </c>
      <c r="BJ228" s="774">
        <v>0</v>
      </c>
      <c r="BK228" s="153" t="s">
        <v>103</v>
      </c>
      <c r="BL228" s="153" t="s">
        <v>124</v>
      </c>
      <c r="BM228" s="94" t="s">
        <v>103</v>
      </c>
      <c r="BN228" s="155" t="s">
        <v>103</v>
      </c>
      <c r="BO228" s="153" t="s">
        <v>103</v>
      </c>
      <c r="BP228" s="153" t="s">
        <v>103</v>
      </c>
      <c r="BQ228" s="153" t="s">
        <v>103</v>
      </c>
      <c r="BR228" s="153" t="s">
        <v>110</v>
      </c>
      <c r="BS228" s="153" t="s">
        <v>110</v>
      </c>
      <c r="BT228" s="153" t="s">
        <v>110</v>
      </c>
      <c r="BU228" s="153" t="s">
        <v>110</v>
      </c>
      <c r="BV228" s="153" t="s">
        <v>110</v>
      </c>
      <c r="BW228" s="153" t="s">
        <v>110</v>
      </c>
      <c r="BX228" s="153" t="s">
        <v>110</v>
      </c>
      <c r="BY228" s="153" t="s">
        <v>117</v>
      </c>
      <c r="BZ228" s="153" t="s">
        <v>110</v>
      </c>
      <c r="CA228" s="616" t="s">
        <v>103</v>
      </c>
      <c r="CB228" s="153" t="s">
        <v>103</v>
      </c>
      <c r="CC228" s="153" t="s">
        <v>103</v>
      </c>
      <c r="CD228" s="153" t="s">
        <v>103</v>
      </c>
      <c r="CE228" s="153" t="s">
        <v>103</v>
      </c>
    </row>
    <row r="229" spans="1:83" ht="14.1" customHeight="1">
      <c r="A229" s="503" t="s">
        <v>664</v>
      </c>
      <c r="B229" s="164" t="s">
        <v>103</v>
      </c>
      <c r="C229" s="155" t="s">
        <v>103</v>
      </c>
      <c r="D229" s="153" t="s">
        <v>103</v>
      </c>
      <c r="E229" s="153" t="s">
        <v>103</v>
      </c>
      <c r="F229" s="958" t="s">
        <v>103</v>
      </c>
      <c r="G229" s="153" t="s">
        <v>104</v>
      </c>
      <c r="H229" s="673">
        <v>0.16854074542008843</v>
      </c>
      <c r="I229" s="508" t="s">
        <v>103</v>
      </c>
      <c r="J229" s="958" t="s">
        <v>103</v>
      </c>
      <c r="K229" s="958" t="s">
        <v>103</v>
      </c>
      <c r="L229" s="155" t="s">
        <v>103</v>
      </c>
      <c r="M229" s="155" t="s">
        <v>103</v>
      </c>
      <c r="N229" s="156">
        <v>0</v>
      </c>
      <c r="O229" s="156" t="s">
        <v>103</v>
      </c>
      <c r="P229" s="156">
        <v>0</v>
      </c>
      <c r="Q229" s="958" t="s">
        <v>103</v>
      </c>
      <c r="R229" s="156">
        <v>0</v>
      </c>
      <c r="S229" s="156">
        <v>0</v>
      </c>
      <c r="T229" s="958" t="s">
        <v>105</v>
      </c>
      <c r="U229" s="153" t="s">
        <v>104</v>
      </c>
      <c r="V229" s="518" t="s">
        <v>103</v>
      </c>
      <c r="W229" s="991" t="s">
        <v>103</v>
      </c>
      <c r="X229" s="991" t="s">
        <v>103</v>
      </c>
      <c r="Y229" s="991" t="s">
        <v>103</v>
      </c>
      <c r="Z229" s="518" t="s">
        <v>103</v>
      </c>
      <c r="AA229" s="991" t="s">
        <v>103</v>
      </c>
      <c r="AB229" s="155" t="s">
        <v>103</v>
      </c>
      <c r="AC229" s="959" t="s">
        <v>103</v>
      </c>
      <c r="AD229" s="155" t="s">
        <v>103</v>
      </c>
      <c r="AE229" s="155" t="s">
        <v>103</v>
      </c>
      <c r="AF229" s="155" t="s">
        <v>103</v>
      </c>
      <c r="AG229" s="155" t="s">
        <v>103</v>
      </c>
      <c r="AH229" s="992" t="s">
        <v>103</v>
      </c>
      <c r="AI229" s="960" t="s">
        <v>103</v>
      </c>
      <c r="AJ229" s="992" t="s">
        <v>103</v>
      </c>
      <c r="AK229" s="155" t="s">
        <v>103</v>
      </c>
      <c r="AL229" s="993" t="s">
        <v>103</v>
      </c>
      <c r="AM229" s="155"/>
      <c r="AN229" s="155"/>
      <c r="AO229" s="994"/>
      <c r="AP229" s="94">
        <v>0</v>
      </c>
      <c r="AQ229" s="578">
        <v>0</v>
      </c>
      <c r="AR229" s="155" t="s">
        <v>103</v>
      </c>
      <c r="AS229" s="155" t="s">
        <v>103</v>
      </c>
      <c r="AT229" s="155" t="s">
        <v>103</v>
      </c>
      <c r="AU229" s="155" t="s">
        <v>103</v>
      </c>
      <c r="AV229" s="155" t="s">
        <v>103</v>
      </c>
      <c r="AW229" s="155" t="s">
        <v>103</v>
      </c>
      <c r="AX229" s="155" t="s">
        <v>103</v>
      </c>
      <c r="AY229" s="155" t="s">
        <v>103</v>
      </c>
      <c r="AZ229" s="155" t="s">
        <v>103</v>
      </c>
      <c r="BA229" s="155" t="s">
        <v>103</v>
      </c>
      <c r="BB229" s="155" t="s">
        <v>103</v>
      </c>
      <c r="BC229" s="155" t="s">
        <v>103</v>
      </c>
      <c r="BD229" s="155" t="s">
        <v>103</v>
      </c>
      <c r="BE229" s="989" t="s">
        <v>103</v>
      </c>
      <c r="BF229" s="155" t="s">
        <v>103</v>
      </c>
      <c r="BG229" s="961">
        <v>0</v>
      </c>
      <c r="BH229" s="155" t="s">
        <v>103</v>
      </c>
      <c r="BI229" s="990" t="s">
        <v>103</v>
      </c>
      <c r="BJ229" s="155" t="s">
        <v>103</v>
      </c>
      <c r="BK229" s="155" t="s">
        <v>103</v>
      </c>
      <c r="BL229" s="155" t="s">
        <v>103</v>
      </c>
      <c r="BM229" s="155" t="s">
        <v>103</v>
      </c>
      <c r="BN229" s="155" t="s">
        <v>103</v>
      </c>
      <c r="BO229" s="155" t="s">
        <v>103</v>
      </c>
      <c r="BP229" s="155" t="s">
        <v>103</v>
      </c>
      <c r="BQ229" s="155" t="s">
        <v>103</v>
      </c>
      <c r="BR229" s="155" t="s">
        <v>103</v>
      </c>
      <c r="BS229" s="155" t="s">
        <v>103</v>
      </c>
      <c r="BT229" s="155" t="s">
        <v>103</v>
      </c>
      <c r="BU229" s="155" t="s">
        <v>103</v>
      </c>
      <c r="BV229" s="155" t="s">
        <v>103</v>
      </c>
      <c r="BW229" s="155" t="s">
        <v>103</v>
      </c>
      <c r="BX229" s="155" t="s">
        <v>103</v>
      </c>
      <c r="BY229" s="155" t="s">
        <v>103</v>
      </c>
      <c r="BZ229" s="155" t="s">
        <v>103</v>
      </c>
      <c r="CA229" s="155" t="s">
        <v>103</v>
      </c>
      <c r="CB229" s="155" t="s">
        <v>103</v>
      </c>
      <c r="CC229" s="155" t="s">
        <v>103</v>
      </c>
      <c r="CD229" s="155" t="s">
        <v>103</v>
      </c>
      <c r="CE229" s="155" t="s">
        <v>103</v>
      </c>
    </row>
    <row r="230" spans="1:83" ht="14.1" customHeight="1">
      <c r="A230" s="503" t="s">
        <v>665</v>
      </c>
      <c r="B230" s="164" t="s">
        <v>103</v>
      </c>
      <c r="C230" s="155" t="s">
        <v>103</v>
      </c>
      <c r="D230" s="153" t="s">
        <v>103</v>
      </c>
      <c r="E230" s="153" t="s">
        <v>103</v>
      </c>
      <c r="F230" s="958" t="s">
        <v>103</v>
      </c>
      <c r="G230" s="153" t="s">
        <v>110</v>
      </c>
      <c r="H230" s="673">
        <v>0.18519515477792733</v>
      </c>
      <c r="I230" s="508" t="s">
        <v>103</v>
      </c>
      <c r="J230" s="958" t="s">
        <v>103</v>
      </c>
      <c r="K230" s="958" t="s">
        <v>103</v>
      </c>
      <c r="L230" s="155" t="s">
        <v>103</v>
      </c>
      <c r="M230" s="155" t="s">
        <v>103</v>
      </c>
      <c r="N230" s="156">
        <v>0</v>
      </c>
      <c r="O230" s="156" t="s">
        <v>103</v>
      </c>
      <c r="P230" s="156">
        <v>0</v>
      </c>
      <c r="Q230" s="958" t="s">
        <v>103</v>
      </c>
      <c r="R230" s="156">
        <v>0</v>
      </c>
      <c r="S230" s="156">
        <v>0</v>
      </c>
      <c r="T230" s="958" t="s">
        <v>105</v>
      </c>
      <c r="U230" s="153" t="s">
        <v>110</v>
      </c>
      <c r="V230" s="518" t="s">
        <v>103</v>
      </c>
      <c r="W230" s="991" t="s">
        <v>103</v>
      </c>
      <c r="X230" s="991" t="s">
        <v>103</v>
      </c>
      <c r="Y230" s="991" t="s">
        <v>103</v>
      </c>
      <c r="Z230" s="518" t="s">
        <v>103</v>
      </c>
      <c r="AA230" s="991" t="s">
        <v>103</v>
      </c>
      <c r="AB230" s="155" t="s">
        <v>103</v>
      </c>
      <c r="AC230" s="959" t="s">
        <v>103</v>
      </c>
      <c r="AD230" s="155" t="s">
        <v>103</v>
      </c>
      <c r="AE230" s="155" t="s">
        <v>103</v>
      </c>
      <c r="AF230" s="155" t="s">
        <v>103</v>
      </c>
      <c r="AG230" s="155" t="s">
        <v>103</v>
      </c>
      <c r="AH230" s="992" t="s">
        <v>103</v>
      </c>
      <c r="AI230" s="960" t="s">
        <v>103</v>
      </c>
      <c r="AJ230" s="992" t="s">
        <v>103</v>
      </c>
      <c r="AK230" s="155" t="s">
        <v>103</v>
      </c>
      <c r="AL230" s="993" t="s">
        <v>103</v>
      </c>
      <c r="AM230" s="155"/>
      <c r="AN230" s="155"/>
      <c r="AO230" s="994"/>
      <c r="AP230" s="94">
        <v>0</v>
      </c>
      <c r="AQ230" s="578">
        <v>0</v>
      </c>
      <c r="AR230" s="155" t="s">
        <v>103</v>
      </c>
      <c r="AS230" s="155" t="s">
        <v>103</v>
      </c>
      <c r="AT230" s="155" t="s">
        <v>103</v>
      </c>
      <c r="AU230" s="155" t="s">
        <v>103</v>
      </c>
      <c r="AV230" s="155" t="s">
        <v>103</v>
      </c>
      <c r="AW230" s="155" t="s">
        <v>103</v>
      </c>
      <c r="AX230" s="155" t="s">
        <v>103</v>
      </c>
      <c r="AY230" s="155" t="s">
        <v>103</v>
      </c>
      <c r="AZ230" s="155" t="s">
        <v>103</v>
      </c>
      <c r="BA230" s="155" t="s">
        <v>103</v>
      </c>
      <c r="BB230" s="155" t="s">
        <v>103</v>
      </c>
      <c r="BC230" s="155" t="s">
        <v>103</v>
      </c>
      <c r="BD230" s="155" t="s">
        <v>103</v>
      </c>
      <c r="BE230" s="989" t="s">
        <v>103</v>
      </c>
      <c r="BF230" s="155" t="s">
        <v>103</v>
      </c>
      <c r="BG230" s="961">
        <v>0</v>
      </c>
      <c r="BH230" s="155" t="s">
        <v>103</v>
      </c>
      <c r="BI230" s="990" t="s">
        <v>103</v>
      </c>
      <c r="BJ230" s="155" t="s">
        <v>103</v>
      </c>
      <c r="BK230" s="155" t="s">
        <v>103</v>
      </c>
      <c r="BL230" s="155" t="s">
        <v>103</v>
      </c>
      <c r="BM230" s="155" t="s">
        <v>103</v>
      </c>
      <c r="BN230" s="155" t="s">
        <v>103</v>
      </c>
      <c r="BO230" s="155" t="s">
        <v>103</v>
      </c>
      <c r="BP230" s="155" t="s">
        <v>103</v>
      </c>
      <c r="BQ230" s="155" t="s">
        <v>103</v>
      </c>
      <c r="BR230" s="155" t="s">
        <v>103</v>
      </c>
      <c r="BS230" s="155" t="s">
        <v>103</v>
      </c>
      <c r="BT230" s="155" t="s">
        <v>103</v>
      </c>
      <c r="BU230" s="155" t="s">
        <v>103</v>
      </c>
      <c r="BV230" s="155" t="s">
        <v>103</v>
      </c>
      <c r="BW230" s="155" t="s">
        <v>103</v>
      </c>
      <c r="BX230" s="155" t="s">
        <v>103</v>
      </c>
      <c r="BY230" s="155" t="s">
        <v>103</v>
      </c>
      <c r="BZ230" s="155" t="s">
        <v>103</v>
      </c>
      <c r="CA230" s="155" t="s">
        <v>103</v>
      </c>
      <c r="CB230" s="155" t="s">
        <v>103</v>
      </c>
      <c r="CC230" s="155" t="s">
        <v>103</v>
      </c>
      <c r="CD230" s="155" t="s">
        <v>103</v>
      </c>
      <c r="CE230" s="155" t="s">
        <v>103</v>
      </c>
    </row>
    <row r="231" spans="1:83" ht="41.45" customHeight="1">
      <c r="A231" s="503" t="s">
        <v>666</v>
      </c>
      <c r="B231" s="164" t="s">
        <v>667</v>
      </c>
      <c r="C231" s="155" t="s">
        <v>668</v>
      </c>
      <c r="D231" s="153" t="s">
        <v>669</v>
      </c>
      <c r="E231" s="153">
        <v>92532</v>
      </c>
      <c r="F231" s="153">
        <v>6065042714</v>
      </c>
      <c r="G231" s="153" t="s">
        <v>110</v>
      </c>
      <c r="H231" s="674">
        <v>0.1109728272142709</v>
      </c>
      <c r="I231" s="508" t="s">
        <v>667</v>
      </c>
      <c r="J231" s="153" t="s">
        <v>282</v>
      </c>
      <c r="K231" s="572" t="s">
        <v>205</v>
      </c>
      <c r="L231" s="153" t="s">
        <v>669</v>
      </c>
      <c r="M231" s="153" t="s">
        <v>104</v>
      </c>
      <c r="N231" s="156">
        <v>1</v>
      </c>
      <c r="O231" s="156">
        <v>0</v>
      </c>
      <c r="P231" s="156">
        <v>0</v>
      </c>
      <c r="Q231" s="156" t="s">
        <v>139</v>
      </c>
      <c r="R231" s="156">
        <v>0</v>
      </c>
      <c r="S231" s="156">
        <v>1</v>
      </c>
      <c r="T231" s="958" t="s">
        <v>105</v>
      </c>
      <c r="U231" s="153" t="s">
        <v>104</v>
      </c>
      <c r="V231" s="149">
        <v>38980</v>
      </c>
      <c r="W231" s="149">
        <v>39120</v>
      </c>
      <c r="X231" s="149">
        <v>40735</v>
      </c>
      <c r="Y231" s="149">
        <v>40848</v>
      </c>
      <c r="Z231" s="149">
        <v>40848</v>
      </c>
      <c r="AA231" s="149">
        <v>38980</v>
      </c>
      <c r="AB231" s="763" t="s">
        <v>151</v>
      </c>
      <c r="AC231" s="594">
        <v>100</v>
      </c>
      <c r="AD231" s="153" t="s">
        <v>103</v>
      </c>
      <c r="AE231" s="149" t="s">
        <v>103</v>
      </c>
      <c r="AF231" s="596">
        <v>2</v>
      </c>
      <c r="AG231" s="596" t="s">
        <v>103</v>
      </c>
      <c r="AH231" s="595">
        <v>1259.6666666666667</v>
      </c>
      <c r="AI231" s="614">
        <v>0.23857323232323233</v>
      </c>
      <c r="AJ231" s="607">
        <v>1110</v>
      </c>
      <c r="AK231" s="153" t="s">
        <v>152</v>
      </c>
      <c r="AL231" s="791" t="s">
        <v>104</v>
      </c>
      <c r="AO231" s="963"/>
      <c r="AP231" s="1017">
        <v>400000</v>
      </c>
      <c r="AQ231" s="574">
        <v>478821</v>
      </c>
      <c r="AR231" s="153" t="s">
        <v>116</v>
      </c>
      <c r="AS231" s="153" t="s">
        <v>116</v>
      </c>
      <c r="AT231" s="156">
        <v>0</v>
      </c>
      <c r="AU231" s="777" t="s">
        <v>122</v>
      </c>
      <c r="AV231" s="777" t="s">
        <v>122</v>
      </c>
      <c r="AW231" s="777" t="s">
        <v>122</v>
      </c>
      <c r="AX231" s="155" t="s">
        <v>103</v>
      </c>
      <c r="AY231" s="155" t="s">
        <v>103</v>
      </c>
      <c r="AZ231" s="155" t="s">
        <v>103</v>
      </c>
      <c r="BA231" s="156">
        <v>0</v>
      </c>
      <c r="BB231" s="574">
        <f t="shared" ref="BB231:BB233" si="48">AQ231</f>
        <v>478821</v>
      </c>
      <c r="BC231" s="780">
        <v>-78821</v>
      </c>
      <c r="BD231" s="1008" t="s">
        <v>151</v>
      </c>
      <c r="BE231" s="679">
        <v>0</v>
      </c>
      <c r="BF231" s="153" t="s">
        <v>103</v>
      </c>
      <c r="BG231" s="94">
        <v>478821</v>
      </c>
      <c r="BH231" s="766">
        <v>294095</v>
      </c>
      <c r="BI231" s="774">
        <v>0</v>
      </c>
      <c r="BJ231" s="774">
        <v>0</v>
      </c>
      <c r="BK231" s="153" t="s">
        <v>103</v>
      </c>
      <c r="BL231" s="153" t="s">
        <v>124</v>
      </c>
      <c r="BM231" s="94" t="s">
        <v>103</v>
      </c>
      <c r="BN231" s="155" t="s">
        <v>103</v>
      </c>
      <c r="BO231" s="153" t="s">
        <v>103</v>
      </c>
      <c r="BP231" s="153" t="s">
        <v>103</v>
      </c>
      <c r="BQ231" s="153" t="s">
        <v>103</v>
      </c>
      <c r="BR231" s="153" t="s">
        <v>110</v>
      </c>
      <c r="BS231" s="153" t="s">
        <v>110</v>
      </c>
      <c r="BT231" s="153" t="s">
        <v>110</v>
      </c>
      <c r="BU231" s="153" t="s">
        <v>110</v>
      </c>
      <c r="BV231" s="153" t="s">
        <v>110</v>
      </c>
      <c r="BW231" s="153" t="s">
        <v>110</v>
      </c>
      <c r="BX231" s="153" t="s">
        <v>110</v>
      </c>
      <c r="BY231" s="153" t="s">
        <v>117</v>
      </c>
      <c r="BZ231" s="153" t="s">
        <v>110</v>
      </c>
      <c r="CA231" s="616" t="s">
        <v>103</v>
      </c>
      <c r="CB231" s="153" t="s">
        <v>103</v>
      </c>
      <c r="CC231" s="153" t="s">
        <v>103</v>
      </c>
      <c r="CD231" s="153" t="s">
        <v>103</v>
      </c>
      <c r="CE231" s="153" t="s">
        <v>103</v>
      </c>
    </row>
    <row r="232" spans="1:83" ht="9" customHeight="1">
      <c r="A232" s="503" t="s">
        <v>670</v>
      </c>
      <c r="B232" s="164" t="s">
        <v>671</v>
      </c>
      <c r="C232" s="155" t="s">
        <v>672</v>
      </c>
      <c r="D232" s="153" t="s">
        <v>673</v>
      </c>
      <c r="E232" s="153">
        <v>92234</v>
      </c>
      <c r="F232" s="153">
        <v>6065045000</v>
      </c>
      <c r="G232" s="153" t="s">
        <v>110</v>
      </c>
      <c r="H232" s="674">
        <v>0.24541852402179296</v>
      </c>
      <c r="I232" s="508" t="s">
        <v>674</v>
      </c>
      <c r="J232" s="153" t="s">
        <v>117</v>
      </c>
      <c r="K232" s="572" t="s">
        <v>118</v>
      </c>
      <c r="L232" s="153" t="s">
        <v>673</v>
      </c>
      <c r="M232" s="153" t="s">
        <v>104</v>
      </c>
      <c r="N232" s="156">
        <v>2</v>
      </c>
      <c r="O232" s="156" t="s">
        <v>103</v>
      </c>
      <c r="P232" s="156">
        <v>1</v>
      </c>
      <c r="Q232" s="156" t="s">
        <v>139</v>
      </c>
      <c r="R232" s="156">
        <v>0</v>
      </c>
      <c r="S232" s="156">
        <v>2</v>
      </c>
      <c r="T232" s="958" t="s">
        <v>105</v>
      </c>
      <c r="U232" s="153" t="s">
        <v>110</v>
      </c>
      <c r="V232" s="149">
        <v>37609</v>
      </c>
      <c r="W232" s="149">
        <v>37728</v>
      </c>
      <c r="X232" s="149">
        <v>38596</v>
      </c>
      <c r="Y232" s="149">
        <v>38950</v>
      </c>
      <c r="Z232" s="149">
        <v>38950</v>
      </c>
      <c r="AA232" s="149">
        <v>37609</v>
      </c>
      <c r="AB232" s="763" t="s">
        <v>151</v>
      </c>
      <c r="AC232" s="594">
        <v>85</v>
      </c>
      <c r="AD232" s="153" t="s">
        <v>103</v>
      </c>
      <c r="AE232" s="149" t="s">
        <v>103</v>
      </c>
      <c r="AF232" s="596" t="s">
        <v>103</v>
      </c>
      <c r="AG232" s="596" t="s">
        <v>103</v>
      </c>
      <c r="AH232" s="595" t="s">
        <v>103</v>
      </c>
      <c r="AI232" s="614">
        <v>1.0852272727272727</v>
      </c>
      <c r="AJ232" s="607">
        <v>5730</v>
      </c>
      <c r="AK232" s="153" t="s">
        <v>120</v>
      </c>
      <c r="AL232" s="791" t="s">
        <v>104</v>
      </c>
      <c r="AO232" s="963"/>
      <c r="AP232" s="574">
        <v>1800000</v>
      </c>
      <c r="AQ232" s="574">
        <v>2357476</v>
      </c>
      <c r="AR232" s="153" t="s">
        <v>116</v>
      </c>
      <c r="AS232" s="153" t="s">
        <v>116</v>
      </c>
      <c r="AT232" s="777" t="s">
        <v>122</v>
      </c>
      <c r="AU232" s="777" t="s">
        <v>122</v>
      </c>
      <c r="AV232" s="777" t="s">
        <v>122</v>
      </c>
      <c r="AW232" s="777" t="s">
        <v>122</v>
      </c>
      <c r="AX232" s="155" t="s">
        <v>103</v>
      </c>
      <c r="AY232" s="155" t="s">
        <v>103</v>
      </c>
      <c r="AZ232" s="155" t="s">
        <v>103</v>
      </c>
      <c r="BB232" s="574">
        <f t="shared" si="48"/>
        <v>2357476</v>
      </c>
      <c r="BC232" s="780">
        <v>-557476</v>
      </c>
      <c r="BD232" s="1008" t="s">
        <v>151</v>
      </c>
      <c r="BE232" s="679">
        <v>122179</v>
      </c>
      <c r="BF232" s="153">
        <v>2009</v>
      </c>
      <c r="BG232" s="94">
        <v>2357476</v>
      </c>
      <c r="BH232" s="766" t="s">
        <v>123</v>
      </c>
      <c r="BI232" s="770">
        <v>0</v>
      </c>
      <c r="BJ232" s="770">
        <v>0</v>
      </c>
      <c r="BK232" s="153" t="s">
        <v>103</v>
      </c>
      <c r="BL232" s="153" t="s">
        <v>124</v>
      </c>
      <c r="BM232" s="94" t="s">
        <v>103</v>
      </c>
      <c r="BN232" s="155" t="s">
        <v>103</v>
      </c>
      <c r="BO232" s="153" t="s">
        <v>103</v>
      </c>
      <c r="BP232" s="153" t="s">
        <v>103</v>
      </c>
      <c r="BQ232" s="153" t="s">
        <v>103</v>
      </c>
      <c r="BR232" s="153" t="s">
        <v>110</v>
      </c>
      <c r="BS232" s="153" t="s">
        <v>110</v>
      </c>
      <c r="BT232" s="153" t="s">
        <v>110</v>
      </c>
      <c r="BU232" s="153" t="s">
        <v>110</v>
      </c>
      <c r="BV232" s="153" t="s">
        <v>110</v>
      </c>
      <c r="BW232" s="153" t="s">
        <v>110</v>
      </c>
      <c r="BX232" s="153" t="s">
        <v>110</v>
      </c>
      <c r="BY232" s="153" t="s">
        <v>117</v>
      </c>
      <c r="BZ232" s="153" t="s">
        <v>110</v>
      </c>
      <c r="CA232" s="616" t="s">
        <v>103</v>
      </c>
      <c r="CB232" s="153" t="s">
        <v>103</v>
      </c>
      <c r="CC232" s="153" t="s">
        <v>103</v>
      </c>
      <c r="CD232" s="153" t="s">
        <v>103</v>
      </c>
      <c r="CE232" s="153" t="s">
        <v>103</v>
      </c>
    </row>
    <row r="233" spans="1:83" ht="27.6" customHeight="1">
      <c r="A233" s="503"/>
      <c r="B233" s="164" t="s">
        <v>675</v>
      </c>
      <c r="C233" s="155" t="s">
        <v>676</v>
      </c>
      <c r="D233" s="153" t="s">
        <v>677</v>
      </c>
      <c r="E233" s="153">
        <v>92234</v>
      </c>
      <c r="F233" s="153">
        <v>6065044702</v>
      </c>
      <c r="G233" s="153" t="s">
        <v>110</v>
      </c>
      <c r="H233" s="153" t="s">
        <v>150</v>
      </c>
      <c r="I233" s="508" t="s">
        <v>675</v>
      </c>
      <c r="J233" s="153" t="s">
        <v>117</v>
      </c>
      <c r="K233" s="572" t="s">
        <v>205</v>
      </c>
      <c r="L233" s="153" t="s">
        <v>677</v>
      </c>
      <c r="M233" s="153" t="s">
        <v>110</v>
      </c>
      <c r="O233" s="156">
        <v>0</v>
      </c>
      <c r="Q233" s="156" t="s">
        <v>139</v>
      </c>
      <c r="V233" s="149">
        <v>42912</v>
      </c>
      <c r="W233" s="149">
        <v>42852</v>
      </c>
      <c r="X233" s="149">
        <v>43413</v>
      </c>
      <c r="Y233" s="149">
        <v>43616</v>
      </c>
      <c r="Z233" s="149">
        <v>43616</v>
      </c>
      <c r="AA233" s="149">
        <v>42912</v>
      </c>
      <c r="AB233" s="763" t="s">
        <v>121</v>
      </c>
      <c r="AC233" s="155">
        <f>W233-V233</f>
        <v>-60</v>
      </c>
      <c r="AD233" s="149">
        <v>43616</v>
      </c>
      <c r="AE233" s="149" t="s">
        <v>103</v>
      </c>
      <c r="AF233" s="596">
        <v>7</v>
      </c>
      <c r="AG233" s="596">
        <v>3</v>
      </c>
      <c r="AH233" s="595">
        <v>1081</v>
      </c>
      <c r="AI233" s="614">
        <v>0.208712121</v>
      </c>
      <c r="AJ233" s="607">
        <v>1102</v>
      </c>
      <c r="AK233" s="153" t="s">
        <v>120</v>
      </c>
      <c r="AL233" s="791" t="s">
        <v>103</v>
      </c>
      <c r="AO233" s="963"/>
      <c r="AP233" s="574">
        <v>750000</v>
      </c>
      <c r="AQ233" s="574">
        <v>616808.95999999996</v>
      </c>
      <c r="AR233" s="153" t="s">
        <v>116</v>
      </c>
      <c r="AS233" s="153" t="s">
        <v>116</v>
      </c>
      <c r="AT233" s="777" t="s">
        <v>122</v>
      </c>
      <c r="AU233" s="777" t="s">
        <v>122</v>
      </c>
      <c r="AV233" s="777" t="s">
        <v>122</v>
      </c>
      <c r="AW233" s="777" t="s">
        <v>122</v>
      </c>
      <c r="AX233" s="155" t="s">
        <v>103</v>
      </c>
      <c r="AY233" s="155" t="s">
        <v>103</v>
      </c>
      <c r="AZ233" s="155" t="s">
        <v>103</v>
      </c>
      <c r="BA233" s="156">
        <v>0</v>
      </c>
      <c r="BB233" s="574">
        <f t="shared" si="48"/>
        <v>616808.95999999996</v>
      </c>
      <c r="BC233" s="780">
        <f>AP233-AQ233</f>
        <v>133191.04000000004</v>
      </c>
      <c r="BD233" s="508" t="s">
        <v>103</v>
      </c>
      <c r="BE233" s="679" t="s">
        <v>103</v>
      </c>
      <c r="BF233" s="156" t="s">
        <v>103</v>
      </c>
      <c r="BG233" s="94">
        <v>0</v>
      </c>
      <c r="BH233" s="766">
        <v>395372</v>
      </c>
      <c r="BI233" s="770">
        <v>0</v>
      </c>
      <c r="BJ233" s="770">
        <v>0</v>
      </c>
      <c r="BK233" s="153" t="s">
        <v>103</v>
      </c>
      <c r="BL233" s="153" t="s">
        <v>124</v>
      </c>
      <c r="BM233" s="94" t="s">
        <v>103</v>
      </c>
      <c r="BN233" s="155" t="s">
        <v>103</v>
      </c>
      <c r="BO233" s="153" t="s">
        <v>103</v>
      </c>
      <c r="BP233" s="153" t="s">
        <v>103</v>
      </c>
      <c r="BQ233" s="153" t="s">
        <v>103</v>
      </c>
      <c r="BR233" s="153" t="s">
        <v>103</v>
      </c>
      <c r="BS233" s="153" t="s">
        <v>103</v>
      </c>
      <c r="BT233" s="153" t="s">
        <v>103</v>
      </c>
      <c r="BU233" s="153" t="s">
        <v>103</v>
      </c>
      <c r="BV233" s="153" t="s">
        <v>103</v>
      </c>
      <c r="BW233" s="153" t="s">
        <v>103</v>
      </c>
      <c r="BX233" s="153" t="s">
        <v>103</v>
      </c>
      <c r="BY233" s="153" t="s">
        <v>103</v>
      </c>
      <c r="BZ233" s="153" t="s">
        <v>103</v>
      </c>
      <c r="CA233" s="616" t="s">
        <v>103</v>
      </c>
      <c r="CB233" s="153" t="s">
        <v>103</v>
      </c>
      <c r="CC233" s="153" t="s">
        <v>103</v>
      </c>
      <c r="CD233" s="153" t="s">
        <v>103</v>
      </c>
      <c r="CE233" s="153" t="s">
        <v>103</v>
      </c>
    </row>
    <row r="234" spans="1:83" ht="19.350000000000001" customHeight="1">
      <c r="A234" s="505" t="s">
        <v>678</v>
      </c>
      <c r="B234" s="164" t="s">
        <v>103</v>
      </c>
      <c r="C234" s="155" t="s">
        <v>103</v>
      </c>
      <c r="D234" s="153" t="s">
        <v>103</v>
      </c>
      <c r="E234" s="153" t="s">
        <v>103</v>
      </c>
      <c r="F234" s="958" t="s">
        <v>103</v>
      </c>
      <c r="G234" s="153" t="s">
        <v>104</v>
      </c>
      <c r="H234" s="673">
        <v>0.14868145346757294</v>
      </c>
      <c r="I234" s="508" t="s">
        <v>103</v>
      </c>
      <c r="J234" s="958" t="s">
        <v>103</v>
      </c>
      <c r="K234" s="958" t="s">
        <v>103</v>
      </c>
      <c r="L234" s="155" t="s">
        <v>103</v>
      </c>
      <c r="M234" s="155" t="s">
        <v>103</v>
      </c>
      <c r="N234" s="156">
        <v>0</v>
      </c>
      <c r="O234" s="156" t="s">
        <v>103</v>
      </c>
      <c r="P234" s="156">
        <v>0</v>
      </c>
      <c r="Q234" s="958" t="s">
        <v>103</v>
      </c>
      <c r="R234" s="156">
        <v>0</v>
      </c>
      <c r="S234" s="156">
        <v>0</v>
      </c>
      <c r="T234" s="958" t="s">
        <v>105</v>
      </c>
      <c r="U234" s="153" t="s">
        <v>104</v>
      </c>
      <c r="V234" s="518" t="s">
        <v>103</v>
      </c>
      <c r="W234" s="991" t="s">
        <v>103</v>
      </c>
      <c r="X234" s="991" t="s">
        <v>103</v>
      </c>
      <c r="Y234" s="991" t="s">
        <v>103</v>
      </c>
      <c r="Z234" s="518" t="s">
        <v>103</v>
      </c>
      <c r="AA234" s="991" t="s">
        <v>103</v>
      </c>
      <c r="AB234" s="155" t="s">
        <v>103</v>
      </c>
      <c r="AC234" s="155" t="s">
        <v>103</v>
      </c>
      <c r="AD234" s="155" t="s">
        <v>103</v>
      </c>
      <c r="AE234" s="155" t="s">
        <v>103</v>
      </c>
      <c r="AF234" s="155" t="s">
        <v>103</v>
      </c>
      <c r="AG234" s="155" t="s">
        <v>103</v>
      </c>
      <c r="AH234" s="992" t="s">
        <v>103</v>
      </c>
      <c r="AI234" s="960" t="s">
        <v>103</v>
      </c>
      <c r="AJ234" s="992" t="s">
        <v>103</v>
      </c>
      <c r="AK234" s="155" t="s">
        <v>103</v>
      </c>
      <c r="AL234" s="993" t="s">
        <v>103</v>
      </c>
      <c r="AM234" s="155"/>
      <c r="AN234" s="155"/>
      <c r="AO234" s="994"/>
      <c r="AP234" s="519">
        <v>0</v>
      </c>
      <c r="AQ234" s="578">
        <v>0</v>
      </c>
      <c r="AR234" s="155" t="s">
        <v>103</v>
      </c>
      <c r="AS234" s="155" t="s">
        <v>103</v>
      </c>
      <c r="AT234" s="155" t="s">
        <v>103</v>
      </c>
      <c r="AU234" s="155" t="s">
        <v>103</v>
      </c>
      <c r="AV234" s="155" t="s">
        <v>103</v>
      </c>
      <c r="AW234" s="155" t="s">
        <v>103</v>
      </c>
      <c r="AX234" s="155" t="s">
        <v>103</v>
      </c>
      <c r="AY234" s="155" t="s">
        <v>103</v>
      </c>
      <c r="AZ234" s="155" t="s">
        <v>103</v>
      </c>
      <c r="BA234" s="155" t="s">
        <v>103</v>
      </c>
      <c r="BB234" s="155" t="s">
        <v>103</v>
      </c>
      <c r="BC234" s="155" t="s">
        <v>103</v>
      </c>
      <c r="BD234" s="155" t="s">
        <v>103</v>
      </c>
      <c r="BE234" s="989" t="s">
        <v>103</v>
      </c>
      <c r="BF234" s="155" t="s">
        <v>103</v>
      </c>
      <c r="BG234" s="961">
        <v>0</v>
      </c>
      <c r="BH234" s="155" t="s">
        <v>103</v>
      </c>
      <c r="BI234" s="990" t="s">
        <v>103</v>
      </c>
      <c r="BJ234" s="155" t="s">
        <v>103</v>
      </c>
      <c r="BK234" s="155" t="s">
        <v>103</v>
      </c>
      <c r="BL234" s="155" t="s">
        <v>103</v>
      </c>
      <c r="BM234" s="155" t="s">
        <v>103</v>
      </c>
      <c r="BN234" s="155" t="s">
        <v>103</v>
      </c>
      <c r="BO234" s="155" t="s">
        <v>103</v>
      </c>
      <c r="BP234" s="155" t="s">
        <v>103</v>
      </c>
      <c r="BQ234" s="155" t="s">
        <v>103</v>
      </c>
      <c r="BR234" s="155" t="s">
        <v>103</v>
      </c>
      <c r="BS234" s="155" t="s">
        <v>103</v>
      </c>
      <c r="BT234" s="155" t="s">
        <v>103</v>
      </c>
      <c r="BU234" s="155" t="s">
        <v>103</v>
      </c>
      <c r="BV234" s="155" t="s">
        <v>103</v>
      </c>
      <c r="BW234" s="155" t="s">
        <v>103</v>
      </c>
      <c r="BX234" s="155" t="s">
        <v>103</v>
      </c>
      <c r="BY234" s="155" t="s">
        <v>103</v>
      </c>
      <c r="BZ234" s="155" t="s">
        <v>103</v>
      </c>
      <c r="CA234" s="155" t="s">
        <v>103</v>
      </c>
      <c r="CB234" s="155" t="s">
        <v>103</v>
      </c>
      <c r="CC234" s="155" t="s">
        <v>103</v>
      </c>
      <c r="CD234" s="155" t="s">
        <v>103</v>
      </c>
      <c r="CE234" s="155" t="s">
        <v>103</v>
      </c>
    </row>
    <row r="235" spans="1:83" ht="27.6" customHeight="1">
      <c r="A235" s="505" t="s">
        <v>679</v>
      </c>
      <c r="B235" s="164" t="s">
        <v>680</v>
      </c>
      <c r="C235" s="155" t="s">
        <v>681</v>
      </c>
      <c r="D235" s="153" t="s">
        <v>682</v>
      </c>
      <c r="E235" s="153">
        <v>92240</v>
      </c>
      <c r="F235" s="153">
        <v>6065044507</v>
      </c>
      <c r="G235" s="153" t="s">
        <v>110</v>
      </c>
      <c r="H235" s="674">
        <v>0.27311026987422149</v>
      </c>
      <c r="I235" s="508" t="s">
        <v>680</v>
      </c>
      <c r="J235" s="153" t="s">
        <v>257</v>
      </c>
      <c r="K235" s="572" t="s">
        <v>683</v>
      </c>
      <c r="L235" s="153" t="s">
        <v>682</v>
      </c>
      <c r="M235" s="153" t="s">
        <v>104</v>
      </c>
      <c r="N235" s="156">
        <v>1</v>
      </c>
      <c r="P235" s="156">
        <v>0</v>
      </c>
      <c r="Q235" s="156" t="s">
        <v>139</v>
      </c>
      <c r="R235" s="156">
        <v>0</v>
      </c>
      <c r="S235" s="156">
        <v>1</v>
      </c>
      <c r="T235" s="958" t="s">
        <v>105</v>
      </c>
      <c r="U235" s="153" t="s">
        <v>110</v>
      </c>
      <c r="V235" s="149">
        <v>40988</v>
      </c>
      <c r="W235" s="149">
        <v>41029</v>
      </c>
      <c r="X235" s="149">
        <v>42010</v>
      </c>
      <c r="Y235" s="149">
        <v>42154</v>
      </c>
      <c r="Z235" s="149">
        <v>42154</v>
      </c>
      <c r="AA235" s="149">
        <v>40988</v>
      </c>
      <c r="AB235" s="763" t="s">
        <v>121</v>
      </c>
      <c r="AC235" s="594">
        <v>29.285714285714285</v>
      </c>
      <c r="AD235" s="153" t="s">
        <v>103</v>
      </c>
      <c r="AE235" s="149" t="s">
        <v>103</v>
      </c>
      <c r="AF235" s="596">
        <v>11</v>
      </c>
      <c r="AG235" s="596">
        <v>0</v>
      </c>
      <c r="AH235" s="595">
        <v>2213</v>
      </c>
      <c r="AI235" s="614">
        <v>0.41912878787878788</v>
      </c>
      <c r="AJ235" s="607">
        <v>1910</v>
      </c>
      <c r="AK235" s="153" t="s">
        <v>120</v>
      </c>
      <c r="AL235" s="791" t="s">
        <v>104</v>
      </c>
      <c r="AO235" s="963"/>
      <c r="AP235" s="1017">
        <v>1200000</v>
      </c>
      <c r="AQ235" s="574">
        <v>805929</v>
      </c>
      <c r="AR235" s="153" t="s">
        <v>116</v>
      </c>
      <c r="AS235" s="153" t="s">
        <v>116</v>
      </c>
      <c r="AT235" s="156">
        <v>0</v>
      </c>
      <c r="AU235" s="777" t="s">
        <v>122</v>
      </c>
      <c r="AV235" s="777" t="s">
        <v>122</v>
      </c>
      <c r="AW235" s="777" t="s">
        <v>122</v>
      </c>
      <c r="AX235" s="155" t="s">
        <v>103</v>
      </c>
      <c r="AY235" s="155" t="s">
        <v>103</v>
      </c>
      <c r="AZ235" s="155" t="s">
        <v>103</v>
      </c>
      <c r="BA235" s="156">
        <v>0</v>
      </c>
      <c r="BB235" s="574">
        <f t="shared" ref="BB235" si="49">AQ235</f>
        <v>805929</v>
      </c>
      <c r="BC235" s="780">
        <v>394071</v>
      </c>
      <c r="BD235" s="1008" t="s">
        <v>121</v>
      </c>
      <c r="BE235" s="679">
        <v>0</v>
      </c>
      <c r="BF235" s="153" t="s">
        <v>103</v>
      </c>
      <c r="BG235" s="94">
        <v>805929</v>
      </c>
      <c r="BH235" s="766">
        <v>1333449.7802041017</v>
      </c>
      <c r="BI235" s="774">
        <v>0</v>
      </c>
      <c r="BJ235" s="774">
        <v>0</v>
      </c>
      <c r="BK235" s="153" t="s">
        <v>103</v>
      </c>
      <c r="BL235" s="153" t="s">
        <v>124</v>
      </c>
      <c r="BM235" s="94" t="s">
        <v>103</v>
      </c>
      <c r="BN235" s="155" t="s">
        <v>103</v>
      </c>
      <c r="BO235" s="153" t="s">
        <v>103</v>
      </c>
      <c r="BP235" s="153" t="s">
        <v>103</v>
      </c>
      <c r="BQ235" s="153" t="s">
        <v>103</v>
      </c>
      <c r="BR235" s="153" t="s">
        <v>110</v>
      </c>
      <c r="BS235" s="153" t="s">
        <v>110</v>
      </c>
      <c r="BT235" s="153" t="s">
        <v>110</v>
      </c>
      <c r="BU235" s="153" t="s">
        <v>110</v>
      </c>
      <c r="BV235" s="153" t="s">
        <v>110</v>
      </c>
      <c r="BW235" s="153" t="s">
        <v>110</v>
      </c>
      <c r="BX235" s="153" t="s">
        <v>110</v>
      </c>
      <c r="BY235" s="153" t="s">
        <v>117</v>
      </c>
      <c r="BZ235" s="153" t="s">
        <v>110</v>
      </c>
      <c r="CA235" s="616" t="s">
        <v>103</v>
      </c>
      <c r="CB235" s="153" t="s">
        <v>103</v>
      </c>
      <c r="CC235" s="153" t="s">
        <v>103</v>
      </c>
      <c r="CD235" s="153" t="s">
        <v>103</v>
      </c>
      <c r="CE235" s="153" t="s">
        <v>103</v>
      </c>
    </row>
    <row r="236" spans="1:83" ht="14.1" customHeight="1">
      <c r="A236" s="503" t="s">
        <v>684</v>
      </c>
      <c r="B236" s="164" t="s">
        <v>103</v>
      </c>
      <c r="C236" s="155" t="s">
        <v>103</v>
      </c>
      <c r="D236" s="153" t="s">
        <v>103</v>
      </c>
      <c r="E236" s="153" t="s">
        <v>103</v>
      </c>
      <c r="F236" s="958" t="s">
        <v>103</v>
      </c>
      <c r="G236" s="153" t="s">
        <v>104</v>
      </c>
      <c r="H236" s="673">
        <v>1.9204916458613404E-3</v>
      </c>
      <c r="I236" s="508" t="s">
        <v>103</v>
      </c>
      <c r="J236" s="958" t="s">
        <v>103</v>
      </c>
      <c r="K236" s="958" t="s">
        <v>103</v>
      </c>
      <c r="L236" s="155" t="s">
        <v>103</v>
      </c>
      <c r="M236" s="155" t="s">
        <v>103</v>
      </c>
      <c r="N236" s="156">
        <v>0</v>
      </c>
      <c r="O236" s="156" t="s">
        <v>103</v>
      </c>
      <c r="P236" s="156">
        <v>0</v>
      </c>
      <c r="Q236" s="958" t="s">
        <v>103</v>
      </c>
      <c r="R236" s="156">
        <v>0</v>
      </c>
      <c r="S236" s="156">
        <v>0</v>
      </c>
      <c r="T236" s="958" t="s">
        <v>105</v>
      </c>
      <c r="U236" s="153" t="s">
        <v>104</v>
      </c>
      <c r="V236" s="518" t="s">
        <v>103</v>
      </c>
      <c r="W236" s="991" t="s">
        <v>103</v>
      </c>
      <c r="X236" s="991" t="s">
        <v>103</v>
      </c>
      <c r="Y236" s="991" t="s">
        <v>103</v>
      </c>
      <c r="Z236" s="518" t="s">
        <v>103</v>
      </c>
      <c r="AA236" s="991" t="s">
        <v>103</v>
      </c>
      <c r="AB236" s="155" t="s">
        <v>103</v>
      </c>
      <c r="AC236" s="959" t="s">
        <v>103</v>
      </c>
      <c r="AD236" s="155" t="s">
        <v>103</v>
      </c>
      <c r="AE236" s="155" t="s">
        <v>103</v>
      </c>
      <c r="AF236" s="155" t="s">
        <v>103</v>
      </c>
      <c r="AG236" s="155" t="s">
        <v>103</v>
      </c>
      <c r="AH236" s="992" t="s">
        <v>103</v>
      </c>
      <c r="AI236" s="960" t="s">
        <v>103</v>
      </c>
      <c r="AJ236" s="992" t="s">
        <v>103</v>
      </c>
      <c r="AK236" s="155" t="s">
        <v>103</v>
      </c>
      <c r="AL236" s="993" t="s">
        <v>103</v>
      </c>
      <c r="AM236" s="155"/>
      <c r="AN236" s="155"/>
      <c r="AO236" s="994"/>
      <c r="AP236" s="94">
        <v>0</v>
      </c>
      <c r="AQ236" s="578">
        <v>0</v>
      </c>
      <c r="AR236" s="155" t="s">
        <v>103</v>
      </c>
      <c r="AS236" s="155" t="s">
        <v>103</v>
      </c>
      <c r="AT236" s="155" t="s">
        <v>103</v>
      </c>
      <c r="AU236" s="155" t="s">
        <v>103</v>
      </c>
      <c r="AV236" s="155" t="s">
        <v>103</v>
      </c>
      <c r="AW236" s="155" t="s">
        <v>103</v>
      </c>
      <c r="AX236" s="155" t="s">
        <v>103</v>
      </c>
      <c r="AY236" s="155" t="s">
        <v>103</v>
      </c>
      <c r="AZ236" s="155" t="s">
        <v>103</v>
      </c>
      <c r="BA236" s="155" t="s">
        <v>103</v>
      </c>
      <c r="BB236" s="155" t="s">
        <v>103</v>
      </c>
      <c r="BC236" s="155" t="s">
        <v>103</v>
      </c>
      <c r="BD236" s="155" t="s">
        <v>103</v>
      </c>
      <c r="BE236" s="989" t="s">
        <v>103</v>
      </c>
      <c r="BF236" s="155" t="s">
        <v>103</v>
      </c>
      <c r="BG236" s="961">
        <v>0</v>
      </c>
      <c r="BH236" s="155" t="s">
        <v>103</v>
      </c>
      <c r="BI236" s="990" t="s">
        <v>103</v>
      </c>
      <c r="BJ236" s="155" t="s">
        <v>103</v>
      </c>
      <c r="BK236" s="155" t="s">
        <v>103</v>
      </c>
      <c r="BL236" s="155" t="s">
        <v>103</v>
      </c>
      <c r="BM236" s="155" t="s">
        <v>103</v>
      </c>
      <c r="BN236" s="155" t="s">
        <v>103</v>
      </c>
      <c r="BO236" s="155" t="s">
        <v>103</v>
      </c>
      <c r="BP236" s="155" t="s">
        <v>103</v>
      </c>
      <c r="BQ236" s="155" t="s">
        <v>103</v>
      </c>
      <c r="BR236" s="155" t="s">
        <v>103</v>
      </c>
      <c r="BS236" s="155" t="s">
        <v>103</v>
      </c>
      <c r="BT236" s="155" t="s">
        <v>103</v>
      </c>
      <c r="BU236" s="155" t="s">
        <v>103</v>
      </c>
      <c r="BV236" s="155" t="s">
        <v>103</v>
      </c>
      <c r="BW236" s="155" t="s">
        <v>103</v>
      </c>
      <c r="BX236" s="155" t="s">
        <v>103</v>
      </c>
      <c r="BY236" s="155" t="s">
        <v>103</v>
      </c>
      <c r="BZ236" s="155" t="s">
        <v>103</v>
      </c>
      <c r="CA236" s="155" t="s">
        <v>103</v>
      </c>
      <c r="CB236" s="155" t="s">
        <v>103</v>
      </c>
      <c r="CC236" s="155" t="s">
        <v>103</v>
      </c>
      <c r="CD236" s="155" t="s">
        <v>103</v>
      </c>
      <c r="CE236" s="155" t="s">
        <v>103</v>
      </c>
    </row>
    <row r="237" spans="1:83" ht="69" customHeight="1">
      <c r="A237" s="503" t="s">
        <v>685</v>
      </c>
      <c r="B237" s="164" t="s">
        <v>686</v>
      </c>
      <c r="C237" s="155" t="s">
        <v>687</v>
      </c>
      <c r="D237" s="153" t="s">
        <v>103</v>
      </c>
      <c r="E237" s="153" t="s">
        <v>103</v>
      </c>
      <c r="F237" s="153">
        <v>6065043405</v>
      </c>
      <c r="G237" s="153" t="s">
        <v>110</v>
      </c>
      <c r="H237" s="674">
        <v>0.3597007170321106</v>
      </c>
      <c r="I237" s="508" t="s">
        <v>686</v>
      </c>
      <c r="J237" s="153" t="s">
        <v>117</v>
      </c>
      <c r="K237" s="156">
        <v>0</v>
      </c>
      <c r="L237" s="155" t="s">
        <v>103</v>
      </c>
      <c r="M237" s="155" t="s">
        <v>103</v>
      </c>
      <c r="N237" s="156">
        <v>0</v>
      </c>
      <c r="O237" s="156" t="s">
        <v>103</v>
      </c>
      <c r="P237" s="156">
        <v>0</v>
      </c>
      <c r="Q237" s="156" t="s">
        <v>244</v>
      </c>
      <c r="R237" s="156">
        <v>0</v>
      </c>
      <c r="S237" s="156">
        <v>0</v>
      </c>
      <c r="T237" s="958" t="s">
        <v>105</v>
      </c>
      <c r="U237" s="153" t="s">
        <v>104</v>
      </c>
      <c r="V237" s="518"/>
      <c r="W237" s="991">
        <v>39095</v>
      </c>
      <c r="X237" s="991" t="s">
        <v>103</v>
      </c>
      <c r="Y237" s="991" t="s">
        <v>103</v>
      </c>
      <c r="Z237" s="518" t="s">
        <v>103</v>
      </c>
      <c r="AA237" s="991" t="s">
        <v>103</v>
      </c>
      <c r="AB237" s="155" t="s">
        <v>103</v>
      </c>
      <c r="AC237" s="959" t="s">
        <v>103</v>
      </c>
      <c r="AD237" s="155" t="s">
        <v>103</v>
      </c>
      <c r="AE237" s="991">
        <v>41953</v>
      </c>
      <c r="AF237" s="153" t="s">
        <v>103</v>
      </c>
      <c r="AG237" s="153" t="s">
        <v>103</v>
      </c>
      <c r="AH237" s="153" t="s">
        <v>103</v>
      </c>
      <c r="AI237" s="960" t="s">
        <v>103</v>
      </c>
      <c r="AJ237" s="1019">
        <v>1800</v>
      </c>
      <c r="AK237" s="155" t="s">
        <v>152</v>
      </c>
      <c r="AL237" s="993" t="s">
        <v>104</v>
      </c>
      <c r="AM237" s="155"/>
      <c r="AN237" s="155"/>
      <c r="AO237" s="963"/>
      <c r="AP237" s="94">
        <v>0</v>
      </c>
      <c r="AQ237" s="574">
        <v>44271.25</v>
      </c>
      <c r="AR237" s="153" t="s">
        <v>116</v>
      </c>
      <c r="AS237" s="153" t="s">
        <v>116</v>
      </c>
      <c r="AT237" s="156">
        <v>0</v>
      </c>
      <c r="AU237" s="777" t="s">
        <v>122</v>
      </c>
      <c r="AV237" s="777" t="s">
        <v>122</v>
      </c>
      <c r="AW237" s="777" t="s">
        <v>122</v>
      </c>
      <c r="AX237" s="155" t="s">
        <v>103</v>
      </c>
      <c r="AY237" s="155" t="s">
        <v>103</v>
      </c>
      <c r="AZ237" s="155" t="s">
        <v>103</v>
      </c>
      <c r="BA237" s="156">
        <v>0</v>
      </c>
      <c r="BB237" s="155"/>
      <c r="BC237" s="1020" t="s">
        <v>103</v>
      </c>
      <c r="BD237" s="155" t="s">
        <v>103</v>
      </c>
      <c r="BE237" s="989" t="s">
        <v>103</v>
      </c>
      <c r="BF237" s="155" t="s">
        <v>103</v>
      </c>
      <c r="BG237" s="961">
        <v>44271.25</v>
      </c>
      <c r="BH237" s="155" t="s">
        <v>103</v>
      </c>
      <c r="BI237" s="990" t="s">
        <v>103</v>
      </c>
      <c r="BJ237" s="990" t="s">
        <v>103</v>
      </c>
      <c r="BK237" s="155" t="s">
        <v>103</v>
      </c>
      <c r="BL237" s="155" t="s">
        <v>124</v>
      </c>
      <c r="BM237" s="961" t="s">
        <v>103</v>
      </c>
      <c r="BN237" s="155" t="s">
        <v>103</v>
      </c>
      <c r="BO237" s="155" t="s">
        <v>103</v>
      </c>
      <c r="BP237" s="155" t="s">
        <v>103</v>
      </c>
      <c r="BQ237" s="155" t="s">
        <v>103</v>
      </c>
      <c r="BR237" s="155" t="s">
        <v>110</v>
      </c>
      <c r="BS237" s="155" t="s">
        <v>110</v>
      </c>
      <c r="BT237" s="155" t="s">
        <v>110</v>
      </c>
      <c r="BU237" s="155" t="s">
        <v>110</v>
      </c>
      <c r="BV237" s="155" t="s">
        <v>110</v>
      </c>
      <c r="BW237" s="155" t="s">
        <v>110</v>
      </c>
      <c r="BX237" s="155" t="s">
        <v>110</v>
      </c>
      <c r="BY237" s="155" t="s">
        <v>117</v>
      </c>
      <c r="BZ237" s="155" t="s">
        <v>110</v>
      </c>
      <c r="CA237" s="1021" t="s">
        <v>103</v>
      </c>
      <c r="CB237" s="155" t="s">
        <v>103</v>
      </c>
      <c r="CC237" s="155" t="s">
        <v>103</v>
      </c>
      <c r="CD237" s="155" t="s">
        <v>103</v>
      </c>
      <c r="CE237" s="155" t="s">
        <v>103</v>
      </c>
    </row>
    <row r="238" spans="1:83" ht="27.6" customHeight="1">
      <c r="A238" s="503" t="s">
        <v>688</v>
      </c>
      <c r="B238" s="164" t="s">
        <v>689</v>
      </c>
      <c r="C238" s="155" t="s">
        <v>690</v>
      </c>
      <c r="D238" s="153" t="s">
        <v>691</v>
      </c>
      <c r="E238" s="153">
        <v>92210</v>
      </c>
      <c r="F238" s="153">
        <v>6065044911</v>
      </c>
      <c r="G238" s="153" t="s">
        <v>110</v>
      </c>
      <c r="H238" s="674">
        <v>2.4205748865355523E-2</v>
      </c>
      <c r="I238" s="508" t="s">
        <v>689</v>
      </c>
      <c r="J238" s="153" t="s">
        <v>117</v>
      </c>
      <c r="K238" s="572" t="s">
        <v>293</v>
      </c>
      <c r="L238" s="153" t="s">
        <v>691</v>
      </c>
      <c r="M238" s="153" t="s">
        <v>104</v>
      </c>
      <c r="N238" s="156">
        <v>1</v>
      </c>
      <c r="P238" s="156">
        <v>0</v>
      </c>
      <c r="Q238" s="156" t="s">
        <v>139</v>
      </c>
      <c r="R238" s="156">
        <v>0</v>
      </c>
      <c r="S238" s="156">
        <v>1</v>
      </c>
      <c r="T238" s="958" t="s">
        <v>105</v>
      </c>
      <c r="U238" s="153" t="s">
        <v>110</v>
      </c>
      <c r="V238" s="149">
        <v>40528</v>
      </c>
      <c r="W238" s="149">
        <v>40570</v>
      </c>
      <c r="X238" s="149">
        <v>41379</v>
      </c>
      <c r="Y238" s="149">
        <v>41586</v>
      </c>
      <c r="Z238" s="149">
        <v>41586</v>
      </c>
      <c r="AA238" s="149">
        <v>40528</v>
      </c>
      <c r="AB238" s="763" t="s">
        <v>121</v>
      </c>
      <c r="AC238" s="594">
        <v>30</v>
      </c>
      <c r="AD238" s="153" t="s">
        <v>103</v>
      </c>
      <c r="AE238" s="149" t="s">
        <v>103</v>
      </c>
      <c r="AF238" s="596">
        <v>24</v>
      </c>
      <c r="AG238" s="596">
        <v>66</v>
      </c>
      <c r="AH238" s="595">
        <v>4770</v>
      </c>
      <c r="AI238" s="614">
        <v>0.90340909090909094</v>
      </c>
      <c r="AJ238" s="607">
        <v>4849</v>
      </c>
      <c r="AK238" s="153" t="s">
        <v>152</v>
      </c>
      <c r="AL238" s="791" t="s">
        <v>104</v>
      </c>
      <c r="AO238" s="963"/>
      <c r="AP238" s="1017">
        <v>1950000</v>
      </c>
      <c r="AQ238" s="574">
        <v>1824468</v>
      </c>
      <c r="AR238" s="153" t="s">
        <v>116</v>
      </c>
      <c r="AS238" s="153" t="s">
        <v>116</v>
      </c>
      <c r="AT238" s="156">
        <v>0</v>
      </c>
      <c r="AU238" s="777" t="s">
        <v>122</v>
      </c>
      <c r="AV238" s="777" t="s">
        <v>122</v>
      </c>
      <c r="AW238" s="777" t="s">
        <v>122</v>
      </c>
      <c r="AX238" s="155" t="s">
        <v>103</v>
      </c>
      <c r="AY238" s="155" t="s">
        <v>103</v>
      </c>
      <c r="AZ238" s="155" t="s">
        <v>103</v>
      </c>
      <c r="BA238" s="156">
        <v>0</v>
      </c>
      <c r="BB238" s="574">
        <f t="shared" ref="BB238" si="50">AQ238</f>
        <v>1824468</v>
      </c>
      <c r="BC238" s="780">
        <v>125532</v>
      </c>
      <c r="BD238" s="1008" t="s">
        <v>121</v>
      </c>
      <c r="BE238" s="679">
        <v>0</v>
      </c>
      <c r="BF238" s="153" t="s">
        <v>103</v>
      </c>
      <c r="BG238" s="94">
        <v>1824468</v>
      </c>
      <c r="BH238" s="766">
        <v>2002011</v>
      </c>
      <c r="BI238" s="774">
        <v>0</v>
      </c>
      <c r="BJ238" s="774">
        <v>0</v>
      </c>
      <c r="BK238" s="153" t="s">
        <v>103</v>
      </c>
      <c r="BL238" s="153" t="s">
        <v>124</v>
      </c>
      <c r="BM238" s="94" t="s">
        <v>124</v>
      </c>
      <c r="BN238" s="155" t="s">
        <v>116</v>
      </c>
      <c r="BO238" s="153" t="s">
        <v>124</v>
      </c>
      <c r="BP238" s="153" t="s">
        <v>124</v>
      </c>
      <c r="BQ238" s="153" t="s">
        <v>103</v>
      </c>
      <c r="BR238" s="153" t="s">
        <v>110</v>
      </c>
      <c r="BS238" s="153" t="s">
        <v>110</v>
      </c>
      <c r="BT238" s="153" t="s">
        <v>110</v>
      </c>
      <c r="BU238" s="153" t="s">
        <v>110</v>
      </c>
      <c r="BV238" s="153" t="s">
        <v>110</v>
      </c>
      <c r="BW238" s="153" t="s">
        <v>110</v>
      </c>
      <c r="BX238" s="153" t="s">
        <v>110</v>
      </c>
      <c r="BY238" s="153" t="s">
        <v>117</v>
      </c>
      <c r="BZ238" s="153" t="s">
        <v>110</v>
      </c>
      <c r="CA238" s="616" t="s">
        <v>103</v>
      </c>
      <c r="CB238" s="153" t="s">
        <v>103</v>
      </c>
      <c r="CC238" s="153" t="s">
        <v>103</v>
      </c>
      <c r="CD238" s="153" t="s">
        <v>103</v>
      </c>
      <c r="CE238" s="153" t="s">
        <v>103</v>
      </c>
    </row>
    <row r="239" spans="1:83" ht="14.1" customHeight="1">
      <c r="A239" s="503" t="s">
        <v>692</v>
      </c>
      <c r="B239" s="164" t="s">
        <v>103</v>
      </c>
      <c r="C239" s="155" t="s">
        <v>103</v>
      </c>
      <c r="D239" s="153" t="s">
        <v>103</v>
      </c>
      <c r="E239" s="153" t="s">
        <v>103</v>
      </c>
      <c r="F239" s="958" t="s">
        <v>103</v>
      </c>
      <c r="G239" s="153" t="s">
        <v>104</v>
      </c>
      <c r="H239" s="673">
        <v>0</v>
      </c>
      <c r="I239" s="508" t="s">
        <v>103</v>
      </c>
      <c r="J239" s="958" t="s">
        <v>103</v>
      </c>
      <c r="K239" s="958" t="s">
        <v>103</v>
      </c>
      <c r="L239" s="155" t="s">
        <v>103</v>
      </c>
      <c r="M239" s="155" t="s">
        <v>103</v>
      </c>
      <c r="N239" s="156">
        <v>0</v>
      </c>
      <c r="O239" s="156" t="s">
        <v>103</v>
      </c>
      <c r="P239" s="156">
        <v>0</v>
      </c>
      <c r="Q239" s="958" t="s">
        <v>103</v>
      </c>
      <c r="R239" s="156">
        <v>0</v>
      </c>
      <c r="S239" s="156">
        <v>0</v>
      </c>
      <c r="T239" s="958" t="s">
        <v>105</v>
      </c>
      <c r="U239" s="153" t="s">
        <v>104</v>
      </c>
      <c r="V239" s="518" t="s">
        <v>103</v>
      </c>
      <c r="W239" s="991" t="s">
        <v>103</v>
      </c>
      <c r="X239" s="991" t="s">
        <v>103</v>
      </c>
      <c r="Y239" s="991" t="s">
        <v>103</v>
      </c>
      <c r="Z239" s="518" t="s">
        <v>103</v>
      </c>
      <c r="AA239" s="991" t="s">
        <v>103</v>
      </c>
      <c r="AB239" s="155" t="s">
        <v>103</v>
      </c>
      <c r="AC239" s="959" t="s">
        <v>103</v>
      </c>
      <c r="AD239" s="155" t="s">
        <v>103</v>
      </c>
      <c r="AE239" s="155" t="s">
        <v>103</v>
      </c>
      <c r="AF239" s="155" t="s">
        <v>103</v>
      </c>
      <c r="AG239" s="155" t="s">
        <v>103</v>
      </c>
      <c r="AH239" s="992" t="s">
        <v>103</v>
      </c>
      <c r="AI239" s="960" t="s">
        <v>103</v>
      </c>
      <c r="AJ239" s="992" t="s">
        <v>103</v>
      </c>
      <c r="AK239" s="155" t="s">
        <v>103</v>
      </c>
      <c r="AL239" s="993" t="s">
        <v>103</v>
      </c>
      <c r="AM239" s="155"/>
      <c r="AN239" s="155"/>
      <c r="AO239" s="994"/>
      <c r="AP239" s="94">
        <v>0</v>
      </c>
      <c r="AQ239" s="578">
        <v>0</v>
      </c>
      <c r="AR239" s="155" t="s">
        <v>103</v>
      </c>
      <c r="AS239" s="155" t="s">
        <v>103</v>
      </c>
      <c r="AT239" s="155" t="s">
        <v>103</v>
      </c>
      <c r="AU239" s="155" t="s">
        <v>103</v>
      </c>
      <c r="AV239" s="155" t="s">
        <v>103</v>
      </c>
      <c r="AW239" s="155" t="s">
        <v>103</v>
      </c>
      <c r="AX239" s="155" t="s">
        <v>103</v>
      </c>
      <c r="AY239" s="155" t="s">
        <v>103</v>
      </c>
      <c r="AZ239" s="155" t="s">
        <v>103</v>
      </c>
      <c r="BA239" s="155" t="s">
        <v>103</v>
      </c>
      <c r="BB239" s="155" t="s">
        <v>103</v>
      </c>
      <c r="BC239" s="155" t="s">
        <v>103</v>
      </c>
      <c r="BD239" s="155" t="s">
        <v>103</v>
      </c>
      <c r="BE239" s="989" t="s">
        <v>103</v>
      </c>
      <c r="BF239" s="155" t="s">
        <v>103</v>
      </c>
      <c r="BG239" s="961">
        <v>0</v>
      </c>
      <c r="BH239" s="155" t="s">
        <v>103</v>
      </c>
      <c r="BI239" s="990" t="s">
        <v>103</v>
      </c>
      <c r="BJ239" s="155" t="s">
        <v>103</v>
      </c>
      <c r="BK239" s="155" t="s">
        <v>103</v>
      </c>
      <c r="BL239" s="155" t="s">
        <v>103</v>
      </c>
      <c r="BM239" s="155" t="s">
        <v>103</v>
      </c>
      <c r="BN239" s="155" t="s">
        <v>103</v>
      </c>
      <c r="BO239" s="155" t="s">
        <v>103</v>
      </c>
      <c r="BP239" s="155" t="s">
        <v>103</v>
      </c>
      <c r="BQ239" s="155" t="s">
        <v>103</v>
      </c>
      <c r="BR239" s="155" t="s">
        <v>103</v>
      </c>
      <c r="BS239" s="155" t="s">
        <v>103</v>
      </c>
      <c r="BT239" s="155" t="s">
        <v>103</v>
      </c>
      <c r="BU239" s="155" t="s">
        <v>103</v>
      </c>
      <c r="BV239" s="155" t="s">
        <v>103</v>
      </c>
      <c r="BW239" s="155" t="s">
        <v>103</v>
      </c>
      <c r="BX239" s="155" t="s">
        <v>103</v>
      </c>
      <c r="BY239" s="155" t="s">
        <v>103</v>
      </c>
      <c r="BZ239" s="155" t="s">
        <v>103</v>
      </c>
      <c r="CA239" s="155" t="s">
        <v>103</v>
      </c>
      <c r="CB239" s="155" t="s">
        <v>103</v>
      </c>
      <c r="CC239" s="155" t="s">
        <v>103</v>
      </c>
      <c r="CD239" s="155" t="s">
        <v>103</v>
      </c>
      <c r="CE239" s="155" t="s">
        <v>103</v>
      </c>
    </row>
    <row r="240" spans="1:83" ht="27.6" customHeight="1">
      <c r="A240" s="503" t="s">
        <v>693</v>
      </c>
      <c r="B240" s="164" t="s">
        <v>694</v>
      </c>
      <c r="C240" s="155" t="s">
        <v>695</v>
      </c>
      <c r="D240" s="153" t="s">
        <v>696</v>
      </c>
      <c r="E240" s="153">
        <v>92530</v>
      </c>
      <c r="F240" s="153">
        <v>6065043001</v>
      </c>
      <c r="G240" s="153" t="s">
        <v>110</v>
      </c>
      <c r="H240" s="674">
        <v>0.19712761004262025</v>
      </c>
      <c r="I240" s="508" t="s">
        <v>694</v>
      </c>
      <c r="J240" s="153" t="s">
        <v>117</v>
      </c>
      <c r="K240" s="572" t="s">
        <v>293</v>
      </c>
      <c r="L240" s="153" t="s">
        <v>696</v>
      </c>
      <c r="M240" s="153" t="s">
        <v>104</v>
      </c>
      <c r="N240" s="156">
        <v>1</v>
      </c>
      <c r="P240" s="156">
        <v>0</v>
      </c>
      <c r="Q240" s="156" t="s">
        <v>139</v>
      </c>
      <c r="R240" s="156">
        <v>0</v>
      </c>
      <c r="S240" s="156">
        <v>1</v>
      </c>
      <c r="T240" s="958" t="s">
        <v>105</v>
      </c>
      <c r="U240" s="153" t="s">
        <v>104</v>
      </c>
      <c r="V240" s="149">
        <v>41499</v>
      </c>
      <c r="W240" s="149">
        <v>41544</v>
      </c>
      <c r="X240" s="149">
        <v>42429</v>
      </c>
      <c r="Y240" s="149">
        <v>42670</v>
      </c>
      <c r="Z240" s="149">
        <v>42670</v>
      </c>
      <c r="AA240" s="149">
        <v>41499</v>
      </c>
      <c r="AB240" s="763" t="s">
        <v>121</v>
      </c>
      <c r="AC240" s="594">
        <v>32.142857142857146</v>
      </c>
      <c r="AD240" s="153" t="s">
        <v>103</v>
      </c>
      <c r="AE240" s="149" t="s">
        <v>103</v>
      </c>
      <c r="AF240" s="596">
        <v>23</v>
      </c>
      <c r="AG240" s="596">
        <v>24</v>
      </c>
      <c r="AH240" s="595">
        <v>3740</v>
      </c>
      <c r="AI240" s="614">
        <v>0.70833333333333337</v>
      </c>
      <c r="AJ240" s="607">
        <v>2380</v>
      </c>
      <c r="AK240" s="153" t="s">
        <v>120</v>
      </c>
      <c r="AL240" s="791" t="s">
        <v>104</v>
      </c>
      <c r="AO240" s="963"/>
      <c r="AP240" s="1017">
        <v>1300000</v>
      </c>
      <c r="AQ240" s="574">
        <v>1267249.8199999998</v>
      </c>
      <c r="AR240" s="153" t="s">
        <v>116</v>
      </c>
      <c r="AS240" s="153" t="s">
        <v>116</v>
      </c>
      <c r="AT240" s="156">
        <v>0</v>
      </c>
      <c r="AU240" s="777" t="s">
        <v>122</v>
      </c>
      <c r="AV240" s="777" t="s">
        <v>122</v>
      </c>
      <c r="AW240" s="777" t="s">
        <v>122</v>
      </c>
      <c r="AX240" s="155" t="s">
        <v>103</v>
      </c>
      <c r="AY240" s="155" t="s">
        <v>103</v>
      </c>
      <c r="AZ240" s="155" t="s">
        <v>103</v>
      </c>
      <c r="BA240" s="156">
        <v>0</v>
      </c>
      <c r="BB240" s="574">
        <f t="shared" ref="BB240" si="51">AQ240</f>
        <v>1267249.8199999998</v>
      </c>
      <c r="BC240" s="780">
        <v>32750.180000000168</v>
      </c>
      <c r="BD240" s="1008" t="s">
        <v>121</v>
      </c>
      <c r="BE240" s="679">
        <v>0</v>
      </c>
      <c r="BF240" s="153" t="s">
        <v>103</v>
      </c>
      <c r="BG240" s="94">
        <v>1233844.3699999999</v>
      </c>
      <c r="BH240" s="766">
        <v>999137</v>
      </c>
      <c r="BI240" s="774">
        <v>253846</v>
      </c>
      <c r="BJ240" s="774">
        <v>47017</v>
      </c>
      <c r="BK240" s="153" t="s">
        <v>103</v>
      </c>
      <c r="BL240" s="153" t="s">
        <v>124</v>
      </c>
      <c r="BM240" s="94" t="s">
        <v>103</v>
      </c>
      <c r="BN240" s="155" t="s">
        <v>103</v>
      </c>
      <c r="BO240" s="153" t="s">
        <v>103</v>
      </c>
      <c r="BP240" s="153" t="s">
        <v>103</v>
      </c>
      <c r="BQ240" s="153" t="s">
        <v>103</v>
      </c>
      <c r="BR240" s="153" t="s">
        <v>110</v>
      </c>
      <c r="BS240" s="153" t="s">
        <v>110</v>
      </c>
      <c r="BT240" s="153" t="s">
        <v>110</v>
      </c>
      <c r="BU240" s="153" t="s">
        <v>110</v>
      </c>
      <c r="BV240" s="153" t="s">
        <v>110</v>
      </c>
      <c r="BW240" s="153" t="s">
        <v>110</v>
      </c>
      <c r="BX240" s="153" t="s">
        <v>110</v>
      </c>
      <c r="BY240" s="153" t="s">
        <v>117</v>
      </c>
      <c r="BZ240" s="153" t="s">
        <v>110</v>
      </c>
      <c r="CA240" s="616" t="s">
        <v>103</v>
      </c>
      <c r="CB240" s="153" t="s">
        <v>103</v>
      </c>
      <c r="CC240" s="153" t="s">
        <v>103</v>
      </c>
      <c r="CD240" s="153" t="s">
        <v>103</v>
      </c>
      <c r="CE240" s="153" t="s">
        <v>103</v>
      </c>
    </row>
    <row r="241" spans="1:83" ht="14.1" customHeight="1">
      <c r="A241" s="503" t="s">
        <v>697</v>
      </c>
      <c r="B241" s="164" t="s">
        <v>103</v>
      </c>
      <c r="C241" s="155" t="s">
        <v>103</v>
      </c>
      <c r="D241" s="153" t="s">
        <v>103</v>
      </c>
      <c r="E241" s="153" t="s">
        <v>103</v>
      </c>
      <c r="F241" s="958" t="s">
        <v>103</v>
      </c>
      <c r="G241" s="153" t="s">
        <v>110</v>
      </c>
      <c r="H241" s="673">
        <v>5.4793710840524881E-2</v>
      </c>
      <c r="I241" s="508" t="s">
        <v>103</v>
      </c>
      <c r="J241" s="958" t="s">
        <v>103</v>
      </c>
      <c r="K241" s="958" t="s">
        <v>103</v>
      </c>
      <c r="L241" s="155" t="s">
        <v>103</v>
      </c>
      <c r="M241" s="155" t="s">
        <v>103</v>
      </c>
      <c r="N241" s="156">
        <v>0</v>
      </c>
      <c r="O241" s="156" t="s">
        <v>103</v>
      </c>
      <c r="P241" s="156">
        <v>0</v>
      </c>
      <c r="Q241" s="958" t="s">
        <v>103</v>
      </c>
      <c r="R241" s="156">
        <v>0</v>
      </c>
      <c r="S241" s="156">
        <v>0</v>
      </c>
      <c r="T241" s="958" t="s">
        <v>105</v>
      </c>
      <c r="U241" s="153" t="s">
        <v>110</v>
      </c>
      <c r="V241" s="518" t="s">
        <v>103</v>
      </c>
      <c r="W241" s="991" t="s">
        <v>103</v>
      </c>
      <c r="X241" s="991" t="s">
        <v>103</v>
      </c>
      <c r="Y241" s="991" t="s">
        <v>103</v>
      </c>
      <c r="Z241" s="518" t="s">
        <v>103</v>
      </c>
      <c r="AA241" s="991" t="s">
        <v>103</v>
      </c>
      <c r="AB241" s="155" t="s">
        <v>103</v>
      </c>
      <c r="AC241" s="959" t="s">
        <v>103</v>
      </c>
      <c r="AD241" s="155" t="s">
        <v>103</v>
      </c>
      <c r="AE241" s="155" t="s">
        <v>103</v>
      </c>
      <c r="AF241" s="155" t="s">
        <v>103</v>
      </c>
      <c r="AG241" s="155" t="s">
        <v>103</v>
      </c>
      <c r="AH241" s="992" t="s">
        <v>103</v>
      </c>
      <c r="AI241" s="960" t="s">
        <v>103</v>
      </c>
      <c r="AJ241" s="992" t="s">
        <v>103</v>
      </c>
      <c r="AK241" s="155" t="s">
        <v>103</v>
      </c>
      <c r="AL241" s="993" t="s">
        <v>103</v>
      </c>
      <c r="AM241" s="155"/>
      <c r="AN241" s="155"/>
      <c r="AO241" s="994"/>
      <c r="AP241" s="94">
        <v>0</v>
      </c>
      <c r="AQ241" s="578">
        <v>0</v>
      </c>
      <c r="AR241" s="155" t="s">
        <v>103</v>
      </c>
      <c r="AS241" s="155" t="s">
        <v>103</v>
      </c>
      <c r="AT241" s="155" t="s">
        <v>103</v>
      </c>
      <c r="AU241" s="155" t="s">
        <v>103</v>
      </c>
      <c r="AV241" s="155" t="s">
        <v>103</v>
      </c>
      <c r="AW241" s="155" t="s">
        <v>103</v>
      </c>
      <c r="AX241" s="155" t="s">
        <v>103</v>
      </c>
      <c r="AY241" s="155" t="s">
        <v>103</v>
      </c>
      <c r="AZ241" s="155" t="s">
        <v>103</v>
      </c>
      <c r="BA241" s="155" t="s">
        <v>103</v>
      </c>
      <c r="BB241" s="155" t="s">
        <v>103</v>
      </c>
      <c r="BC241" s="155" t="s">
        <v>103</v>
      </c>
      <c r="BD241" s="155" t="s">
        <v>103</v>
      </c>
      <c r="BE241" s="989" t="s">
        <v>103</v>
      </c>
      <c r="BF241" s="155" t="s">
        <v>103</v>
      </c>
      <c r="BG241" s="961">
        <v>0</v>
      </c>
      <c r="BH241" s="155" t="s">
        <v>103</v>
      </c>
      <c r="BI241" s="990" t="s">
        <v>103</v>
      </c>
      <c r="BJ241" s="155" t="s">
        <v>103</v>
      </c>
      <c r="BK241" s="155" t="s">
        <v>103</v>
      </c>
      <c r="BL241" s="155" t="s">
        <v>103</v>
      </c>
      <c r="BM241" s="155" t="s">
        <v>103</v>
      </c>
      <c r="BN241" s="155" t="s">
        <v>103</v>
      </c>
      <c r="BO241" s="155" t="s">
        <v>103</v>
      </c>
      <c r="BP241" s="155" t="s">
        <v>103</v>
      </c>
      <c r="BQ241" s="155" t="s">
        <v>103</v>
      </c>
      <c r="BR241" s="155" t="s">
        <v>103</v>
      </c>
      <c r="BS241" s="155" t="s">
        <v>103</v>
      </c>
      <c r="BT241" s="155" t="s">
        <v>103</v>
      </c>
      <c r="BU241" s="155" t="s">
        <v>103</v>
      </c>
      <c r="BV241" s="155" t="s">
        <v>103</v>
      </c>
      <c r="BW241" s="155" t="s">
        <v>103</v>
      </c>
      <c r="BX241" s="155" t="s">
        <v>103</v>
      </c>
      <c r="BY241" s="155" t="s">
        <v>103</v>
      </c>
      <c r="BZ241" s="155" t="s">
        <v>103</v>
      </c>
      <c r="CA241" s="155" t="s">
        <v>103</v>
      </c>
      <c r="CB241" s="155" t="s">
        <v>103</v>
      </c>
      <c r="CC241" s="155" t="s">
        <v>103</v>
      </c>
      <c r="CD241" s="155" t="s">
        <v>103</v>
      </c>
      <c r="CE241" s="155" t="s">
        <v>103</v>
      </c>
    </row>
    <row r="242" spans="1:83" ht="15" customHeight="1">
      <c r="A242" s="503" t="s">
        <v>698</v>
      </c>
      <c r="B242" s="164" t="s">
        <v>699</v>
      </c>
      <c r="C242" s="155" t="s">
        <v>700</v>
      </c>
      <c r="D242" s="153">
        <v>841</v>
      </c>
      <c r="E242" s="153">
        <v>92555</v>
      </c>
      <c r="F242" s="153">
        <v>6065042622</v>
      </c>
      <c r="G242" s="153" t="s">
        <v>110</v>
      </c>
      <c r="H242" s="674">
        <v>0.34372441003498844</v>
      </c>
      <c r="I242" s="508" t="s">
        <v>699</v>
      </c>
      <c r="J242" s="153" t="s">
        <v>117</v>
      </c>
      <c r="K242" s="572" t="s">
        <v>205</v>
      </c>
      <c r="L242" s="153">
        <v>841</v>
      </c>
      <c r="M242" s="153" t="s">
        <v>104</v>
      </c>
      <c r="N242" s="156">
        <v>2</v>
      </c>
      <c r="P242" s="156">
        <v>0</v>
      </c>
      <c r="Q242" s="156" t="s">
        <v>139</v>
      </c>
      <c r="R242" s="156">
        <v>0</v>
      </c>
      <c r="S242" s="156">
        <v>2</v>
      </c>
      <c r="T242" s="958" t="s">
        <v>105</v>
      </c>
      <c r="U242" s="153" t="s">
        <v>104</v>
      </c>
      <c r="V242" s="149">
        <v>41009</v>
      </c>
      <c r="W242" s="149">
        <v>41239</v>
      </c>
      <c r="X242" s="149">
        <v>41686</v>
      </c>
      <c r="Y242" s="149">
        <v>41862</v>
      </c>
      <c r="Z242" s="149">
        <v>41862</v>
      </c>
      <c r="AA242" s="149">
        <v>41009</v>
      </c>
      <c r="AB242" s="763" t="s">
        <v>121</v>
      </c>
      <c r="AC242" s="594">
        <v>164.28571428571428</v>
      </c>
      <c r="AD242" s="153" t="s">
        <v>103</v>
      </c>
      <c r="AE242" s="149" t="s">
        <v>103</v>
      </c>
      <c r="AF242" s="596">
        <v>13</v>
      </c>
      <c r="AG242" s="596">
        <v>4</v>
      </c>
      <c r="AH242" s="595">
        <v>4155.333333333333</v>
      </c>
      <c r="AI242" s="614">
        <v>0.78699494949494941</v>
      </c>
      <c r="AJ242" s="607">
        <v>2360</v>
      </c>
      <c r="AK242" s="153" t="s">
        <v>152</v>
      </c>
      <c r="AL242" s="791" t="s">
        <v>104</v>
      </c>
      <c r="AO242" s="963"/>
      <c r="AP242" s="1017">
        <v>1300000</v>
      </c>
      <c r="AQ242" s="574">
        <v>890159</v>
      </c>
      <c r="AR242" s="153" t="s">
        <v>116</v>
      </c>
      <c r="AS242" s="153" t="s">
        <v>116</v>
      </c>
      <c r="AT242" s="156">
        <v>0</v>
      </c>
      <c r="AU242" s="777" t="s">
        <v>122</v>
      </c>
      <c r="AV242" s="777" t="s">
        <v>122</v>
      </c>
      <c r="AW242" s="777" t="s">
        <v>122</v>
      </c>
      <c r="AX242" s="155" t="s">
        <v>103</v>
      </c>
      <c r="AY242" s="155" t="s">
        <v>103</v>
      </c>
      <c r="AZ242" s="155" t="s">
        <v>103</v>
      </c>
      <c r="BA242" s="156">
        <v>0</v>
      </c>
      <c r="BB242" s="574">
        <f t="shared" ref="BB242:BB243" si="52">AQ242</f>
        <v>890159</v>
      </c>
      <c r="BC242" s="780">
        <v>409841</v>
      </c>
      <c r="BD242" s="1008" t="s">
        <v>121</v>
      </c>
      <c r="BE242" s="679">
        <v>0</v>
      </c>
      <c r="BF242" s="153" t="s">
        <v>103</v>
      </c>
      <c r="BG242" s="94">
        <v>890159</v>
      </c>
      <c r="BH242" s="766">
        <v>759722.73691675533</v>
      </c>
      <c r="BI242" s="774">
        <v>540277</v>
      </c>
      <c r="BJ242" s="774">
        <v>0</v>
      </c>
      <c r="BK242" s="153" t="s">
        <v>103</v>
      </c>
      <c r="BL242" s="153" t="s">
        <v>124</v>
      </c>
      <c r="BM242" s="94" t="s">
        <v>103</v>
      </c>
      <c r="BN242" s="155" t="s">
        <v>103</v>
      </c>
      <c r="BO242" s="153" t="s">
        <v>103</v>
      </c>
      <c r="BP242" s="153" t="s">
        <v>103</v>
      </c>
      <c r="BQ242" s="153" t="s">
        <v>103</v>
      </c>
      <c r="BR242" s="153" t="s">
        <v>110</v>
      </c>
      <c r="BS242" s="153" t="s">
        <v>110</v>
      </c>
      <c r="BT242" s="153" t="s">
        <v>110</v>
      </c>
      <c r="BU242" s="153" t="s">
        <v>110</v>
      </c>
      <c r="BV242" s="153" t="s">
        <v>110</v>
      </c>
      <c r="BW242" s="153" t="s">
        <v>110</v>
      </c>
      <c r="BX242" s="153" t="s">
        <v>110</v>
      </c>
      <c r="BY242" s="153" t="s">
        <v>117</v>
      </c>
      <c r="BZ242" s="153" t="s">
        <v>110</v>
      </c>
      <c r="CA242" s="616" t="s">
        <v>103</v>
      </c>
      <c r="CB242" s="153" t="s">
        <v>103</v>
      </c>
      <c r="CC242" s="153" t="s">
        <v>103</v>
      </c>
      <c r="CD242" s="153" t="s">
        <v>103</v>
      </c>
      <c r="CE242" s="153" t="s">
        <v>103</v>
      </c>
    </row>
    <row r="243" spans="1:83" ht="41.45" customHeight="1">
      <c r="A243" s="503"/>
      <c r="B243" s="1013" t="s">
        <v>701</v>
      </c>
      <c r="C243" s="155" t="s">
        <v>702</v>
      </c>
      <c r="D243" s="153" t="s">
        <v>703</v>
      </c>
      <c r="E243" s="153">
        <v>92553</v>
      </c>
      <c r="F243" s="153">
        <v>6065042512</v>
      </c>
      <c r="G243" s="153" t="s">
        <v>110</v>
      </c>
      <c r="H243" s="153" t="s">
        <v>150</v>
      </c>
      <c r="I243" s="508" t="s">
        <v>701</v>
      </c>
      <c r="J243" s="153" t="s">
        <v>117</v>
      </c>
      <c r="K243" s="156">
        <v>0</v>
      </c>
      <c r="L243" s="153" t="s">
        <v>703</v>
      </c>
      <c r="M243" s="153" t="s">
        <v>104</v>
      </c>
      <c r="Q243" s="156" t="s">
        <v>139</v>
      </c>
      <c r="V243" s="149">
        <v>39427</v>
      </c>
      <c r="W243" s="149">
        <v>39465</v>
      </c>
      <c r="X243" s="149">
        <v>40388</v>
      </c>
      <c r="Y243" s="149">
        <v>40506</v>
      </c>
      <c r="Z243" s="149">
        <v>40506</v>
      </c>
      <c r="AA243" s="149">
        <v>39427</v>
      </c>
      <c r="AB243" s="763" t="s">
        <v>121</v>
      </c>
      <c r="AC243" s="594">
        <v>27.142857142857146</v>
      </c>
      <c r="AD243" s="153" t="s">
        <v>103</v>
      </c>
      <c r="AE243" s="149" t="s">
        <v>103</v>
      </c>
      <c r="AF243" s="596">
        <v>17</v>
      </c>
      <c r="AG243" s="596" t="s">
        <v>103</v>
      </c>
      <c r="AH243" s="595">
        <v>2907</v>
      </c>
      <c r="AI243" s="614">
        <v>0.55056818181818179</v>
      </c>
      <c r="AJ243" s="607">
        <v>4030</v>
      </c>
      <c r="AK243" s="153" t="s">
        <v>152</v>
      </c>
      <c r="AL243" s="791" t="s">
        <v>104</v>
      </c>
      <c r="AO243" s="963"/>
      <c r="AP243" s="1017">
        <v>1400000</v>
      </c>
      <c r="AQ243" s="574">
        <v>990929</v>
      </c>
      <c r="AR243" s="153" t="s">
        <v>116</v>
      </c>
      <c r="AS243" s="153" t="s">
        <v>116</v>
      </c>
      <c r="AT243" s="777" t="s">
        <v>122</v>
      </c>
      <c r="AU243" s="777" t="s">
        <v>122</v>
      </c>
      <c r="AV243" s="777" t="s">
        <v>122</v>
      </c>
      <c r="AW243" s="777" t="s">
        <v>122</v>
      </c>
      <c r="AX243" s="155" t="s">
        <v>103</v>
      </c>
      <c r="AY243" s="155" t="s">
        <v>103</v>
      </c>
      <c r="AZ243" s="155" t="s">
        <v>103</v>
      </c>
      <c r="BB243" s="574">
        <f t="shared" si="52"/>
        <v>990929</v>
      </c>
      <c r="BC243" s="780">
        <v>409071</v>
      </c>
      <c r="BD243" s="1008" t="s">
        <v>121</v>
      </c>
      <c r="BE243" s="679">
        <v>0</v>
      </c>
      <c r="BF243" s="153" t="s">
        <v>103</v>
      </c>
      <c r="BG243" s="94">
        <v>990929</v>
      </c>
      <c r="BH243" s="766">
        <v>884685</v>
      </c>
      <c r="BI243" s="774">
        <v>515315</v>
      </c>
      <c r="BJ243" s="774">
        <v>0</v>
      </c>
      <c r="BK243" s="153" t="s">
        <v>103</v>
      </c>
      <c r="BL243" s="153" t="s">
        <v>124</v>
      </c>
      <c r="BM243" s="94" t="s">
        <v>103</v>
      </c>
      <c r="BN243" s="155" t="s">
        <v>103</v>
      </c>
      <c r="BO243" s="153" t="s">
        <v>103</v>
      </c>
      <c r="BP243" s="153" t="s">
        <v>103</v>
      </c>
      <c r="BQ243" s="153" t="s">
        <v>103</v>
      </c>
      <c r="BR243" s="153" t="s">
        <v>110</v>
      </c>
      <c r="BS243" s="153" t="s">
        <v>110</v>
      </c>
      <c r="BT243" s="153" t="s">
        <v>110</v>
      </c>
      <c r="BU243" s="153" t="s">
        <v>110</v>
      </c>
      <c r="BV243" s="153" t="s">
        <v>110</v>
      </c>
      <c r="BW243" s="153" t="s">
        <v>110</v>
      </c>
      <c r="BX243" s="153" t="s">
        <v>110</v>
      </c>
      <c r="BY243" s="153" t="s">
        <v>117</v>
      </c>
      <c r="BZ243" s="153" t="s">
        <v>110</v>
      </c>
      <c r="CA243" s="616" t="s">
        <v>103</v>
      </c>
      <c r="CB243" s="153" t="s">
        <v>103</v>
      </c>
      <c r="CC243" s="153" t="s">
        <v>103</v>
      </c>
      <c r="CD243" s="153" t="s">
        <v>103</v>
      </c>
      <c r="CE243" s="153" t="s">
        <v>103</v>
      </c>
    </row>
    <row r="244" spans="1:83" ht="27.6" customHeight="1">
      <c r="A244" s="503" t="s">
        <v>704</v>
      </c>
      <c r="B244" s="164" t="s">
        <v>705</v>
      </c>
      <c r="C244" s="155" t="s">
        <v>706</v>
      </c>
      <c r="D244" s="153" t="s">
        <v>707</v>
      </c>
      <c r="E244" s="153">
        <v>92562</v>
      </c>
      <c r="F244" s="153">
        <v>6065049800</v>
      </c>
      <c r="G244" s="153" t="s">
        <v>110</v>
      </c>
      <c r="H244" s="674">
        <v>9.8616588675235511E-2</v>
      </c>
      <c r="I244" s="508" t="s">
        <v>705</v>
      </c>
      <c r="J244" s="153" t="s">
        <v>117</v>
      </c>
      <c r="K244" s="572" t="s">
        <v>437</v>
      </c>
      <c r="L244" s="153" t="s">
        <v>707</v>
      </c>
      <c r="M244" s="153" t="s">
        <v>104</v>
      </c>
      <c r="N244" s="156">
        <v>1</v>
      </c>
      <c r="P244" s="156">
        <v>0</v>
      </c>
      <c r="Q244" s="989" t="s">
        <v>139</v>
      </c>
      <c r="R244" s="156">
        <v>0</v>
      </c>
      <c r="S244" s="156">
        <v>0</v>
      </c>
      <c r="T244" s="958" t="s">
        <v>105</v>
      </c>
      <c r="U244" s="153" t="s">
        <v>110</v>
      </c>
      <c r="V244" s="149">
        <v>41919</v>
      </c>
      <c r="W244" s="149">
        <v>41942</v>
      </c>
      <c r="X244" s="149">
        <v>42944</v>
      </c>
      <c r="Y244" s="149">
        <v>43009</v>
      </c>
      <c r="Z244" s="149">
        <v>43009</v>
      </c>
      <c r="AA244" s="149">
        <v>41919</v>
      </c>
      <c r="AB244" s="763" t="s">
        <v>151</v>
      </c>
      <c r="AC244" s="594">
        <v>16.428571428571427</v>
      </c>
      <c r="AD244" s="153" t="s">
        <v>103</v>
      </c>
      <c r="AE244" s="149" t="s">
        <v>103</v>
      </c>
      <c r="AF244" s="596">
        <v>15</v>
      </c>
      <c r="AG244" s="596">
        <v>0</v>
      </c>
      <c r="AH244" s="595">
        <v>3382</v>
      </c>
      <c r="AI244" s="614">
        <v>0.64053030303030301</v>
      </c>
      <c r="AJ244" s="607">
        <v>1500</v>
      </c>
      <c r="AK244" s="153" t="s">
        <v>120</v>
      </c>
      <c r="AL244" s="791" t="s">
        <v>104</v>
      </c>
      <c r="AO244" s="963"/>
      <c r="AP244" s="94">
        <v>1000000</v>
      </c>
      <c r="AQ244" s="574">
        <v>867757</v>
      </c>
      <c r="AR244" s="153" t="s">
        <v>116</v>
      </c>
      <c r="AS244" s="153" t="s">
        <v>116</v>
      </c>
      <c r="AT244" s="777" t="s">
        <v>122</v>
      </c>
      <c r="AU244" s="777" t="s">
        <v>122</v>
      </c>
      <c r="AV244" s="777" t="s">
        <v>122</v>
      </c>
      <c r="AW244" s="777" t="s">
        <v>122</v>
      </c>
      <c r="AX244" s="155" t="s">
        <v>103</v>
      </c>
      <c r="AY244" s="155" t="s">
        <v>103</v>
      </c>
      <c r="AZ244" s="155" t="s">
        <v>103</v>
      </c>
      <c r="BA244" s="156">
        <v>0</v>
      </c>
      <c r="BB244" s="153"/>
      <c r="BC244" s="780" t="s">
        <v>103</v>
      </c>
      <c r="BD244" s="153" t="s">
        <v>103</v>
      </c>
      <c r="BE244" s="679" t="s">
        <v>103</v>
      </c>
      <c r="BF244" s="156" t="s">
        <v>103</v>
      </c>
      <c r="BG244" s="94">
        <v>86747.24</v>
      </c>
      <c r="BH244" s="766">
        <v>992085</v>
      </c>
      <c r="BI244" s="774">
        <v>178056</v>
      </c>
      <c r="BJ244" s="774">
        <v>0</v>
      </c>
      <c r="BK244" s="153" t="s">
        <v>103</v>
      </c>
      <c r="BL244" s="153" t="s">
        <v>124</v>
      </c>
      <c r="BM244" s="94" t="s">
        <v>103</v>
      </c>
      <c r="BN244" s="155" t="s">
        <v>103</v>
      </c>
      <c r="BO244" s="153" t="s">
        <v>103</v>
      </c>
      <c r="BP244" s="153" t="s">
        <v>103</v>
      </c>
      <c r="BQ244" s="153" t="s">
        <v>103</v>
      </c>
      <c r="BR244" s="153" t="s">
        <v>110</v>
      </c>
      <c r="BS244" s="153" t="s">
        <v>110</v>
      </c>
      <c r="BT244" s="153" t="s">
        <v>110</v>
      </c>
      <c r="BU244" s="153" t="s">
        <v>110</v>
      </c>
      <c r="BV244" s="153" t="s">
        <v>110</v>
      </c>
      <c r="BW244" s="153" t="s">
        <v>110</v>
      </c>
      <c r="BX244" s="153" t="s">
        <v>110</v>
      </c>
      <c r="BY244" s="153" t="s">
        <v>117</v>
      </c>
      <c r="BZ244" s="153" t="s">
        <v>110</v>
      </c>
      <c r="CA244" s="616" t="s">
        <v>103</v>
      </c>
      <c r="CB244" s="153" t="s">
        <v>103</v>
      </c>
      <c r="CC244" s="153" t="s">
        <v>103</v>
      </c>
      <c r="CD244" s="153" t="s">
        <v>103</v>
      </c>
      <c r="CE244" s="153" t="s">
        <v>103</v>
      </c>
    </row>
    <row r="245" spans="1:83" ht="14.1" customHeight="1">
      <c r="A245" s="503" t="s">
        <v>708</v>
      </c>
      <c r="B245" s="164" t="s">
        <v>103</v>
      </c>
      <c r="C245" s="155" t="s">
        <v>103</v>
      </c>
      <c r="D245" s="153" t="s">
        <v>103</v>
      </c>
      <c r="E245" s="153" t="s">
        <v>103</v>
      </c>
      <c r="F245" s="958" t="s">
        <v>103</v>
      </c>
      <c r="G245" s="153" t="s">
        <v>110</v>
      </c>
      <c r="H245" s="673">
        <v>0.12472367655613729</v>
      </c>
      <c r="I245" s="508" t="s">
        <v>103</v>
      </c>
      <c r="J245" s="958" t="s">
        <v>103</v>
      </c>
      <c r="K245" s="958" t="s">
        <v>103</v>
      </c>
      <c r="L245" s="155" t="s">
        <v>103</v>
      </c>
      <c r="M245" s="155" t="s">
        <v>103</v>
      </c>
      <c r="N245" s="156">
        <v>0</v>
      </c>
      <c r="O245" s="156" t="s">
        <v>103</v>
      </c>
      <c r="P245" s="156">
        <v>0</v>
      </c>
      <c r="Q245" s="958" t="s">
        <v>103</v>
      </c>
      <c r="R245" s="156">
        <v>0</v>
      </c>
      <c r="S245" s="156">
        <v>0</v>
      </c>
      <c r="T245" s="958" t="s">
        <v>105</v>
      </c>
      <c r="U245" s="153" t="s">
        <v>110</v>
      </c>
      <c r="V245" s="518" t="s">
        <v>103</v>
      </c>
      <c r="W245" s="991" t="s">
        <v>103</v>
      </c>
      <c r="X245" s="991" t="s">
        <v>103</v>
      </c>
      <c r="Y245" s="991" t="s">
        <v>103</v>
      </c>
      <c r="Z245" s="518" t="s">
        <v>103</v>
      </c>
      <c r="AA245" s="991" t="s">
        <v>103</v>
      </c>
      <c r="AB245" s="155" t="s">
        <v>103</v>
      </c>
      <c r="AC245" s="959" t="s">
        <v>103</v>
      </c>
      <c r="AD245" s="155" t="s">
        <v>103</v>
      </c>
      <c r="AE245" s="155" t="s">
        <v>103</v>
      </c>
      <c r="AF245" s="155" t="s">
        <v>103</v>
      </c>
      <c r="AG245" s="155" t="s">
        <v>103</v>
      </c>
      <c r="AH245" s="992" t="s">
        <v>103</v>
      </c>
      <c r="AI245" s="960" t="s">
        <v>103</v>
      </c>
      <c r="AJ245" s="992" t="s">
        <v>103</v>
      </c>
      <c r="AK245" s="155" t="s">
        <v>103</v>
      </c>
      <c r="AL245" s="993" t="s">
        <v>103</v>
      </c>
      <c r="AM245" s="155"/>
      <c r="AN245" s="155"/>
      <c r="AO245" s="994"/>
      <c r="AP245" s="94">
        <v>0</v>
      </c>
      <c r="AQ245" s="578">
        <v>0</v>
      </c>
      <c r="AR245" s="155" t="s">
        <v>103</v>
      </c>
      <c r="AS245" s="155" t="s">
        <v>103</v>
      </c>
      <c r="AT245" s="155" t="s">
        <v>103</v>
      </c>
      <c r="AU245" s="155" t="s">
        <v>103</v>
      </c>
      <c r="AV245" s="155" t="s">
        <v>103</v>
      </c>
      <c r="AW245" s="155" t="s">
        <v>103</v>
      </c>
      <c r="AX245" s="155" t="s">
        <v>103</v>
      </c>
      <c r="AY245" s="155" t="s">
        <v>103</v>
      </c>
      <c r="AZ245" s="155" t="s">
        <v>103</v>
      </c>
      <c r="BA245" s="155" t="s">
        <v>103</v>
      </c>
      <c r="BB245" s="155" t="s">
        <v>103</v>
      </c>
      <c r="BC245" s="155" t="s">
        <v>103</v>
      </c>
      <c r="BD245" s="155" t="s">
        <v>103</v>
      </c>
      <c r="BE245" s="989" t="s">
        <v>103</v>
      </c>
      <c r="BF245" s="155" t="s">
        <v>103</v>
      </c>
      <c r="BG245" s="961">
        <v>0</v>
      </c>
      <c r="BH245" s="155" t="s">
        <v>103</v>
      </c>
      <c r="BI245" s="990" t="s">
        <v>103</v>
      </c>
      <c r="BJ245" s="155" t="s">
        <v>103</v>
      </c>
      <c r="BK245" s="155" t="s">
        <v>103</v>
      </c>
      <c r="BL245" s="155" t="s">
        <v>103</v>
      </c>
      <c r="BM245" s="155" t="s">
        <v>103</v>
      </c>
      <c r="BN245" s="155" t="s">
        <v>103</v>
      </c>
      <c r="BO245" s="155" t="s">
        <v>103</v>
      </c>
      <c r="BP245" s="155" t="s">
        <v>103</v>
      </c>
      <c r="BQ245" s="155" t="s">
        <v>103</v>
      </c>
      <c r="BR245" s="155" t="s">
        <v>103</v>
      </c>
      <c r="BS245" s="155" t="s">
        <v>103</v>
      </c>
      <c r="BT245" s="155" t="s">
        <v>103</v>
      </c>
      <c r="BU245" s="155" t="s">
        <v>103</v>
      </c>
      <c r="BV245" s="155" t="s">
        <v>103</v>
      </c>
      <c r="BW245" s="155" t="s">
        <v>103</v>
      </c>
      <c r="BX245" s="155" t="s">
        <v>103</v>
      </c>
      <c r="BY245" s="155" t="s">
        <v>103</v>
      </c>
      <c r="BZ245" s="155" t="s">
        <v>103</v>
      </c>
      <c r="CA245" s="155" t="s">
        <v>103</v>
      </c>
      <c r="CB245" s="155" t="s">
        <v>103</v>
      </c>
      <c r="CC245" s="155" t="s">
        <v>103</v>
      </c>
      <c r="CD245" s="155" t="s">
        <v>103</v>
      </c>
      <c r="CE245" s="155" t="s">
        <v>103</v>
      </c>
    </row>
    <row r="246" spans="1:83" ht="11.1" customHeight="1">
      <c r="A246" s="503" t="s">
        <v>709</v>
      </c>
      <c r="B246" s="164" t="s">
        <v>103</v>
      </c>
      <c r="C246" s="155" t="s">
        <v>103</v>
      </c>
      <c r="D246" s="153" t="s">
        <v>103</v>
      </c>
      <c r="E246" s="153" t="s">
        <v>103</v>
      </c>
      <c r="F246" s="958" t="s">
        <v>103</v>
      </c>
      <c r="G246" s="153" t="s">
        <v>110</v>
      </c>
      <c r="H246" s="673">
        <v>0.11511644452876725</v>
      </c>
      <c r="I246" s="508" t="s">
        <v>103</v>
      </c>
      <c r="J246" s="958" t="s">
        <v>103</v>
      </c>
      <c r="K246" s="958" t="s">
        <v>103</v>
      </c>
      <c r="L246" s="155" t="s">
        <v>103</v>
      </c>
      <c r="M246" s="155" t="s">
        <v>103</v>
      </c>
      <c r="N246" s="156">
        <v>0</v>
      </c>
      <c r="O246" s="156" t="s">
        <v>103</v>
      </c>
      <c r="P246" s="156">
        <v>0</v>
      </c>
      <c r="Q246" s="958" t="s">
        <v>103</v>
      </c>
      <c r="R246" s="156">
        <v>0</v>
      </c>
      <c r="S246" s="156">
        <v>0</v>
      </c>
      <c r="T246" s="958" t="s">
        <v>105</v>
      </c>
      <c r="U246" s="153" t="s">
        <v>110</v>
      </c>
      <c r="V246" s="518" t="s">
        <v>103</v>
      </c>
      <c r="W246" s="991" t="s">
        <v>103</v>
      </c>
      <c r="X246" s="991" t="s">
        <v>103</v>
      </c>
      <c r="Y246" s="991" t="s">
        <v>103</v>
      </c>
      <c r="Z246" s="518" t="s">
        <v>103</v>
      </c>
      <c r="AA246" s="991" t="s">
        <v>103</v>
      </c>
      <c r="AB246" s="155" t="s">
        <v>103</v>
      </c>
      <c r="AC246" s="959" t="s">
        <v>103</v>
      </c>
      <c r="AD246" s="155" t="s">
        <v>103</v>
      </c>
      <c r="AE246" s="155" t="s">
        <v>103</v>
      </c>
      <c r="AF246" s="155" t="s">
        <v>103</v>
      </c>
      <c r="AG246" s="155" t="s">
        <v>103</v>
      </c>
      <c r="AH246" s="992" t="s">
        <v>103</v>
      </c>
      <c r="AI246" s="960" t="s">
        <v>103</v>
      </c>
      <c r="AJ246" s="992" t="s">
        <v>103</v>
      </c>
      <c r="AK246" s="155" t="s">
        <v>103</v>
      </c>
      <c r="AL246" s="993" t="s">
        <v>103</v>
      </c>
      <c r="AM246" s="155"/>
      <c r="AN246" s="155"/>
      <c r="AO246" s="994"/>
      <c r="AP246" s="94">
        <v>0</v>
      </c>
      <c r="AQ246" s="578">
        <v>0</v>
      </c>
      <c r="AR246" s="155" t="s">
        <v>103</v>
      </c>
      <c r="AS246" s="155" t="s">
        <v>103</v>
      </c>
      <c r="AT246" s="155" t="s">
        <v>103</v>
      </c>
      <c r="AU246" s="155" t="s">
        <v>103</v>
      </c>
      <c r="AV246" s="155" t="s">
        <v>103</v>
      </c>
      <c r="AW246" s="155" t="s">
        <v>103</v>
      </c>
      <c r="AX246" s="155" t="s">
        <v>103</v>
      </c>
      <c r="AY246" s="155" t="s">
        <v>103</v>
      </c>
      <c r="AZ246" s="155" t="s">
        <v>103</v>
      </c>
      <c r="BA246" s="155" t="s">
        <v>103</v>
      </c>
      <c r="BB246" s="155" t="s">
        <v>103</v>
      </c>
      <c r="BC246" s="155" t="s">
        <v>103</v>
      </c>
      <c r="BD246" s="155" t="s">
        <v>103</v>
      </c>
      <c r="BE246" s="989" t="s">
        <v>103</v>
      </c>
      <c r="BF246" s="155" t="s">
        <v>103</v>
      </c>
      <c r="BG246" s="961">
        <v>0</v>
      </c>
      <c r="BH246" s="149" t="s">
        <v>103</v>
      </c>
      <c r="BI246" s="774" t="s">
        <v>103</v>
      </c>
      <c r="BJ246" s="149" t="s">
        <v>103</v>
      </c>
      <c r="BK246" s="149" t="s">
        <v>103</v>
      </c>
      <c r="BL246" s="155" t="s">
        <v>103</v>
      </c>
      <c r="BM246" s="155" t="s">
        <v>103</v>
      </c>
      <c r="BN246" s="155" t="s">
        <v>103</v>
      </c>
      <c r="BO246" s="155" t="s">
        <v>103</v>
      </c>
      <c r="BP246" s="155" t="s">
        <v>103</v>
      </c>
      <c r="BQ246" s="155" t="s">
        <v>103</v>
      </c>
      <c r="BR246" s="155" t="s">
        <v>103</v>
      </c>
      <c r="BS246" s="155" t="s">
        <v>103</v>
      </c>
      <c r="BT246" s="155" t="s">
        <v>103</v>
      </c>
      <c r="BU246" s="155" t="s">
        <v>103</v>
      </c>
      <c r="BV246" s="155" t="s">
        <v>103</v>
      </c>
      <c r="BW246" s="155" t="s">
        <v>103</v>
      </c>
      <c r="BX246" s="155" t="s">
        <v>103</v>
      </c>
      <c r="BY246" s="155" t="s">
        <v>103</v>
      </c>
      <c r="BZ246" s="155" t="s">
        <v>103</v>
      </c>
      <c r="CA246" s="155" t="s">
        <v>103</v>
      </c>
      <c r="CB246" s="155" t="s">
        <v>103</v>
      </c>
      <c r="CC246" s="155" t="s">
        <v>103</v>
      </c>
      <c r="CD246" s="155" t="s">
        <v>103</v>
      </c>
      <c r="CE246" s="155" t="s">
        <v>103</v>
      </c>
    </row>
    <row r="247" spans="1:83" ht="27.6" customHeight="1">
      <c r="A247" s="503" t="s">
        <v>710</v>
      </c>
      <c r="B247" s="164" t="s">
        <v>711</v>
      </c>
      <c r="C247" s="155" t="s">
        <v>712</v>
      </c>
      <c r="D247" s="153">
        <v>21526</v>
      </c>
      <c r="E247" s="153">
        <v>92264</v>
      </c>
      <c r="F247" s="153">
        <v>6065044701</v>
      </c>
      <c r="G247" s="153" t="s">
        <v>110</v>
      </c>
      <c r="H247" s="674">
        <v>0.13999018518996822</v>
      </c>
      <c r="I247" s="508" t="s">
        <v>711</v>
      </c>
      <c r="J247" s="153" t="s">
        <v>117</v>
      </c>
      <c r="K247" s="572" t="s">
        <v>205</v>
      </c>
      <c r="L247" s="153">
        <v>21526</v>
      </c>
      <c r="M247" s="153" t="s">
        <v>110</v>
      </c>
      <c r="N247" s="156">
        <v>2</v>
      </c>
      <c r="P247" s="156">
        <v>0</v>
      </c>
      <c r="Q247" s="989" t="s">
        <v>131</v>
      </c>
      <c r="R247" s="156">
        <v>0</v>
      </c>
      <c r="S247" s="156">
        <v>1</v>
      </c>
      <c r="T247" s="958" t="s">
        <v>105</v>
      </c>
      <c r="U247" s="153" t="s">
        <v>110</v>
      </c>
      <c r="V247" s="149">
        <v>38777</v>
      </c>
      <c r="W247" s="149">
        <v>38812</v>
      </c>
      <c r="X247" s="149">
        <v>44638</v>
      </c>
      <c r="Y247" s="149">
        <v>44912</v>
      </c>
      <c r="Z247" s="149" t="s">
        <v>103</v>
      </c>
      <c r="AA247" s="149">
        <v>38777</v>
      </c>
      <c r="AB247" s="1022">
        <v>0</v>
      </c>
      <c r="AC247" s="594">
        <f>W247-V247</f>
        <v>35</v>
      </c>
      <c r="AD247" s="149">
        <v>44912</v>
      </c>
      <c r="AE247" s="149" t="s">
        <v>103</v>
      </c>
      <c r="AF247" s="153" t="s">
        <v>103</v>
      </c>
      <c r="AG247" s="153" t="s">
        <v>103</v>
      </c>
      <c r="AH247" s="596" t="s">
        <v>103</v>
      </c>
      <c r="AI247" s="960" t="s">
        <v>103</v>
      </c>
      <c r="AJ247" s="607">
        <v>3800</v>
      </c>
      <c r="AK247" s="153" t="s">
        <v>120</v>
      </c>
      <c r="AL247" s="791" t="s">
        <v>104</v>
      </c>
      <c r="AO247" s="963"/>
      <c r="AP247" s="94">
        <v>2000000</v>
      </c>
      <c r="AQ247" s="574">
        <v>0</v>
      </c>
      <c r="AR247" s="153" t="s">
        <v>116</v>
      </c>
      <c r="AS247" s="153" t="s">
        <v>116</v>
      </c>
      <c r="AT247" s="777" t="s">
        <v>122</v>
      </c>
      <c r="AU247" s="777" t="s">
        <v>122</v>
      </c>
      <c r="AV247" s="777" t="s">
        <v>122</v>
      </c>
      <c r="AW247" s="777" t="s">
        <v>122</v>
      </c>
      <c r="AX247" s="155" t="s">
        <v>103</v>
      </c>
      <c r="AY247" s="155" t="s">
        <v>103</v>
      </c>
      <c r="AZ247" s="155" t="s">
        <v>103</v>
      </c>
      <c r="BB247" s="153"/>
      <c r="BC247" s="780" t="s">
        <v>103</v>
      </c>
      <c r="BD247" s="153" t="s">
        <v>103</v>
      </c>
      <c r="BE247" s="679" t="s">
        <v>103</v>
      </c>
      <c r="BF247" s="156" t="s">
        <v>103</v>
      </c>
      <c r="BG247" s="94">
        <v>144385.13</v>
      </c>
      <c r="BH247" s="766">
        <v>0</v>
      </c>
      <c r="BI247" s="774">
        <v>0</v>
      </c>
      <c r="BJ247" s="774">
        <v>1125000</v>
      </c>
      <c r="BL247" s="153" t="s">
        <v>124</v>
      </c>
      <c r="BM247" s="94" t="s">
        <v>103</v>
      </c>
      <c r="BN247" s="155" t="s">
        <v>103</v>
      </c>
      <c r="BO247" s="153" t="s">
        <v>103</v>
      </c>
      <c r="BP247" s="153" t="s">
        <v>103</v>
      </c>
      <c r="BQ247" s="153" t="s">
        <v>103</v>
      </c>
      <c r="BR247" s="153" t="s">
        <v>110</v>
      </c>
      <c r="BS247" s="153" t="s">
        <v>110</v>
      </c>
      <c r="BT247" s="153" t="s">
        <v>110</v>
      </c>
      <c r="BU247" s="153" t="s">
        <v>110</v>
      </c>
      <c r="BV247" s="153" t="s">
        <v>104</v>
      </c>
      <c r="BW247" s="153" t="s">
        <v>110</v>
      </c>
      <c r="BX247" s="153" t="s">
        <v>110</v>
      </c>
      <c r="BY247" s="153" t="s">
        <v>117</v>
      </c>
      <c r="BZ247" s="153" t="s">
        <v>110</v>
      </c>
      <c r="CA247" s="616" t="s">
        <v>103</v>
      </c>
      <c r="CB247" s="153" t="s">
        <v>103</v>
      </c>
      <c r="CC247" s="153" t="s">
        <v>103</v>
      </c>
      <c r="CD247" s="153" t="s">
        <v>103</v>
      </c>
      <c r="CE247" s="153" t="s">
        <v>103</v>
      </c>
    </row>
    <row r="248" spans="1:83" ht="41.45" customHeight="1">
      <c r="A248" s="503"/>
      <c r="B248" s="164" t="s">
        <v>713</v>
      </c>
      <c r="C248" s="155" t="s">
        <v>714</v>
      </c>
      <c r="D248" s="153">
        <v>21525</v>
      </c>
      <c r="E248" s="153">
        <v>92264</v>
      </c>
      <c r="F248" s="153">
        <v>6065940800</v>
      </c>
      <c r="G248" s="153" t="s">
        <v>110</v>
      </c>
      <c r="H248" s="153" t="s">
        <v>150</v>
      </c>
      <c r="I248" s="508" t="s">
        <v>713</v>
      </c>
      <c r="J248" s="153" t="s">
        <v>117</v>
      </c>
      <c r="K248" s="572" t="s">
        <v>205</v>
      </c>
      <c r="L248" s="153">
        <v>21525</v>
      </c>
      <c r="M248" s="153" t="s">
        <v>104</v>
      </c>
      <c r="Q248" s="156" t="s">
        <v>139</v>
      </c>
      <c r="V248" s="590">
        <v>38986</v>
      </c>
      <c r="W248" s="149">
        <v>38597</v>
      </c>
      <c r="X248" s="149">
        <v>39405</v>
      </c>
      <c r="Y248" s="149">
        <v>39640</v>
      </c>
      <c r="Z248" s="149">
        <v>39640</v>
      </c>
      <c r="AA248" s="149">
        <v>38986</v>
      </c>
      <c r="AB248" s="763" t="s">
        <v>151</v>
      </c>
      <c r="AC248" s="594">
        <v>-277.85714285714283</v>
      </c>
      <c r="AD248" s="153" t="s">
        <v>103</v>
      </c>
      <c r="AE248" s="149" t="s">
        <v>103</v>
      </c>
      <c r="AF248" s="596">
        <v>21</v>
      </c>
      <c r="AG248" s="596">
        <v>18</v>
      </c>
      <c r="AH248" s="595">
        <v>5335.666666666667</v>
      </c>
      <c r="AI248" s="614">
        <v>1.0105429292929293</v>
      </c>
      <c r="AJ248" s="607">
        <v>4800</v>
      </c>
      <c r="AK248" s="153" t="s">
        <v>152</v>
      </c>
      <c r="AL248" s="791" t="s">
        <v>104</v>
      </c>
      <c r="AO248" s="963"/>
      <c r="AP248" s="1017">
        <v>2250000</v>
      </c>
      <c r="AQ248" s="574">
        <v>2410299</v>
      </c>
      <c r="AR248" s="153" t="s">
        <v>116</v>
      </c>
      <c r="AS248" s="153" t="s">
        <v>116</v>
      </c>
      <c r="AT248" s="156">
        <v>0</v>
      </c>
      <c r="AU248" s="777" t="s">
        <v>122</v>
      </c>
      <c r="AV248" s="777" t="s">
        <v>122</v>
      </c>
      <c r="AW248" s="777" t="s">
        <v>122</v>
      </c>
      <c r="AX248" s="155" t="s">
        <v>103</v>
      </c>
      <c r="AY248" s="155" t="s">
        <v>103</v>
      </c>
      <c r="AZ248" s="155" t="s">
        <v>103</v>
      </c>
      <c r="BA248" s="156">
        <v>0</v>
      </c>
      <c r="BB248" s="574">
        <f t="shared" ref="BB248" si="53">AQ248</f>
        <v>2410299</v>
      </c>
      <c r="BC248" s="780">
        <v>-160299</v>
      </c>
      <c r="BD248" s="1008" t="s">
        <v>151</v>
      </c>
      <c r="BE248" s="679">
        <v>0</v>
      </c>
      <c r="BF248" s="153" t="s">
        <v>103</v>
      </c>
      <c r="BG248" s="94">
        <v>2410299</v>
      </c>
      <c r="BH248" s="766">
        <v>1116946</v>
      </c>
      <c r="BI248" s="774">
        <v>1104867.8500000001</v>
      </c>
      <c r="BJ248" s="774">
        <v>28186.149999999907</v>
      </c>
      <c r="BL248" s="153" t="s">
        <v>124</v>
      </c>
      <c r="BM248" s="94" t="s">
        <v>103</v>
      </c>
      <c r="BN248" s="155" t="s">
        <v>103</v>
      </c>
      <c r="BO248" s="153" t="s">
        <v>103</v>
      </c>
      <c r="BP248" s="153" t="s">
        <v>103</v>
      </c>
      <c r="BQ248" s="153" t="s">
        <v>103</v>
      </c>
      <c r="BR248" s="153" t="s">
        <v>110</v>
      </c>
      <c r="BS248" s="153" t="s">
        <v>110</v>
      </c>
      <c r="BT248" s="153" t="s">
        <v>110</v>
      </c>
      <c r="BU248" s="153" t="s">
        <v>110</v>
      </c>
      <c r="BV248" s="153" t="s">
        <v>110</v>
      </c>
      <c r="BW248" s="153" t="s">
        <v>110</v>
      </c>
      <c r="BX248" s="153" t="s">
        <v>110</v>
      </c>
      <c r="BY248" s="153" t="s">
        <v>117</v>
      </c>
      <c r="BZ248" s="153" t="s">
        <v>110</v>
      </c>
      <c r="CA248" s="616" t="s">
        <v>103</v>
      </c>
      <c r="CB248" s="153" t="s">
        <v>103</v>
      </c>
      <c r="CC248" s="153" t="s">
        <v>103</v>
      </c>
      <c r="CD248" s="153" t="s">
        <v>103</v>
      </c>
      <c r="CE248" s="153" t="s">
        <v>103</v>
      </c>
    </row>
    <row r="249" spans="1:83" ht="9" customHeight="1">
      <c r="A249" s="503" t="s">
        <v>715</v>
      </c>
      <c r="B249" s="164" t="s">
        <v>716</v>
      </c>
      <c r="C249" s="155" t="s">
        <v>103</v>
      </c>
      <c r="D249" s="153">
        <v>3365</v>
      </c>
      <c r="E249" s="153">
        <v>92570</v>
      </c>
      <c r="F249" s="153">
        <v>6065042800</v>
      </c>
      <c r="G249" s="153" t="s">
        <v>104</v>
      </c>
      <c r="H249" s="674">
        <v>0.29311251314405889</v>
      </c>
      <c r="I249" s="508" t="s">
        <v>716</v>
      </c>
      <c r="J249" s="153" t="s">
        <v>117</v>
      </c>
      <c r="K249" s="572" t="s">
        <v>534</v>
      </c>
      <c r="L249" s="153">
        <v>3365</v>
      </c>
      <c r="M249" s="153" t="s">
        <v>110</v>
      </c>
      <c r="N249" s="156">
        <v>2</v>
      </c>
      <c r="P249" s="156">
        <v>0</v>
      </c>
      <c r="Q249" s="156" t="s">
        <v>119</v>
      </c>
      <c r="R249" s="156">
        <v>0</v>
      </c>
      <c r="S249" s="156">
        <v>1</v>
      </c>
      <c r="T249" s="958" t="s">
        <v>105</v>
      </c>
      <c r="U249" s="153" t="s">
        <v>104</v>
      </c>
      <c r="V249" s="149">
        <v>38986</v>
      </c>
      <c r="W249" s="149" t="s">
        <v>103</v>
      </c>
      <c r="X249" s="149" t="s">
        <v>103</v>
      </c>
      <c r="Y249" s="149" t="s">
        <v>103</v>
      </c>
      <c r="Z249" s="149" t="s">
        <v>103</v>
      </c>
      <c r="AA249" s="149" t="s">
        <v>103</v>
      </c>
      <c r="AB249" s="153" t="s">
        <v>103</v>
      </c>
      <c r="AC249" s="594" t="s">
        <v>103</v>
      </c>
      <c r="AD249" s="153" t="s">
        <v>103</v>
      </c>
      <c r="AE249" s="149" t="s">
        <v>103</v>
      </c>
      <c r="AF249" s="153" t="s">
        <v>103</v>
      </c>
      <c r="AG249" s="153" t="s">
        <v>103</v>
      </c>
      <c r="AH249" s="596" t="s">
        <v>103</v>
      </c>
      <c r="AI249" s="960" t="s">
        <v>103</v>
      </c>
      <c r="AJ249" s="607">
        <v>2700</v>
      </c>
      <c r="AK249" s="153" t="s">
        <v>152</v>
      </c>
      <c r="AL249" s="791" t="s">
        <v>104</v>
      </c>
      <c r="AO249" s="963"/>
      <c r="AP249" s="94">
        <v>675000</v>
      </c>
      <c r="AQ249" s="574">
        <v>0</v>
      </c>
      <c r="AR249" s="153" t="s">
        <v>116</v>
      </c>
      <c r="AS249" s="153" t="s">
        <v>116</v>
      </c>
      <c r="AT249" s="777" t="s">
        <v>121</v>
      </c>
      <c r="AU249" s="777" t="s">
        <v>122</v>
      </c>
      <c r="AV249" s="777" t="s">
        <v>122</v>
      </c>
      <c r="AW249" s="777" t="s">
        <v>122</v>
      </c>
      <c r="AX249" s="155" t="s">
        <v>103</v>
      </c>
      <c r="AY249" s="155" t="s">
        <v>103</v>
      </c>
      <c r="AZ249" s="155" t="s">
        <v>103</v>
      </c>
      <c r="BB249" s="153"/>
      <c r="BC249" s="780" t="s">
        <v>103</v>
      </c>
      <c r="BD249" s="153" t="s">
        <v>103</v>
      </c>
      <c r="BE249" s="679" t="s">
        <v>103</v>
      </c>
      <c r="BF249" s="156" t="s">
        <v>103</v>
      </c>
      <c r="BG249" s="94">
        <v>0</v>
      </c>
      <c r="BH249" s="149" t="s">
        <v>103</v>
      </c>
      <c r="BI249" s="774" t="s">
        <v>103</v>
      </c>
      <c r="BJ249" s="149" t="s">
        <v>103</v>
      </c>
      <c r="BK249" s="149" t="s">
        <v>103</v>
      </c>
      <c r="BL249" s="153" t="s">
        <v>124</v>
      </c>
      <c r="BM249" s="94" t="s">
        <v>103</v>
      </c>
      <c r="BN249" s="155" t="s">
        <v>103</v>
      </c>
      <c r="BO249" s="153" t="s">
        <v>103</v>
      </c>
      <c r="BP249" s="153" t="s">
        <v>103</v>
      </c>
      <c r="BQ249" s="153" t="s">
        <v>103</v>
      </c>
      <c r="BR249" s="153" t="s">
        <v>110</v>
      </c>
      <c r="BS249" s="153" t="s">
        <v>110</v>
      </c>
      <c r="BT249" s="153" t="s">
        <v>110</v>
      </c>
      <c r="BU249" s="153" t="s">
        <v>110</v>
      </c>
      <c r="BV249" s="153" t="s">
        <v>110</v>
      </c>
      <c r="BW249" s="153" t="s">
        <v>110</v>
      </c>
      <c r="BX249" s="153" t="s">
        <v>110</v>
      </c>
      <c r="BY249" s="153" t="s">
        <v>117</v>
      </c>
      <c r="BZ249" s="153" t="s">
        <v>110</v>
      </c>
      <c r="CA249" s="616" t="s">
        <v>103</v>
      </c>
      <c r="CB249" s="153" t="s">
        <v>103</v>
      </c>
      <c r="CC249" s="153" t="s">
        <v>103</v>
      </c>
      <c r="CD249" s="153" t="s">
        <v>103</v>
      </c>
      <c r="CE249" s="153" t="s">
        <v>103</v>
      </c>
    </row>
    <row r="250" spans="1:83" ht="11.1" customHeight="1">
      <c r="A250" s="503"/>
      <c r="B250" s="164" t="s">
        <v>717</v>
      </c>
      <c r="C250" s="155" t="s">
        <v>718</v>
      </c>
      <c r="D250" s="153">
        <v>3365</v>
      </c>
      <c r="E250" s="153">
        <v>92571</v>
      </c>
      <c r="G250" s="153">
        <v>0</v>
      </c>
      <c r="H250" s="153" t="s">
        <v>150</v>
      </c>
      <c r="I250" s="508" t="s">
        <v>717</v>
      </c>
      <c r="J250" s="153" t="s">
        <v>117</v>
      </c>
      <c r="K250" s="572" t="s">
        <v>534</v>
      </c>
      <c r="L250" s="153">
        <v>3365</v>
      </c>
      <c r="M250" s="153" t="s">
        <v>104</v>
      </c>
      <c r="Q250" s="156" t="s">
        <v>139</v>
      </c>
      <c r="R250" s="156">
        <v>0</v>
      </c>
      <c r="S250" s="156">
        <v>0</v>
      </c>
      <c r="V250" s="590">
        <v>38986</v>
      </c>
      <c r="W250" s="149">
        <v>38457</v>
      </c>
      <c r="X250" s="149">
        <v>39881</v>
      </c>
      <c r="Y250" s="149">
        <v>40070</v>
      </c>
      <c r="Z250" s="149">
        <v>40070</v>
      </c>
      <c r="AA250" s="149">
        <v>38986</v>
      </c>
      <c r="AB250" s="763" t="s">
        <v>151</v>
      </c>
      <c r="AC250" s="594">
        <v>-377.85714285714283</v>
      </c>
      <c r="AD250" s="153" t="s">
        <v>103</v>
      </c>
      <c r="AE250" s="149" t="s">
        <v>103</v>
      </c>
      <c r="AF250" s="596">
        <v>23</v>
      </c>
      <c r="AG250" s="596">
        <v>3</v>
      </c>
      <c r="AH250" s="595">
        <v>5320</v>
      </c>
      <c r="AI250" s="614">
        <v>1.0075757575757576</v>
      </c>
      <c r="AJ250" s="607">
        <v>3850</v>
      </c>
      <c r="AK250" s="153" t="s">
        <v>120</v>
      </c>
      <c r="AL250" s="791" t="s">
        <v>104</v>
      </c>
      <c r="AO250" s="963"/>
      <c r="AP250" s="1017">
        <v>997000</v>
      </c>
      <c r="AQ250" s="574">
        <v>1642029</v>
      </c>
      <c r="AR250" s="153" t="s">
        <v>116</v>
      </c>
      <c r="AS250" s="153" t="s">
        <v>116</v>
      </c>
      <c r="AT250" s="156">
        <v>0</v>
      </c>
      <c r="AU250" s="777" t="s">
        <v>122</v>
      </c>
      <c r="AV250" s="777" t="s">
        <v>122</v>
      </c>
      <c r="AW250" s="777" t="s">
        <v>122</v>
      </c>
      <c r="AX250" s="155" t="s">
        <v>103</v>
      </c>
      <c r="AY250" s="155" t="s">
        <v>103</v>
      </c>
      <c r="AZ250" s="155" t="s">
        <v>103</v>
      </c>
      <c r="BA250" s="156">
        <v>0</v>
      </c>
      <c r="BB250" s="574">
        <f t="shared" ref="BB250" si="54">AQ250</f>
        <v>1642029</v>
      </c>
      <c r="BC250" s="780">
        <v>-645029</v>
      </c>
      <c r="BD250" s="1012" t="s">
        <v>122</v>
      </c>
      <c r="BE250" s="679">
        <v>10847</v>
      </c>
      <c r="BF250" s="153">
        <v>2012</v>
      </c>
      <c r="BG250" s="94">
        <v>1642029</v>
      </c>
      <c r="BH250" s="766">
        <v>972220</v>
      </c>
      <c r="BI250" s="774">
        <v>0</v>
      </c>
      <c r="BJ250" s="774">
        <v>0</v>
      </c>
      <c r="BK250" s="153" t="s">
        <v>103</v>
      </c>
      <c r="BL250" s="153" t="s">
        <v>124</v>
      </c>
      <c r="BM250" s="94" t="s">
        <v>103</v>
      </c>
      <c r="BN250" s="155" t="s">
        <v>103</v>
      </c>
      <c r="BO250" s="153" t="s">
        <v>103</v>
      </c>
      <c r="BP250" s="153" t="s">
        <v>103</v>
      </c>
      <c r="BQ250" s="153" t="s">
        <v>103</v>
      </c>
      <c r="BR250" s="153" t="s">
        <v>110</v>
      </c>
      <c r="BS250" s="153" t="s">
        <v>110</v>
      </c>
      <c r="BT250" s="153" t="s">
        <v>110</v>
      </c>
      <c r="BU250" s="153" t="s">
        <v>110</v>
      </c>
      <c r="BV250" s="153" t="s">
        <v>110</v>
      </c>
      <c r="BW250" s="153" t="s">
        <v>110</v>
      </c>
      <c r="BX250" s="153" t="s">
        <v>110</v>
      </c>
      <c r="BY250" s="153" t="s">
        <v>117</v>
      </c>
      <c r="BZ250" s="153" t="s">
        <v>110</v>
      </c>
      <c r="CA250" s="616" t="s">
        <v>103</v>
      </c>
      <c r="CB250" s="153" t="s">
        <v>103</v>
      </c>
      <c r="CC250" s="153" t="s">
        <v>103</v>
      </c>
      <c r="CD250" s="153" t="s">
        <v>103</v>
      </c>
      <c r="CE250" s="153" t="s">
        <v>103</v>
      </c>
    </row>
    <row r="251" spans="1:83" ht="18" customHeight="1">
      <c r="A251" s="503" t="s">
        <v>719</v>
      </c>
      <c r="B251" s="164" t="s">
        <v>103</v>
      </c>
      <c r="C251" s="155" t="s">
        <v>103</v>
      </c>
      <c r="D251" s="153" t="s">
        <v>103</v>
      </c>
      <c r="E251" s="153" t="s">
        <v>103</v>
      </c>
      <c r="F251" s="958" t="s">
        <v>103</v>
      </c>
      <c r="G251" s="153" t="s">
        <v>110</v>
      </c>
      <c r="H251" s="673">
        <v>5.401450143018692E-2</v>
      </c>
      <c r="I251" s="508" t="s">
        <v>103</v>
      </c>
      <c r="J251" s="958" t="s">
        <v>103</v>
      </c>
      <c r="K251" s="958" t="s">
        <v>103</v>
      </c>
      <c r="L251" s="155" t="s">
        <v>103</v>
      </c>
      <c r="M251" s="155" t="s">
        <v>103</v>
      </c>
      <c r="N251" s="156">
        <v>0</v>
      </c>
      <c r="O251" s="156" t="s">
        <v>103</v>
      </c>
      <c r="P251" s="156">
        <v>0</v>
      </c>
      <c r="Q251" s="958" t="s">
        <v>103</v>
      </c>
      <c r="R251" s="156">
        <v>0</v>
      </c>
      <c r="S251" s="156">
        <v>0</v>
      </c>
      <c r="T251" s="958" t="s">
        <v>105</v>
      </c>
      <c r="U251" s="153" t="s">
        <v>110</v>
      </c>
      <c r="V251" s="518" t="s">
        <v>103</v>
      </c>
      <c r="W251" s="991" t="s">
        <v>103</v>
      </c>
      <c r="X251" s="991" t="s">
        <v>103</v>
      </c>
      <c r="Y251" s="991" t="s">
        <v>103</v>
      </c>
      <c r="Z251" s="518" t="s">
        <v>103</v>
      </c>
      <c r="AA251" s="991" t="s">
        <v>103</v>
      </c>
      <c r="AB251" s="155" t="s">
        <v>103</v>
      </c>
      <c r="AC251" s="959" t="s">
        <v>103</v>
      </c>
      <c r="AD251" s="155" t="s">
        <v>103</v>
      </c>
      <c r="AE251" s="155" t="s">
        <v>103</v>
      </c>
      <c r="AF251" s="155" t="s">
        <v>103</v>
      </c>
      <c r="AG251" s="155" t="s">
        <v>103</v>
      </c>
      <c r="AH251" s="992" t="s">
        <v>103</v>
      </c>
      <c r="AI251" s="960" t="s">
        <v>103</v>
      </c>
      <c r="AJ251" s="992" t="s">
        <v>103</v>
      </c>
      <c r="AK251" s="155" t="s">
        <v>103</v>
      </c>
      <c r="AL251" s="993" t="s">
        <v>103</v>
      </c>
      <c r="AM251" s="155"/>
      <c r="AN251" s="155"/>
      <c r="AO251" s="994"/>
      <c r="AP251" s="519">
        <v>0</v>
      </c>
      <c r="AQ251" s="581">
        <v>0</v>
      </c>
      <c r="AR251" s="155" t="s">
        <v>103</v>
      </c>
      <c r="AS251" s="155" t="s">
        <v>103</v>
      </c>
      <c r="AT251" s="155" t="s">
        <v>103</v>
      </c>
      <c r="AU251" s="155" t="s">
        <v>103</v>
      </c>
      <c r="AV251" s="155" t="s">
        <v>103</v>
      </c>
      <c r="AW251" s="155" t="s">
        <v>103</v>
      </c>
      <c r="AX251" s="155" t="s">
        <v>103</v>
      </c>
      <c r="AY251" s="155" t="s">
        <v>103</v>
      </c>
      <c r="AZ251" s="155" t="s">
        <v>103</v>
      </c>
      <c r="BA251" s="155" t="s">
        <v>103</v>
      </c>
      <c r="BB251" s="155" t="s">
        <v>103</v>
      </c>
      <c r="BC251" s="155" t="s">
        <v>103</v>
      </c>
      <c r="BD251" s="155" t="s">
        <v>103</v>
      </c>
      <c r="BE251" s="989" t="s">
        <v>103</v>
      </c>
      <c r="BF251" s="155" t="s">
        <v>103</v>
      </c>
      <c r="BG251" s="961">
        <v>0</v>
      </c>
      <c r="BH251" s="155" t="s">
        <v>103</v>
      </c>
      <c r="BI251" s="990" t="s">
        <v>103</v>
      </c>
      <c r="BJ251" s="155" t="s">
        <v>103</v>
      </c>
      <c r="BK251" s="155" t="s">
        <v>103</v>
      </c>
      <c r="BL251" s="155" t="s">
        <v>103</v>
      </c>
      <c r="BM251" s="155" t="s">
        <v>103</v>
      </c>
      <c r="BN251" s="155" t="s">
        <v>103</v>
      </c>
      <c r="BO251" s="155" t="s">
        <v>103</v>
      </c>
      <c r="BP251" s="155" t="s">
        <v>103</v>
      </c>
      <c r="BQ251" s="155" t="s">
        <v>103</v>
      </c>
      <c r="BR251" s="155" t="s">
        <v>103</v>
      </c>
      <c r="BS251" s="155" t="s">
        <v>103</v>
      </c>
      <c r="BT251" s="155" t="s">
        <v>103</v>
      </c>
      <c r="BU251" s="155" t="s">
        <v>103</v>
      </c>
      <c r="BV251" s="155" t="s">
        <v>103</v>
      </c>
      <c r="BW251" s="155" t="s">
        <v>103</v>
      </c>
      <c r="BX251" s="155" t="s">
        <v>103</v>
      </c>
      <c r="BY251" s="155" t="s">
        <v>103</v>
      </c>
      <c r="BZ251" s="155" t="s">
        <v>103</v>
      </c>
      <c r="CA251" s="155" t="s">
        <v>103</v>
      </c>
      <c r="CB251" s="155" t="s">
        <v>103</v>
      </c>
      <c r="CC251" s="155" t="s">
        <v>103</v>
      </c>
      <c r="CD251" s="155" t="s">
        <v>103</v>
      </c>
      <c r="CE251" s="155" t="s">
        <v>103</v>
      </c>
    </row>
    <row r="252" spans="1:83" ht="18" customHeight="1">
      <c r="A252" s="507" t="s">
        <v>720</v>
      </c>
      <c r="B252" s="164" t="s">
        <v>103</v>
      </c>
      <c r="C252" s="155" t="s">
        <v>103</v>
      </c>
      <c r="D252" s="153" t="s">
        <v>103</v>
      </c>
      <c r="E252" s="153" t="s">
        <v>103</v>
      </c>
      <c r="F252" s="958" t="s">
        <v>103</v>
      </c>
      <c r="G252" s="153" t="s">
        <v>104</v>
      </c>
      <c r="H252" s="153" t="s">
        <v>150</v>
      </c>
      <c r="I252" s="508" t="s">
        <v>103</v>
      </c>
      <c r="J252" s="958" t="s">
        <v>103</v>
      </c>
      <c r="K252" s="958" t="s">
        <v>103</v>
      </c>
      <c r="L252" s="155" t="s">
        <v>103</v>
      </c>
      <c r="M252" s="155" t="s">
        <v>103</v>
      </c>
      <c r="N252" s="156">
        <v>0</v>
      </c>
      <c r="O252" s="156" t="s">
        <v>103</v>
      </c>
      <c r="P252" s="156">
        <v>0</v>
      </c>
      <c r="Q252" s="958" t="s">
        <v>103</v>
      </c>
      <c r="R252" s="156">
        <v>0</v>
      </c>
      <c r="S252" s="156">
        <v>0</v>
      </c>
      <c r="T252" s="958" t="s">
        <v>105</v>
      </c>
      <c r="U252" s="153" t="s">
        <v>104</v>
      </c>
      <c r="V252" s="518" t="s">
        <v>103</v>
      </c>
      <c r="W252" s="991" t="s">
        <v>103</v>
      </c>
      <c r="X252" s="991" t="s">
        <v>103</v>
      </c>
      <c r="Y252" s="991" t="s">
        <v>103</v>
      </c>
      <c r="Z252" s="518" t="s">
        <v>103</v>
      </c>
      <c r="AA252" s="991" t="s">
        <v>103</v>
      </c>
      <c r="AB252" s="155" t="s">
        <v>103</v>
      </c>
      <c r="AC252" s="959" t="s">
        <v>103</v>
      </c>
      <c r="AD252" s="155" t="s">
        <v>103</v>
      </c>
      <c r="AE252" s="155" t="s">
        <v>103</v>
      </c>
      <c r="AF252" s="155" t="s">
        <v>103</v>
      </c>
      <c r="AG252" s="155" t="s">
        <v>103</v>
      </c>
      <c r="AH252" s="992" t="s">
        <v>103</v>
      </c>
      <c r="AI252" s="960" t="s">
        <v>103</v>
      </c>
      <c r="AJ252" s="992" t="s">
        <v>103</v>
      </c>
      <c r="AK252" s="155" t="s">
        <v>103</v>
      </c>
      <c r="AL252" s="993" t="s">
        <v>103</v>
      </c>
      <c r="AM252" s="155"/>
      <c r="AN252" s="155"/>
      <c r="AO252" s="994"/>
      <c r="AP252" s="94">
        <v>0</v>
      </c>
      <c r="AQ252" s="578">
        <v>0</v>
      </c>
      <c r="AR252" s="155" t="s">
        <v>103</v>
      </c>
      <c r="AS252" s="155" t="s">
        <v>103</v>
      </c>
      <c r="AT252" s="155" t="s">
        <v>103</v>
      </c>
      <c r="AU252" s="155" t="s">
        <v>103</v>
      </c>
      <c r="AV252" s="155" t="s">
        <v>103</v>
      </c>
      <c r="AW252" s="155" t="s">
        <v>103</v>
      </c>
      <c r="AX252" s="155" t="s">
        <v>103</v>
      </c>
      <c r="AY252" s="155" t="s">
        <v>103</v>
      </c>
      <c r="AZ252" s="155" t="s">
        <v>103</v>
      </c>
      <c r="BA252" s="155" t="s">
        <v>103</v>
      </c>
      <c r="BB252" s="155" t="s">
        <v>103</v>
      </c>
      <c r="BC252" s="155" t="s">
        <v>103</v>
      </c>
      <c r="BD252" s="155" t="s">
        <v>103</v>
      </c>
      <c r="BE252" s="989" t="s">
        <v>103</v>
      </c>
      <c r="BF252" s="155" t="s">
        <v>103</v>
      </c>
      <c r="BG252" s="961">
        <v>0</v>
      </c>
      <c r="BH252" s="155" t="s">
        <v>103</v>
      </c>
      <c r="BI252" s="990" t="s">
        <v>103</v>
      </c>
      <c r="BJ252" s="155" t="s">
        <v>103</v>
      </c>
      <c r="BK252" s="155" t="s">
        <v>103</v>
      </c>
      <c r="BL252" s="155" t="s">
        <v>103</v>
      </c>
      <c r="BM252" s="155" t="s">
        <v>103</v>
      </c>
      <c r="BN252" s="155" t="s">
        <v>103</v>
      </c>
      <c r="BO252" s="155" t="s">
        <v>103</v>
      </c>
      <c r="BP252" s="155" t="s">
        <v>103</v>
      </c>
      <c r="BQ252" s="155" t="s">
        <v>103</v>
      </c>
      <c r="BR252" s="155" t="s">
        <v>103</v>
      </c>
      <c r="BS252" s="155" t="s">
        <v>103</v>
      </c>
      <c r="BT252" s="155" t="s">
        <v>103</v>
      </c>
      <c r="BU252" s="155" t="s">
        <v>103</v>
      </c>
      <c r="BV252" s="155" t="s">
        <v>103</v>
      </c>
      <c r="BW252" s="155" t="s">
        <v>103</v>
      </c>
      <c r="BX252" s="155" t="s">
        <v>103</v>
      </c>
      <c r="BY252" s="155" t="s">
        <v>103</v>
      </c>
      <c r="BZ252" s="155" t="s">
        <v>103</v>
      </c>
      <c r="CA252" s="155" t="s">
        <v>103</v>
      </c>
      <c r="CB252" s="155" t="s">
        <v>103</v>
      </c>
      <c r="CC252" s="155" t="s">
        <v>103</v>
      </c>
      <c r="CD252" s="155" t="s">
        <v>103</v>
      </c>
      <c r="CE252" s="155" t="s">
        <v>103</v>
      </c>
    </row>
    <row r="253" spans="1:83" ht="39.6" customHeight="1">
      <c r="A253" s="503" t="s">
        <v>721</v>
      </c>
      <c r="B253" s="164" t="s">
        <v>722</v>
      </c>
      <c r="C253" s="155" t="s">
        <v>723</v>
      </c>
      <c r="D253" s="153">
        <v>3214</v>
      </c>
      <c r="E253" s="153">
        <v>92583</v>
      </c>
      <c r="F253" s="153">
        <v>6065043601</v>
      </c>
      <c r="G253" s="153" t="s">
        <v>110</v>
      </c>
      <c r="H253" s="674">
        <v>0.26009791921664627</v>
      </c>
      <c r="I253" s="508" t="s">
        <v>722</v>
      </c>
      <c r="J253" s="153" t="s">
        <v>117</v>
      </c>
      <c r="K253" s="572" t="s">
        <v>293</v>
      </c>
      <c r="L253" s="153">
        <v>3214</v>
      </c>
      <c r="M253" s="153" t="s">
        <v>104</v>
      </c>
      <c r="N253" s="156">
        <v>1</v>
      </c>
      <c r="P253" s="156">
        <v>0</v>
      </c>
      <c r="Q253" s="156" t="s">
        <v>139</v>
      </c>
      <c r="R253" s="156">
        <v>0</v>
      </c>
      <c r="S253" s="156">
        <v>1</v>
      </c>
      <c r="T253" s="958" t="s">
        <v>105</v>
      </c>
      <c r="U253" s="153" t="s">
        <v>104</v>
      </c>
      <c r="V253" s="149">
        <v>38986</v>
      </c>
      <c r="W253" s="149">
        <v>39798</v>
      </c>
      <c r="X253" s="149">
        <v>40932</v>
      </c>
      <c r="Y253" s="149">
        <v>41122</v>
      </c>
      <c r="Z253" s="149">
        <v>41122</v>
      </c>
      <c r="AA253" s="572">
        <v>2009</v>
      </c>
      <c r="AB253" s="763" t="s">
        <v>121</v>
      </c>
      <c r="AC253" s="594">
        <v>580</v>
      </c>
      <c r="AD253" s="153" t="s">
        <v>103</v>
      </c>
      <c r="AE253" s="149" t="s">
        <v>103</v>
      </c>
      <c r="AF253" s="596">
        <v>11</v>
      </c>
      <c r="AG253" s="596">
        <v>0</v>
      </c>
      <c r="AH253" s="595">
        <v>1807</v>
      </c>
      <c r="AI253" s="614">
        <v>0.34223484848484848</v>
      </c>
      <c r="AJ253" s="607">
        <v>1655</v>
      </c>
      <c r="AK253" s="153" t="s">
        <v>120</v>
      </c>
      <c r="AL253" s="791" t="s">
        <v>104</v>
      </c>
      <c r="AO253" s="963"/>
      <c r="AP253" s="1017">
        <v>1250000</v>
      </c>
      <c r="AQ253" s="574">
        <v>1237193</v>
      </c>
      <c r="AR253" s="153" t="s">
        <v>116</v>
      </c>
      <c r="AS253" s="153" t="s">
        <v>116</v>
      </c>
      <c r="AT253" s="156">
        <v>0</v>
      </c>
      <c r="AU253" s="777" t="s">
        <v>122</v>
      </c>
      <c r="AV253" s="777" t="s">
        <v>122</v>
      </c>
      <c r="AW253" s="777" t="s">
        <v>122</v>
      </c>
      <c r="AX253" s="155" t="s">
        <v>103</v>
      </c>
      <c r="AY253" s="155" t="s">
        <v>103</v>
      </c>
      <c r="AZ253" s="155" t="s">
        <v>103</v>
      </c>
      <c r="BA253" s="156">
        <v>0</v>
      </c>
      <c r="BB253" s="574">
        <f t="shared" ref="BB253:BB254" si="55">AQ253</f>
        <v>1237193</v>
      </c>
      <c r="BC253" s="780">
        <v>12807</v>
      </c>
      <c r="BD253" s="1008" t="s">
        <v>121</v>
      </c>
      <c r="BE253" s="679">
        <v>0</v>
      </c>
      <c r="BF253" s="153" t="s">
        <v>103</v>
      </c>
      <c r="BG253" s="94">
        <v>1237193</v>
      </c>
      <c r="BH253" s="766">
        <v>1147570</v>
      </c>
      <c r="BI253" s="774">
        <v>102430</v>
      </c>
      <c r="BJ253" s="774">
        <v>0</v>
      </c>
      <c r="BK253" s="153" t="s">
        <v>103</v>
      </c>
      <c r="BL253" s="153" t="s">
        <v>124</v>
      </c>
      <c r="BM253" s="94" t="s">
        <v>103</v>
      </c>
      <c r="BN253" s="155" t="s">
        <v>103</v>
      </c>
      <c r="BO253" s="153" t="s">
        <v>103</v>
      </c>
      <c r="BP253" s="153" t="s">
        <v>103</v>
      </c>
      <c r="BQ253" s="153" t="s">
        <v>103</v>
      </c>
      <c r="BR253" s="153" t="s">
        <v>110</v>
      </c>
      <c r="BS253" s="153" t="s">
        <v>110</v>
      </c>
      <c r="BT253" s="153" t="s">
        <v>110</v>
      </c>
      <c r="BU253" s="153" t="s">
        <v>110</v>
      </c>
      <c r="BV253" s="153" t="s">
        <v>110</v>
      </c>
      <c r="BW253" s="153" t="s">
        <v>110</v>
      </c>
      <c r="BX253" s="153" t="s">
        <v>110</v>
      </c>
      <c r="BY253" s="153" t="s">
        <v>117</v>
      </c>
      <c r="BZ253" s="153" t="s">
        <v>110</v>
      </c>
      <c r="CA253" s="616" t="s">
        <v>103</v>
      </c>
      <c r="CB253" s="153" t="s">
        <v>103</v>
      </c>
      <c r="CC253" s="153" t="s">
        <v>103</v>
      </c>
      <c r="CD253" s="153" t="s">
        <v>103</v>
      </c>
      <c r="CE253" s="153" t="s">
        <v>103</v>
      </c>
    </row>
    <row r="254" spans="1:83" ht="27.6" customHeight="1">
      <c r="A254" s="503" t="s">
        <v>724</v>
      </c>
      <c r="B254" s="164" t="s">
        <v>725</v>
      </c>
      <c r="C254" s="155" t="s">
        <v>726</v>
      </c>
      <c r="D254" s="153" t="s">
        <v>727</v>
      </c>
      <c r="E254" s="153">
        <v>92590</v>
      </c>
      <c r="F254" s="153">
        <v>6065051200</v>
      </c>
      <c r="G254" s="153" t="s">
        <v>110</v>
      </c>
      <c r="H254" s="674">
        <v>8.291941206284846E-2</v>
      </c>
      <c r="I254" s="508" t="s">
        <v>725</v>
      </c>
      <c r="J254" s="153" t="s">
        <v>484</v>
      </c>
      <c r="K254" s="572" t="s">
        <v>217</v>
      </c>
      <c r="L254" s="153" t="s">
        <v>727</v>
      </c>
      <c r="M254" s="153" t="s">
        <v>104</v>
      </c>
      <c r="N254" s="156">
        <v>1</v>
      </c>
      <c r="P254" s="156">
        <v>0</v>
      </c>
      <c r="Q254" s="156" t="s">
        <v>139</v>
      </c>
      <c r="R254" s="156">
        <v>0</v>
      </c>
      <c r="S254" s="156">
        <v>1</v>
      </c>
      <c r="T254" s="958" t="s">
        <v>105</v>
      </c>
      <c r="U254" s="153" t="s">
        <v>110</v>
      </c>
      <c r="V254" s="149">
        <v>38986</v>
      </c>
      <c r="W254" s="149">
        <v>38999</v>
      </c>
      <c r="X254" s="149">
        <v>39678</v>
      </c>
      <c r="Y254" s="149">
        <v>39791</v>
      </c>
      <c r="Z254" s="149">
        <v>39791</v>
      </c>
      <c r="AA254" s="572">
        <v>2007</v>
      </c>
      <c r="AB254" s="763" t="s">
        <v>121</v>
      </c>
      <c r="AC254" s="594">
        <v>9.2857142857142865</v>
      </c>
      <c r="AD254" s="153" t="s">
        <v>103</v>
      </c>
      <c r="AE254" s="149" t="s">
        <v>103</v>
      </c>
      <c r="AF254" s="596">
        <v>19</v>
      </c>
      <c r="AG254" s="596">
        <v>36</v>
      </c>
      <c r="AH254" s="595">
        <v>4574.333333333333</v>
      </c>
      <c r="AI254" s="614">
        <v>0.86635101010101001</v>
      </c>
      <c r="AJ254" s="607">
        <v>5700</v>
      </c>
      <c r="AK254" s="153" t="s">
        <v>120</v>
      </c>
      <c r="AL254" s="791" t="s">
        <v>104</v>
      </c>
      <c r="AO254" s="963"/>
      <c r="AP254" s="1023">
        <v>2005000</v>
      </c>
      <c r="AQ254" s="574">
        <v>1236276</v>
      </c>
      <c r="AR254" s="153" t="s">
        <v>116</v>
      </c>
      <c r="AS254" s="153" t="s">
        <v>116</v>
      </c>
      <c r="AT254" s="777" t="s">
        <v>122</v>
      </c>
      <c r="AU254" s="777" t="s">
        <v>122</v>
      </c>
      <c r="AV254" s="777" t="s">
        <v>122</v>
      </c>
      <c r="AW254" s="777" t="s">
        <v>122</v>
      </c>
      <c r="AX254" s="155" t="s">
        <v>103</v>
      </c>
      <c r="AY254" s="155" t="s">
        <v>103</v>
      </c>
      <c r="AZ254" s="155" t="s">
        <v>103</v>
      </c>
      <c r="BB254" s="574">
        <f t="shared" si="55"/>
        <v>1236276</v>
      </c>
      <c r="BC254" s="780">
        <v>768724</v>
      </c>
      <c r="BD254" s="1008" t="s">
        <v>121</v>
      </c>
      <c r="BE254" s="679">
        <v>0</v>
      </c>
      <c r="BF254" s="153" t="s">
        <v>103</v>
      </c>
      <c r="BG254" s="94">
        <v>1236276</v>
      </c>
      <c r="BH254" s="766">
        <v>1086432</v>
      </c>
      <c r="BI254" s="774">
        <v>365963</v>
      </c>
      <c r="BJ254" s="774">
        <v>552605</v>
      </c>
      <c r="BK254" s="153" t="s">
        <v>103</v>
      </c>
      <c r="BL254" s="153" t="s">
        <v>124</v>
      </c>
      <c r="BM254" s="94" t="s">
        <v>103</v>
      </c>
      <c r="BN254" s="155" t="s">
        <v>103</v>
      </c>
      <c r="BO254" s="153" t="s">
        <v>103</v>
      </c>
      <c r="BP254" s="153" t="s">
        <v>103</v>
      </c>
      <c r="BQ254" s="153" t="s">
        <v>103</v>
      </c>
      <c r="BR254" s="153" t="s">
        <v>110</v>
      </c>
      <c r="BS254" s="153" t="s">
        <v>110</v>
      </c>
      <c r="BT254" s="153" t="s">
        <v>110</v>
      </c>
      <c r="BU254" s="153" t="s">
        <v>110</v>
      </c>
      <c r="BV254" s="153" t="s">
        <v>110</v>
      </c>
      <c r="BW254" s="153" t="s">
        <v>110</v>
      </c>
      <c r="BX254" s="153" t="s">
        <v>110</v>
      </c>
      <c r="BY254" s="153" t="s">
        <v>117</v>
      </c>
      <c r="BZ254" s="153" t="s">
        <v>110</v>
      </c>
      <c r="CA254" s="616" t="s">
        <v>103</v>
      </c>
      <c r="CB254" s="153" t="s">
        <v>103</v>
      </c>
      <c r="CC254" s="153" t="s">
        <v>103</v>
      </c>
      <c r="CD254" s="153" t="s">
        <v>103</v>
      </c>
      <c r="CE254" s="153" t="s">
        <v>103</v>
      </c>
    </row>
    <row r="255" spans="1:83" ht="14.1" customHeight="1">
      <c r="A255" s="503" t="s">
        <v>728</v>
      </c>
      <c r="B255" s="164" t="s">
        <v>103</v>
      </c>
      <c r="C255" s="155" t="s">
        <v>103</v>
      </c>
      <c r="D255" s="153" t="s">
        <v>103</v>
      </c>
      <c r="E255" s="153" t="s">
        <v>103</v>
      </c>
      <c r="F255" s="958" t="s">
        <v>103</v>
      </c>
      <c r="G255" s="153" t="s">
        <v>110</v>
      </c>
      <c r="H255" s="673">
        <v>0.15848466417586238</v>
      </c>
      <c r="I255" s="508" t="s">
        <v>103</v>
      </c>
      <c r="J255" s="958" t="s">
        <v>103</v>
      </c>
      <c r="K255" s="958" t="s">
        <v>103</v>
      </c>
      <c r="L255" s="155" t="s">
        <v>103</v>
      </c>
      <c r="M255" s="155" t="s">
        <v>103</v>
      </c>
      <c r="N255" s="156">
        <v>0</v>
      </c>
      <c r="O255" s="156" t="s">
        <v>103</v>
      </c>
      <c r="P255" s="156">
        <v>0</v>
      </c>
      <c r="Q255" s="958" t="s">
        <v>103</v>
      </c>
      <c r="R255" s="156">
        <v>0</v>
      </c>
      <c r="S255" s="156">
        <v>0</v>
      </c>
      <c r="T255" s="958" t="s">
        <v>105</v>
      </c>
      <c r="U255" s="153" t="s">
        <v>110</v>
      </c>
      <c r="V255" s="518" t="s">
        <v>103</v>
      </c>
      <c r="W255" s="991" t="s">
        <v>103</v>
      </c>
      <c r="X255" s="991" t="s">
        <v>103</v>
      </c>
      <c r="Y255" s="991" t="s">
        <v>103</v>
      </c>
      <c r="Z255" s="518" t="s">
        <v>103</v>
      </c>
      <c r="AA255" s="991" t="s">
        <v>103</v>
      </c>
      <c r="AB255" s="155" t="s">
        <v>103</v>
      </c>
      <c r="AC255" s="959" t="s">
        <v>103</v>
      </c>
      <c r="AD255" s="155" t="s">
        <v>103</v>
      </c>
      <c r="AE255" s="155" t="s">
        <v>103</v>
      </c>
      <c r="AF255" s="155" t="s">
        <v>103</v>
      </c>
      <c r="AG255" s="155" t="s">
        <v>103</v>
      </c>
      <c r="AH255" s="992" t="s">
        <v>103</v>
      </c>
      <c r="AI255" s="960" t="s">
        <v>103</v>
      </c>
      <c r="AJ255" s="992" t="s">
        <v>103</v>
      </c>
      <c r="AK255" s="155" t="s">
        <v>103</v>
      </c>
      <c r="AL255" s="993" t="s">
        <v>103</v>
      </c>
      <c r="AM255" s="155"/>
      <c r="AN255" s="155"/>
      <c r="AO255" s="994"/>
      <c r="AP255" s="94">
        <v>0</v>
      </c>
      <c r="AQ255" s="578">
        <v>0</v>
      </c>
      <c r="AR255" s="155" t="s">
        <v>103</v>
      </c>
      <c r="AS255" s="155" t="s">
        <v>103</v>
      </c>
      <c r="AT255" s="155" t="s">
        <v>103</v>
      </c>
      <c r="AU255" s="155" t="s">
        <v>103</v>
      </c>
      <c r="AV255" s="155" t="s">
        <v>103</v>
      </c>
      <c r="AW255" s="155" t="s">
        <v>103</v>
      </c>
      <c r="AX255" s="155" t="s">
        <v>103</v>
      </c>
      <c r="AY255" s="155" t="s">
        <v>103</v>
      </c>
      <c r="AZ255" s="155" t="s">
        <v>103</v>
      </c>
      <c r="BA255" s="155" t="s">
        <v>103</v>
      </c>
      <c r="BB255" s="155" t="s">
        <v>103</v>
      </c>
      <c r="BC255" s="155" t="s">
        <v>103</v>
      </c>
      <c r="BD255" s="155" t="s">
        <v>103</v>
      </c>
      <c r="BE255" s="989" t="s">
        <v>103</v>
      </c>
      <c r="BF255" s="155" t="s">
        <v>103</v>
      </c>
      <c r="BG255" s="961">
        <v>0</v>
      </c>
      <c r="BH255" s="155" t="s">
        <v>103</v>
      </c>
      <c r="BI255" s="990" t="s">
        <v>103</v>
      </c>
      <c r="BJ255" s="155" t="s">
        <v>103</v>
      </c>
      <c r="BK255" s="155" t="s">
        <v>103</v>
      </c>
      <c r="BL255" s="155" t="s">
        <v>103</v>
      </c>
      <c r="BM255" s="155" t="s">
        <v>103</v>
      </c>
      <c r="BN255" s="155" t="s">
        <v>103</v>
      </c>
      <c r="BO255" s="155" t="s">
        <v>103</v>
      </c>
      <c r="BP255" s="155" t="s">
        <v>103</v>
      </c>
      <c r="BQ255" s="155" t="s">
        <v>103</v>
      </c>
      <c r="BR255" s="155" t="s">
        <v>103</v>
      </c>
      <c r="BS255" s="155" t="s">
        <v>103</v>
      </c>
      <c r="BT255" s="155" t="s">
        <v>103</v>
      </c>
      <c r="BU255" s="155" t="s">
        <v>103</v>
      </c>
      <c r="BV255" s="155" t="s">
        <v>103</v>
      </c>
      <c r="BW255" s="155" t="s">
        <v>103</v>
      </c>
      <c r="BX255" s="155" t="s">
        <v>103</v>
      </c>
      <c r="BY255" s="155" t="s">
        <v>103</v>
      </c>
      <c r="BZ255" s="155" t="s">
        <v>103</v>
      </c>
      <c r="CA255" s="155" t="s">
        <v>103</v>
      </c>
      <c r="CB255" s="155" t="s">
        <v>103</v>
      </c>
      <c r="CC255" s="155" t="s">
        <v>103</v>
      </c>
      <c r="CD255" s="155" t="s">
        <v>103</v>
      </c>
      <c r="CE255" s="155" t="s">
        <v>103</v>
      </c>
    </row>
    <row r="256" spans="1:83" ht="14.1" customHeight="1">
      <c r="A256" s="503" t="s">
        <v>729</v>
      </c>
      <c r="B256" s="164" t="s">
        <v>730</v>
      </c>
      <c r="C256" s="155" t="s">
        <v>103</v>
      </c>
      <c r="D256" s="153" t="s">
        <v>731</v>
      </c>
      <c r="E256" s="153">
        <v>92583</v>
      </c>
      <c r="F256" s="153">
        <v>6065043312</v>
      </c>
      <c r="G256" s="153" t="s">
        <v>110</v>
      </c>
      <c r="H256" s="675">
        <v>0.20963267862735449</v>
      </c>
      <c r="I256" s="508" t="s">
        <v>730</v>
      </c>
      <c r="J256" s="153" t="s">
        <v>117</v>
      </c>
      <c r="K256" s="572" t="s">
        <v>217</v>
      </c>
      <c r="L256" s="153" t="s">
        <v>731</v>
      </c>
      <c r="M256" s="153" t="s">
        <v>110</v>
      </c>
      <c r="N256" s="156">
        <v>6</v>
      </c>
      <c r="P256" s="156">
        <v>0</v>
      </c>
      <c r="Q256" s="156" t="s">
        <v>119</v>
      </c>
      <c r="R256" s="156">
        <v>0</v>
      </c>
      <c r="S256" s="156">
        <v>5</v>
      </c>
      <c r="T256" s="958" t="s">
        <v>105</v>
      </c>
      <c r="U256" s="153" t="s">
        <v>104</v>
      </c>
      <c r="V256" s="149">
        <v>39294</v>
      </c>
      <c r="W256" s="149" t="s">
        <v>103</v>
      </c>
      <c r="X256" s="149" t="s">
        <v>103</v>
      </c>
      <c r="Y256" s="149" t="s">
        <v>103</v>
      </c>
      <c r="Z256" s="149" t="s">
        <v>103</v>
      </c>
      <c r="AA256" s="149" t="s">
        <v>103</v>
      </c>
      <c r="AB256" s="153" t="s">
        <v>103</v>
      </c>
      <c r="AC256" s="594" t="s">
        <v>103</v>
      </c>
      <c r="AD256" s="153" t="s">
        <v>103</v>
      </c>
      <c r="AE256" s="149" t="s">
        <v>103</v>
      </c>
      <c r="AF256" s="153" t="s">
        <v>103</v>
      </c>
      <c r="AG256" s="153" t="s">
        <v>103</v>
      </c>
      <c r="AH256" s="596" t="s">
        <v>103</v>
      </c>
      <c r="AI256" s="960" t="s">
        <v>103</v>
      </c>
      <c r="AJ256" s="607">
        <v>18300</v>
      </c>
      <c r="AK256" s="153" t="s">
        <v>152</v>
      </c>
      <c r="AL256" s="791" t="s">
        <v>104</v>
      </c>
      <c r="AO256" s="963"/>
      <c r="AP256" s="519">
        <v>14400000</v>
      </c>
      <c r="AQ256" s="580">
        <v>0</v>
      </c>
      <c r="AR256" s="153" t="s">
        <v>116</v>
      </c>
      <c r="AS256" s="153" t="s">
        <v>116</v>
      </c>
      <c r="AT256" s="777" t="s">
        <v>121</v>
      </c>
      <c r="AU256" s="777" t="s">
        <v>122</v>
      </c>
      <c r="AV256" s="777" t="s">
        <v>122</v>
      </c>
      <c r="AW256" s="777" t="s">
        <v>122</v>
      </c>
      <c r="AX256" s="155" t="s">
        <v>103</v>
      </c>
      <c r="AY256" s="155" t="s">
        <v>103</v>
      </c>
      <c r="AZ256" s="155" t="s">
        <v>103</v>
      </c>
      <c r="BB256" s="153"/>
      <c r="BC256" s="780" t="s">
        <v>103</v>
      </c>
      <c r="BD256" s="153" t="s">
        <v>103</v>
      </c>
      <c r="BE256" s="679" t="s">
        <v>103</v>
      </c>
      <c r="BF256" s="156" t="s">
        <v>103</v>
      </c>
      <c r="BG256" s="519">
        <v>0</v>
      </c>
      <c r="BH256" s="149" t="s">
        <v>103</v>
      </c>
      <c r="BI256" s="774" t="s">
        <v>103</v>
      </c>
      <c r="BJ256" s="149" t="s">
        <v>103</v>
      </c>
      <c r="BK256" s="149" t="s">
        <v>103</v>
      </c>
      <c r="BL256" s="153" t="s">
        <v>124</v>
      </c>
      <c r="BM256" s="519" t="s">
        <v>103</v>
      </c>
      <c r="BN256" s="155" t="s">
        <v>103</v>
      </c>
      <c r="BO256" s="153" t="s">
        <v>103</v>
      </c>
      <c r="BP256" s="153" t="s">
        <v>103</v>
      </c>
      <c r="BQ256" s="153" t="s">
        <v>103</v>
      </c>
      <c r="BR256" s="153" t="s">
        <v>110</v>
      </c>
      <c r="BS256" s="153" t="s">
        <v>110</v>
      </c>
      <c r="BT256" s="153" t="s">
        <v>110</v>
      </c>
      <c r="BU256" s="153" t="s">
        <v>110</v>
      </c>
      <c r="BV256" s="153" t="s">
        <v>110</v>
      </c>
      <c r="BW256" s="153" t="s">
        <v>110</v>
      </c>
      <c r="BX256" s="153" t="s">
        <v>110</v>
      </c>
      <c r="BY256" s="153" t="s">
        <v>117</v>
      </c>
      <c r="BZ256" s="153" t="s">
        <v>110</v>
      </c>
      <c r="CA256" s="616" t="s">
        <v>103</v>
      </c>
      <c r="CB256" s="153" t="s">
        <v>103</v>
      </c>
      <c r="CC256" s="153" t="s">
        <v>103</v>
      </c>
      <c r="CD256" s="153" t="s">
        <v>103</v>
      </c>
      <c r="CE256" s="153" t="s">
        <v>103</v>
      </c>
    </row>
    <row r="257" spans="1:83" ht="27.6" customHeight="1">
      <c r="A257" s="503"/>
      <c r="B257" s="164" t="s">
        <v>732</v>
      </c>
      <c r="C257" s="155" t="s">
        <v>733</v>
      </c>
      <c r="D257" s="153" t="s">
        <v>734</v>
      </c>
      <c r="E257" s="153">
        <v>92509</v>
      </c>
      <c r="F257" s="153">
        <v>6065040502</v>
      </c>
      <c r="G257" s="153" t="s">
        <v>104</v>
      </c>
      <c r="H257" s="153" t="s">
        <v>150</v>
      </c>
      <c r="I257" s="508" t="s">
        <v>732</v>
      </c>
      <c r="J257" s="153" t="s">
        <v>117</v>
      </c>
      <c r="K257" s="572" t="s">
        <v>217</v>
      </c>
      <c r="L257" s="153" t="s">
        <v>734</v>
      </c>
      <c r="M257" s="153" t="s">
        <v>104</v>
      </c>
      <c r="Q257" s="156" t="s">
        <v>139</v>
      </c>
      <c r="V257" s="149">
        <v>36592</v>
      </c>
      <c r="W257" s="149">
        <v>36754</v>
      </c>
      <c r="X257" s="149">
        <v>41789</v>
      </c>
      <c r="Y257" s="149">
        <v>41851</v>
      </c>
      <c r="Z257" s="149">
        <v>41851</v>
      </c>
      <c r="AA257" s="149">
        <v>36592</v>
      </c>
      <c r="AB257" s="763" t="s">
        <v>121</v>
      </c>
      <c r="AC257" s="594">
        <v>115.71428571428571</v>
      </c>
      <c r="AD257" s="153" t="s">
        <v>103</v>
      </c>
      <c r="AE257" s="149" t="s">
        <v>103</v>
      </c>
      <c r="AF257" s="596">
        <v>6</v>
      </c>
      <c r="AG257" s="596">
        <v>18</v>
      </c>
      <c r="AH257" s="595">
        <v>1845.3333333333333</v>
      </c>
      <c r="AI257" s="614">
        <v>0.34949494949494947</v>
      </c>
      <c r="AJ257" s="607">
        <v>1440</v>
      </c>
      <c r="AK257" s="153" t="s">
        <v>120</v>
      </c>
      <c r="AL257" s="791" t="s">
        <v>104</v>
      </c>
      <c r="AO257" s="963"/>
      <c r="AP257" s="1017">
        <v>1500000</v>
      </c>
      <c r="AQ257" s="574">
        <v>1309414.82</v>
      </c>
      <c r="AR257" s="153" t="s">
        <v>116</v>
      </c>
      <c r="AS257" s="153" t="s">
        <v>116</v>
      </c>
      <c r="AT257" s="156">
        <v>0</v>
      </c>
      <c r="AU257" s="777" t="s">
        <v>122</v>
      </c>
      <c r="AV257" s="777" t="s">
        <v>122</v>
      </c>
      <c r="AW257" s="777" t="s">
        <v>122</v>
      </c>
      <c r="AX257" s="155" t="s">
        <v>103</v>
      </c>
      <c r="AY257" s="155" t="s">
        <v>103</v>
      </c>
      <c r="AZ257" s="155" t="s">
        <v>103</v>
      </c>
      <c r="BA257" s="156">
        <v>0</v>
      </c>
      <c r="BB257" s="574">
        <f t="shared" ref="BB257:BB261" si="56">AQ257</f>
        <v>1309414.82</v>
      </c>
      <c r="BC257" s="780">
        <v>190585.17999999993</v>
      </c>
      <c r="BD257" s="1008" t="s">
        <v>121</v>
      </c>
      <c r="BE257" s="679">
        <v>0</v>
      </c>
      <c r="BF257" s="153" t="s">
        <v>103</v>
      </c>
      <c r="BG257" s="94">
        <v>1423951.72</v>
      </c>
      <c r="BH257" s="766" t="s">
        <v>123</v>
      </c>
      <c r="BI257" s="774">
        <v>0</v>
      </c>
      <c r="BJ257" s="774">
        <v>0</v>
      </c>
      <c r="BK257" s="153" t="s">
        <v>103</v>
      </c>
      <c r="BL257" s="153" t="s">
        <v>124</v>
      </c>
      <c r="BM257" s="94" t="s">
        <v>103</v>
      </c>
      <c r="BN257" s="155" t="s">
        <v>103</v>
      </c>
      <c r="BO257" s="153" t="s">
        <v>103</v>
      </c>
      <c r="BP257" s="153" t="s">
        <v>103</v>
      </c>
      <c r="BQ257" s="153" t="s">
        <v>103</v>
      </c>
      <c r="BR257" s="153" t="s">
        <v>110</v>
      </c>
      <c r="BS257" s="153" t="s">
        <v>110</v>
      </c>
      <c r="BT257" s="153" t="s">
        <v>110</v>
      </c>
      <c r="BU257" s="153" t="s">
        <v>110</v>
      </c>
      <c r="BV257" s="153" t="s">
        <v>110</v>
      </c>
      <c r="BW257" s="153" t="s">
        <v>110</v>
      </c>
      <c r="BX257" s="153" t="s">
        <v>110</v>
      </c>
      <c r="BY257" s="153" t="s">
        <v>117</v>
      </c>
      <c r="BZ257" s="153" t="s">
        <v>110</v>
      </c>
      <c r="CA257" s="616" t="s">
        <v>103</v>
      </c>
      <c r="CB257" s="153" t="s">
        <v>103</v>
      </c>
      <c r="CC257" s="153" t="s">
        <v>103</v>
      </c>
      <c r="CD257" s="153" t="s">
        <v>103</v>
      </c>
      <c r="CE257" s="153" t="s">
        <v>103</v>
      </c>
    </row>
    <row r="258" spans="1:83" ht="41.45" customHeight="1">
      <c r="A258" s="503"/>
      <c r="B258" s="164" t="s">
        <v>735</v>
      </c>
      <c r="C258" s="155" t="s">
        <v>736</v>
      </c>
      <c r="D258" s="153" t="s">
        <v>734</v>
      </c>
      <c r="E258" s="153">
        <v>92509</v>
      </c>
      <c r="F258" s="153">
        <v>6065040502</v>
      </c>
      <c r="G258" s="153" t="s">
        <v>104</v>
      </c>
      <c r="H258" s="153" t="s">
        <v>150</v>
      </c>
      <c r="I258" s="508" t="s">
        <v>735</v>
      </c>
      <c r="J258" s="153" t="s">
        <v>117</v>
      </c>
      <c r="K258" s="572" t="s">
        <v>217</v>
      </c>
      <c r="L258" s="153" t="s">
        <v>734</v>
      </c>
      <c r="M258" s="153" t="s">
        <v>104</v>
      </c>
      <c r="Q258" s="156" t="s">
        <v>139</v>
      </c>
      <c r="V258" s="149">
        <v>36592</v>
      </c>
      <c r="W258" s="149">
        <v>40498</v>
      </c>
      <c r="X258" s="149">
        <v>41212</v>
      </c>
      <c r="Y258" s="149">
        <v>41516</v>
      </c>
      <c r="Z258" s="149">
        <v>41516</v>
      </c>
      <c r="AA258" s="149">
        <v>36592</v>
      </c>
      <c r="AB258" s="763" t="s">
        <v>121</v>
      </c>
      <c r="AC258" s="594">
        <v>2790</v>
      </c>
      <c r="AD258" s="153" t="s">
        <v>103</v>
      </c>
      <c r="AE258" s="149" t="s">
        <v>103</v>
      </c>
      <c r="AF258" s="596">
        <v>17</v>
      </c>
      <c r="AG258" s="596">
        <v>12</v>
      </c>
      <c r="AH258" s="595">
        <v>6168</v>
      </c>
      <c r="AI258" s="614">
        <v>1.1681818181818182</v>
      </c>
      <c r="AJ258" s="607">
        <v>5590</v>
      </c>
      <c r="AK258" s="153" t="s">
        <v>120</v>
      </c>
      <c r="AL258" s="791" t="s">
        <v>104</v>
      </c>
      <c r="AO258" s="963"/>
      <c r="AP258" s="1017">
        <v>2800000</v>
      </c>
      <c r="AQ258" s="574">
        <v>2287994</v>
      </c>
      <c r="AR258" s="153" t="s">
        <v>116</v>
      </c>
      <c r="AS258" s="153" t="s">
        <v>116</v>
      </c>
      <c r="AT258" s="156">
        <v>0</v>
      </c>
      <c r="AU258" s="777" t="s">
        <v>122</v>
      </c>
      <c r="AV258" s="777" t="s">
        <v>122</v>
      </c>
      <c r="AW258" s="777" t="s">
        <v>122</v>
      </c>
      <c r="AX258" s="155" t="s">
        <v>103</v>
      </c>
      <c r="AY258" s="155" t="s">
        <v>103</v>
      </c>
      <c r="AZ258" s="155" t="s">
        <v>103</v>
      </c>
      <c r="BA258" s="156">
        <v>0</v>
      </c>
      <c r="BB258" s="574">
        <f t="shared" si="56"/>
        <v>2287994</v>
      </c>
      <c r="BC258" s="780">
        <v>512006</v>
      </c>
      <c r="BD258" s="1008" t="s">
        <v>121</v>
      </c>
      <c r="BE258" s="679">
        <v>0</v>
      </c>
      <c r="BF258" s="153" t="s">
        <v>103</v>
      </c>
      <c r="BG258" s="94">
        <v>2287994</v>
      </c>
      <c r="BH258" s="766" t="s">
        <v>123</v>
      </c>
      <c r="BI258" s="774">
        <v>0</v>
      </c>
      <c r="BJ258" s="774">
        <v>0</v>
      </c>
      <c r="BK258" s="153" t="s">
        <v>103</v>
      </c>
      <c r="BL258" s="153" t="s">
        <v>124</v>
      </c>
      <c r="BM258" s="94" t="s">
        <v>103</v>
      </c>
      <c r="BN258" s="155" t="s">
        <v>103</v>
      </c>
      <c r="BO258" s="153" t="s">
        <v>103</v>
      </c>
      <c r="BP258" s="153" t="s">
        <v>103</v>
      </c>
      <c r="BQ258" s="153" t="s">
        <v>103</v>
      </c>
      <c r="BR258" s="153" t="s">
        <v>110</v>
      </c>
      <c r="BS258" s="153" t="s">
        <v>110</v>
      </c>
      <c r="BT258" s="153" t="s">
        <v>110</v>
      </c>
      <c r="BU258" s="153" t="s">
        <v>110</v>
      </c>
      <c r="BV258" s="153" t="s">
        <v>110</v>
      </c>
      <c r="BW258" s="153" t="s">
        <v>110</v>
      </c>
      <c r="BX258" s="153" t="s">
        <v>110</v>
      </c>
      <c r="BY258" s="153" t="s">
        <v>117</v>
      </c>
      <c r="BZ258" s="153" t="s">
        <v>110</v>
      </c>
      <c r="CA258" s="616" t="s">
        <v>103</v>
      </c>
      <c r="CB258" s="153" t="s">
        <v>103</v>
      </c>
      <c r="CC258" s="153" t="s">
        <v>103</v>
      </c>
      <c r="CD258" s="153" t="s">
        <v>103</v>
      </c>
      <c r="CE258" s="153" t="s">
        <v>103</v>
      </c>
    </row>
    <row r="259" spans="1:83" ht="41.45" customHeight="1">
      <c r="A259" s="503"/>
      <c r="B259" s="164" t="s">
        <v>737</v>
      </c>
      <c r="C259" s="155" t="s">
        <v>738</v>
      </c>
      <c r="D259" s="153" t="s">
        <v>739</v>
      </c>
      <c r="E259" s="153">
        <v>92225</v>
      </c>
      <c r="F259" s="153">
        <v>6065046200</v>
      </c>
      <c r="G259" s="153" t="s">
        <v>110</v>
      </c>
      <c r="H259" s="153" t="s">
        <v>150</v>
      </c>
      <c r="I259" s="508" t="s">
        <v>737</v>
      </c>
      <c r="J259" s="153" t="s">
        <v>117</v>
      </c>
      <c r="K259" s="156">
        <v>0</v>
      </c>
      <c r="L259" s="153" t="s">
        <v>739</v>
      </c>
      <c r="M259" s="153" t="s">
        <v>104</v>
      </c>
      <c r="Q259" s="156" t="s">
        <v>139</v>
      </c>
      <c r="V259" s="149">
        <v>38510</v>
      </c>
      <c r="W259" s="149">
        <v>38651</v>
      </c>
      <c r="X259" s="149">
        <v>41184</v>
      </c>
      <c r="Y259" s="149">
        <v>41395</v>
      </c>
      <c r="Z259" s="149">
        <v>41395</v>
      </c>
      <c r="AA259" s="149">
        <v>38510</v>
      </c>
      <c r="AB259" s="763" t="s">
        <v>151</v>
      </c>
      <c r="AC259" s="594">
        <v>100.71428571428571</v>
      </c>
      <c r="AD259" s="153" t="s">
        <v>103</v>
      </c>
      <c r="AE259" s="149" t="s">
        <v>103</v>
      </c>
      <c r="AF259" s="596">
        <v>32</v>
      </c>
      <c r="AG259" s="596">
        <v>2</v>
      </c>
      <c r="AH259" s="595">
        <v>7964</v>
      </c>
      <c r="AI259" s="614">
        <v>1.5083333333333333</v>
      </c>
      <c r="AJ259" s="607">
        <v>8050</v>
      </c>
      <c r="AK259" s="153" t="s">
        <v>120</v>
      </c>
      <c r="AL259" s="791" t="s">
        <v>104</v>
      </c>
      <c r="AO259" s="963"/>
      <c r="AP259" s="1017">
        <v>3800000</v>
      </c>
      <c r="AQ259" s="574">
        <v>3889228</v>
      </c>
      <c r="AR259" s="153" t="s">
        <v>116</v>
      </c>
      <c r="AS259" s="153" t="s">
        <v>116</v>
      </c>
      <c r="AT259" s="156">
        <v>0</v>
      </c>
      <c r="AU259" s="777" t="s">
        <v>122</v>
      </c>
      <c r="AV259" s="777" t="s">
        <v>122</v>
      </c>
      <c r="AW259" s="777" t="s">
        <v>122</v>
      </c>
      <c r="AX259" s="155" t="s">
        <v>103</v>
      </c>
      <c r="AY259" s="155" t="s">
        <v>103</v>
      </c>
      <c r="AZ259" s="155" t="s">
        <v>103</v>
      </c>
      <c r="BA259" s="156">
        <v>0</v>
      </c>
      <c r="BB259" s="574">
        <f t="shared" si="56"/>
        <v>3889228</v>
      </c>
      <c r="BC259" s="780">
        <v>-89228</v>
      </c>
      <c r="BD259" s="1008" t="s">
        <v>151</v>
      </c>
      <c r="BE259" s="679">
        <v>0</v>
      </c>
      <c r="BF259" s="153" t="s">
        <v>103</v>
      </c>
      <c r="BG259" s="94">
        <v>3889228</v>
      </c>
      <c r="BH259" s="766" t="s">
        <v>123</v>
      </c>
      <c r="BI259" s="774">
        <v>0</v>
      </c>
      <c r="BJ259" s="774">
        <v>0</v>
      </c>
      <c r="BK259" s="153" t="s">
        <v>103</v>
      </c>
      <c r="BL259" s="153" t="s">
        <v>124</v>
      </c>
      <c r="BM259" s="94" t="s">
        <v>103</v>
      </c>
      <c r="BN259" s="155" t="s">
        <v>103</v>
      </c>
      <c r="BO259" s="153" t="s">
        <v>103</v>
      </c>
      <c r="BP259" s="153" t="s">
        <v>103</v>
      </c>
      <c r="BQ259" s="153" t="s">
        <v>103</v>
      </c>
      <c r="BR259" s="153" t="s">
        <v>110</v>
      </c>
      <c r="BS259" s="153" t="s">
        <v>110</v>
      </c>
      <c r="BT259" s="153" t="s">
        <v>110</v>
      </c>
      <c r="BU259" s="153" t="s">
        <v>110</v>
      </c>
      <c r="BV259" s="153" t="s">
        <v>110</v>
      </c>
      <c r="BW259" s="153" t="s">
        <v>110</v>
      </c>
      <c r="BX259" s="153" t="s">
        <v>110</v>
      </c>
      <c r="BY259" s="153" t="s">
        <v>117</v>
      </c>
      <c r="BZ259" s="153" t="s">
        <v>110</v>
      </c>
      <c r="CA259" s="616" t="s">
        <v>103</v>
      </c>
      <c r="CB259" s="153" t="s">
        <v>103</v>
      </c>
      <c r="CC259" s="153" t="s">
        <v>103</v>
      </c>
      <c r="CD259" s="153" t="s">
        <v>103</v>
      </c>
      <c r="CE259" s="153" t="s">
        <v>103</v>
      </c>
    </row>
    <row r="260" spans="1:83" ht="27.6" customHeight="1">
      <c r="A260" s="503"/>
      <c r="B260" s="164" t="s">
        <v>740</v>
      </c>
      <c r="C260" s="155" t="s">
        <v>741</v>
      </c>
      <c r="D260" s="153" t="s">
        <v>742</v>
      </c>
      <c r="E260" s="153">
        <v>92518</v>
      </c>
      <c r="F260" s="153">
        <v>6065046700</v>
      </c>
      <c r="G260" s="153" t="s">
        <v>104</v>
      </c>
      <c r="H260" s="153" t="s">
        <v>150</v>
      </c>
      <c r="I260" s="508" t="s">
        <v>740</v>
      </c>
      <c r="J260" s="153" t="s">
        <v>117</v>
      </c>
      <c r="K260" s="156">
        <v>0</v>
      </c>
      <c r="L260" s="153" t="s">
        <v>742</v>
      </c>
      <c r="M260" s="153" t="s">
        <v>104</v>
      </c>
      <c r="Q260" s="156" t="s">
        <v>139</v>
      </c>
      <c r="V260" s="590">
        <v>38664</v>
      </c>
      <c r="W260" s="149">
        <v>38658</v>
      </c>
      <c r="X260" s="149">
        <v>39967</v>
      </c>
      <c r="Y260" s="149">
        <v>40120</v>
      </c>
      <c r="Z260" s="149">
        <v>40120</v>
      </c>
      <c r="AA260" s="149">
        <v>38664</v>
      </c>
      <c r="AB260" s="763" t="s">
        <v>121</v>
      </c>
      <c r="AC260" s="594">
        <v>-4.2857142857142856</v>
      </c>
      <c r="AD260" s="153" t="s">
        <v>103</v>
      </c>
      <c r="AE260" s="149" t="s">
        <v>103</v>
      </c>
      <c r="AF260" s="596">
        <v>39</v>
      </c>
      <c r="AG260" s="596">
        <v>0</v>
      </c>
      <c r="AH260" s="595">
        <v>8006.666666666667</v>
      </c>
      <c r="AI260" s="614">
        <v>1.5164141414141414</v>
      </c>
      <c r="AJ260" s="607">
        <v>7535</v>
      </c>
      <c r="AK260" s="153" t="s">
        <v>120</v>
      </c>
      <c r="AL260" s="791" t="s">
        <v>104</v>
      </c>
      <c r="AO260" s="963"/>
      <c r="AP260" s="1017">
        <v>2053750</v>
      </c>
      <c r="AQ260" s="574">
        <v>1100691</v>
      </c>
      <c r="AR260" s="153" t="s">
        <v>116</v>
      </c>
      <c r="AS260" s="153" t="s">
        <v>116</v>
      </c>
      <c r="AT260" s="777" t="s">
        <v>122</v>
      </c>
      <c r="AU260" s="777" t="s">
        <v>122</v>
      </c>
      <c r="AV260" s="777" t="s">
        <v>122</v>
      </c>
      <c r="AW260" s="777" t="s">
        <v>122</v>
      </c>
      <c r="AX260" s="155" t="s">
        <v>103</v>
      </c>
      <c r="AY260" s="155" t="s">
        <v>103</v>
      </c>
      <c r="AZ260" s="155" t="s">
        <v>103</v>
      </c>
      <c r="BB260" s="574">
        <f t="shared" si="56"/>
        <v>1100691</v>
      </c>
      <c r="BC260" s="780">
        <v>953059</v>
      </c>
      <c r="BD260" s="1008" t="s">
        <v>121</v>
      </c>
      <c r="BE260" s="679">
        <v>0</v>
      </c>
      <c r="BF260" s="153" t="s">
        <v>103</v>
      </c>
      <c r="BG260" s="94">
        <v>1089534.7</v>
      </c>
      <c r="BH260" s="766" t="s">
        <v>123</v>
      </c>
      <c r="BI260" s="774">
        <v>0</v>
      </c>
      <c r="BJ260" s="774">
        <v>0</v>
      </c>
      <c r="BK260" s="153" t="s">
        <v>103</v>
      </c>
      <c r="BL260" s="153" t="s">
        <v>124</v>
      </c>
      <c r="BM260" s="94" t="s">
        <v>103</v>
      </c>
      <c r="BN260" s="155" t="s">
        <v>103</v>
      </c>
      <c r="BO260" s="153" t="s">
        <v>103</v>
      </c>
      <c r="BP260" s="153" t="s">
        <v>103</v>
      </c>
      <c r="BQ260" s="153" t="s">
        <v>103</v>
      </c>
      <c r="BR260" s="153" t="s">
        <v>110</v>
      </c>
      <c r="BS260" s="153" t="s">
        <v>110</v>
      </c>
      <c r="BT260" s="153" t="s">
        <v>110</v>
      </c>
      <c r="BU260" s="153" t="s">
        <v>110</v>
      </c>
      <c r="BV260" s="153" t="s">
        <v>110</v>
      </c>
      <c r="BW260" s="153" t="s">
        <v>110</v>
      </c>
      <c r="BX260" s="153" t="s">
        <v>110</v>
      </c>
      <c r="BY260" s="153" t="s">
        <v>117</v>
      </c>
      <c r="BZ260" s="153" t="s">
        <v>110</v>
      </c>
      <c r="CA260" s="616" t="s">
        <v>103</v>
      </c>
      <c r="CB260" s="153" t="s">
        <v>103</v>
      </c>
      <c r="CC260" s="153" t="s">
        <v>103</v>
      </c>
      <c r="CD260" s="153" t="s">
        <v>103</v>
      </c>
      <c r="CE260" s="153" t="s">
        <v>103</v>
      </c>
    </row>
    <row r="261" spans="1:83" ht="41.45" customHeight="1">
      <c r="A261" s="503"/>
      <c r="B261" s="164" t="s">
        <v>743</v>
      </c>
      <c r="C261" s="155" t="s">
        <v>744</v>
      </c>
      <c r="D261" s="153" t="s">
        <v>745</v>
      </c>
      <c r="E261" s="153" t="s">
        <v>116</v>
      </c>
      <c r="F261" s="153">
        <v>6065046700</v>
      </c>
      <c r="G261" s="153" t="s">
        <v>104</v>
      </c>
      <c r="H261" s="153" t="s">
        <v>150</v>
      </c>
      <c r="I261" s="508" t="s">
        <v>743</v>
      </c>
      <c r="J261" s="153" t="s">
        <v>117</v>
      </c>
      <c r="K261" s="156">
        <v>0</v>
      </c>
      <c r="L261" s="153" t="s">
        <v>745</v>
      </c>
      <c r="M261" s="153" t="s">
        <v>104</v>
      </c>
      <c r="Q261" s="156" t="s">
        <v>139</v>
      </c>
      <c r="V261" s="149">
        <v>37628</v>
      </c>
      <c r="W261" s="149">
        <v>37694</v>
      </c>
      <c r="X261" s="149">
        <v>39339</v>
      </c>
      <c r="Y261" s="149">
        <v>39478</v>
      </c>
      <c r="Z261" s="149">
        <v>39478</v>
      </c>
      <c r="AA261" s="149">
        <v>37628</v>
      </c>
      <c r="AB261" s="763" t="s">
        <v>121</v>
      </c>
      <c r="AC261" s="594">
        <v>47.142857142857146</v>
      </c>
      <c r="AD261" s="153" t="s">
        <v>103</v>
      </c>
      <c r="AE261" s="149" t="s">
        <v>103</v>
      </c>
      <c r="AF261" s="596">
        <v>0</v>
      </c>
      <c r="AG261" s="596" t="s">
        <v>103</v>
      </c>
      <c r="AH261" s="595" t="s">
        <v>103</v>
      </c>
      <c r="AI261" s="614">
        <v>2.7229166666666669</v>
      </c>
      <c r="AJ261" s="607">
        <v>14377</v>
      </c>
      <c r="AK261" s="153" t="s">
        <v>120</v>
      </c>
      <c r="AL261" s="791" t="s">
        <v>104</v>
      </c>
      <c r="AO261" s="963"/>
      <c r="AP261" s="1017">
        <v>4300000</v>
      </c>
      <c r="AQ261" s="574">
        <v>3623721</v>
      </c>
      <c r="AR261" s="153" t="s">
        <v>116</v>
      </c>
      <c r="AS261" s="153" t="s">
        <v>116</v>
      </c>
      <c r="AT261" s="777" t="s">
        <v>122</v>
      </c>
      <c r="AU261" s="777" t="s">
        <v>122</v>
      </c>
      <c r="AV261" s="777" t="s">
        <v>122</v>
      </c>
      <c r="AW261" s="777" t="s">
        <v>122</v>
      </c>
      <c r="AX261" s="155" t="s">
        <v>103</v>
      </c>
      <c r="AY261" s="155" t="s">
        <v>103</v>
      </c>
      <c r="AZ261" s="155" t="s">
        <v>103</v>
      </c>
      <c r="BB261" s="574">
        <f t="shared" si="56"/>
        <v>3623721</v>
      </c>
      <c r="BC261" s="780">
        <v>676279</v>
      </c>
      <c r="BD261" s="1008" t="s">
        <v>121</v>
      </c>
      <c r="BE261" s="679">
        <v>0</v>
      </c>
      <c r="BF261" s="153" t="s">
        <v>103</v>
      </c>
      <c r="BG261" s="94">
        <v>3623721</v>
      </c>
      <c r="BH261" s="766" t="s">
        <v>123</v>
      </c>
      <c r="BI261" s="774">
        <v>0</v>
      </c>
      <c r="BJ261" s="774">
        <v>0</v>
      </c>
      <c r="BK261" s="153" t="s">
        <v>103</v>
      </c>
      <c r="BL261" s="153" t="s">
        <v>124</v>
      </c>
      <c r="BM261" s="94" t="s">
        <v>103</v>
      </c>
      <c r="BN261" s="155" t="s">
        <v>103</v>
      </c>
      <c r="BO261" s="153" t="s">
        <v>103</v>
      </c>
      <c r="BP261" s="153" t="s">
        <v>103</v>
      </c>
      <c r="BQ261" s="153" t="s">
        <v>103</v>
      </c>
      <c r="BR261" s="153" t="s">
        <v>110</v>
      </c>
      <c r="BS261" s="153" t="s">
        <v>110</v>
      </c>
      <c r="BT261" s="153" t="s">
        <v>110</v>
      </c>
      <c r="BU261" s="153" t="s">
        <v>110</v>
      </c>
      <c r="BV261" s="153" t="s">
        <v>110</v>
      </c>
      <c r="BW261" s="153" t="s">
        <v>110</v>
      </c>
      <c r="BX261" s="153" t="s">
        <v>110</v>
      </c>
      <c r="BY261" s="153" t="s">
        <v>117</v>
      </c>
      <c r="BZ261" s="153" t="s">
        <v>110</v>
      </c>
      <c r="CA261" s="616" t="s">
        <v>103</v>
      </c>
      <c r="CB261" s="153" t="s">
        <v>103</v>
      </c>
      <c r="CC261" s="153" t="s">
        <v>103</v>
      </c>
      <c r="CD261" s="153" t="s">
        <v>103</v>
      </c>
      <c r="CE261" s="153" t="s">
        <v>103</v>
      </c>
    </row>
    <row r="262" spans="1:83" s="968" customFormat="1" ht="14.1" customHeight="1">
      <c r="A262" s="1045"/>
      <c r="B262" s="1054"/>
      <c r="C262" s="1059"/>
      <c r="D262" s="1054"/>
      <c r="E262" s="1054"/>
      <c r="F262" s="1054"/>
      <c r="G262" s="1054"/>
      <c r="H262" s="1054"/>
      <c r="I262" s="1072"/>
      <c r="J262" s="1054"/>
      <c r="K262" s="1054"/>
      <c r="L262" s="1054"/>
      <c r="M262" s="1054"/>
      <c r="N262" s="1069"/>
      <c r="O262" s="1069"/>
      <c r="P262" s="1069"/>
      <c r="Q262" s="1069"/>
      <c r="R262" s="1069"/>
      <c r="S262" s="1069"/>
      <c r="T262" s="1054"/>
      <c r="U262" s="1054"/>
      <c r="V262" s="1073"/>
      <c r="W262" s="1073"/>
      <c r="X262" s="1073"/>
      <c r="Y262" s="1073"/>
      <c r="Z262" s="1073"/>
      <c r="AA262" s="1073"/>
      <c r="AB262" s="1054"/>
      <c r="AC262" s="1074"/>
      <c r="AD262" s="1054"/>
      <c r="AE262" s="1054"/>
      <c r="AF262" s="1054"/>
      <c r="AG262" s="1054"/>
      <c r="AH262" s="1064"/>
      <c r="AI262" s="1065"/>
      <c r="AJ262" s="1064"/>
      <c r="AK262" s="1054"/>
      <c r="AL262" s="1066"/>
      <c r="AM262" s="1054"/>
      <c r="AN262" s="1054"/>
      <c r="AO262" s="1067"/>
      <c r="AP262" s="1070"/>
      <c r="AQ262" s="1068"/>
      <c r="AR262" s="1054"/>
      <c r="AS262" s="1054"/>
      <c r="AT262" s="1054"/>
      <c r="AU262" s="1054"/>
      <c r="AV262" s="1054"/>
      <c r="AW262" s="1054"/>
      <c r="AX262" s="1054"/>
      <c r="AY262" s="1054"/>
      <c r="AZ262" s="1054"/>
      <c r="BA262" s="1054"/>
      <c r="BB262" s="1054"/>
      <c r="BC262" s="1054"/>
      <c r="BD262" s="1054"/>
      <c r="BE262" s="1069"/>
      <c r="BF262" s="1054"/>
      <c r="BG262" s="1070"/>
      <c r="BH262" s="1054"/>
      <c r="BI262" s="1071"/>
      <c r="BJ262" s="1054"/>
      <c r="BK262" s="1054"/>
      <c r="BL262" s="1054"/>
      <c r="BM262" s="1070"/>
      <c r="BN262" s="1059"/>
      <c r="BO262" s="1054"/>
      <c r="BP262" s="1054"/>
      <c r="BQ262" s="1054"/>
      <c r="BR262" s="1054"/>
      <c r="BS262" s="1054"/>
      <c r="BT262" s="1054"/>
      <c r="BU262" s="1054"/>
      <c r="BV262" s="1054"/>
      <c r="BW262" s="1054"/>
      <c r="BX262" s="1054"/>
      <c r="BY262" s="1054"/>
      <c r="BZ262" s="1054"/>
      <c r="CA262" s="1054"/>
      <c r="CB262" s="1054"/>
      <c r="CC262" s="1054"/>
      <c r="CD262" s="1054"/>
      <c r="CE262" s="1054"/>
    </row>
    <row r="263" spans="1:83" s="980" customFormat="1" ht="14.45" customHeight="1">
      <c r="A263" s="1009" t="s">
        <v>746</v>
      </c>
      <c r="C263" s="997"/>
      <c r="I263" s="1010"/>
      <c r="N263" s="1005"/>
      <c r="O263" s="1005"/>
      <c r="P263" s="1005"/>
      <c r="Q263" s="1005"/>
      <c r="R263" s="1005"/>
      <c r="S263" s="1005"/>
      <c r="V263" s="1000"/>
      <c r="W263" s="1000"/>
      <c r="X263" s="1000"/>
      <c r="Y263" s="1000"/>
      <c r="Z263" s="1000"/>
      <c r="AA263" s="1000"/>
      <c r="AC263" s="1002"/>
      <c r="AH263" s="1003"/>
      <c r="AI263" s="1004"/>
      <c r="AJ263" s="1003"/>
      <c r="AL263" s="797"/>
      <c r="AO263" s="798"/>
      <c r="AP263" s="163"/>
      <c r="AQ263" s="579"/>
      <c r="BE263" s="1005"/>
      <c r="BG263" s="163"/>
      <c r="BI263" s="1006"/>
      <c r="BM263" s="163"/>
      <c r="BN263" s="997"/>
    </row>
    <row r="264" spans="1:83" ht="41.45" customHeight="1">
      <c r="A264" s="503" t="s">
        <v>747</v>
      </c>
      <c r="B264" s="164" t="s">
        <v>748</v>
      </c>
      <c r="C264" s="155" t="s">
        <v>749</v>
      </c>
      <c r="D264" s="153" t="s">
        <v>750</v>
      </c>
      <c r="E264" s="153">
        <v>92301</v>
      </c>
      <c r="F264" s="153">
        <v>6071009112</v>
      </c>
      <c r="G264" s="153" t="s">
        <v>110</v>
      </c>
      <c r="H264" s="674">
        <v>0.30419173297108482</v>
      </c>
      <c r="I264" s="508" t="s">
        <v>748</v>
      </c>
      <c r="J264" s="153" t="s">
        <v>117</v>
      </c>
      <c r="K264" s="572" t="s">
        <v>751</v>
      </c>
      <c r="L264" s="153" t="s">
        <v>750</v>
      </c>
      <c r="M264" s="153" t="s">
        <v>104</v>
      </c>
      <c r="N264" s="156">
        <v>1</v>
      </c>
      <c r="P264" s="156">
        <v>0</v>
      </c>
      <c r="Q264" s="156" t="s">
        <v>139</v>
      </c>
      <c r="R264" s="156">
        <v>0</v>
      </c>
      <c r="S264" s="156">
        <v>1</v>
      </c>
      <c r="T264" s="958" t="s">
        <v>105</v>
      </c>
      <c r="U264" s="153" t="s">
        <v>104</v>
      </c>
      <c r="V264" s="149">
        <v>39673</v>
      </c>
      <c r="W264" s="149">
        <v>39737</v>
      </c>
      <c r="X264" s="149">
        <v>40714</v>
      </c>
      <c r="Y264" s="149">
        <v>40817</v>
      </c>
      <c r="Z264" s="149">
        <v>40817</v>
      </c>
      <c r="AA264" s="149">
        <v>39673</v>
      </c>
      <c r="AB264" s="763" t="s">
        <v>151</v>
      </c>
      <c r="AC264" s="594">
        <v>45.714285714285708</v>
      </c>
      <c r="AD264" s="153" t="s">
        <v>103</v>
      </c>
      <c r="AE264" s="149" t="s">
        <v>103</v>
      </c>
      <c r="AF264" s="596">
        <v>7</v>
      </c>
      <c r="AG264" s="596">
        <v>0</v>
      </c>
      <c r="AH264" s="595">
        <v>814</v>
      </c>
      <c r="AI264" s="614">
        <v>0.15416666666666667</v>
      </c>
      <c r="AJ264" s="607">
        <v>1500</v>
      </c>
      <c r="AK264" s="153" t="s">
        <v>120</v>
      </c>
      <c r="AL264" s="791" t="s">
        <v>104</v>
      </c>
      <c r="AO264" s="963"/>
      <c r="AP264" s="1017">
        <v>500000</v>
      </c>
      <c r="AQ264" s="574">
        <v>575354</v>
      </c>
      <c r="AR264" s="153" t="s">
        <v>116</v>
      </c>
      <c r="AS264" s="153" t="s">
        <v>116</v>
      </c>
      <c r="AT264" s="156">
        <v>0</v>
      </c>
      <c r="AU264" s="777" t="s">
        <v>122</v>
      </c>
      <c r="AV264" s="777" t="s">
        <v>122</v>
      </c>
      <c r="AW264" s="777" t="s">
        <v>122</v>
      </c>
      <c r="AX264" s="155" t="s">
        <v>103</v>
      </c>
      <c r="AY264" s="155" t="s">
        <v>103</v>
      </c>
      <c r="AZ264" s="155" t="s">
        <v>103</v>
      </c>
      <c r="BA264" s="156">
        <v>0</v>
      </c>
      <c r="BB264" s="574">
        <f t="shared" ref="BB264:BB266" si="57">AQ264</f>
        <v>575354</v>
      </c>
      <c r="BC264" s="780">
        <v>-75354</v>
      </c>
      <c r="BD264" s="1008" t="s">
        <v>151</v>
      </c>
      <c r="BE264" s="679">
        <v>0</v>
      </c>
      <c r="BF264" s="153" t="s">
        <v>103</v>
      </c>
      <c r="BG264" s="94">
        <v>575354</v>
      </c>
      <c r="BH264" s="766">
        <v>375491</v>
      </c>
      <c r="BI264" s="774">
        <v>124509</v>
      </c>
      <c r="BJ264" s="774">
        <v>0</v>
      </c>
      <c r="BK264" s="153" t="s">
        <v>103</v>
      </c>
      <c r="BL264" s="153" t="s">
        <v>124</v>
      </c>
      <c r="BM264" s="94" t="s">
        <v>103</v>
      </c>
      <c r="BN264" s="155" t="s">
        <v>103</v>
      </c>
      <c r="BO264" s="153" t="s">
        <v>103</v>
      </c>
      <c r="BP264" s="153" t="s">
        <v>103</v>
      </c>
      <c r="BQ264" s="153" t="s">
        <v>103</v>
      </c>
      <c r="BR264" s="153" t="s">
        <v>110</v>
      </c>
      <c r="BS264" s="153" t="s">
        <v>110</v>
      </c>
      <c r="BT264" s="153" t="s">
        <v>110</v>
      </c>
      <c r="BU264" s="153" t="s">
        <v>110</v>
      </c>
      <c r="BV264" s="153" t="s">
        <v>110</v>
      </c>
      <c r="BW264" s="153" t="s">
        <v>110</v>
      </c>
      <c r="BX264" s="153" t="s">
        <v>110</v>
      </c>
      <c r="BY264" s="153" t="s">
        <v>117</v>
      </c>
      <c r="BZ264" s="153" t="s">
        <v>110</v>
      </c>
      <c r="CA264" s="616" t="s">
        <v>103</v>
      </c>
      <c r="CB264" s="153" t="s">
        <v>103</v>
      </c>
      <c r="CC264" s="153" t="s">
        <v>103</v>
      </c>
      <c r="CD264" s="153" t="s">
        <v>103</v>
      </c>
      <c r="CE264" s="153" t="s">
        <v>103</v>
      </c>
    </row>
    <row r="265" spans="1:83" ht="27.6" customHeight="1">
      <c r="A265" s="503" t="s">
        <v>752</v>
      </c>
      <c r="B265" s="164" t="s">
        <v>753</v>
      </c>
      <c r="C265" s="155" t="s">
        <v>754</v>
      </c>
      <c r="D265" s="153" t="s">
        <v>755</v>
      </c>
      <c r="E265" s="153">
        <v>92307</v>
      </c>
      <c r="F265" s="153">
        <v>6071009710</v>
      </c>
      <c r="G265" s="153" t="s">
        <v>110</v>
      </c>
      <c r="H265" s="674">
        <v>0.25518652897943994</v>
      </c>
      <c r="I265" s="508" t="s">
        <v>753</v>
      </c>
      <c r="J265" s="153" t="s">
        <v>117</v>
      </c>
      <c r="K265" s="572" t="s">
        <v>167</v>
      </c>
      <c r="L265" s="153" t="s">
        <v>755</v>
      </c>
      <c r="M265" s="153" t="s">
        <v>104</v>
      </c>
      <c r="N265" s="156">
        <v>2</v>
      </c>
      <c r="P265" s="156">
        <v>0</v>
      </c>
      <c r="Q265" s="156" t="s">
        <v>139</v>
      </c>
      <c r="R265" s="156">
        <v>0</v>
      </c>
      <c r="S265" s="156">
        <v>2</v>
      </c>
      <c r="T265" s="958" t="s">
        <v>105</v>
      </c>
      <c r="U265" s="153" t="s">
        <v>110</v>
      </c>
      <c r="V265" s="149">
        <v>41100</v>
      </c>
      <c r="W265" s="149">
        <v>41115</v>
      </c>
      <c r="X265" s="149">
        <v>41862</v>
      </c>
      <c r="Y265" s="149">
        <v>41921</v>
      </c>
      <c r="Z265" s="149">
        <v>41921</v>
      </c>
      <c r="AA265" s="149">
        <v>41100</v>
      </c>
      <c r="AB265" s="763" t="s">
        <v>121</v>
      </c>
      <c r="AC265" s="594">
        <v>10.714285714285714</v>
      </c>
      <c r="AD265" s="153" t="s">
        <v>103</v>
      </c>
      <c r="AE265" s="149" t="s">
        <v>103</v>
      </c>
      <c r="AF265" s="596">
        <v>8</v>
      </c>
      <c r="AG265" s="596">
        <v>0</v>
      </c>
      <c r="AH265" s="595">
        <v>1453</v>
      </c>
      <c r="AI265" s="614">
        <v>0.27518939393939396</v>
      </c>
      <c r="AJ265" s="607">
        <v>1250</v>
      </c>
      <c r="AK265" s="153" t="s">
        <v>152</v>
      </c>
      <c r="AL265" s="791" t="s">
        <v>104</v>
      </c>
      <c r="AO265" s="963"/>
      <c r="AP265" s="1017">
        <v>730000</v>
      </c>
      <c r="AQ265" s="574">
        <v>614563.76000000024</v>
      </c>
      <c r="AR265" s="153" t="s">
        <v>116</v>
      </c>
      <c r="AS265" s="153" t="s">
        <v>116</v>
      </c>
      <c r="AT265" s="156">
        <v>0</v>
      </c>
      <c r="AU265" s="777" t="s">
        <v>122</v>
      </c>
      <c r="AV265" s="777" t="s">
        <v>122</v>
      </c>
      <c r="AW265" s="777" t="s">
        <v>122</v>
      </c>
      <c r="AX265" s="155" t="s">
        <v>103</v>
      </c>
      <c r="AY265" s="155" t="s">
        <v>103</v>
      </c>
      <c r="AZ265" s="155" t="s">
        <v>103</v>
      </c>
      <c r="BA265" s="156">
        <v>0</v>
      </c>
      <c r="BB265" s="574">
        <f t="shared" si="57"/>
        <v>614563.76000000024</v>
      </c>
      <c r="BC265" s="780">
        <v>115436.23999999976</v>
      </c>
      <c r="BD265" s="1008" t="s">
        <v>121</v>
      </c>
      <c r="BE265" s="679">
        <v>0</v>
      </c>
      <c r="BF265" s="153" t="s">
        <v>103</v>
      </c>
      <c r="BG265" s="94">
        <v>617791.44999999995</v>
      </c>
      <c r="BH265" s="766">
        <v>305631</v>
      </c>
      <c r="BI265" s="774">
        <v>424369</v>
      </c>
      <c r="BJ265" s="774">
        <v>0</v>
      </c>
      <c r="BK265" s="153" t="s">
        <v>103</v>
      </c>
      <c r="BL265" s="153" t="s">
        <v>124</v>
      </c>
      <c r="BM265" s="94" t="s">
        <v>103</v>
      </c>
      <c r="BN265" s="155" t="s">
        <v>103</v>
      </c>
      <c r="BO265" s="153" t="s">
        <v>103</v>
      </c>
      <c r="BP265" s="153" t="s">
        <v>103</v>
      </c>
      <c r="BQ265" s="153" t="s">
        <v>103</v>
      </c>
      <c r="BR265" s="153" t="s">
        <v>104</v>
      </c>
      <c r="BS265" s="153" t="s">
        <v>104</v>
      </c>
      <c r="BT265" s="153" t="s">
        <v>110</v>
      </c>
      <c r="BU265" s="153" t="s">
        <v>110</v>
      </c>
      <c r="BV265" s="153" t="s">
        <v>110</v>
      </c>
      <c r="BW265" s="153" t="s">
        <v>110</v>
      </c>
      <c r="BX265" s="153" t="s">
        <v>110</v>
      </c>
      <c r="BY265" s="153" t="s">
        <v>117</v>
      </c>
      <c r="BZ265" s="153" t="s">
        <v>110</v>
      </c>
      <c r="CA265" s="616" t="s">
        <v>103</v>
      </c>
      <c r="CB265" s="153" t="s">
        <v>103</v>
      </c>
      <c r="CC265" s="153" t="s">
        <v>103</v>
      </c>
      <c r="CD265" s="153" t="s">
        <v>103</v>
      </c>
      <c r="CE265" s="153" t="s">
        <v>103</v>
      </c>
    </row>
    <row r="266" spans="1:83" ht="41.45" customHeight="1">
      <c r="A266" s="503"/>
      <c r="B266" s="164" t="s">
        <v>756</v>
      </c>
      <c r="C266" s="155" t="s">
        <v>757</v>
      </c>
      <c r="D266" s="153" t="s">
        <v>758</v>
      </c>
      <c r="E266" s="153">
        <v>92307</v>
      </c>
      <c r="F266" s="153">
        <v>6071009710</v>
      </c>
      <c r="G266" s="153" t="s">
        <v>110</v>
      </c>
      <c r="H266" s="153" t="s">
        <v>150</v>
      </c>
      <c r="I266" s="508" t="s">
        <v>756</v>
      </c>
      <c r="J266" s="153" t="s">
        <v>117</v>
      </c>
      <c r="K266" s="156">
        <v>0</v>
      </c>
      <c r="L266" s="153" t="s">
        <v>758</v>
      </c>
      <c r="M266" s="153" t="s">
        <v>104</v>
      </c>
      <c r="Q266" s="156" t="s">
        <v>139</v>
      </c>
      <c r="V266" s="149">
        <v>40736</v>
      </c>
      <c r="W266" s="149">
        <v>40743</v>
      </c>
      <c r="X266" s="149">
        <v>41289</v>
      </c>
      <c r="Y266" s="149">
        <v>41565</v>
      </c>
      <c r="Z266" s="149">
        <v>41565</v>
      </c>
      <c r="AA266" s="149">
        <v>40736</v>
      </c>
      <c r="AB266" s="763" t="s">
        <v>151</v>
      </c>
      <c r="AC266" s="594">
        <v>5</v>
      </c>
      <c r="AD266" s="153" t="s">
        <v>103</v>
      </c>
      <c r="AE266" s="149" t="s">
        <v>103</v>
      </c>
      <c r="AF266" s="596">
        <v>23</v>
      </c>
      <c r="AG266" s="596" t="s">
        <v>103</v>
      </c>
      <c r="AH266" s="597" t="s">
        <v>103</v>
      </c>
      <c r="AI266" s="614">
        <v>0.73863636363636365</v>
      </c>
      <c r="AJ266" s="607">
        <v>3900</v>
      </c>
      <c r="AK266" s="153" t="s">
        <v>152</v>
      </c>
      <c r="AL266" s="791" t="s">
        <v>104</v>
      </c>
      <c r="AO266" s="963"/>
      <c r="AP266" s="1017">
        <v>1800000</v>
      </c>
      <c r="AQ266" s="580">
        <v>1937644.46</v>
      </c>
      <c r="AR266" s="153" t="s">
        <v>116</v>
      </c>
      <c r="AS266" s="153" t="s">
        <v>116</v>
      </c>
      <c r="AT266" s="156">
        <v>0</v>
      </c>
      <c r="AU266" s="777" t="s">
        <v>122</v>
      </c>
      <c r="AV266" s="777" t="s">
        <v>122</v>
      </c>
      <c r="AW266" s="777" t="s">
        <v>122</v>
      </c>
      <c r="AX266" s="155" t="s">
        <v>103</v>
      </c>
      <c r="AY266" s="155" t="s">
        <v>103</v>
      </c>
      <c r="AZ266" s="155" t="s">
        <v>103</v>
      </c>
      <c r="BA266" s="156">
        <v>0</v>
      </c>
      <c r="BB266" s="574">
        <f t="shared" si="57"/>
        <v>1937644.46</v>
      </c>
      <c r="BC266" s="780">
        <v>-137644.45999999996</v>
      </c>
      <c r="BD266" s="1008" t="s">
        <v>151</v>
      </c>
      <c r="BE266" s="679">
        <v>0</v>
      </c>
      <c r="BF266" s="153" t="s">
        <v>103</v>
      </c>
      <c r="BG266" s="519">
        <v>1937644.46</v>
      </c>
      <c r="BH266" s="769">
        <v>1995764</v>
      </c>
      <c r="BI266" s="774">
        <v>0</v>
      </c>
      <c r="BJ266" s="774">
        <v>0</v>
      </c>
      <c r="BK266" s="153" t="s">
        <v>103</v>
      </c>
      <c r="BL266" s="153" t="s">
        <v>124</v>
      </c>
      <c r="BM266" s="519" t="s">
        <v>103</v>
      </c>
      <c r="BN266" s="155" t="s">
        <v>103</v>
      </c>
      <c r="BO266" s="153" t="s">
        <v>103</v>
      </c>
      <c r="BP266" s="153" t="s">
        <v>103</v>
      </c>
      <c r="BQ266" s="153" t="s">
        <v>103</v>
      </c>
      <c r="BR266" s="153" t="s">
        <v>110</v>
      </c>
      <c r="BS266" s="153" t="s">
        <v>110</v>
      </c>
      <c r="BT266" s="153" t="s">
        <v>110</v>
      </c>
      <c r="BU266" s="153" t="s">
        <v>110</v>
      </c>
      <c r="BV266" s="153" t="s">
        <v>110</v>
      </c>
      <c r="BW266" s="153" t="s">
        <v>110</v>
      </c>
      <c r="BX266" s="153" t="s">
        <v>110</v>
      </c>
      <c r="BY266" s="153" t="s">
        <v>117</v>
      </c>
      <c r="BZ266" s="153" t="s">
        <v>110</v>
      </c>
      <c r="CA266" s="616" t="s">
        <v>103</v>
      </c>
      <c r="CB266" s="153" t="s">
        <v>103</v>
      </c>
      <c r="CC266" s="153" t="s">
        <v>103</v>
      </c>
      <c r="CD266" s="153" t="s">
        <v>103</v>
      </c>
      <c r="CE266" s="153" t="s">
        <v>103</v>
      </c>
    </row>
    <row r="267" spans="1:83" ht="14.1" customHeight="1">
      <c r="A267" s="503" t="s">
        <v>759</v>
      </c>
      <c r="B267" s="164" t="s">
        <v>103</v>
      </c>
      <c r="C267" s="155" t="s">
        <v>103</v>
      </c>
      <c r="D267" s="153" t="s">
        <v>103</v>
      </c>
      <c r="E267" s="153" t="s">
        <v>103</v>
      </c>
      <c r="F267" s="958" t="s">
        <v>103</v>
      </c>
      <c r="G267" s="153" t="s">
        <v>110</v>
      </c>
      <c r="H267" s="673">
        <v>7.8201368523949169E-2</v>
      </c>
      <c r="I267" s="508" t="s">
        <v>103</v>
      </c>
      <c r="J267" s="958" t="s">
        <v>103</v>
      </c>
      <c r="K267" s="958" t="s">
        <v>103</v>
      </c>
      <c r="L267" s="155" t="s">
        <v>103</v>
      </c>
      <c r="M267" s="155" t="s">
        <v>103</v>
      </c>
      <c r="N267" s="156">
        <v>0</v>
      </c>
      <c r="O267" s="156" t="s">
        <v>103</v>
      </c>
      <c r="P267" s="156">
        <v>0</v>
      </c>
      <c r="Q267" s="958" t="s">
        <v>103</v>
      </c>
      <c r="R267" s="156">
        <v>0</v>
      </c>
      <c r="S267" s="156">
        <v>0</v>
      </c>
      <c r="T267" s="958" t="s">
        <v>105</v>
      </c>
      <c r="U267" s="153" t="s">
        <v>110</v>
      </c>
      <c r="V267" s="518" t="s">
        <v>103</v>
      </c>
      <c r="W267" s="991" t="s">
        <v>103</v>
      </c>
      <c r="X267" s="991" t="s">
        <v>103</v>
      </c>
      <c r="Y267" s="991" t="s">
        <v>103</v>
      </c>
      <c r="Z267" s="518" t="s">
        <v>103</v>
      </c>
      <c r="AA267" s="991" t="s">
        <v>103</v>
      </c>
      <c r="AB267" s="155" t="s">
        <v>103</v>
      </c>
      <c r="AC267" s="155" t="s">
        <v>103</v>
      </c>
      <c r="AD267" s="155" t="s">
        <v>103</v>
      </c>
      <c r="AE267" s="155" t="s">
        <v>103</v>
      </c>
      <c r="AF267" s="155" t="s">
        <v>103</v>
      </c>
      <c r="AG267" s="155" t="s">
        <v>103</v>
      </c>
      <c r="AH267" s="992" t="s">
        <v>103</v>
      </c>
      <c r="AI267" s="960" t="s">
        <v>103</v>
      </c>
      <c r="AJ267" s="992" t="s">
        <v>103</v>
      </c>
      <c r="AK267" s="155" t="s">
        <v>103</v>
      </c>
      <c r="AL267" s="993" t="s">
        <v>103</v>
      </c>
      <c r="AM267" s="155"/>
      <c r="AN267" s="155"/>
      <c r="AO267" s="994"/>
      <c r="AP267" s="94">
        <v>0</v>
      </c>
      <c r="AQ267" s="578">
        <v>0</v>
      </c>
      <c r="AR267" s="155" t="s">
        <v>103</v>
      </c>
      <c r="AS267" s="155" t="s">
        <v>103</v>
      </c>
      <c r="AT267" s="155" t="s">
        <v>103</v>
      </c>
      <c r="AU267" s="155" t="s">
        <v>103</v>
      </c>
      <c r="AV267" s="155" t="s">
        <v>103</v>
      </c>
      <c r="AW267" s="155" t="s">
        <v>103</v>
      </c>
      <c r="AX267" s="155" t="s">
        <v>103</v>
      </c>
      <c r="AY267" s="155" t="s">
        <v>103</v>
      </c>
      <c r="AZ267" s="155" t="s">
        <v>103</v>
      </c>
      <c r="BA267" s="155" t="s">
        <v>103</v>
      </c>
      <c r="BB267" s="155" t="s">
        <v>103</v>
      </c>
      <c r="BC267" s="155" t="s">
        <v>103</v>
      </c>
      <c r="BD267" s="155" t="s">
        <v>103</v>
      </c>
      <c r="BE267" s="989" t="s">
        <v>103</v>
      </c>
      <c r="BF267" s="155" t="s">
        <v>103</v>
      </c>
      <c r="BG267" s="961">
        <v>0</v>
      </c>
      <c r="BH267" s="155" t="s">
        <v>103</v>
      </c>
      <c r="BI267" s="990" t="s">
        <v>103</v>
      </c>
      <c r="BJ267" s="155" t="s">
        <v>103</v>
      </c>
      <c r="BK267" s="155" t="s">
        <v>103</v>
      </c>
      <c r="BL267" s="155" t="s">
        <v>103</v>
      </c>
      <c r="BM267" s="155" t="s">
        <v>103</v>
      </c>
      <c r="BN267" s="155" t="s">
        <v>103</v>
      </c>
      <c r="BO267" s="155" t="s">
        <v>103</v>
      </c>
      <c r="BP267" s="155" t="s">
        <v>103</v>
      </c>
      <c r="BQ267" s="155" t="s">
        <v>103</v>
      </c>
      <c r="BR267" s="155" t="s">
        <v>103</v>
      </c>
      <c r="BS267" s="155" t="s">
        <v>103</v>
      </c>
      <c r="BT267" s="155" t="s">
        <v>103</v>
      </c>
      <c r="BU267" s="155" t="s">
        <v>103</v>
      </c>
      <c r="BV267" s="155" t="s">
        <v>103</v>
      </c>
      <c r="BW267" s="155" t="s">
        <v>103</v>
      </c>
      <c r="BX267" s="155" t="s">
        <v>103</v>
      </c>
      <c r="BY267" s="155" t="s">
        <v>103</v>
      </c>
      <c r="BZ267" s="155" t="s">
        <v>103</v>
      </c>
      <c r="CA267" s="155" t="s">
        <v>103</v>
      </c>
      <c r="CB267" s="155" t="s">
        <v>103</v>
      </c>
      <c r="CC267" s="155" t="s">
        <v>103</v>
      </c>
      <c r="CD267" s="155" t="s">
        <v>103</v>
      </c>
      <c r="CE267" s="155" t="s">
        <v>103</v>
      </c>
    </row>
    <row r="268" spans="1:83" ht="27.6" customHeight="1">
      <c r="A268" s="503" t="s">
        <v>760</v>
      </c>
      <c r="B268" s="164" t="s">
        <v>761</v>
      </c>
      <c r="C268" s="155" t="s">
        <v>762</v>
      </c>
      <c r="D268" s="153" t="s">
        <v>763</v>
      </c>
      <c r="E268" s="153">
        <v>92311</v>
      </c>
      <c r="F268" s="153">
        <v>6071012001</v>
      </c>
      <c r="G268" s="153" t="s">
        <v>110</v>
      </c>
      <c r="H268" s="674">
        <v>0.29210931203751189</v>
      </c>
      <c r="I268" s="508" t="s">
        <v>761</v>
      </c>
      <c r="J268" s="153" t="s">
        <v>117</v>
      </c>
      <c r="K268" s="572" t="s">
        <v>577</v>
      </c>
      <c r="L268" s="153" t="s">
        <v>763</v>
      </c>
      <c r="M268" s="153" t="s">
        <v>110</v>
      </c>
      <c r="N268" s="156">
        <v>1</v>
      </c>
      <c r="P268" s="156">
        <v>0</v>
      </c>
      <c r="Q268" s="989" t="s">
        <v>131</v>
      </c>
      <c r="R268" s="156">
        <v>0</v>
      </c>
      <c r="S268" s="156">
        <v>0</v>
      </c>
      <c r="T268" s="958" t="s">
        <v>105</v>
      </c>
      <c r="U268" s="153" t="s">
        <v>104</v>
      </c>
      <c r="V268" s="149">
        <v>41897</v>
      </c>
      <c r="W268" s="149">
        <v>41918</v>
      </c>
      <c r="X268" s="149">
        <v>44061</v>
      </c>
      <c r="Y268" s="149">
        <v>44363</v>
      </c>
      <c r="Z268" s="149" t="s">
        <v>103</v>
      </c>
      <c r="AA268" s="149">
        <v>41897</v>
      </c>
      <c r="AB268" s="153" t="s">
        <v>103</v>
      </c>
      <c r="AC268" s="594">
        <f>W268-V268</f>
        <v>21</v>
      </c>
      <c r="AD268" s="149">
        <v>44363</v>
      </c>
      <c r="AE268" s="149" t="s">
        <v>103</v>
      </c>
      <c r="AF268" s="153" t="s">
        <v>103</v>
      </c>
      <c r="AG268" s="153" t="s">
        <v>103</v>
      </c>
      <c r="AH268" s="596" t="s">
        <v>103</v>
      </c>
      <c r="AI268" s="960" t="s">
        <v>103</v>
      </c>
      <c r="AJ268" s="607">
        <v>3760</v>
      </c>
      <c r="AK268" s="153" t="s">
        <v>152</v>
      </c>
      <c r="AL268" s="791" t="s">
        <v>103</v>
      </c>
      <c r="AO268" s="963"/>
      <c r="AP268" s="94">
        <v>2000000</v>
      </c>
      <c r="AQ268" s="574">
        <v>0</v>
      </c>
      <c r="AR268" s="153" t="s">
        <v>116</v>
      </c>
      <c r="AS268" s="153" t="s">
        <v>116</v>
      </c>
      <c r="AT268" s="777" t="s">
        <v>122</v>
      </c>
      <c r="AU268" s="777" t="s">
        <v>122</v>
      </c>
      <c r="AV268" s="777" t="s">
        <v>122</v>
      </c>
      <c r="AW268" s="777" t="s">
        <v>122</v>
      </c>
      <c r="AX268" s="155" t="s">
        <v>103</v>
      </c>
      <c r="AY268" s="155" t="s">
        <v>103</v>
      </c>
      <c r="AZ268" s="155" t="s">
        <v>103</v>
      </c>
      <c r="BA268" s="156">
        <v>0</v>
      </c>
      <c r="BB268" s="153"/>
      <c r="BC268" s="780" t="s">
        <v>103</v>
      </c>
      <c r="BD268" s="153" t="s">
        <v>103</v>
      </c>
      <c r="BE268" s="679" t="s">
        <v>103</v>
      </c>
      <c r="BF268" s="156" t="s">
        <v>103</v>
      </c>
      <c r="BG268" s="94">
        <v>56600.46</v>
      </c>
      <c r="BH268" s="766">
        <v>1468725</v>
      </c>
      <c r="BI268" s="774">
        <v>429121.95</v>
      </c>
      <c r="BJ268" s="774">
        <v>102153</v>
      </c>
      <c r="BK268" s="153" t="s">
        <v>103</v>
      </c>
      <c r="BL268" s="94" t="s">
        <v>124</v>
      </c>
      <c r="BM268" s="94" t="s">
        <v>124</v>
      </c>
      <c r="BN268" s="94" t="s">
        <v>124</v>
      </c>
      <c r="BO268" s="153" t="s">
        <v>116</v>
      </c>
      <c r="BP268" s="153" t="s">
        <v>124</v>
      </c>
      <c r="BQ268" s="153" t="s">
        <v>103</v>
      </c>
      <c r="BR268" s="153" t="s">
        <v>110</v>
      </c>
      <c r="BS268" s="153" t="s">
        <v>110</v>
      </c>
      <c r="BT268" s="153" t="s">
        <v>110</v>
      </c>
      <c r="BU268" s="153" t="s">
        <v>110</v>
      </c>
      <c r="BV268" s="153" t="s">
        <v>110</v>
      </c>
      <c r="BW268" s="153" t="s">
        <v>110</v>
      </c>
      <c r="BX268" s="153" t="s">
        <v>110</v>
      </c>
      <c r="BY268" s="153" t="s">
        <v>117</v>
      </c>
      <c r="BZ268" s="153" t="s">
        <v>110</v>
      </c>
      <c r="CA268" s="616" t="s">
        <v>103</v>
      </c>
      <c r="CB268" s="153" t="s">
        <v>103</v>
      </c>
      <c r="CC268" s="153" t="s">
        <v>103</v>
      </c>
      <c r="CD268" s="153" t="s">
        <v>103</v>
      </c>
      <c r="CE268" s="153" t="s">
        <v>103</v>
      </c>
    </row>
    <row r="269" spans="1:83" ht="10.35" customHeight="1">
      <c r="A269" s="503" t="s">
        <v>764</v>
      </c>
      <c r="B269" s="164" t="s">
        <v>765</v>
      </c>
      <c r="C269" s="155" t="s">
        <v>766</v>
      </c>
      <c r="D269" s="153" t="s">
        <v>767</v>
      </c>
      <c r="E269" s="153">
        <v>91710</v>
      </c>
      <c r="F269" s="153">
        <v>6071000504</v>
      </c>
      <c r="G269" s="153" t="s">
        <v>110</v>
      </c>
      <c r="H269" s="674">
        <v>0.16396897141461031</v>
      </c>
      <c r="I269" s="508" t="s">
        <v>765</v>
      </c>
      <c r="J269" s="153" t="s">
        <v>117</v>
      </c>
      <c r="K269" s="572" t="s">
        <v>130</v>
      </c>
      <c r="L269" s="153" t="s">
        <v>767</v>
      </c>
      <c r="M269" s="153" t="s">
        <v>104</v>
      </c>
      <c r="N269" s="156">
        <v>2</v>
      </c>
      <c r="P269" s="156">
        <v>0</v>
      </c>
      <c r="Q269" s="156" t="s">
        <v>139</v>
      </c>
      <c r="R269" s="156">
        <v>0</v>
      </c>
      <c r="S269" s="156">
        <v>2</v>
      </c>
      <c r="T269" s="958" t="s">
        <v>105</v>
      </c>
      <c r="U269" s="153" t="s">
        <v>104</v>
      </c>
      <c r="V269" s="149">
        <v>40379</v>
      </c>
      <c r="W269" s="149">
        <v>40796</v>
      </c>
      <c r="X269" s="149">
        <v>40878</v>
      </c>
      <c r="Y269" s="149">
        <v>40969</v>
      </c>
      <c r="Z269" s="149">
        <v>40969</v>
      </c>
      <c r="AA269" s="572">
        <v>2011</v>
      </c>
      <c r="AB269" s="763" t="s">
        <v>151</v>
      </c>
      <c r="AC269" s="594">
        <v>297.85714285714283</v>
      </c>
      <c r="AD269" s="153" t="s">
        <v>103</v>
      </c>
      <c r="AE269" s="149" t="s">
        <v>103</v>
      </c>
      <c r="AF269" s="596">
        <v>4</v>
      </c>
      <c r="AG269" s="596">
        <v>0</v>
      </c>
      <c r="AH269" s="595">
        <v>1220.6666666666667</v>
      </c>
      <c r="AI269" s="614">
        <v>0.23118686868686869</v>
      </c>
      <c r="AJ269" s="607" t="s">
        <v>768</v>
      </c>
      <c r="AK269" s="153" t="s">
        <v>120</v>
      </c>
      <c r="AL269" s="791" t="s">
        <v>104</v>
      </c>
      <c r="AO269" s="963"/>
      <c r="AP269" s="1017">
        <v>380000</v>
      </c>
      <c r="AQ269" s="574">
        <v>474455</v>
      </c>
      <c r="AR269" s="153" t="s">
        <v>116</v>
      </c>
      <c r="AS269" s="153" t="s">
        <v>116</v>
      </c>
      <c r="AT269" s="156">
        <v>0</v>
      </c>
      <c r="AU269" s="777" t="s">
        <v>122</v>
      </c>
      <c r="AV269" s="777" t="s">
        <v>122</v>
      </c>
      <c r="AW269" s="777" t="s">
        <v>122</v>
      </c>
      <c r="AX269" s="155" t="s">
        <v>103</v>
      </c>
      <c r="AY269" s="155" t="s">
        <v>103</v>
      </c>
      <c r="AZ269" s="155" t="s">
        <v>103</v>
      </c>
      <c r="BA269" s="156">
        <v>0</v>
      </c>
      <c r="BB269" s="574">
        <f t="shared" ref="BB269:BB271" si="58">AQ269</f>
        <v>474455</v>
      </c>
      <c r="BC269" s="780">
        <v>-94455</v>
      </c>
      <c r="BD269" s="1008" t="s">
        <v>151</v>
      </c>
      <c r="BE269" s="679">
        <v>0</v>
      </c>
      <c r="BF269" s="153" t="s">
        <v>103</v>
      </c>
      <c r="BG269" s="94">
        <v>474455</v>
      </c>
      <c r="BH269" s="766">
        <v>750450</v>
      </c>
      <c r="BI269" s="774">
        <v>0</v>
      </c>
      <c r="BJ269" s="774">
        <v>0</v>
      </c>
      <c r="BL269" s="153" t="s">
        <v>124</v>
      </c>
      <c r="BM269" s="94" t="s">
        <v>103</v>
      </c>
      <c r="BN269" s="155" t="s">
        <v>103</v>
      </c>
      <c r="BO269" s="153" t="s">
        <v>103</v>
      </c>
      <c r="BP269" s="153" t="s">
        <v>103</v>
      </c>
      <c r="BQ269" s="153" t="s">
        <v>103</v>
      </c>
      <c r="BR269" s="153" t="s">
        <v>110</v>
      </c>
      <c r="BS269" s="153" t="s">
        <v>104</v>
      </c>
      <c r="BT269" s="153" t="s">
        <v>110</v>
      </c>
      <c r="BU269" s="153" t="s">
        <v>110</v>
      </c>
      <c r="BV269" s="153" t="s">
        <v>103</v>
      </c>
      <c r="BW269" s="153" t="s">
        <v>110</v>
      </c>
      <c r="BX269" s="153" t="s">
        <v>110</v>
      </c>
      <c r="BY269" s="153" t="s">
        <v>110</v>
      </c>
      <c r="BZ269" s="153" t="s">
        <v>110</v>
      </c>
      <c r="CA269" s="616" t="s">
        <v>110</v>
      </c>
      <c r="CB269" s="153" t="s">
        <v>110</v>
      </c>
      <c r="CC269" s="153" t="s">
        <v>110</v>
      </c>
      <c r="CD269" s="153" t="s">
        <v>110</v>
      </c>
      <c r="CE269" s="153" t="s">
        <v>110</v>
      </c>
    </row>
    <row r="270" spans="1:83" ht="41.45" customHeight="1">
      <c r="A270" s="503"/>
      <c r="B270" s="164" t="s">
        <v>769</v>
      </c>
      <c r="C270" s="155" t="s">
        <v>770</v>
      </c>
      <c r="D270" s="153" t="s">
        <v>771</v>
      </c>
      <c r="E270" s="153">
        <v>91709</v>
      </c>
      <c r="F270" s="153">
        <v>6071000113</v>
      </c>
      <c r="G270" s="153" t="s">
        <v>110</v>
      </c>
      <c r="H270" s="153" t="s">
        <v>150</v>
      </c>
      <c r="I270" s="508" t="s">
        <v>769</v>
      </c>
      <c r="J270" s="153" t="s">
        <v>117</v>
      </c>
      <c r="K270" s="572" t="s">
        <v>205</v>
      </c>
      <c r="L270" s="153" t="s">
        <v>771</v>
      </c>
      <c r="M270" s="153" t="s">
        <v>104</v>
      </c>
      <c r="Q270" s="156" t="s">
        <v>139</v>
      </c>
      <c r="V270" s="149">
        <v>39217</v>
      </c>
      <c r="W270" s="149">
        <v>40360</v>
      </c>
      <c r="X270" s="149">
        <v>40664</v>
      </c>
      <c r="Y270" s="149">
        <v>40817</v>
      </c>
      <c r="Z270" s="149">
        <v>40817</v>
      </c>
      <c r="AA270" s="149">
        <v>39217</v>
      </c>
      <c r="AB270" s="763" t="s">
        <v>121</v>
      </c>
      <c r="AC270" s="594">
        <v>816.42857142857133</v>
      </c>
      <c r="AD270" s="153" t="s">
        <v>103</v>
      </c>
      <c r="AE270" s="149" t="s">
        <v>103</v>
      </c>
      <c r="AF270" s="596">
        <v>5</v>
      </c>
      <c r="AG270" s="596">
        <v>0</v>
      </c>
      <c r="AH270" s="595" t="s">
        <v>103</v>
      </c>
      <c r="AI270" s="614">
        <v>0.20094696969696971</v>
      </c>
      <c r="AJ270" s="607">
        <v>1061</v>
      </c>
      <c r="AK270" s="153" t="s">
        <v>120</v>
      </c>
      <c r="AL270" s="791" t="s">
        <v>104</v>
      </c>
      <c r="AO270" s="963"/>
      <c r="AP270" s="1017">
        <v>750000</v>
      </c>
      <c r="AQ270" s="574">
        <v>690676</v>
      </c>
      <c r="AR270" s="153" t="s">
        <v>116</v>
      </c>
      <c r="AS270" s="153" t="s">
        <v>116</v>
      </c>
      <c r="AT270" s="156">
        <v>0</v>
      </c>
      <c r="AU270" s="777" t="s">
        <v>122</v>
      </c>
      <c r="AV270" s="777" t="s">
        <v>122</v>
      </c>
      <c r="AW270" s="777" t="s">
        <v>122</v>
      </c>
      <c r="AX270" s="155" t="s">
        <v>103</v>
      </c>
      <c r="AY270" s="155" t="s">
        <v>103</v>
      </c>
      <c r="AZ270" s="155" t="s">
        <v>103</v>
      </c>
      <c r="BA270" s="156">
        <v>0</v>
      </c>
      <c r="BB270" s="574">
        <f t="shared" si="58"/>
        <v>690676</v>
      </c>
      <c r="BC270" s="780">
        <v>59324</v>
      </c>
      <c r="BD270" s="1008" t="s">
        <v>121</v>
      </c>
      <c r="BE270" s="679">
        <v>0</v>
      </c>
      <c r="BF270" s="153" t="s">
        <v>103</v>
      </c>
      <c r="BG270" s="94">
        <v>690676</v>
      </c>
      <c r="BH270" s="766">
        <v>975020</v>
      </c>
      <c r="BI270" s="774">
        <v>0</v>
      </c>
      <c r="BJ270" s="774">
        <v>0</v>
      </c>
      <c r="BK270" s="153" t="s">
        <v>103</v>
      </c>
      <c r="BL270" s="153" t="s">
        <v>124</v>
      </c>
      <c r="BM270" s="94" t="s">
        <v>103</v>
      </c>
      <c r="BN270" s="155" t="s">
        <v>103</v>
      </c>
      <c r="BO270" s="153" t="s">
        <v>103</v>
      </c>
      <c r="BP270" s="153" t="s">
        <v>103</v>
      </c>
      <c r="BQ270" s="153" t="s">
        <v>103</v>
      </c>
      <c r="BR270" s="153" t="s">
        <v>110</v>
      </c>
      <c r="BS270" s="153" t="s">
        <v>110</v>
      </c>
      <c r="BT270" s="153" t="s">
        <v>110</v>
      </c>
      <c r="BU270" s="153" t="s">
        <v>110</v>
      </c>
      <c r="BV270" s="153" t="s">
        <v>103</v>
      </c>
      <c r="BW270" s="153" t="s">
        <v>110</v>
      </c>
      <c r="BX270" s="153" t="s">
        <v>110</v>
      </c>
      <c r="BY270" s="153" t="s">
        <v>110</v>
      </c>
      <c r="BZ270" s="153" t="s">
        <v>110</v>
      </c>
      <c r="CA270" s="616" t="s">
        <v>110</v>
      </c>
      <c r="CB270" s="153" t="s">
        <v>110</v>
      </c>
      <c r="CC270" s="153" t="s">
        <v>110</v>
      </c>
      <c r="CD270" s="153" t="s">
        <v>110</v>
      </c>
      <c r="CE270" s="153" t="s">
        <v>110</v>
      </c>
    </row>
    <row r="271" spans="1:83" ht="41.45" customHeight="1">
      <c r="A271" s="507" t="s">
        <v>772</v>
      </c>
      <c r="B271" s="164" t="s">
        <v>773</v>
      </c>
      <c r="C271" s="155" t="s">
        <v>774</v>
      </c>
      <c r="D271" s="153" t="s">
        <v>775</v>
      </c>
      <c r="E271" s="153">
        <v>91709</v>
      </c>
      <c r="F271" s="153">
        <v>6071000105</v>
      </c>
      <c r="G271" s="153" t="s">
        <v>110</v>
      </c>
      <c r="H271" s="674">
        <v>0.10727325836132613</v>
      </c>
      <c r="I271" s="508" t="s">
        <v>773</v>
      </c>
      <c r="J271" s="153" t="s">
        <v>257</v>
      </c>
      <c r="K271" s="572" t="s">
        <v>283</v>
      </c>
      <c r="L271" s="153" t="s">
        <v>775</v>
      </c>
      <c r="M271" s="153" t="s">
        <v>104</v>
      </c>
      <c r="N271" s="156">
        <v>1</v>
      </c>
      <c r="P271" s="156">
        <v>0</v>
      </c>
      <c r="Q271" s="156" t="s">
        <v>139</v>
      </c>
      <c r="R271" s="156">
        <v>0</v>
      </c>
      <c r="S271" s="156">
        <v>1</v>
      </c>
      <c r="T271" s="958" t="s">
        <v>105</v>
      </c>
      <c r="U271" s="153" t="s">
        <v>110</v>
      </c>
      <c r="V271" s="149">
        <v>38405</v>
      </c>
      <c r="W271" s="149">
        <v>38687</v>
      </c>
      <c r="X271" s="149">
        <v>39052</v>
      </c>
      <c r="Y271" s="149">
        <v>39248</v>
      </c>
      <c r="Z271" s="149">
        <v>39248</v>
      </c>
      <c r="AA271" s="149">
        <v>38405</v>
      </c>
      <c r="AB271" s="763" t="s">
        <v>151</v>
      </c>
      <c r="AC271" s="594">
        <v>201.42857142857142</v>
      </c>
      <c r="AD271" s="153" t="s">
        <v>103</v>
      </c>
      <c r="AE271" s="149" t="s">
        <v>103</v>
      </c>
      <c r="AF271" s="596" t="s">
        <v>103</v>
      </c>
      <c r="AG271" s="596" t="s">
        <v>103</v>
      </c>
      <c r="AH271" s="595" t="s">
        <v>103</v>
      </c>
      <c r="AI271" s="614">
        <v>0.14204545454545456</v>
      </c>
      <c r="AJ271" s="607">
        <v>750</v>
      </c>
      <c r="AK271" s="153" t="s">
        <v>152</v>
      </c>
      <c r="AL271" s="791" t="s">
        <v>116</v>
      </c>
      <c r="AO271" s="963"/>
      <c r="AP271" s="1017">
        <v>225000</v>
      </c>
      <c r="AQ271" s="574">
        <v>388652</v>
      </c>
      <c r="AR271" s="153" t="s">
        <v>116</v>
      </c>
      <c r="AS271" s="153" t="s">
        <v>116</v>
      </c>
      <c r="AT271" s="156">
        <v>0</v>
      </c>
      <c r="AU271" s="777" t="s">
        <v>122</v>
      </c>
      <c r="AV271" s="777" t="s">
        <v>122</v>
      </c>
      <c r="AW271" s="777" t="s">
        <v>122</v>
      </c>
      <c r="AX271" s="155" t="s">
        <v>103</v>
      </c>
      <c r="AY271" s="155" t="s">
        <v>103</v>
      </c>
      <c r="AZ271" s="155" t="s">
        <v>103</v>
      </c>
      <c r="BA271" s="156">
        <v>0</v>
      </c>
      <c r="BB271" s="574">
        <f t="shared" si="58"/>
        <v>388652</v>
      </c>
      <c r="BC271" s="780">
        <v>-163652</v>
      </c>
      <c r="BD271" s="508" t="s">
        <v>776</v>
      </c>
      <c r="BE271" s="679">
        <v>0</v>
      </c>
      <c r="BF271" s="153" t="s">
        <v>103</v>
      </c>
      <c r="BG271" s="94">
        <v>388652</v>
      </c>
      <c r="BH271" s="766" t="s">
        <v>123</v>
      </c>
      <c r="BI271" s="774">
        <v>0</v>
      </c>
      <c r="BJ271" s="774">
        <v>0</v>
      </c>
      <c r="BK271" s="153" t="s">
        <v>103</v>
      </c>
      <c r="BL271" s="153" t="s">
        <v>124</v>
      </c>
      <c r="BM271" s="94" t="s">
        <v>103</v>
      </c>
      <c r="BN271" s="155" t="s">
        <v>103</v>
      </c>
      <c r="BO271" s="153" t="s">
        <v>103</v>
      </c>
      <c r="BP271" s="153" t="s">
        <v>103</v>
      </c>
      <c r="BQ271" s="153" t="s">
        <v>103</v>
      </c>
      <c r="BR271" s="153" t="s">
        <v>110</v>
      </c>
      <c r="BS271" s="153" t="s">
        <v>110</v>
      </c>
      <c r="BT271" s="153" t="s">
        <v>110</v>
      </c>
      <c r="BU271" s="153" t="s">
        <v>110</v>
      </c>
      <c r="BV271" s="153" t="s">
        <v>103</v>
      </c>
      <c r="BW271" s="153" t="s">
        <v>110</v>
      </c>
      <c r="BX271" s="153" t="s">
        <v>110</v>
      </c>
      <c r="BY271" s="153" t="s">
        <v>110</v>
      </c>
      <c r="BZ271" s="153" t="s">
        <v>110</v>
      </c>
      <c r="CA271" s="616" t="s">
        <v>110</v>
      </c>
      <c r="CB271" s="153" t="s">
        <v>110</v>
      </c>
      <c r="CC271" s="153" t="s">
        <v>110</v>
      </c>
      <c r="CD271" s="153" t="s">
        <v>110</v>
      </c>
      <c r="CE271" s="153" t="s">
        <v>110</v>
      </c>
    </row>
    <row r="272" spans="1:83" ht="14.1" customHeight="1">
      <c r="A272" s="503" t="s">
        <v>777</v>
      </c>
      <c r="B272" s="164" t="s">
        <v>103</v>
      </c>
      <c r="C272" s="155" t="s">
        <v>103</v>
      </c>
      <c r="D272" s="153" t="s">
        <v>103</v>
      </c>
      <c r="E272" s="153" t="s">
        <v>103</v>
      </c>
      <c r="F272" s="958" t="s">
        <v>103</v>
      </c>
      <c r="G272" s="153" t="s">
        <v>104</v>
      </c>
      <c r="H272" s="673">
        <v>0.24854651162790697</v>
      </c>
      <c r="I272" s="508" t="s">
        <v>103</v>
      </c>
      <c r="J272" s="958" t="s">
        <v>103</v>
      </c>
      <c r="K272" s="958" t="s">
        <v>103</v>
      </c>
      <c r="L272" s="155" t="s">
        <v>103</v>
      </c>
      <c r="M272" s="155" t="s">
        <v>103</v>
      </c>
      <c r="N272" s="156">
        <v>1</v>
      </c>
      <c r="O272" s="156" t="s">
        <v>103</v>
      </c>
      <c r="P272" s="156">
        <v>0</v>
      </c>
      <c r="Q272" s="958" t="s">
        <v>103</v>
      </c>
      <c r="R272" s="156">
        <v>0</v>
      </c>
      <c r="S272" s="156">
        <v>0</v>
      </c>
      <c r="T272" s="958" t="s">
        <v>105</v>
      </c>
      <c r="U272" s="153" t="s">
        <v>104</v>
      </c>
      <c r="V272" s="518" t="s">
        <v>103</v>
      </c>
      <c r="W272" s="991" t="s">
        <v>103</v>
      </c>
      <c r="X272" s="991" t="s">
        <v>103</v>
      </c>
      <c r="Y272" s="991" t="s">
        <v>103</v>
      </c>
      <c r="Z272" s="518" t="s">
        <v>103</v>
      </c>
      <c r="AA272" s="991" t="s">
        <v>103</v>
      </c>
      <c r="AB272" s="155" t="s">
        <v>103</v>
      </c>
      <c r="AC272" s="155" t="s">
        <v>103</v>
      </c>
      <c r="AD272" s="155" t="s">
        <v>103</v>
      </c>
      <c r="AE272" s="155" t="s">
        <v>103</v>
      </c>
      <c r="AF272" s="155" t="s">
        <v>103</v>
      </c>
      <c r="AG272" s="155" t="s">
        <v>103</v>
      </c>
      <c r="AH272" s="992" t="s">
        <v>103</v>
      </c>
      <c r="AI272" s="960" t="s">
        <v>103</v>
      </c>
      <c r="AJ272" s="992" t="s">
        <v>103</v>
      </c>
      <c r="AK272" s="155" t="s">
        <v>103</v>
      </c>
      <c r="AL272" s="993" t="s">
        <v>103</v>
      </c>
      <c r="AM272" s="155"/>
      <c r="AN272" s="155"/>
      <c r="AO272" s="994"/>
      <c r="AP272" s="94">
        <v>0</v>
      </c>
      <c r="AQ272" s="578">
        <v>0</v>
      </c>
      <c r="AR272" s="155" t="s">
        <v>103</v>
      </c>
      <c r="AS272" s="155" t="s">
        <v>103</v>
      </c>
      <c r="AT272" s="155" t="s">
        <v>103</v>
      </c>
      <c r="AU272" s="155" t="s">
        <v>103</v>
      </c>
      <c r="AV272" s="155" t="s">
        <v>103</v>
      </c>
      <c r="AW272" s="155" t="s">
        <v>103</v>
      </c>
      <c r="AX272" s="155" t="s">
        <v>103</v>
      </c>
      <c r="AY272" s="155" t="s">
        <v>103</v>
      </c>
      <c r="AZ272" s="155" t="s">
        <v>103</v>
      </c>
      <c r="BA272" s="155" t="s">
        <v>103</v>
      </c>
      <c r="BB272" s="155" t="s">
        <v>103</v>
      </c>
      <c r="BC272" s="155" t="s">
        <v>103</v>
      </c>
      <c r="BD272" s="155" t="s">
        <v>103</v>
      </c>
      <c r="BE272" s="989" t="s">
        <v>103</v>
      </c>
      <c r="BF272" s="155" t="s">
        <v>103</v>
      </c>
      <c r="BG272" s="961">
        <v>0</v>
      </c>
      <c r="BH272" s="155" t="s">
        <v>103</v>
      </c>
      <c r="BI272" s="990" t="s">
        <v>103</v>
      </c>
      <c r="BJ272" s="155" t="s">
        <v>103</v>
      </c>
      <c r="BK272" s="155" t="s">
        <v>103</v>
      </c>
      <c r="BL272" s="155" t="s">
        <v>103</v>
      </c>
      <c r="BM272" s="155" t="s">
        <v>103</v>
      </c>
      <c r="BN272" s="155" t="s">
        <v>103</v>
      </c>
      <c r="BO272" s="155" t="s">
        <v>103</v>
      </c>
      <c r="BP272" s="155" t="s">
        <v>103</v>
      </c>
      <c r="BQ272" s="155" t="s">
        <v>103</v>
      </c>
      <c r="BR272" s="155" t="s">
        <v>103</v>
      </c>
      <c r="BS272" s="155" t="s">
        <v>103</v>
      </c>
      <c r="BT272" s="155" t="s">
        <v>103</v>
      </c>
      <c r="BU272" s="155" t="s">
        <v>103</v>
      </c>
      <c r="BV272" s="155" t="s">
        <v>103</v>
      </c>
      <c r="BW272" s="155" t="s">
        <v>103</v>
      </c>
      <c r="BX272" s="155" t="s">
        <v>103</v>
      </c>
      <c r="BY272" s="155" t="s">
        <v>103</v>
      </c>
      <c r="BZ272" s="155" t="s">
        <v>103</v>
      </c>
      <c r="CA272" s="155" t="s">
        <v>103</v>
      </c>
      <c r="CB272" s="155" t="s">
        <v>103</v>
      </c>
      <c r="CC272" s="155" t="s">
        <v>103</v>
      </c>
      <c r="CD272" s="155" t="s">
        <v>103</v>
      </c>
      <c r="CE272" s="155" t="s">
        <v>103</v>
      </c>
    </row>
    <row r="273" spans="1:83" ht="41.45" customHeight="1">
      <c r="A273" s="503" t="s">
        <v>778</v>
      </c>
      <c r="B273" s="164" t="s">
        <v>779</v>
      </c>
      <c r="C273" s="155" t="s">
        <v>780</v>
      </c>
      <c r="D273" s="153" t="s">
        <v>781</v>
      </c>
      <c r="E273" s="153">
        <v>92377</v>
      </c>
      <c r="F273" s="153">
        <v>6071002301</v>
      </c>
      <c r="G273" s="153" t="s">
        <v>110</v>
      </c>
      <c r="H273" s="674">
        <v>0.31937486553769556</v>
      </c>
      <c r="I273" s="508" t="s">
        <v>779</v>
      </c>
      <c r="J273" s="153" t="s">
        <v>117</v>
      </c>
      <c r="K273" s="572" t="s">
        <v>437</v>
      </c>
      <c r="L273" s="153" t="s">
        <v>781</v>
      </c>
      <c r="M273" s="153" t="s">
        <v>104</v>
      </c>
      <c r="N273" s="156">
        <v>6</v>
      </c>
      <c r="P273" s="156">
        <v>0</v>
      </c>
      <c r="Q273" s="156" t="s">
        <v>139</v>
      </c>
      <c r="R273" s="156">
        <v>0</v>
      </c>
      <c r="S273" s="156">
        <v>1</v>
      </c>
      <c r="T273" s="958" t="s">
        <v>105</v>
      </c>
      <c r="U273" s="153" t="s">
        <v>104</v>
      </c>
      <c r="V273" s="149">
        <v>39035</v>
      </c>
      <c r="W273" s="149">
        <v>39097</v>
      </c>
      <c r="X273" s="149">
        <v>40441</v>
      </c>
      <c r="Y273" s="149">
        <v>40564</v>
      </c>
      <c r="Z273" s="149">
        <v>40564</v>
      </c>
      <c r="AA273" s="572">
        <v>2008</v>
      </c>
      <c r="AB273" s="763" t="s">
        <v>121</v>
      </c>
      <c r="AC273" s="594">
        <v>44.285714285714292</v>
      </c>
      <c r="AD273" s="153" t="s">
        <v>103</v>
      </c>
      <c r="AE273" s="149" t="s">
        <v>103</v>
      </c>
      <c r="AF273" s="596">
        <v>23</v>
      </c>
      <c r="AG273" s="596">
        <v>5</v>
      </c>
      <c r="AH273" s="595">
        <v>4923</v>
      </c>
      <c r="AI273" s="614">
        <v>0.93238636363636362</v>
      </c>
      <c r="AJ273" s="607">
        <v>5100</v>
      </c>
      <c r="AK273" s="153" t="s">
        <v>120</v>
      </c>
      <c r="AL273" s="791" t="s">
        <v>104</v>
      </c>
      <c r="AO273" s="963"/>
      <c r="AP273" s="1017">
        <v>2000000</v>
      </c>
      <c r="AQ273" s="574">
        <v>1652316</v>
      </c>
      <c r="AR273" s="153" t="s">
        <v>116</v>
      </c>
      <c r="AS273" s="153" t="s">
        <v>116</v>
      </c>
      <c r="AT273" s="156">
        <v>0</v>
      </c>
      <c r="AU273" s="777" t="s">
        <v>122</v>
      </c>
      <c r="AV273" s="777" t="s">
        <v>122</v>
      </c>
      <c r="AW273" s="777" t="s">
        <v>122</v>
      </c>
      <c r="AX273" s="155" t="s">
        <v>103</v>
      </c>
      <c r="AY273" s="155" t="s">
        <v>103</v>
      </c>
      <c r="AZ273" s="155" t="s">
        <v>103</v>
      </c>
      <c r="BA273" s="156">
        <v>0</v>
      </c>
      <c r="BB273" s="574">
        <f t="shared" ref="BB273" si="59">AQ273</f>
        <v>1652316</v>
      </c>
      <c r="BC273" s="780">
        <v>347684</v>
      </c>
      <c r="BD273" s="1008" t="s">
        <v>121</v>
      </c>
      <c r="BE273" s="679">
        <v>0</v>
      </c>
      <c r="BF273" s="153" t="s">
        <v>103</v>
      </c>
      <c r="BG273" s="94">
        <v>1652316</v>
      </c>
      <c r="BH273" s="766">
        <v>2855131</v>
      </c>
      <c r="BI273" s="774">
        <v>0</v>
      </c>
      <c r="BJ273" s="774">
        <v>0</v>
      </c>
      <c r="BK273" s="153" t="s">
        <v>103</v>
      </c>
      <c r="BL273" s="153" t="s">
        <v>124</v>
      </c>
      <c r="BM273" s="94" t="s">
        <v>103</v>
      </c>
      <c r="BN273" s="155" t="s">
        <v>103</v>
      </c>
      <c r="BO273" s="153" t="s">
        <v>103</v>
      </c>
      <c r="BP273" s="153" t="s">
        <v>103</v>
      </c>
      <c r="BQ273" s="153" t="s">
        <v>103</v>
      </c>
      <c r="BR273" s="153" t="s">
        <v>110</v>
      </c>
      <c r="BS273" s="153" t="s">
        <v>110</v>
      </c>
      <c r="BT273" s="153" t="s">
        <v>110</v>
      </c>
      <c r="BU273" s="153" t="s">
        <v>110</v>
      </c>
      <c r="BV273" s="153" t="s">
        <v>104</v>
      </c>
      <c r="BW273" s="153" t="s">
        <v>110</v>
      </c>
      <c r="BX273" s="153" t="s">
        <v>110</v>
      </c>
      <c r="BY273" s="153" t="s">
        <v>117</v>
      </c>
      <c r="BZ273" s="153" t="s">
        <v>110</v>
      </c>
      <c r="CA273" s="616" t="s">
        <v>103</v>
      </c>
      <c r="CB273" s="153" t="s">
        <v>103</v>
      </c>
      <c r="CC273" s="153" t="s">
        <v>103</v>
      </c>
      <c r="CD273" s="153" t="s">
        <v>103</v>
      </c>
      <c r="CE273" s="153" t="s">
        <v>103</v>
      </c>
    </row>
    <row r="274" spans="1:83" ht="14.1" customHeight="1">
      <c r="A274" s="503"/>
      <c r="B274" s="164" t="s">
        <v>782</v>
      </c>
      <c r="C274" s="155" t="s">
        <v>103</v>
      </c>
      <c r="D274" s="153" t="s">
        <v>783</v>
      </c>
      <c r="E274" s="153">
        <v>92336</v>
      </c>
      <c r="F274" s="153">
        <v>6071002301</v>
      </c>
      <c r="G274" s="153" t="s">
        <v>104</v>
      </c>
      <c r="H274" s="153" t="s">
        <v>150</v>
      </c>
      <c r="I274" s="508" t="s">
        <v>782</v>
      </c>
      <c r="J274" s="153" t="s">
        <v>117</v>
      </c>
      <c r="K274" s="572" t="s">
        <v>205</v>
      </c>
      <c r="L274" s="153" t="s">
        <v>783</v>
      </c>
      <c r="M274" s="153" t="s">
        <v>110</v>
      </c>
      <c r="Q274" s="156" t="s">
        <v>119</v>
      </c>
      <c r="V274" s="149">
        <v>39035</v>
      </c>
      <c r="W274" s="149" t="s">
        <v>103</v>
      </c>
      <c r="X274" s="149" t="s">
        <v>103</v>
      </c>
      <c r="Y274" s="149" t="s">
        <v>103</v>
      </c>
      <c r="Z274" s="149" t="s">
        <v>103</v>
      </c>
      <c r="AA274" s="149" t="s">
        <v>103</v>
      </c>
      <c r="AB274" s="153" t="s">
        <v>103</v>
      </c>
      <c r="AC274" s="155" t="s">
        <v>103</v>
      </c>
      <c r="AD274" s="153" t="s">
        <v>103</v>
      </c>
      <c r="AE274" s="149" t="s">
        <v>103</v>
      </c>
      <c r="AF274" s="153" t="s">
        <v>103</v>
      </c>
      <c r="AG274" s="153" t="s">
        <v>103</v>
      </c>
      <c r="AH274" s="596" t="s">
        <v>103</v>
      </c>
      <c r="AI274" s="960" t="s">
        <v>103</v>
      </c>
      <c r="AJ274" s="607">
        <v>1600</v>
      </c>
      <c r="AK274" s="153" t="s">
        <v>120</v>
      </c>
      <c r="AL274" s="791" t="s">
        <v>103</v>
      </c>
      <c r="AO274" s="963"/>
      <c r="AP274" s="94">
        <v>480000</v>
      </c>
      <c r="AQ274" s="574">
        <v>0</v>
      </c>
      <c r="AR274" s="153" t="s">
        <v>116</v>
      </c>
      <c r="AS274" s="153" t="s">
        <v>116</v>
      </c>
      <c r="AT274" s="777" t="s">
        <v>121</v>
      </c>
      <c r="AU274" s="777" t="s">
        <v>122</v>
      </c>
      <c r="AV274" s="777" t="s">
        <v>122</v>
      </c>
      <c r="AW274" s="777" t="s">
        <v>122</v>
      </c>
      <c r="AX274" s="155" t="s">
        <v>103</v>
      </c>
      <c r="AY274" s="155" t="s">
        <v>103</v>
      </c>
      <c r="AZ274" s="155" t="s">
        <v>103</v>
      </c>
      <c r="BB274" s="153"/>
      <c r="BC274" s="780" t="s">
        <v>103</v>
      </c>
      <c r="BD274" s="153" t="s">
        <v>103</v>
      </c>
      <c r="BE274" s="679" t="s">
        <v>103</v>
      </c>
      <c r="BF274" s="156" t="s">
        <v>103</v>
      </c>
      <c r="BG274" s="94">
        <v>0</v>
      </c>
      <c r="BH274" s="149" t="s">
        <v>103</v>
      </c>
      <c r="BI274" s="774" t="s">
        <v>103</v>
      </c>
      <c r="BJ274" s="149" t="s">
        <v>103</v>
      </c>
      <c r="BK274" s="149" t="s">
        <v>103</v>
      </c>
      <c r="BL274" s="153" t="s">
        <v>124</v>
      </c>
      <c r="BM274" s="94" t="s">
        <v>103</v>
      </c>
      <c r="BN274" s="155" t="s">
        <v>103</v>
      </c>
      <c r="BO274" s="153" t="s">
        <v>103</v>
      </c>
      <c r="BP274" s="153" t="s">
        <v>103</v>
      </c>
      <c r="BQ274" s="153" t="s">
        <v>103</v>
      </c>
      <c r="BR274" s="153" t="s">
        <v>110</v>
      </c>
      <c r="BS274" s="153" t="s">
        <v>110</v>
      </c>
      <c r="BT274" s="153" t="s">
        <v>110</v>
      </c>
      <c r="BU274" s="153" t="s">
        <v>110</v>
      </c>
      <c r="BV274" s="153" t="s">
        <v>104</v>
      </c>
      <c r="BW274" s="153" t="s">
        <v>110</v>
      </c>
      <c r="BX274" s="153" t="s">
        <v>110</v>
      </c>
      <c r="BY274" s="153" t="s">
        <v>117</v>
      </c>
      <c r="BZ274" s="153" t="s">
        <v>110</v>
      </c>
      <c r="CA274" s="616" t="s">
        <v>103</v>
      </c>
      <c r="CB274" s="153" t="s">
        <v>103</v>
      </c>
      <c r="CC274" s="153" t="s">
        <v>103</v>
      </c>
      <c r="CD274" s="153" t="s">
        <v>103</v>
      </c>
      <c r="CE274" s="153" t="s">
        <v>103</v>
      </c>
    </row>
    <row r="275" spans="1:83" ht="14.1" customHeight="1">
      <c r="A275" s="503"/>
      <c r="B275" s="164" t="s">
        <v>784</v>
      </c>
      <c r="C275" s="155" t="s">
        <v>103</v>
      </c>
      <c r="D275" s="153" t="s">
        <v>785</v>
      </c>
      <c r="E275" s="153">
        <v>92336</v>
      </c>
      <c r="F275" s="153">
        <v>6071002301</v>
      </c>
      <c r="G275" s="153" t="s">
        <v>104</v>
      </c>
      <c r="H275" s="153" t="s">
        <v>150</v>
      </c>
      <c r="I275" s="508" t="s">
        <v>784</v>
      </c>
      <c r="J275" s="153" t="s">
        <v>117</v>
      </c>
      <c r="K275" s="572" t="s">
        <v>437</v>
      </c>
      <c r="L275" s="153" t="s">
        <v>785</v>
      </c>
      <c r="M275" s="153" t="s">
        <v>110</v>
      </c>
      <c r="Q275" s="156" t="s">
        <v>119</v>
      </c>
      <c r="V275" s="149">
        <v>39035</v>
      </c>
      <c r="W275" s="149" t="s">
        <v>103</v>
      </c>
      <c r="X275" s="149" t="s">
        <v>103</v>
      </c>
      <c r="Y275" s="149" t="s">
        <v>103</v>
      </c>
      <c r="Z275" s="149" t="s">
        <v>103</v>
      </c>
      <c r="AA275" s="149" t="s">
        <v>103</v>
      </c>
      <c r="AB275" s="153" t="s">
        <v>103</v>
      </c>
      <c r="AC275" s="155" t="s">
        <v>103</v>
      </c>
      <c r="AD275" s="153" t="s">
        <v>103</v>
      </c>
      <c r="AE275" s="149" t="s">
        <v>103</v>
      </c>
      <c r="AF275" s="153" t="s">
        <v>103</v>
      </c>
      <c r="AG275" s="153" t="s">
        <v>103</v>
      </c>
      <c r="AH275" s="596" t="s">
        <v>103</v>
      </c>
      <c r="AI275" s="960" t="s">
        <v>103</v>
      </c>
      <c r="AJ275" s="607">
        <v>1500</v>
      </c>
      <c r="AK275" s="153" t="s">
        <v>120</v>
      </c>
      <c r="AL275" s="791" t="s">
        <v>103</v>
      </c>
      <c r="AO275" s="963"/>
      <c r="AP275" s="519">
        <v>2226000</v>
      </c>
      <c r="AQ275" s="580">
        <v>0</v>
      </c>
      <c r="AR275" s="153" t="s">
        <v>116</v>
      </c>
      <c r="AS275" s="153" t="s">
        <v>116</v>
      </c>
      <c r="AT275" s="777" t="s">
        <v>121</v>
      </c>
      <c r="AU275" s="777" t="s">
        <v>122</v>
      </c>
      <c r="AV275" s="777" t="s">
        <v>122</v>
      </c>
      <c r="AW275" s="777" t="s">
        <v>122</v>
      </c>
      <c r="AX275" s="155" t="s">
        <v>103</v>
      </c>
      <c r="AY275" s="155" t="s">
        <v>103</v>
      </c>
      <c r="AZ275" s="155" t="s">
        <v>103</v>
      </c>
      <c r="BB275" s="153"/>
      <c r="BC275" s="780" t="s">
        <v>103</v>
      </c>
      <c r="BD275" s="153" t="s">
        <v>103</v>
      </c>
      <c r="BE275" s="679" t="s">
        <v>103</v>
      </c>
      <c r="BF275" s="156" t="s">
        <v>103</v>
      </c>
      <c r="BG275" s="519">
        <v>0</v>
      </c>
      <c r="BH275" s="149" t="s">
        <v>103</v>
      </c>
      <c r="BI275" s="774" t="s">
        <v>103</v>
      </c>
      <c r="BJ275" s="149" t="s">
        <v>103</v>
      </c>
      <c r="BK275" s="149" t="s">
        <v>103</v>
      </c>
      <c r="BL275" s="153" t="s">
        <v>124</v>
      </c>
      <c r="BM275" s="519" t="s">
        <v>103</v>
      </c>
      <c r="BN275" s="155" t="s">
        <v>103</v>
      </c>
      <c r="BO275" s="153" t="s">
        <v>103</v>
      </c>
      <c r="BP275" s="153" t="s">
        <v>103</v>
      </c>
      <c r="BQ275" s="153" t="s">
        <v>103</v>
      </c>
      <c r="BR275" s="153" t="s">
        <v>110</v>
      </c>
      <c r="BS275" s="153" t="s">
        <v>110</v>
      </c>
      <c r="BT275" s="153" t="s">
        <v>110</v>
      </c>
      <c r="BU275" s="153" t="s">
        <v>110</v>
      </c>
      <c r="BV275" s="153" t="s">
        <v>104</v>
      </c>
      <c r="BW275" s="153" t="s">
        <v>110</v>
      </c>
      <c r="BX275" s="153" t="s">
        <v>110</v>
      </c>
      <c r="BY275" s="153" t="s">
        <v>117</v>
      </c>
      <c r="BZ275" s="153" t="s">
        <v>110</v>
      </c>
      <c r="CA275" s="616" t="s">
        <v>103</v>
      </c>
      <c r="CB275" s="153" t="s">
        <v>103</v>
      </c>
      <c r="CC275" s="153" t="s">
        <v>103</v>
      </c>
      <c r="CD275" s="153" t="s">
        <v>103</v>
      </c>
      <c r="CE275" s="153" t="s">
        <v>103</v>
      </c>
    </row>
    <row r="276" spans="1:83" ht="14.1" customHeight="1">
      <c r="A276" s="503"/>
      <c r="B276" s="164" t="s">
        <v>786</v>
      </c>
      <c r="C276" s="155" t="s">
        <v>103</v>
      </c>
      <c r="D276" s="153" t="s">
        <v>787</v>
      </c>
      <c r="E276" s="153">
        <v>92336</v>
      </c>
      <c r="F276" s="153">
        <v>6071002301</v>
      </c>
      <c r="G276" s="153" t="s">
        <v>104</v>
      </c>
      <c r="H276" s="153" t="s">
        <v>150</v>
      </c>
      <c r="I276" s="508" t="s">
        <v>786</v>
      </c>
      <c r="J276" s="153" t="s">
        <v>117</v>
      </c>
      <c r="K276" s="572" t="s">
        <v>437</v>
      </c>
      <c r="L276" s="153" t="s">
        <v>787</v>
      </c>
      <c r="M276" s="153" t="s">
        <v>110</v>
      </c>
      <c r="Q276" s="156" t="s">
        <v>119</v>
      </c>
      <c r="V276" s="149">
        <v>39035</v>
      </c>
      <c r="W276" s="149" t="s">
        <v>103</v>
      </c>
      <c r="X276" s="149" t="s">
        <v>103</v>
      </c>
      <c r="Y276" s="149" t="s">
        <v>103</v>
      </c>
      <c r="Z276" s="149" t="s">
        <v>103</v>
      </c>
      <c r="AA276" s="149" t="s">
        <v>103</v>
      </c>
      <c r="AB276" s="153" t="s">
        <v>103</v>
      </c>
      <c r="AC276" s="155" t="s">
        <v>103</v>
      </c>
      <c r="AD276" s="153" t="s">
        <v>103</v>
      </c>
      <c r="AE276" s="149" t="s">
        <v>103</v>
      </c>
      <c r="AF276" s="153" t="s">
        <v>103</v>
      </c>
      <c r="AG276" s="153" t="s">
        <v>103</v>
      </c>
      <c r="AH276" s="596" t="s">
        <v>103</v>
      </c>
      <c r="AI276" s="960" t="s">
        <v>103</v>
      </c>
      <c r="AJ276" s="607">
        <v>4800</v>
      </c>
      <c r="AK276" s="153" t="s">
        <v>152</v>
      </c>
      <c r="AL276" s="791" t="s">
        <v>103</v>
      </c>
      <c r="AO276" s="963"/>
      <c r="AP276" s="94">
        <v>1440000</v>
      </c>
      <c r="AQ276" s="574">
        <v>0</v>
      </c>
      <c r="AR276" s="153" t="s">
        <v>116</v>
      </c>
      <c r="AS276" s="153" t="s">
        <v>116</v>
      </c>
      <c r="AT276" s="777" t="s">
        <v>121</v>
      </c>
      <c r="AU276" s="777" t="s">
        <v>122</v>
      </c>
      <c r="AV276" s="777" t="s">
        <v>122</v>
      </c>
      <c r="AW276" s="777" t="s">
        <v>122</v>
      </c>
      <c r="AX276" s="155" t="s">
        <v>103</v>
      </c>
      <c r="AY276" s="155" t="s">
        <v>103</v>
      </c>
      <c r="AZ276" s="155" t="s">
        <v>103</v>
      </c>
      <c r="BB276" s="153"/>
      <c r="BC276" s="780" t="s">
        <v>103</v>
      </c>
      <c r="BD276" s="153" t="s">
        <v>103</v>
      </c>
      <c r="BE276" s="679" t="s">
        <v>103</v>
      </c>
      <c r="BF276" s="156" t="s">
        <v>103</v>
      </c>
      <c r="BG276" s="94">
        <v>0</v>
      </c>
      <c r="BH276" s="149" t="s">
        <v>103</v>
      </c>
      <c r="BI276" s="774" t="s">
        <v>103</v>
      </c>
      <c r="BJ276" s="149" t="s">
        <v>103</v>
      </c>
      <c r="BK276" s="149" t="s">
        <v>103</v>
      </c>
      <c r="BL276" s="153" t="s">
        <v>124</v>
      </c>
      <c r="BM276" s="94" t="s">
        <v>103</v>
      </c>
      <c r="BN276" s="155" t="s">
        <v>103</v>
      </c>
      <c r="BO276" s="153" t="s">
        <v>103</v>
      </c>
      <c r="BP276" s="153" t="s">
        <v>103</v>
      </c>
      <c r="BQ276" s="153" t="s">
        <v>103</v>
      </c>
      <c r="BR276" s="153" t="s">
        <v>110</v>
      </c>
      <c r="BS276" s="153" t="s">
        <v>110</v>
      </c>
      <c r="BT276" s="153" t="s">
        <v>110</v>
      </c>
      <c r="BU276" s="153" t="s">
        <v>110</v>
      </c>
      <c r="BV276" s="153" t="s">
        <v>104</v>
      </c>
      <c r="BW276" s="153" t="s">
        <v>110</v>
      </c>
      <c r="BX276" s="153" t="s">
        <v>110</v>
      </c>
      <c r="BY276" s="153" t="s">
        <v>117</v>
      </c>
      <c r="BZ276" s="153" t="s">
        <v>110</v>
      </c>
      <c r="CA276" s="616" t="s">
        <v>103</v>
      </c>
      <c r="CB276" s="153" t="s">
        <v>103</v>
      </c>
      <c r="CC276" s="153" t="s">
        <v>103</v>
      </c>
      <c r="CD276" s="153" t="s">
        <v>103</v>
      </c>
      <c r="CE276" s="153" t="s">
        <v>103</v>
      </c>
    </row>
    <row r="277" spans="1:83" ht="14.1" customHeight="1">
      <c r="A277" s="503"/>
      <c r="B277" s="164" t="s">
        <v>788</v>
      </c>
      <c r="C277" s="155" t="s">
        <v>103</v>
      </c>
      <c r="D277" s="153" t="s">
        <v>789</v>
      </c>
      <c r="E277" s="153">
        <v>92336</v>
      </c>
      <c r="F277" s="153">
        <v>6071002301</v>
      </c>
      <c r="G277" s="153" t="s">
        <v>104</v>
      </c>
      <c r="H277" s="153" t="s">
        <v>150</v>
      </c>
      <c r="I277" s="508" t="s">
        <v>788</v>
      </c>
      <c r="J277" s="153" t="s">
        <v>117</v>
      </c>
      <c r="K277" s="572" t="s">
        <v>437</v>
      </c>
      <c r="L277" s="153" t="s">
        <v>789</v>
      </c>
      <c r="M277" s="153" t="s">
        <v>110</v>
      </c>
      <c r="Q277" s="156" t="s">
        <v>119</v>
      </c>
      <c r="V277" s="149">
        <v>39035</v>
      </c>
      <c r="W277" s="149" t="s">
        <v>103</v>
      </c>
      <c r="X277" s="149" t="s">
        <v>103</v>
      </c>
      <c r="Y277" s="149" t="s">
        <v>103</v>
      </c>
      <c r="Z277" s="149" t="s">
        <v>103</v>
      </c>
      <c r="AA277" s="149" t="s">
        <v>103</v>
      </c>
      <c r="AB277" s="153" t="s">
        <v>103</v>
      </c>
      <c r="AC277" s="155" t="s">
        <v>103</v>
      </c>
      <c r="AD277" s="153" t="s">
        <v>103</v>
      </c>
      <c r="AE277" s="149" t="s">
        <v>103</v>
      </c>
      <c r="AF277" s="153" t="s">
        <v>103</v>
      </c>
      <c r="AG277" s="153" t="s">
        <v>103</v>
      </c>
      <c r="AH277" s="596" t="s">
        <v>103</v>
      </c>
      <c r="AI277" s="960" t="s">
        <v>103</v>
      </c>
      <c r="AJ277" s="607">
        <v>1500</v>
      </c>
      <c r="AK277" s="153" t="s">
        <v>152</v>
      </c>
      <c r="AL277" s="791" t="s">
        <v>103</v>
      </c>
      <c r="AO277" s="963"/>
      <c r="AP277" s="94">
        <v>530000</v>
      </c>
      <c r="AQ277" s="574">
        <v>0</v>
      </c>
      <c r="AR277" s="153" t="s">
        <v>116</v>
      </c>
      <c r="AS277" s="153" t="s">
        <v>116</v>
      </c>
      <c r="AT277" s="777" t="s">
        <v>121</v>
      </c>
      <c r="AU277" s="777" t="s">
        <v>122</v>
      </c>
      <c r="AV277" s="777" t="s">
        <v>122</v>
      </c>
      <c r="AW277" s="777" t="s">
        <v>122</v>
      </c>
      <c r="AX277" s="155" t="s">
        <v>103</v>
      </c>
      <c r="AY277" s="155" t="s">
        <v>103</v>
      </c>
      <c r="AZ277" s="155" t="s">
        <v>103</v>
      </c>
      <c r="BB277" s="153"/>
      <c r="BC277" s="780" t="s">
        <v>103</v>
      </c>
      <c r="BD277" s="153" t="s">
        <v>103</v>
      </c>
      <c r="BE277" s="679" t="s">
        <v>103</v>
      </c>
      <c r="BF277" s="156" t="s">
        <v>103</v>
      </c>
      <c r="BG277" s="94">
        <v>0</v>
      </c>
      <c r="BH277" s="149" t="s">
        <v>103</v>
      </c>
      <c r="BI277" s="774" t="s">
        <v>103</v>
      </c>
      <c r="BJ277" s="149" t="s">
        <v>103</v>
      </c>
      <c r="BK277" s="149" t="s">
        <v>103</v>
      </c>
      <c r="BL277" s="153" t="s">
        <v>124</v>
      </c>
      <c r="BM277" s="94" t="s">
        <v>103</v>
      </c>
      <c r="BN277" s="155" t="s">
        <v>103</v>
      </c>
      <c r="BO277" s="153" t="s">
        <v>103</v>
      </c>
      <c r="BP277" s="153" t="s">
        <v>103</v>
      </c>
      <c r="BQ277" s="153" t="s">
        <v>103</v>
      </c>
      <c r="BR277" s="153" t="s">
        <v>110</v>
      </c>
      <c r="BS277" s="153" t="s">
        <v>110</v>
      </c>
      <c r="BT277" s="153" t="s">
        <v>110</v>
      </c>
      <c r="BU277" s="153" t="s">
        <v>110</v>
      </c>
      <c r="BV277" s="153" t="s">
        <v>104</v>
      </c>
      <c r="BW277" s="153" t="s">
        <v>110</v>
      </c>
      <c r="BX277" s="153" t="s">
        <v>110</v>
      </c>
      <c r="BY277" s="153" t="s">
        <v>117</v>
      </c>
      <c r="BZ277" s="153" t="s">
        <v>110</v>
      </c>
      <c r="CA277" s="616" t="s">
        <v>103</v>
      </c>
      <c r="CB277" s="153" t="s">
        <v>103</v>
      </c>
      <c r="CC277" s="153" t="s">
        <v>103</v>
      </c>
      <c r="CD277" s="153" t="s">
        <v>103</v>
      </c>
      <c r="CE277" s="153" t="s">
        <v>103</v>
      </c>
    </row>
    <row r="278" spans="1:83" ht="27.75" customHeight="1">
      <c r="A278" s="503"/>
      <c r="B278" s="164" t="s">
        <v>790</v>
      </c>
      <c r="C278" s="155" t="s">
        <v>791</v>
      </c>
      <c r="D278" s="153" t="s">
        <v>792</v>
      </c>
      <c r="E278" s="153">
        <v>92337</v>
      </c>
      <c r="F278" s="153">
        <v>6071002601</v>
      </c>
      <c r="G278" s="153" t="s">
        <v>104</v>
      </c>
      <c r="H278" s="153" t="s">
        <v>150</v>
      </c>
      <c r="I278" s="508" t="s">
        <v>790</v>
      </c>
      <c r="J278" s="153" t="s">
        <v>117</v>
      </c>
      <c r="K278" s="572" t="s">
        <v>205</v>
      </c>
      <c r="L278" s="153" t="s">
        <v>793</v>
      </c>
      <c r="M278" s="153" t="s">
        <v>110</v>
      </c>
      <c r="Q278" s="989" t="s">
        <v>131</v>
      </c>
      <c r="V278" s="149">
        <v>42762</v>
      </c>
      <c r="W278" s="149">
        <v>43258</v>
      </c>
      <c r="X278" s="149">
        <v>44549</v>
      </c>
      <c r="Y278" s="149">
        <v>44851</v>
      </c>
      <c r="Z278" s="149" t="s">
        <v>103</v>
      </c>
      <c r="AA278" s="149">
        <v>42762</v>
      </c>
      <c r="AB278" s="153" t="s">
        <v>103</v>
      </c>
      <c r="AC278" s="155" t="s">
        <v>103</v>
      </c>
      <c r="AD278" s="149">
        <v>44851</v>
      </c>
      <c r="AE278" s="149" t="s">
        <v>103</v>
      </c>
      <c r="AF278" s="153" t="s">
        <v>103</v>
      </c>
      <c r="AG278" s="153" t="s">
        <v>103</v>
      </c>
      <c r="AH278" s="596" t="s">
        <v>103</v>
      </c>
      <c r="AI278" s="960" t="s">
        <v>103</v>
      </c>
      <c r="AJ278" s="607">
        <v>5550</v>
      </c>
      <c r="AK278" s="153" t="s">
        <v>120</v>
      </c>
      <c r="AL278" s="791" t="s">
        <v>103</v>
      </c>
      <c r="AO278" s="963"/>
      <c r="AP278" s="94">
        <v>3300000</v>
      </c>
      <c r="AQ278" s="574">
        <v>0</v>
      </c>
      <c r="AR278" s="153" t="s">
        <v>116</v>
      </c>
      <c r="AS278" s="153" t="s">
        <v>116</v>
      </c>
      <c r="AT278" s="777" t="s">
        <v>121</v>
      </c>
      <c r="AU278" s="777" t="s">
        <v>122</v>
      </c>
      <c r="AV278" s="777" t="s">
        <v>122</v>
      </c>
      <c r="AW278" s="777" t="s">
        <v>122</v>
      </c>
      <c r="AX278" s="155" t="s">
        <v>116</v>
      </c>
      <c r="AY278" s="155" t="s">
        <v>116</v>
      </c>
      <c r="AZ278" s="155" t="s">
        <v>116</v>
      </c>
      <c r="BB278" s="153"/>
      <c r="BC278" s="780" t="s">
        <v>103</v>
      </c>
      <c r="BD278" s="153" t="s">
        <v>116</v>
      </c>
      <c r="BE278" s="679" t="s">
        <v>116</v>
      </c>
      <c r="BF278" s="156" t="s">
        <v>116</v>
      </c>
      <c r="BG278" s="94" t="s">
        <v>116</v>
      </c>
      <c r="BH278" s="766">
        <v>3026131</v>
      </c>
      <c r="BI278" s="774">
        <v>273869</v>
      </c>
      <c r="BJ278" s="149" t="s">
        <v>103</v>
      </c>
      <c r="BK278" s="149" t="s">
        <v>103</v>
      </c>
      <c r="BL278" s="153" t="s">
        <v>124</v>
      </c>
      <c r="BM278" s="94" t="s">
        <v>116</v>
      </c>
      <c r="BN278" s="155" t="s">
        <v>116</v>
      </c>
      <c r="BO278" s="153" t="s">
        <v>116</v>
      </c>
      <c r="BP278" s="153" t="s">
        <v>116</v>
      </c>
      <c r="BQ278" s="153" t="s">
        <v>103</v>
      </c>
      <c r="BR278" s="153" t="s">
        <v>116</v>
      </c>
      <c r="BS278" s="153" t="s">
        <v>116</v>
      </c>
      <c r="BT278" s="153" t="s">
        <v>116</v>
      </c>
      <c r="BU278" s="153" t="s">
        <v>116</v>
      </c>
      <c r="BV278" s="153" t="s">
        <v>116</v>
      </c>
      <c r="BW278" s="153" t="s">
        <v>116</v>
      </c>
      <c r="BX278" s="153" t="s">
        <v>116</v>
      </c>
      <c r="BY278" s="153" t="s">
        <v>116</v>
      </c>
      <c r="BZ278" s="153" t="s">
        <v>116</v>
      </c>
      <c r="CA278" s="616" t="s">
        <v>116</v>
      </c>
      <c r="CB278" s="153" t="s">
        <v>116</v>
      </c>
      <c r="CC278" s="153" t="s">
        <v>116</v>
      </c>
      <c r="CD278" s="153" t="s">
        <v>116</v>
      </c>
      <c r="CE278" s="153" t="s">
        <v>116</v>
      </c>
    </row>
    <row r="279" spans="1:83" ht="14.1" customHeight="1">
      <c r="A279" s="503" t="s">
        <v>794</v>
      </c>
      <c r="B279" s="164" t="s">
        <v>103</v>
      </c>
      <c r="C279" s="155" t="s">
        <v>103</v>
      </c>
      <c r="D279" s="153" t="s">
        <v>103</v>
      </c>
      <c r="E279" s="153" t="s">
        <v>103</v>
      </c>
      <c r="F279" s="958" t="s">
        <v>103</v>
      </c>
      <c r="G279" s="153" t="s">
        <v>104</v>
      </c>
      <c r="H279" s="673">
        <v>0.18544228480761601</v>
      </c>
      <c r="I279" s="508" t="s">
        <v>103</v>
      </c>
      <c r="J279" s="958" t="s">
        <v>103</v>
      </c>
      <c r="K279" s="958" t="s">
        <v>103</v>
      </c>
      <c r="L279" s="155" t="s">
        <v>103</v>
      </c>
      <c r="M279" s="155" t="s">
        <v>103</v>
      </c>
      <c r="N279" s="156">
        <v>0</v>
      </c>
      <c r="O279" s="156" t="s">
        <v>103</v>
      </c>
      <c r="P279" s="156">
        <v>0</v>
      </c>
      <c r="Q279" s="958" t="s">
        <v>103</v>
      </c>
      <c r="R279" s="156">
        <v>0</v>
      </c>
      <c r="S279" s="156">
        <v>0</v>
      </c>
      <c r="T279" s="958" t="s">
        <v>105</v>
      </c>
      <c r="U279" s="153" t="s">
        <v>104</v>
      </c>
      <c r="V279" s="518" t="s">
        <v>103</v>
      </c>
      <c r="W279" s="991" t="s">
        <v>103</v>
      </c>
      <c r="X279" s="991" t="s">
        <v>103</v>
      </c>
      <c r="Y279" s="991" t="s">
        <v>103</v>
      </c>
      <c r="Z279" s="518" t="s">
        <v>103</v>
      </c>
      <c r="AA279" s="991" t="s">
        <v>103</v>
      </c>
      <c r="AB279" s="155" t="s">
        <v>103</v>
      </c>
      <c r="AC279" s="155" t="s">
        <v>103</v>
      </c>
      <c r="AD279" s="155" t="s">
        <v>103</v>
      </c>
      <c r="AE279" s="155" t="s">
        <v>103</v>
      </c>
      <c r="AF279" s="155" t="s">
        <v>103</v>
      </c>
      <c r="AG279" s="155" t="s">
        <v>103</v>
      </c>
      <c r="AH279" s="992" t="s">
        <v>103</v>
      </c>
      <c r="AI279" s="960" t="s">
        <v>103</v>
      </c>
      <c r="AJ279" s="992" t="s">
        <v>103</v>
      </c>
      <c r="AK279" s="155" t="s">
        <v>103</v>
      </c>
      <c r="AL279" s="993" t="s">
        <v>103</v>
      </c>
      <c r="AM279" s="155"/>
      <c r="AN279" s="155"/>
      <c r="AO279" s="994"/>
      <c r="AP279" s="94">
        <v>0</v>
      </c>
      <c r="AQ279" s="578">
        <v>0</v>
      </c>
      <c r="AR279" s="155" t="s">
        <v>103</v>
      </c>
      <c r="AS279" s="155" t="s">
        <v>103</v>
      </c>
      <c r="AT279" s="155" t="s">
        <v>103</v>
      </c>
      <c r="AU279" s="155" t="s">
        <v>103</v>
      </c>
      <c r="AV279" s="155" t="s">
        <v>103</v>
      </c>
      <c r="AW279" s="155" t="s">
        <v>103</v>
      </c>
      <c r="AX279" s="155" t="s">
        <v>103</v>
      </c>
      <c r="AY279" s="155" t="s">
        <v>103</v>
      </c>
      <c r="AZ279" s="155" t="s">
        <v>103</v>
      </c>
      <c r="BA279" s="155" t="s">
        <v>103</v>
      </c>
      <c r="BB279" s="155" t="s">
        <v>103</v>
      </c>
      <c r="BC279" s="155" t="s">
        <v>103</v>
      </c>
      <c r="BD279" s="155" t="s">
        <v>103</v>
      </c>
      <c r="BE279" s="989" t="s">
        <v>103</v>
      </c>
      <c r="BF279" s="155" t="s">
        <v>103</v>
      </c>
      <c r="BG279" s="961">
        <v>0</v>
      </c>
      <c r="BH279" s="155" t="s">
        <v>103</v>
      </c>
      <c r="BI279" s="990" t="s">
        <v>103</v>
      </c>
      <c r="BJ279" s="155" t="s">
        <v>103</v>
      </c>
      <c r="BK279" s="155" t="s">
        <v>103</v>
      </c>
      <c r="BL279" s="155" t="s">
        <v>103</v>
      </c>
      <c r="BM279" s="155" t="s">
        <v>103</v>
      </c>
      <c r="BN279" s="155" t="s">
        <v>103</v>
      </c>
      <c r="BO279" s="155" t="s">
        <v>103</v>
      </c>
      <c r="BP279" s="155" t="s">
        <v>103</v>
      </c>
      <c r="BQ279" s="155" t="s">
        <v>103</v>
      </c>
      <c r="BR279" s="155" t="s">
        <v>103</v>
      </c>
      <c r="BS279" s="155" t="s">
        <v>103</v>
      </c>
      <c r="BT279" s="155" t="s">
        <v>103</v>
      </c>
      <c r="BU279" s="155" t="s">
        <v>103</v>
      </c>
      <c r="BV279" s="155" t="s">
        <v>103</v>
      </c>
      <c r="BW279" s="155" t="s">
        <v>103</v>
      </c>
      <c r="BX279" s="155" t="s">
        <v>103</v>
      </c>
      <c r="BY279" s="155" t="s">
        <v>103</v>
      </c>
      <c r="BZ279" s="155" t="s">
        <v>103</v>
      </c>
      <c r="CA279" s="155" t="s">
        <v>103</v>
      </c>
      <c r="CB279" s="155" t="s">
        <v>103</v>
      </c>
      <c r="CC279" s="155" t="s">
        <v>103</v>
      </c>
      <c r="CD279" s="155" t="s">
        <v>103</v>
      </c>
      <c r="CE279" s="155" t="s">
        <v>103</v>
      </c>
    </row>
    <row r="280" spans="1:83" ht="41.45" customHeight="1">
      <c r="A280" s="503" t="s">
        <v>795</v>
      </c>
      <c r="B280" s="164" t="s">
        <v>796</v>
      </c>
      <c r="C280" s="155" t="s">
        <v>797</v>
      </c>
      <c r="D280" s="153" t="s">
        <v>798</v>
      </c>
      <c r="E280" s="153">
        <v>92345</v>
      </c>
      <c r="F280" s="153">
        <v>6071010017</v>
      </c>
      <c r="G280" s="153" t="s">
        <v>110</v>
      </c>
      <c r="H280" s="674">
        <v>0.29156049488840452</v>
      </c>
      <c r="I280" s="508" t="s">
        <v>796</v>
      </c>
      <c r="J280" s="153" t="s">
        <v>117</v>
      </c>
      <c r="K280" s="572" t="s">
        <v>178</v>
      </c>
      <c r="L280" s="153" t="s">
        <v>798</v>
      </c>
      <c r="M280" s="153" t="s">
        <v>104</v>
      </c>
      <c r="N280" s="156">
        <v>2</v>
      </c>
      <c r="P280" s="156">
        <v>0</v>
      </c>
      <c r="Q280" s="156" t="s">
        <v>139</v>
      </c>
      <c r="R280" s="156">
        <v>0</v>
      </c>
      <c r="S280" s="156">
        <v>2</v>
      </c>
      <c r="T280" s="958" t="s">
        <v>105</v>
      </c>
      <c r="U280" s="153" t="s">
        <v>104</v>
      </c>
      <c r="V280" s="149">
        <v>40288</v>
      </c>
      <c r="W280" s="149" t="s">
        <v>103</v>
      </c>
      <c r="X280" s="149" t="s">
        <v>103</v>
      </c>
      <c r="Y280" s="149">
        <v>41000</v>
      </c>
      <c r="Z280" s="149">
        <v>41000</v>
      </c>
      <c r="AA280" s="149">
        <v>40288</v>
      </c>
      <c r="AB280" s="763" t="s">
        <v>121</v>
      </c>
      <c r="AC280" s="594" t="s">
        <v>116</v>
      </c>
      <c r="AD280" s="153" t="s">
        <v>103</v>
      </c>
      <c r="AE280" s="149" t="s">
        <v>103</v>
      </c>
      <c r="AF280" s="596">
        <v>23</v>
      </c>
      <c r="AG280" s="596">
        <v>0</v>
      </c>
      <c r="AH280" s="595">
        <v>4956</v>
      </c>
      <c r="AI280" s="614">
        <v>0.9386363636363636</v>
      </c>
      <c r="AJ280" s="607">
        <v>4800</v>
      </c>
      <c r="AK280" s="153" t="s">
        <v>120</v>
      </c>
      <c r="AL280" s="791" t="s">
        <v>104</v>
      </c>
      <c r="AO280" s="963"/>
      <c r="AP280" s="1017">
        <v>2500000</v>
      </c>
      <c r="AQ280" s="574">
        <v>1334145</v>
      </c>
      <c r="AR280" s="153" t="s">
        <v>116</v>
      </c>
      <c r="AS280" s="153" t="s">
        <v>116</v>
      </c>
      <c r="AT280" s="156">
        <v>0</v>
      </c>
      <c r="AU280" s="777" t="s">
        <v>122</v>
      </c>
      <c r="AV280" s="777" t="s">
        <v>122</v>
      </c>
      <c r="AW280" s="777" t="s">
        <v>122</v>
      </c>
      <c r="AX280" s="155" t="s">
        <v>103</v>
      </c>
      <c r="AY280" s="155" t="s">
        <v>103</v>
      </c>
      <c r="AZ280" s="155" t="s">
        <v>103</v>
      </c>
      <c r="BA280" s="156">
        <v>0</v>
      </c>
      <c r="BB280" s="574">
        <f t="shared" ref="BB280:BB288" si="60">AQ280</f>
        <v>1334145</v>
      </c>
      <c r="BC280" s="780">
        <v>1165855</v>
      </c>
      <c r="BD280" s="1008" t="s">
        <v>121</v>
      </c>
      <c r="BE280" s="679">
        <v>0</v>
      </c>
      <c r="BF280" s="153" t="s">
        <v>103</v>
      </c>
      <c r="BG280" s="94">
        <v>1334145</v>
      </c>
      <c r="BH280" s="766">
        <v>1474428</v>
      </c>
      <c r="BI280" s="774">
        <v>917259.83</v>
      </c>
      <c r="BJ280" s="774">
        <v>108312.17</v>
      </c>
      <c r="BL280" s="153" t="s">
        <v>124</v>
      </c>
      <c r="BM280" s="94" t="s">
        <v>103</v>
      </c>
      <c r="BN280" s="155" t="s">
        <v>103</v>
      </c>
      <c r="BO280" s="153" t="s">
        <v>103</v>
      </c>
      <c r="BP280" s="153" t="s">
        <v>103</v>
      </c>
      <c r="BQ280" s="153" t="s">
        <v>103</v>
      </c>
      <c r="BR280" s="153" t="s">
        <v>110</v>
      </c>
      <c r="BS280" s="153" t="s">
        <v>110</v>
      </c>
      <c r="BT280" s="153" t="s">
        <v>110</v>
      </c>
      <c r="BU280" s="153" t="s">
        <v>110</v>
      </c>
      <c r="BV280" s="153" t="s">
        <v>110</v>
      </c>
      <c r="BW280" s="153" t="s">
        <v>110</v>
      </c>
      <c r="BX280" s="153" t="s">
        <v>110</v>
      </c>
      <c r="BY280" s="153" t="s">
        <v>117</v>
      </c>
      <c r="BZ280" s="153" t="s">
        <v>110</v>
      </c>
      <c r="CA280" s="616" t="s">
        <v>103</v>
      </c>
      <c r="CB280" s="153" t="s">
        <v>103</v>
      </c>
      <c r="CC280" s="153" t="s">
        <v>103</v>
      </c>
      <c r="CD280" s="153" t="s">
        <v>103</v>
      </c>
      <c r="CE280" s="153" t="s">
        <v>103</v>
      </c>
    </row>
    <row r="281" spans="1:83" ht="41.45" customHeight="1">
      <c r="A281" s="503"/>
      <c r="B281" s="164" t="s">
        <v>799</v>
      </c>
      <c r="C281" s="155" t="s">
        <v>800</v>
      </c>
      <c r="D281" s="153" t="s">
        <v>801</v>
      </c>
      <c r="E281" s="153">
        <v>92345</v>
      </c>
      <c r="F281" s="153">
        <v>6071010019</v>
      </c>
      <c r="G281" s="153" t="s">
        <v>110</v>
      </c>
      <c r="H281" s="153" t="s">
        <v>150</v>
      </c>
      <c r="I281" s="508" t="s">
        <v>799</v>
      </c>
      <c r="J281" s="153" t="s">
        <v>117</v>
      </c>
      <c r="K281" s="572" t="s">
        <v>178</v>
      </c>
      <c r="L281" s="153" t="s">
        <v>801</v>
      </c>
      <c r="M281" s="153" t="s">
        <v>104</v>
      </c>
      <c r="Q281" s="156" t="s">
        <v>139</v>
      </c>
      <c r="V281" s="149">
        <v>38630</v>
      </c>
      <c r="W281" s="149" t="s">
        <v>103</v>
      </c>
      <c r="X281" s="149" t="s">
        <v>103</v>
      </c>
      <c r="Y281" s="149">
        <v>39640</v>
      </c>
      <c r="Z281" s="149">
        <v>39640</v>
      </c>
      <c r="AA281" s="149">
        <v>38630</v>
      </c>
      <c r="AB281" s="763" t="s">
        <v>121</v>
      </c>
      <c r="AC281" s="594" t="s">
        <v>116</v>
      </c>
      <c r="AD281" s="153" t="s">
        <v>103</v>
      </c>
      <c r="AE281" s="149" t="s">
        <v>103</v>
      </c>
      <c r="AF281" s="596">
        <v>30</v>
      </c>
      <c r="AG281" s="596">
        <v>54</v>
      </c>
      <c r="AH281" s="595">
        <v>10286.333333333334</v>
      </c>
      <c r="AI281" s="614">
        <v>1.9481691919191921</v>
      </c>
      <c r="AJ281" s="607">
        <v>8000</v>
      </c>
      <c r="AK281" s="153" t="s">
        <v>120</v>
      </c>
      <c r="AL281" s="791" t="s">
        <v>104</v>
      </c>
      <c r="AO281" s="963"/>
      <c r="AP281" s="1017">
        <v>2400000</v>
      </c>
      <c r="AQ281" s="574">
        <v>1887247.5999999996</v>
      </c>
      <c r="AR281" s="153" t="s">
        <v>116</v>
      </c>
      <c r="AS281" s="153" t="s">
        <v>116</v>
      </c>
      <c r="AT281" s="156">
        <v>0</v>
      </c>
      <c r="AU281" s="777" t="s">
        <v>122</v>
      </c>
      <c r="AV281" s="777" t="s">
        <v>122</v>
      </c>
      <c r="AW281" s="777" t="s">
        <v>122</v>
      </c>
      <c r="AX281" s="155" t="s">
        <v>103</v>
      </c>
      <c r="AY281" s="155" t="s">
        <v>103</v>
      </c>
      <c r="AZ281" s="155" t="s">
        <v>103</v>
      </c>
      <c r="BA281" s="156">
        <v>0</v>
      </c>
      <c r="BB281" s="574">
        <f t="shared" si="60"/>
        <v>1887247.5999999996</v>
      </c>
      <c r="BC281" s="780">
        <v>512752.40000000037</v>
      </c>
      <c r="BD281" s="1008" t="s">
        <v>121</v>
      </c>
      <c r="BE281" s="679">
        <v>0</v>
      </c>
      <c r="BF281" s="153" t="s">
        <v>103</v>
      </c>
      <c r="BG281" s="94">
        <v>1887247.5999999996</v>
      </c>
      <c r="BH281" s="766" t="s">
        <v>123</v>
      </c>
      <c r="BI281" s="774">
        <v>0</v>
      </c>
      <c r="BJ281" s="774">
        <v>0</v>
      </c>
      <c r="BK281" s="153" t="s">
        <v>103</v>
      </c>
      <c r="BL281" s="153" t="s">
        <v>124</v>
      </c>
      <c r="BM281" s="94" t="s">
        <v>103</v>
      </c>
      <c r="BN281" s="155" t="s">
        <v>103</v>
      </c>
      <c r="BO281" s="153" t="s">
        <v>103</v>
      </c>
      <c r="BP281" s="153" t="s">
        <v>103</v>
      </c>
      <c r="BQ281" s="153" t="s">
        <v>103</v>
      </c>
      <c r="BR281" s="153" t="s">
        <v>110</v>
      </c>
      <c r="BS281" s="153" t="s">
        <v>110</v>
      </c>
      <c r="BT281" s="153" t="s">
        <v>110</v>
      </c>
      <c r="BU281" s="153" t="s">
        <v>110</v>
      </c>
      <c r="BV281" s="153" t="s">
        <v>110</v>
      </c>
      <c r="BW281" s="153" t="s">
        <v>110</v>
      </c>
      <c r="BX281" s="153" t="s">
        <v>110</v>
      </c>
      <c r="BY281" s="153" t="s">
        <v>117</v>
      </c>
      <c r="BZ281" s="153" t="s">
        <v>110</v>
      </c>
      <c r="CA281" s="616" t="s">
        <v>103</v>
      </c>
      <c r="CB281" s="153" t="s">
        <v>103</v>
      </c>
      <c r="CC281" s="153" t="s">
        <v>103</v>
      </c>
      <c r="CD281" s="153" t="s">
        <v>103</v>
      </c>
      <c r="CE281" s="153" t="s">
        <v>103</v>
      </c>
    </row>
    <row r="282" spans="1:83" ht="41.45" customHeight="1">
      <c r="A282" s="503" t="s">
        <v>802</v>
      </c>
      <c r="B282" s="164" t="s">
        <v>803</v>
      </c>
      <c r="C282" s="155" t="s">
        <v>804</v>
      </c>
      <c r="D282" s="153" t="s">
        <v>805</v>
      </c>
      <c r="E282" s="153">
        <v>92346</v>
      </c>
      <c r="F282" s="153">
        <v>6071007410</v>
      </c>
      <c r="G282" s="153" t="s">
        <v>110</v>
      </c>
      <c r="H282" s="674">
        <v>0.2779600205023065</v>
      </c>
      <c r="I282" s="508" t="s">
        <v>803</v>
      </c>
      <c r="J282" s="153" t="s">
        <v>257</v>
      </c>
      <c r="K282" s="572" t="s">
        <v>217</v>
      </c>
      <c r="L282" s="153" t="s">
        <v>805</v>
      </c>
      <c r="M282" s="153" t="s">
        <v>104</v>
      </c>
      <c r="N282" s="156">
        <v>1</v>
      </c>
      <c r="P282" s="156">
        <v>0</v>
      </c>
      <c r="Q282" s="156" t="s">
        <v>139</v>
      </c>
      <c r="R282" s="156">
        <v>0</v>
      </c>
      <c r="S282" s="156">
        <v>1</v>
      </c>
      <c r="T282" s="958" t="s">
        <v>105</v>
      </c>
      <c r="U282" s="153" t="s">
        <v>104</v>
      </c>
      <c r="V282" s="149">
        <v>36809</v>
      </c>
      <c r="W282" s="149" t="s">
        <v>103</v>
      </c>
      <c r="X282" s="149" t="s">
        <v>103</v>
      </c>
      <c r="Y282" s="149">
        <v>39640</v>
      </c>
      <c r="Z282" s="149">
        <v>39640</v>
      </c>
      <c r="AA282" s="149">
        <v>36809</v>
      </c>
      <c r="AB282" s="763" t="s">
        <v>151</v>
      </c>
      <c r="AC282" s="594" t="s">
        <v>116</v>
      </c>
      <c r="AD282" s="153" t="s">
        <v>103</v>
      </c>
      <c r="AE282" s="149" t="s">
        <v>103</v>
      </c>
      <c r="AF282" s="596" t="s">
        <v>103</v>
      </c>
      <c r="AG282" s="596" t="s">
        <v>103</v>
      </c>
      <c r="AH282" s="595" t="s">
        <v>103</v>
      </c>
      <c r="AI282" s="614">
        <v>0.45833333333333331</v>
      </c>
      <c r="AJ282" s="607">
        <v>2420</v>
      </c>
      <c r="AK282" s="153" t="s">
        <v>152</v>
      </c>
      <c r="AL282" s="791" t="s">
        <v>104</v>
      </c>
      <c r="AO282" s="963"/>
      <c r="AP282" s="94">
        <v>605000</v>
      </c>
      <c r="AQ282" s="574">
        <v>1034793</v>
      </c>
      <c r="AR282" s="153" t="s">
        <v>116</v>
      </c>
      <c r="AS282" s="153" t="s">
        <v>116</v>
      </c>
      <c r="AT282" s="156">
        <v>0</v>
      </c>
      <c r="AU282" s="777" t="s">
        <v>122</v>
      </c>
      <c r="AV282" s="777" t="s">
        <v>122</v>
      </c>
      <c r="AW282" s="777" t="s">
        <v>122</v>
      </c>
      <c r="AX282" s="155" t="s">
        <v>103</v>
      </c>
      <c r="AY282" s="155" t="s">
        <v>103</v>
      </c>
      <c r="AZ282" s="155" t="s">
        <v>103</v>
      </c>
      <c r="BA282" s="156">
        <v>0</v>
      </c>
      <c r="BB282" s="574">
        <f t="shared" si="60"/>
        <v>1034793</v>
      </c>
      <c r="BC282" s="780">
        <v>-429793</v>
      </c>
      <c r="BD282" s="1012" t="s">
        <v>122</v>
      </c>
      <c r="BE282" s="679">
        <v>0</v>
      </c>
      <c r="BF282" s="153" t="s">
        <v>103</v>
      </c>
      <c r="BG282" s="94">
        <v>1034793</v>
      </c>
      <c r="BH282" s="766" t="s">
        <v>123</v>
      </c>
      <c r="BI282" s="774">
        <v>0</v>
      </c>
      <c r="BJ282" s="774">
        <v>0</v>
      </c>
      <c r="BK282" s="153" t="s">
        <v>103</v>
      </c>
      <c r="BL282" s="153" t="s">
        <v>124</v>
      </c>
      <c r="BM282" s="94" t="s">
        <v>103</v>
      </c>
      <c r="BN282" s="155" t="s">
        <v>103</v>
      </c>
      <c r="BO282" s="153" t="s">
        <v>103</v>
      </c>
      <c r="BP282" s="153" t="s">
        <v>103</v>
      </c>
      <c r="BQ282" s="153" t="s">
        <v>103</v>
      </c>
      <c r="BR282" s="153" t="s">
        <v>110</v>
      </c>
      <c r="BS282" s="153" t="s">
        <v>110</v>
      </c>
      <c r="BT282" s="153" t="s">
        <v>110</v>
      </c>
      <c r="BU282" s="153" t="s">
        <v>110</v>
      </c>
      <c r="BV282" s="153" t="s">
        <v>110</v>
      </c>
      <c r="BW282" s="153" t="s">
        <v>110</v>
      </c>
      <c r="BX282" s="153" t="s">
        <v>110</v>
      </c>
      <c r="BY282" s="153" t="s">
        <v>117</v>
      </c>
      <c r="BZ282" s="153" t="s">
        <v>110</v>
      </c>
      <c r="CA282" s="616" t="s">
        <v>103</v>
      </c>
      <c r="CB282" s="153" t="s">
        <v>103</v>
      </c>
      <c r="CC282" s="153" t="s">
        <v>103</v>
      </c>
      <c r="CD282" s="153" t="s">
        <v>103</v>
      </c>
      <c r="CE282" s="153" t="s">
        <v>103</v>
      </c>
    </row>
    <row r="283" spans="1:83" ht="41.45" customHeight="1">
      <c r="A283" s="503" t="s">
        <v>806</v>
      </c>
      <c r="B283" s="164" t="s">
        <v>807</v>
      </c>
      <c r="C283" s="155" t="s">
        <v>808</v>
      </c>
      <c r="D283" s="153">
        <v>2368</v>
      </c>
      <c r="E283" s="153">
        <v>92345</v>
      </c>
      <c r="F283" s="153">
        <v>6071007303</v>
      </c>
      <c r="G283" s="153" t="s">
        <v>104</v>
      </c>
      <c r="H283" s="674">
        <v>0.19204866391483816</v>
      </c>
      <c r="I283" s="508" t="s">
        <v>807</v>
      </c>
      <c r="J283" s="153" t="s">
        <v>117</v>
      </c>
      <c r="K283" s="572" t="s">
        <v>217</v>
      </c>
      <c r="L283" s="153">
        <v>2368</v>
      </c>
      <c r="M283" s="153" t="s">
        <v>104</v>
      </c>
      <c r="N283" s="156">
        <v>1</v>
      </c>
      <c r="P283" s="156">
        <v>0</v>
      </c>
      <c r="Q283" s="156" t="s">
        <v>139</v>
      </c>
      <c r="R283" s="156">
        <v>0</v>
      </c>
      <c r="S283" s="156">
        <v>1</v>
      </c>
      <c r="T283" s="958" t="s">
        <v>105</v>
      </c>
      <c r="U283" s="153" t="s">
        <v>104</v>
      </c>
      <c r="V283" s="149">
        <v>38363</v>
      </c>
      <c r="W283" s="149" t="s">
        <v>103</v>
      </c>
      <c r="X283" s="149" t="s">
        <v>103</v>
      </c>
      <c r="Y283" s="149">
        <v>39812</v>
      </c>
      <c r="Z283" s="149">
        <v>39812</v>
      </c>
      <c r="AA283" s="149">
        <v>38363</v>
      </c>
      <c r="AB283" s="763" t="s">
        <v>151</v>
      </c>
      <c r="AC283" s="594" t="s">
        <v>116</v>
      </c>
      <c r="AD283" s="153" t="s">
        <v>103</v>
      </c>
      <c r="AE283" s="149" t="s">
        <v>103</v>
      </c>
      <c r="AF283" s="596">
        <v>18</v>
      </c>
      <c r="AG283" s="596">
        <v>15</v>
      </c>
      <c r="AH283" s="595">
        <v>2304</v>
      </c>
      <c r="AI283" s="614">
        <v>0.43636363636363634</v>
      </c>
      <c r="AJ283" s="607">
        <v>2000</v>
      </c>
      <c r="AK283" s="153" t="s">
        <v>152</v>
      </c>
      <c r="AL283" s="791" t="s">
        <v>104</v>
      </c>
      <c r="AO283" s="963"/>
      <c r="AP283" s="1017">
        <v>600000</v>
      </c>
      <c r="AQ283" s="574">
        <v>962235</v>
      </c>
      <c r="AR283" s="153" t="s">
        <v>116</v>
      </c>
      <c r="AS283" s="153" t="s">
        <v>116</v>
      </c>
      <c r="AT283" s="156">
        <v>0</v>
      </c>
      <c r="AU283" s="777" t="s">
        <v>122</v>
      </c>
      <c r="AV283" s="777" t="s">
        <v>122</v>
      </c>
      <c r="AW283" s="777" t="s">
        <v>122</v>
      </c>
      <c r="AX283" s="155" t="s">
        <v>103</v>
      </c>
      <c r="AY283" s="155" t="s">
        <v>103</v>
      </c>
      <c r="AZ283" s="155" t="s">
        <v>103</v>
      </c>
      <c r="BA283" s="156">
        <v>0</v>
      </c>
      <c r="BB283" s="574">
        <f t="shared" si="60"/>
        <v>962235</v>
      </c>
      <c r="BC283" s="780">
        <v>-362235</v>
      </c>
      <c r="BD283" s="1012" t="s">
        <v>122</v>
      </c>
      <c r="BE283" s="679">
        <v>0</v>
      </c>
      <c r="BF283" s="153" t="s">
        <v>103</v>
      </c>
      <c r="BG283" s="94">
        <v>962235</v>
      </c>
      <c r="BH283" s="766" t="s">
        <v>123</v>
      </c>
      <c r="BI283" s="774">
        <v>0</v>
      </c>
      <c r="BJ283" s="774">
        <v>0</v>
      </c>
      <c r="BK283" s="153" t="s">
        <v>103</v>
      </c>
      <c r="BL283" s="153" t="s">
        <v>124</v>
      </c>
      <c r="BM283" s="94" t="s">
        <v>103</v>
      </c>
      <c r="BN283" s="155" t="s">
        <v>103</v>
      </c>
      <c r="BO283" s="153" t="s">
        <v>103</v>
      </c>
      <c r="BP283" s="153" t="s">
        <v>103</v>
      </c>
      <c r="BQ283" s="153" t="s">
        <v>103</v>
      </c>
      <c r="BR283" s="153" t="s">
        <v>110</v>
      </c>
      <c r="BS283" s="153" t="s">
        <v>110</v>
      </c>
      <c r="BT283" s="153" t="s">
        <v>110</v>
      </c>
      <c r="BU283" s="153" t="s">
        <v>110</v>
      </c>
      <c r="BV283" s="153" t="s">
        <v>110</v>
      </c>
      <c r="BW283" s="153" t="s">
        <v>110</v>
      </c>
      <c r="BX283" s="153" t="s">
        <v>110</v>
      </c>
      <c r="BY283" s="153" t="s">
        <v>117</v>
      </c>
      <c r="BZ283" s="153" t="s">
        <v>110</v>
      </c>
      <c r="CA283" s="616" t="s">
        <v>103</v>
      </c>
      <c r="CB283" s="153" t="s">
        <v>103</v>
      </c>
      <c r="CC283" s="153" t="s">
        <v>103</v>
      </c>
      <c r="CD283" s="153" t="s">
        <v>103</v>
      </c>
      <c r="CE283" s="153" t="s">
        <v>103</v>
      </c>
    </row>
    <row r="284" spans="1:83" ht="27.6" customHeight="1">
      <c r="A284" s="503" t="s">
        <v>809</v>
      </c>
      <c r="B284" s="164" t="s">
        <v>810</v>
      </c>
      <c r="C284" s="155" t="s">
        <v>811</v>
      </c>
      <c r="D284" s="153" t="s">
        <v>812</v>
      </c>
      <c r="E284" s="153">
        <v>91763</v>
      </c>
      <c r="F284" s="153">
        <v>6071000301</v>
      </c>
      <c r="G284" s="153" t="s">
        <v>110</v>
      </c>
      <c r="H284" s="674">
        <v>0.30838347372643399</v>
      </c>
      <c r="I284" s="508" t="s">
        <v>810</v>
      </c>
      <c r="J284" s="153" t="s">
        <v>117</v>
      </c>
      <c r="K284" s="156" t="s">
        <v>205</v>
      </c>
      <c r="L284" s="153" t="s">
        <v>812</v>
      </c>
      <c r="M284" s="153" t="s">
        <v>110</v>
      </c>
      <c r="N284" s="156">
        <v>3</v>
      </c>
      <c r="P284" s="156">
        <v>0</v>
      </c>
      <c r="Q284" s="156" t="s">
        <v>139</v>
      </c>
      <c r="R284" s="156">
        <v>0</v>
      </c>
      <c r="S284" s="156">
        <v>2</v>
      </c>
      <c r="T284" s="958" t="s">
        <v>105</v>
      </c>
      <c r="U284" s="153" t="s">
        <v>104</v>
      </c>
      <c r="V284" s="149">
        <v>42233</v>
      </c>
      <c r="W284" s="149" t="s">
        <v>103</v>
      </c>
      <c r="X284" s="149" t="s">
        <v>103</v>
      </c>
      <c r="Y284" s="149">
        <v>43598</v>
      </c>
      <c r="Z284" s="149" t="s">
        <v>103</v>
      </c>
      <c r="AA284" s="149">
        <v>42233</v>
      </c>
      <c r="AB284" s="763" t="s">
        <v>121</v>
      </c>
      <c r="AD284" s="149">
        <v>43586</v>
      </c>
      <c r="AE284" s="149" t="s">
        <v>103</v>
      </c>
      <c r="AF284" s="596">
        <v>11</v>
      </c>
      <c r="AG284" s="508">
        <v>2</v>
      </c>
      <c r="AH284" s="508">
        <v>1926</v>
      </c>
      <c r="AI284" s="960">
        <v>0.36477270000000001</v>
      </c>
      <c r="AJ284" s="607">
        <v>1520</v>
      </c>
      <c r="AK284" s="153" t="s">
        <v>120</v>
      </c>
      <c r="AL284" s="791" t="s">
        <v>104</v>
      </c>
      <c r="AO284" s="963"/>
      <c r="AP284" s="94">
        <v>900000</v>
      </c>
      <c r="AQ284" s="574">
        <v>783383.17</v>
      </c>
      <c r="AR284" s="153" t="s">
        <v>116</v>
      </c>
      <c r="AS284" s="153" t="s">
        <v>116</v>
      </c>
      <c r="AT284" s="156">
        <v>0</v>
      </c>
      <c r="AU284" s="777" t="s">
        <v>122</v>
      </c>
      <c r="AV284" s="777" t="s">
        <v>122</v>
      </c>
      <c r="AW284" s="777" t="s">
        <v>122</v>
      </c>
      <c r="AX284" s="155" t="s">
        <v>103</v>
      </c>
      <c r="AY284" s="155" t="s">
        <v>103</v>
      </c>
      <c r="AZ284" s="155" t="s">
        <v>103</v>
      </c>
      <c r="BA284" s="156">
        <v>0</v>
      </c>
      <c r="BB284" s="574">
        <f t="shared" si="60"/>
        <v>783383.17</v>
      </c>
      <c r="BC284" s="780">
        <f>AP284-AQ284</f>
        <v>116616.82999999996</v>
      </c>
      <c r="BD284" s="1008" t="s">
        <v>121</v>
      </c>
      <c r="BE284" s="679">
        <v>222993.17000000004</v>
      </c>
      <c r="BF284" s="156">
        <v>2019</v>
      </c>
      <c r="BG284" s="94">
        <v>783383.17</v>
      </c>
      <c r="BH284" s="766">
        <v>442597</v>
      </c>
      <c r="BI284" s="774">
        <v>34070</v>
      </c>
      <c r="BJ284" s="774">
        <v>0</v>
      </c>
      <c r="BK284" s="153" t="s">
        <v>103</v>
      </c>
      <c r="BL284" s="153" t="s">
        <v>124</v>
      </c>
      <c r="BM284" s="94" t="s">
        <v>103</v>
      </c>
      <c r="BN284" s="155" t="s">
        <v>103</v>
      </c>
      <c r="BO284" s="153" t="s">
        <v>103</v>
      </c>
      <c r="BP284" s="153" t="s">
        <v>103</v>
      </c>
      <c r="BQ284" s="153" t="s">
        <v>103</v>
      </c>
      <c r="BR284" s="153" t="s">
        <v>110</v>
      </c>
      <c r="BS284" s="153" t="s">
        <v>110</v>
      </c>
      <c r="BT284" s="153" t="s">
        <v>110</v>
      </c>
      <c r="BU284" s="153" t="s">
        <v>110</v>
      </c>
      <c r="BV284" s="153" t="s">
        <v>103</v>
      </c>
      <c r="BW284" s="153" t="s">
        <v>110</v>
      </c>
      <c r="BX284" s="153" t="s">
        <v>110</v>
      </c>
      <c r="BY284" s="153" t="s">
        <v>110</v>
      </c>
      <c r="BZ284" s="153" t="s">
        <v>110</v>
      </c>
      <c r="CA284" s="616" t="s">
        <v>110</v>
      </c>
      <c r="CB284" s="153" t="s">
        <v>110</v>
      </c>
      <c r="CC284" s="153" t="s">
        <v>110</v>
      </c>
      <c r="CD284" s="153" t="s">
        <v>110</v>
      </c>
      <c r="CE284" s="153" t="s">
        <v>110</v>
      </c>
    </row>
    <row r="285" spans="1:83" ht="41.45" customHeight="1">
      <c r="A285" s="503"/>
      <c r="B285" s="164" t="s">
        <v>813</v>
      </c>
      <c r="C285" s="155" t="s">
        <v>814</v>
      </c>
      <c r="D285" s="153" t="s">
        <v>815</v>
      </c>
      <c r="E285" s="153">
        <v>91763</v>
      </c>
      <c r="F285" s="153">
        <v>6071000303</v>
      </c>
      <c r="G285" s="153" t="s">
        <v>104</v>
      </c>
      <c r="H285" s="153" t="s">
        <v>150</v>
      </c>
      <c r="I285" s="508" t="s">
        <v>813</v>
      </c>
      <c r="J285" s="153" t="s">
        <v>257</v>
      </c>
      <c r="K285" s="572" t="s">
        <v>130</v>
      </c>
      <c r="L285" s="153" t="s">
        <v>815</v>
      </c>
      <c r="M285" s="153" t="s">
        <v>104</v>
      </c>
      <c r="Q285" s="156" t="s">
        <v>139</v>
      </c>
      <c r="V285" s="149" t="s">
        <v>150</v>
      </c>
      <c r="W285" s="149" t="s">
        <v>103</v>
      </c>
      <c r="X285" s="149" t="s">
        <v>103</v>
      </c>
      <c r="Y285" s="149">
        <v>40360</v>
      </c>
      <c r="Z285" s="149">
        <v>40360</v>
      </c>
      <c r="AA285" s="149" t="s">
        <v>150</v>
      </c>
      <c r="AB285" s="763" t="s">
        <v>121</v>
      </c>
      <c r="AC285" s="594" t="s">
        <v>116</v>
      </c>
      <c r="AD285" s="153" t="s">
        <v>103</v>
      </c>
      <c r="AE285" s="149" t="s">
        <v>103</v>
      </c>
      <c r="AF285" s="596">
        <v>11</v>
      </c>
      <c r="AG285" s="596">
        <v>19</v>
      </c>
      <c r="AH285" s="595">
        <v>2962.6666666666665</v>
      </c>
      <c r="AI285" s="614">
        <v>0.56111111111111112</v>
      </c>
      <c r="AJ285" s="607">
        <v>3997</v>
      </c>
      <c r="AK285" s="153" t="s">
        <v>120</v>
      </c>
      <c r="AL285" s="791" t="s">
        <v>104</v>
      </c>
      <c r="AO285" s="963"/>
      <c r="AP285" s="1017">
        <v>1370000</v>
      </c>
      <c r="AQ285" s="574">
        <v>1018040</v>
      </c>
      <c r="AR285" s="153" t="s">
        <v>116</v>
      </c>
      <c r="AS285" s="153" t="s">
        <v>116</v>
      </c>
      <c r="AT285" s="156">
        <v>0</v>
      </c>
      <c r="AU285" s="777" t="s">
        <v>122</v>
      </c>
      <c r="AV285" s="777" t="s">
        <v>122</v>
      </c>
      <c r="AW285" s="777" t="s">
        <v>122</v>
      </c>
      <c r="AX285" s="155" t="s">
        <v>103</v>
      </c>
      <c r="AY285" s="155" t="s">
        <v>103</v>
      </c>
      <c r="AZ285" s="155" t="s">
        <v>103</v>
      </c>
      <c r="BA285" s="156">
        <v>0</v>
      </c>
      <c r="BB285" s="574">
        <f t="shared" si="60"/>
        <v>1018040</v>
      </c>
      <c r="BC285" s="780">
        <v>351960</v>
      </c>
      <c r="BD285" s="1008" t="s">
        <v>121</v>
      </c>
      <c r="BE285" s="679">
        <v>0</v>
      </c>
      <c r="BF285" s="153" t="s">
        <v>103</v>
      </c>
      <c r="BG285" s="94">
        <v>1018040</v>
      </c>
      <c r="BI285" s="774">
        <v>0</v>
      </c>
      <c r="BJ285" s="774"/>
      <c r="BL285" s="153" t="s">
        <v>124</v>
      </c>
      <c r="BM285" s="94" t="s">
        <v>103</v>
      </c>
      <c r="BN285" s="155" t="s">
        <v>103</v>
      </c>
      <c r="BO285" s="153" t="s">
        <v>103</v>
      </c>
      <c r="BP285" s="153" t="s">
        <v>103</v>
      </c>
      <c r="BQ285" s="153" t="s">
        <v>103</v>
      </c>
      <c r="BR285" s="153" t="s">
        <v>110</v>
      </c>
      <c r="BS285" s="153" t="s">
        <v>110</v>
      </c>
      <c r="BT285" s="153" t="s">
        <v>110</v>
      </c>
      <c r="BU285" s="153" t="s">
        <v>110</v>
      </c>
      <c r="BV285" s="153" t="s">
        <v>103</v>
      </c>
      <c r="BW285" s="153" t="s">
        <v>110</v>
      </c>
      <c r="BX285" s="153" t="s">
        <v>110</v>
      </c>
      <c r="BY285" s="153" t="s">
        <v>110</v>
      </c>
      <c r="BZ285" s="153" t="s">
        <v>110</v>
      </c>
      <c r="CA285" s="616" t="s">
        <v>110</v>
      </c>
      <c r="CB285" s="153" t="s">
        <v>110</v>
      </c>
      <c r="CC285" s="153" t="s">
        <v>110</v>
      </c>
      <c r="CD285" s="153" t="s">
        <v>110</v>
      </c>
      <c r="CE285" s="153" t="s">
        <v>110</v>
      </c>
    </row>
    <row r="286" spans="1:83" ht="41.45" customHeight="1">
      <c r="A286" s="503"/>
      <c r="B286" s="164" t="s">
        <v>816</v>
      </c>
      <c r="C286" s="155" t="s">
        <v>817</v>
      </c>
      <c r="D286" s="153" t="s">
        <v>815</v>
      </c>
      <c r="E286" s="153">
        <v>91763</v>
      </c>
      <c r="F286" s="153">
        <v>6071000303</v>
      </c>
      <c r="G286" s="153" t="s">
        <v>104</v>
      </c>
      <c r="H286" s="153" t="s">
        <v>150</v>
      </c>
      <c r="I286" s="508" t="s">
        <v>816</v>
      </c>
      <c r="J286" s="153" t="s">
        <v>257</v>
      </c>
      <c r="K286" s="572" t="s">
        <v>130</v>
      </c>
      <c r="L286" s="153" t="s">
        <v>815</v>
      </c>
      <c r="M286" s="153" t="s">
        <v>104</v>
      </c>
      <c r="Q286" s="156" t="s">
        <v>139</v>
      </c>
      <c r="V286" s="149" t="s">
        <v>150</v>
      </c>
      <c r="W286" s="149" t="s">
        <v>103</v>
      </c>
      <c r="X286" s="149" t="s">
        <v>103</v>
      </c>
      <c r="Y286" s="149">
        <v>39951</v>
      </c>
      <c r="Z286" s="149">
        <v>39951</v>
      </c>
      <c r="AA286" s="149" t="s">
        <v>150</v>
      </c>
      <c r="AB286" s="763" t="s">
        <v>151</v>
      </c>
      <c r="AC286" s="594" t="s">
        <v>116</v>
      </c>
      <c r="AD286" s="153" t="s">
        <v>103</v>
      </c>
      <c r="AE286" s="149" t="s">
        <v>103</v>
      </c>
      <c r="AF286" s="596">
        <v>14</v>
      </c>
      <c r="AG286" s="596">
        <v>6</v>
      </c>
      <c r="AH286" s="595">
        <v>3221.3333333333335</v>
      </c>
      <c r="AI286" s="614">
        <v>0.61010101010101014</v>
      </c>
      <c r="AJ286" s="607">
        <v>2700</v>
      </c>
      <c r="AK286" s="153" t="s">
        <v>120</v>
      </c>
      <c r="AL286" s="791" t="s">
        <v>104</v>
      </c>
      <c r="AO286" s="963"/>
      <c r="AP286" s="1017">
        <v>835000</v>
      </c>
      <c r="AQ286" s="574">
        <v>970870</v>
      </c>
      <c r="AR286" s="153" t="s">
        <v>116</v>
      </c>
      <c r="AS286" s="153" t="s">
        <v>116</v>
      </c>
      <c r="AT286" s="156">
        <v>0</v>
      </c>
      <c r="AU286" s="777" t="s">
        <v>122</v>
      </c>
      <c r="AV286" s="777" t="s">
        <v>122</v>
      </c>
      <c r="AW286" s="777" t="s">
        <v>122</v>
      </c>
      <c r="AX286" s="155" t="s">
        <v>103</v>
      </c>
      <c r="AY286" s="155" t="s">
        <v>103</v>
      </c>
      <c r="AZ286" s="155" t="s">
        <v>103</v>
      </c>
      <c r="BA286" s="156">
        <v>0</v>
      </c>
      <c r="BB286" s="574">
        <f t="shared" si="60"/>
        <v>970870</v>
      </c>
      <c r="BC286" s="780">
        <v>-135870</v>
      </c>
      <c r="BD286" s="1008" t="s">
        <v>151</v>
      </c>
      <c r="BE286" s="679">
        <v>1415</v>
      </c>
      <c r="BF286" s="153">
        <v>2016</v>
      </c>
      <c r="BG286" s="94">
        <v>970870</v>
      </c>
      <c r="BI286" s="774">
        <v>0</v>
      </c>
      <c r="BJ286" s="774">
        <v>0</v>
      </c>
      <c r="BL286" s="153" t="s">
        <v>124</v>
      </c>
      <c r="BM286" s="94" t="s">
        <v>103</v>
      </c>
      <c r="BN286" s="155" t="s">
        <v>103</v>
      </c>
      <c r="BO286" s="153" t="s">
        <v>103</v>
      </c>
      <c r="BP286" s="153" t="s">
        <v>103</v>
      </c>
      <c r="BQ286" s="153" t="s">
        <v>103</v>
      </c>
      <c r="BR286" s="153" t="s">
        <v>110</v>
      </c>
      <c r="BS286" s="153" t="s">
        <v>110</v>
      </c>
      <c r="BT286" s="153" t="s">
        <v>110</v>
      </c>
      <c r="BU286" s="153" t="s">
        <v>110</v>
      </c>
      <c r="BV286" s="153" t="s">
        <v>103</v>
      </c>
      <c r="BW286" s="153" t="s">
        <v>110</v>
      </c>
      <c r="BX286" s="153" t="s">
        <v>110</v>
      </c>
      <c r="BY286" s="153" t="s">
        <v>110</v>
      </c>
      <c r="BZ286" s="153" t="s">
        <v>110</v>
      </c>
      <c r="CA286" s="616" t="s">
        <v>110</v>
      </c>
      <c r="CB286" s="153" t="s">
        <v>110</v>
      </c>
      <c r="CC286" s="153" t="s">
        <v>110</v>
      </c>
      <c r="CD286" s="153" t="s">
        <v>110</v>
      </c>
      <c r="CE286" s="153" t="s">
        <v>110</v>
      </c>
    </row>
    <row r="287" spans="1:83" ht="41.45" customHeight="1">
      <c r="A287" s="503" t="s">
        <v>818</v>
      </c>
      <c r="B287" s="164" t="s">
        <v>819</v>
      </c>
      <c r="C287" s="155" t="s">
        <v>820</v>
      </c>
      <c r="D287" s="153" t="s">
        <v>821</v>
      </c>
      <c r="E287" s="153">
        <v>91762</v>
      </c>
      <c r="F287" s="153">
        <v>6071001600</v>
      </c>
      <c r="G287" s="153" t="s">
        <v>104</v>
      </c>
      <c r="H287" s="674">
        <v>0.29159624879875401</v>
      </c>
      <c r="I287" s="508" t="s">
        <v>819</v>
      </c>
      <c r="J287" s="153" t="s">
        <v>117</v>
      </c>
      <c r="K287" s="572" t="s">
        <v>683</v>
      </c>
      <c r="L287" s="153" t="s">
        <v>821</v>
      </c>
      <c r="M287" s="153" t="s">
        <v>104</v>
      </c>
      <c r="N287" s="156">
        <v>2</v>
      </c>
      <c r="P287" s="156">
        <v>0</v>
      </c>
      <c r="Q287" s="156" t="s">
        <v>139</v>
      </c>
      <c r="R287" s="156">
        <v>0</v>
      </c>
      <c r="S287" s="156">
        <v>2</v>
      </c>
      <c r="T287" s="958" t="s">
        <v>105</v>
      </c>
      <c r="U287" s="153" t="s">
        <v>104</v>
      </c>
      <c r="V287" s="149">
        <v>38615</v>
      </c>
      <c r="W287" s="149" t="s">
        <v>103</v>
      </c>
      <c r="X287" s="149" t="s">
        <v>103</v>
      </c>
      <c r="Y287" s="149">
        <v>41000</v>
      </c>
      <c r="Z287" s="149">
        <v>41000</v>
      </c>
      <c r="AA287" s="149">
        <v>38615</v>
      </c>
      <c r="AB287" s="763" t="s">
        <v>121</v>
      </c>
      <c r="AC287" s="594" t="s">
        <v>116</v>
      </c>
      <c r="AD287" s="153" t="s">
        <v>103</v>
      </c>
      <c r="AE287" s="149" t="s">
        <v>103</v>
      </c>
      <c r="AF287" s="596">
        <v>37</v>
      </c>
      <c r="AG287" s="596">
        <v>18</v>
      </c>
      <c r="AH287" s="595">
        <v>4271.666666666667</v>
      </c>
      <c r="AI287" s="614">
        <v>0.80902777777777779</v>
      </c>
      <c r="AJ287" s="607">
        <v>7761</v>
      </c>
      <c r="AK287" s="153" t="s">
        <v>120</v>
      </c>
      <c r="AL287" s="791" t="s">
        <v>104</v>
      </c>
      <c r="AO287" s="963"/>
      <c r="AP287" s="1017">
        <v>3900000</v>
      </c>
      <c r="AQ287" s="574">
        <v>3460992.91</v>
      </c>
      <c r="AR287" s="153" t="s">
        <v>116</v>
      </c>
      <c r="AS287" s="153" t="s">
        <v>116</v>
      </c>
      <c r="AT287" s="156">
        <v>0</v>
      </c>
      <c r="AU287" s="777" t="s">
        <v>122</v>
      </c>
      <c r="AV287" s="777" t="s">
        <v>122</v>
      </c>
      <c r="AW287" s="777" t="s">
        <v>122</v>
      </c>
      <c r="AX287" s="155" t="s">
        <v>103</v>
      </c>
      <c r="AY287" s="155" t="s">
        <v>103</v>
      </c>
      <c r="AZ287" s="155" t="s">
        <v>103</v>
      </c>
      <c r="BA287" s="156">
        <v>0</v>
      </c>
      <c r="BB287" s="574">
        <f t="shared" si="60"/>
        <v>3460992.91</v>
      </c>
      <c r="BC287" s="780">
        <v>439007.08999999985</v>
      </c>
      <c r="BD287" s="1008" t="s">
        <v>121</v>
      </c>
      <c r="BE287" s="679">
        <v>245525</v>
      </c>
      <c r="BF287" s="153" t="s">
        <v>822</v>
      </c>
      <c r="BG287" s="94">
        <v>3460992.91</v>
      </c>
      <c r="BH287" s="766" t="s">
        <v>123</v>
      </c>
      <c r="BI287" s="774">
        <v>0</v>
      </c>
      <c r="BJ287" s="774">
        <v>0</v>
      </c>
      <c r="BK287" s="153" t="s">
        <v>103</v>
      </c>
      <c r="BL287" s="94" t="s">
        <v>124</v>
      </c>
      <c r="BM287" s="94" t="s">
        <v>124</v>
      </c>
      <c r="BN287" s="94" t="s">
        <v>124</v>
      </c>
      <c r="BO287" s="153" t="s">
        <v>116</v>
      </c>
      <c r="BP287" s="153" t="s">
        <v>124</v>
      </c>
      <c r="BQ287" s="153" t="s">
        <v>103</v>
      </c>
      <c r="BR287" s="153" t="s">
        <v>110</v>
      </c>
      <c r="BS287" s="153" t="s">
        <v>110</v>
      </c>
      <c r="BT287" s="153" t="s">
        <v>110</v>
      </c>
      <c r="BU287" s="153" t="s">
        <v>110</v>
      </c>
      <c r="BV287" s="153" t="s">
        <v>103</v>
      </c>
      <c r="BW287" s="153" t="s">
        <v>110</v>
      </c>
      <c r="BX287" s="153" t="s">
        <v>110</v>
      </c>
      <c r="BY287" s="153" t="s">
        <v>110</v>
      </c>
      <c r="BZ287" s="153" t="s">
        <v>110</v>
      </c>
      <c r="CA287" s="616" t="s">
        <v>103</v>
      </c>
      <c r="CB287" s="153" t="s">
        <v>103</v>
      </c>
      <c r="CC287" s="153" t="s">
        <v>110</v>
      </c>
      <c r="CD287" s="153" t="s">
        <v>110</v>
      </c>
      <c r="CE287" s="153" t="s">
        <v>103</v>
      </c>
    </row>
    <row r="288" spans="1:83" ht="27.6" customHeight="1">
      <c r="A288" s="503"/>
      <c r="B288" s="164" t="s">
        <v>823</v>
      </c>
      <c r="C288" s="155" t="s">
        <v>824</v>
      </c>
      <c r="D288" s="153" t="s">
        <v>825</v>
      </c>
      <c r="E288" s="153">
        <v>91764</v>
      </c>
      <c r="F288" s="153">
        <v>6071012700</v>
      </c>
      <c r="G288" s="153" t="s">
        <v>110</v>
      </c>
      <c r="H288" s="153" t="s">
        <v>150</v>
      </c>
      <c r="I288" s="508" t="s">
        <v>823</v>
      </c>
      <c r="J288" s="153" t="s">
        <v>117</v>
      </c>
      <c r="K288" s="572" t="s">
        <v>130</v>
      </c>
      <c r="L288" s="153" t="s">
        <v>825</v>
      </c>
      <c r="M288" s="153" t="s">
        <v>104</v>
      </c>
      <c r="Q288" s="156" t="s">
        <v>139</v>
      </c>
      <c r="V288" s="149">
        <v>39847</v>
      </c>
      <c r="W288" s="149" t="s">
        <v>103</v>
      </c>
      <c r="X288" s="149" t="s">
        <v>103</v>
      </c>
      <c r="Y288" s="149">
        <v>40513</v>
      </c>
      <c r="Z288" s="149">
        <v>40513</v>
      </c>
      <c r="AA288" s="149">
        <v>39847</v>
      </c>
      <c r="AB288" s="763" t="s">
        <v>151</v>
      </c>
      <c r="AC288" s="594" t="s">
        <v>116</v>
      </c>
      <c r="AD288" s="153" t="s">
        <v>103</v>
      </c>
      <c r="AE288" s="149" t="s">
        <v>103</v>
      </c>
      <c r="AF288" s="596">
        <v>11</v>
      </c>
      <c r="AG288" s="596">
        <v>1</v>
      </c>
      <c r="AH288" s="595">
        <v>1470</v>
      </c>
      <c r="AI288" s="614">
        <v>0.27840909090909088</v>
      </c>
      <c r="AJ288" s="607">
        <v>2000</v>
      </c>
      <c r="AK288" s="153" t="s">
        <v>120</v>
      </c>
      <c r="AL288" s="791" t="s">
        <v>104</v>
      </c>
      <c r="AO288" s="963"/>
      <c r="AP288" s="1017">
        <v>1200000</v>
      </c>
      <c r="AQ288" s="574">
        <v>1343831</v>
      </c>
      <c r="AR288" s="153" t="s">
        <v>116</v>
      </c>
      <c r="AS288" s="153" t="s">
        <v>116</v>
      </c>
      <c r="AT288" s="156">
        <v>0</v>
      </c>
      <c r="AU288" s="777" t="s">
        <v>122</v>
      </c>
      <c r="AV288" s="777" t="s">
        <v>122</v>
      </c>
      <c r="AW288" s="777" t="s">
        <v>122</v>
      </c>
      <c r="AX288" s="155" t="s">
        <v>103</v>
      </c>
      <c r="AY288" s="155" t="s">
        <v>103</v>
      </c>
      <c r="AZ288" s="155" t="s">
        <v>103</v>
      </c>
      <c r="BA288" s="156">
        <v>0</v>
      </c>
      <c r="BB288" s="574">
        <f t="shared" si="60"/>
        <v>1343831</v>
      </c>
      <c r="BC288" s="780">
        <v>-143831</v>
      </c>
      <c r="BD288" s="1008" t="s">
        <v>151</v>
      </c>
      <c r="BE288" s="679">
        <v>0</v>
      </c>
      <c r="BF288" s="153" t="s">
        <v>103</v>
      </c>
      <c r="BG288" s="94">
        <v>1343831</v>
      </c>
      <c r="BH288" s="766">
        <v>3048036</v>
      </c>
      <c r="BI288" s="774">
        <v>0</v>
      </c>
      <c r="BJ288" s="774">
        <v>0</v>
      </c>
      <c r="BK288" s="153" t="s">
        <v>103</v>
      </c>
      <c r="BL288" s="153" t="s">
        <v>124</v>
      </c>
      <c r="BM288" s="94" t="s">
        <v>124</v>
      </c>
      <c r="BN288" s="155" t="s">
        <v>124</v>
      </c>
      <c r="BO288" s="153" t="s">
        <v>116</v>
      </c>
      <c r="BP288" s="153" t="s">
        <v>124</v>
      </c>
      <c r="BQ288" s="153" t="s">
        <v>103</v>
      </c>
      <c r="BR288" s="153" t="s">
        <v>110</v>
      </c>
      <c r="BS288" s="153" t="s">
        <v>110</v>
      </c>
      <c r="BT288" s="153" t="s">
        <v>110</v>
      </c>
      <c r="BU288" s="153" t="s">
        <v>110</v>
      </c>
      <c r="BV288" s="153" t="s">
        <v>103</v>
      </c>
      <c r="BW288" s="153" t="s">
        <v>110</v>
      </c>
      <c r="BX288" s="153" t="s">
        <v>110</v>
      </c>
      <c r="BY288" s="153" t="s">
        <v>110</v>
      </c>
      <c r="BZ288" s="153" t="s">
        <v>110</v>
      </c>
      <c r="CA288" s="616" t="s">
        <v>103</v>
      </c>
      <c r="CB288" s="153" t="s">
        <v>103</v>
      </c>
      <c r="CC288" s="153" t="s">
        <v>110</v>
      </c>
      <c r="CD288" s="153" t="s">
        <v>110</v>
      </c>
      <c r="CE288" s="153" t="s">
        <v>103</v>
      </c>
    </row>
    <row r="289" spans="1:83" ht="15.6" customHeight="1">
      <c r="A289" s="503" t="s">
        <v>826</v>
      </c>
      <c r="B289" s="164" t="s">
        <v>827</v>
      </c>
      <c r="C289" s="155" t="s">
        <v>828</v>
      </c>
      <c r="D289" s="153" t="s">
        <v>829</v>
      </c>
      <c r="E289" s="153">
        <v>91730</v>
      </c>
      <c r="F289" s="153">
        <v>6071002105</v>
      </c>
      <c r="G289" s="153" t="s">
        <v>104</v>
      </c>
      <c r="H289" s="674">
        <v>0.14847929200321267</v>
      </c>
      <c r="I289" s="508" t="s">
        <v>827</v>
      </c>
      <c r="J289" s="153" t="s">
        <v>117</v>
      </c>
      <c r="K289" s="572" t="s">
        <v>178</v>
      </c>
      <c r="L289" s="153" t="s">
        <v>829</v>
      </c>
      <c r="M289" s="153" t="s">
        <v>110</v>
      </c>
      <c r="N289" s="156">
        <v>2</v>
      </c>
      <c r="P289" s="156">
        <v>0</v>
      </c>
      <c r="Q289" s="989" t="s">
        <v>131</v>
      </c>
      <c r="R289" s="156">
        <v>0</v>
      </c>
      <c r="S289" s="156">
        <v>0</v>
      </c>
      <c r="T289" s="958" t="s">
        <v>105</v>
      </c>
      <c r="U289" s="153" t="s">
        <v>104</v>
      </c>
      <c r="V289" s="149">
        <v>40835</v>
      </c>
      <c r="W289" s="149">
        <v>42255</v>
      </c>
      <c r="X289" s="149">
        <v>43419</v>
      </c>
      <c r="Y289" s="149">
        <v>44058</v>
      </c>
      <c r="Z289" s="149" t="s">
        <v>103</v>
      </c>
      <c r="AA289" s="149">
        <v>40835</v>
      </c>
      <c r="AB289" s="153" t="s">
        <v>103</v>
      </c>
      <c r="AC289" s="594">
        <f t="shared" ref="AC289:AC290" si="61">W289-V289</f>
        <v>1420</v>
      </c>
      <c r="AD289" s="149">
        <v>44058</v>
      </c>
      <c r="AE289" s="149" t="s">
        <v>103</v>
      </c>
      <c r="AF289" s="153" t="s">
        <v>103</v>
      </c>
      <c r="AG289" s="153" t="s">
        <v>103</v>
      </c>
      <c r="AH289" s="596" t="s">
        <v>103</v>
      </c>
      <c r="AI289" s="960" t="s">
        <v>103</v>
      </c>
      <c r="AJ289" s="607">
        <v>4700</v>
      </c>
      <c r="AK289" s="153" t="s">
        <v>120</v>
      </c>
      <c r="AL289" s="791" t="s">
        <v>104</v>
      </c>
      <c r="AO289" s="963"/>
      <c r="AP289" s="94">
        <v>2800000</v>
      </c>
      <c r="AQ289" s="574">
        <v>0</v>
      </c>
      <c r="AR289" s="153" t="s">
        <v>116</v>
      </c>
      <c r="AS289" s="153" t="s">
        <v>116</v>
      </c>
      <c r="AT289" s="777" t="s">
        <v>122</v>
      </c>
      <c r="AU289" s="777" t="s">
        <v>122</v>
      </c>
      <c r="AV289" s="777" t="s">
        <v>122</v>
      </c>
      <c r="AW289" s="777" t="s">
        <v>122</v>
      </c>
      <c r="AX289" s="155" t="s">
        <v>103</v>
      </c>
      <c r="AY289" s="155" t="s">
        <v>103</v>
      </c>
      <c r="AZ289" s="155" t="s">
        <v>103</v>
      </c>
      <c r="BA289" s="156">
        <v>0</v>
      </c>
      <c r="BB289" s="153"/>
      <c r="BC289" s="780" t="s">
        <v>103</v>
      </c>
      <c r="BD289" s="153" t="s">
        <v>103</v>
      </c>
      <c r="BE289" s="679" t="s">
        <v>103</v>
      </c>
      <c r="BF289" s="156" t="s">
        <v>103</v>
      </c>
      <c r="BG289" s="94">
        <v>971768.5</v>
      </c>
      <c r="BH289" s="766">
        <v>2544430</v>
      </c>
      <c r="BI289" s="774">
        <v>255570</v>
      </c>
      <c r="BJ289" s="774">
        <v>0</v>
      </c>
      <c r="BK289" s="153" t="s">
        <v>103</v>
      </c>
      <c r="BL289" s="153" t="s">
        <v>124</v>
      </c>
      <c r="BM289" s="94" t="s">
        <v>103</v>
      </c>
      <c r="BN289" s="155" t="s">
        <v>103</v>
      </c>
      <c r="BO289" s="153" t="s">
        <v>103</v>
      </c>
      <c r="BP289" s="153" t="s">
        <v>103</v>
      </c>
      <c r="BQ289" s="153" t="s">
        <v>103</v>
      </c>
      <c r="BR289" s="153" t="s">
        <v>110</v>
      </c>
      <c r="BS289" s="153" t="s">
        <v>110</v>
      </c>
      <c r="BT289" s="153" t="s">
        <v>110</v>
      </c>
      <c r="BU289" s="153" t="s">
        <v>110</v>
      </c>
      <c r="BV289" s="153" t="s">
        <v>110</v>
      </c>
      <c r="BW289" s="153" t="s">
        <v>110</v>
      </c>
      <c r="BX289" s="153" t="s">
        <v>110</v>
      </c>
      <c r="BY289" s="153" t="s">
        <v>117</v>
      </c>
      <c r="BZ289" s="153" t="s">
        <v>110</v>
      </c>
      <c r="CA289" s="616" t="s">
        <v>103</v>
      </c>
      <c r="CB289" s="153" t="s">
        <v>103</v>
      </c>
      <c r="CC289" s="153" t="s">
        <v>103</v>
      </c>
      <c r="CD289" s="153" t="s">
        <v>103</v>
      </c>
      <c r="CE289" s="153" t="s">
        <v>103</v>
      </c>
    </row>
    <row r="290" spans="1:83" ht="27.6" customHeight="1">
      <c r="A290" s="503"/>
      <c r="B290" s="164" t="s">
        <v>830</v>
      </c>
      <c r="C290" s="155" t="s">
        <v>831</v>
      </c>
      <c r="D290" s="153" t="s">
        <v>832</v>
      </c>
      <c r="E290" s="153">
        <v>91730</v>
      </c>
      <c r="F290" s="153">
        <v>6071000812</v>
      </c>
      <c r="G290" s="153" t="s">
        <v>110</v>
      </c>
      <c r="H290" s="153" t="s">
        <v>150</v>
      </c>
      <c r="I290" s="508" t="s">
        <v>830</v>
      </c>
      <c r="J290" s="153" t="s">
        <v>117</v>
      </c>
      <c r="K290" s="572" t="s">
        <v>178</v>
      </c>
      <c r="L290" s="153" t="s">
        <v>832</v>
      </c>
      <c r="M290" s="153" t="s">
        <v>110</v>
      </c>
      <c r="Q290" s="989" t="s">
        <v>131</v>
      </c>
      <c r="V290" s="149">
        <v>42254</v>
      </c>
      <c r="W290" s="149">
        <v>42255</v>
      </c>
      <c r="X290" s="149">
        <v>43913</v>
      </c>
      <c r="Y290" s="149">
        <v>44125</v>
      </c>
      <c r="Z290" s="149" t="s">
        <v>103</v>
      </c>
      <c r="AA290" s="149">
        <v>42254</v>
      </c>
      <c r="AB290" s="153" t="s">
        <v>103</v>
      </c>
      <c r="AC290" s="594">
        <f t="shared" si="61"/>
        <v>1</v>
      </c>
      <c r="AD290" s="149">
        <v>44125</v>
      </c>
      <c r="AE290" s="149" t="s">
        <v>103</v>
      </c>
      <c r="AF290" s="153" t="s">
        <v>103</v>
      </c>
      <c r="AG290" s="153" t="s">
        <v>103</v>
      </c>
      <c r="AH290" s="596" t="s">
        <v>103</v>
      </c>
      <c r="AI290" s="960" t="s">
        <v>103</v>
      </c>
      <c r="AJ290" s="607">
        <v>2530</v>
      </c>
      <c r="AK290" s="153" t="s">
        <v>120</v>
      </c>
      <c r="AL290" s="791" t="s">
        <v>104</v>
      </c>
      <c r="AO290" s="963"/>
      <c r="AP290" s="94">
        <v>1500000</v>
      </c>
      <c r="AQ290" s="574">
        <v>0</v>
      </c>
      <c r="AR290" s="153" t="s">
        <v>116</v>
      </c>
      <c r="AS290" s="153" t="s">
        <v>116</v>
      </c>
      <c r="AT290" s="777" t="s">
        <v>122</v>
      </c>
      <c r="AU290" s="777" t="s">
        <v>122</v>
      </c>
      <c r="AV290" s="777" t="s">
        <v>122</v>
      </c>
      <c r="AW290" s="777" t="s">
        <v>122</v>
      </c>
      <c r="AX290" s="155" t="s">
        <v>103</v>
      </c>
      <c r="AY290" s="155" t="s">
        <v>103</v>
      </c>
      <c r="AZ290" s="155" t="s">
        <v>103</v>
      </c>
      <c r="BA290" s="156">
        <v>0</v>
      </c>
      <c r="BB290" s="153"/>
      <c r="BC290" s="780" t="s">
        <v>103</v>
      </c>
      <c r="BD290" s="153" t="s">
        <v>103</v>
      </c>
      <c r="BE290" s="679" t="s">
        <v>103</v>
      </c>
      <c r="BF290" s="156" t="s">
        <v>103</v>
      </c>
      <c r="BG290" s="94">
        <v>194353.7</v>
      </c>
      <c r="BH290" s="766">
        <v>549490</v>
      </c>
      <c r="BI290" s="774">
        <v>950510</v>
      </c>
      <c r="BJ290" s="774">
        <v>0</v>
      </c>
      <c r="BK290" s="153" t="s">
        <v>103</v>
      </c>
      <c r="BL290" s="153" t="s">
        <v>124</v>
      </c>
      <c r="BM290" s="94" t="s">
        <v>103</v>
      </c>
      <c r="BN290" s="155" t="s">
        <v>103</v>
      </c>
      <c r="BO290" s="153" t="s">
        <v>103</v>
      </c>
      <c r="BP290" s="153" t="s">
        <v>103</v>
      </c>
      <c r="BQ290" s="153" t="s">
        <v>103</v>
      </c>
      <c r="BR290" s="153" t="s">
        <v>110</v>
      </c>
      <c r="BS290" s="153" t="s">
        <v>110</v>
      </c>
      <c r="BT290" s="153" t="s">
        <v>110</v>
      </c>
      <c r="BU290" s="153" t="s">
        <v>110</v>
      </c>
      <c r="BV290" s="153" t="s">
        <v>110</v>
      </c>
      <c r="BW290" s="153" t="s">
        <v>110</v>
      </c>
      <c r="BX290" s="153" t="s">
        <v>110</v>
      </c>
      <c r="BY290" s="153" t="s">
        <v>117</v>
      </c>
      <c r="BZ290" s="153" t="s">
        <v>110</v>
      </c>
      <c r="CA290" s="616" t="s">
        <v>103</v>
      </c>
      <c r="CB290" s="153" t="s">
        <v>103</v>
      </c>
      <c r="CC290" s="153" t="s">
        <v>103</v>
      </c>
      <c r="CD290" s="153" t="s">
        <v>103</v>
      </c>
      <c r="CE290" s="153" t="s">
        <v>103</v>
      </c>
    </row>
    <row r="291" spans="1:83" ht="14.1" customHeight="1">
      <c r="A291" s="503" t="s">
        <v>833</v>
      </c>
      <c r="B291" s="164" t="s">
        <v>834</v>
      </c>
      <c r="C291" s="155" t="s">
        <v>103</v>
      </c>
      <c r="D291" s="153">
        <v>6749</v>
      </c>
      <c r="E291" s="153">
        <v>92373</v>
      </c>
      <c r="F291" s="153">
        <v>6071008301</v>
      </c>
      <c r="G291" s="153" t="s">
        <v>110</v>
      </c>
      <c r="H291" s="675">
        <v>0.15954268292682927</v>
      </c>
      <c r="I291" s="508" t="s">
        <v>834</v>
      </c>
      <c r="J291" s="153" t="s">
        <v>117</v>
      </c>
      <c r="K291" s="572" t="s">
        <v>283</v>
      </c>
      <c r="L291" s="153">
        <v>6749</v>
      </c>
      <c r="M291" s="153" t="s">
        <v>110</v>
      </c>
      <c r="N291" s="156">
        <v>2</v>
      </c>
      <c r="P291" s="156">
        <v>0</v>
      </c>
      <c r="Q291" s="156" t="s">
        <v>119</v>
      </c>
      <c r="R291" s="156">
        <v>0</v>
      </c>
      <c r="S291" s="156">
        <v>1</v>
      </c>
      <c r="T291" s="958" t="s">
        <v>105</v>
      </c>
      <c r="U291" s="153" t="s">
        <v>104</v>
      </c>
      <c r="V291" s="149">
        <v>39728</v>
      </c>
      <c r="W291" s="149" t="s">
        <v>103</v>
      </c>
      <c r="X291" s="149" t="s">
        <v>103</v>
      </c>
      <c r="Y291" s="149" t="s">
        <v>103</v>
      </c>
      <c r="Z291" s="149" t="s">
        <v>103</v>
      </c>
      <c r="AA291" s="149" t="s">
        <v>150</v>
      </c>
      <c r="AB291" s="153" t="s">
        <v>103</v>
      </c>
      <c r="AC291" s="594" t="s">
        <v>116</v>
      </c>
      <c r="AD291" s="149">
        <v>44384</v>
      </c>
      <c r="AE291" s="149" t="s">
        <v>103</v>
      </c>
      <c r="AF291" s="153" t="s">
        <v>103</v>
      </c>
      <c r="AG291" s="153" t="s">
        <v>103</v>
      </c>
      <c r="AH291" s="596" t="s">
        <v>103</v>
      </c>
      <c r="AI291" s="960" t="s">
        <v>103</v>
      </c>
      <c r="AJ291" s="607">
        <v>4900</v>
      </c>
      <c r="AK291" s="153" t="s">
        <v>152</v>
      </c>
      <c r="AL291" s="791" t="s">
        <v>104</v>
      </c>
      <c r="AO291" s="963"/>
      <c r="AP291" s="519">
        <v>2500000</v>
      </c>
      <c r="AQ291" s="580">
        <v>0</v>
      </c>
      <c r="AR291" s="153" t="s">
        <v>116</v>
      </c>
      <c r="AS291" s="153" t="s">
        <v>116</v>
      </c>
      <c r="AT291" s="777" t="s">
        <v>121</v>
      </c>
      <c r="AU291" s="777" t="s">
        <v>122</v>
      </c>
      <c r="AV291" s="777" t="s">
        <v>122</v>
      </c>
      <c r="AW291" s="777" t="s">
        <v>122</v>
      </c>
      <c r="AX291" s="155" t="s">
        <v>103</v>
      </c>
      <c r="AY291" s="155" t="s">
        <v>103</v>
      </c>
      <c r="AZ291" s="155" t="s">
        <v>103</v>
      </c>
      <c r="BB291" s="153"/>
      <c r="BC291" s="780" t="s">
        <v>103</v>
      </c>
      <c r="BD291" s="153" t="s">
        <v>103</v>
      </c>
      <c r="BE291" s="679" t="s">
        <v>103</v>
      </c>
      <c r="BF291" s="156" t="s">
        <v>103</v>
      </c>
      <c r="BG291" s="519">
        <v>0</v>
      </c>
      <c r="BH291" s="149" t="s">
        <v>103</v>
      </c>
      <c r="BI291" s="774" t="s">
        <v>103</v>
      </c>
      <c r="BJ291" s="149" t="s">
        <v>103</v>
      </c>
      <c r="BK291" s="149" t="s">
        <v>103</v>
      </c>
      <c r="BL291" s="153" t="s">
        <v>124</v>
      </c>
      <c r="BM291" s="519" t="s">
        <v>103</v>
      </c>
      <c r="BN291" s="155" t="s">
        <v>103</v>
      </c>
      <c r="BO291" s="153" t="s">
        <v>103</v>
      </c>
      <c r="BP291" s="153" t="s">
        <v>103</v>
      </c>
      <c r="BQ291" s="153" t="s">
        <v>103</v>
      </c>
      <c r="BR291" s="153" t="s">
        <v>110</v>
      </c>
      <c r="BS291" s="153" t="s">
        <v>110</v>
      </c>
      <c r="BT291" s="153" t="s">
        <v>110</v>
      </c>
      <c r="BU291" s="153" t="s">
        <v>110</v>
      </c>
      <c r="BV291" s="153" t="s">
        <v>104</v>
      </c>
      <c r="BW291" s="153" t="s">
        <v>110</v>
      </c>
      <c r="BX291" s="153" t="s">
        <v>110</v>
      </c>
      <c r="BY291" s="153" t="s">
        <v>117</v>
      </c>
      <c r="BZ291" s="153" t="s">
        <v>110</v>
      </c>
      <c r="CA291" s="616" t="s">
        <v>103</v>
      </c>
      <c r="CB291" s="153" t="s">
        <v>103</v>
      </c>
      <c r="CC291" s="153" t="s">
        <v>103</v>
      </c>
      <c r="CD291" s="153" t="s">
        <v>103</v>
      </c>
      <c r="CE291" s="153" t="s">
        <v>103</v>
      </c>
    </row>
    <row r="292" spans="1:83" ht="55.35" customHeight="1">
      <c r="A292" s="503"/>
      <c r="B292" s="164" t="s">
        <v>835</v>
      </c>
      <c r="C292" s="155" t="s">
        <v>836</v>
      </c>
      <c r="D292" s="153">
        <v>6327</v>
      </c>
      <c r="E292" s="153">
        <v>92373</v>
      </c>
      <c r="F292" s="153">
        <v>6071008002</v>
      </c>
      <c r="G292" s="153" t="s">
        <v>104</v>
      </c>
      <c r="H292" s="153" t="s">
        <v>150</v>
      </c>
      <c r="I292" s="508" t="s">
        <v>837</v>
      </c>
      <c r="J292" s="153" t="s">
        <v>117</v>
      </c>
      <c r="K292" s="156">
        <v>0</v>
      </c>
      <c r="L292" s="153">
        <v>6327</v>
      </c>
      <c r="M292" s="153" t="s">
        <v>104</v>
      </c>
      <c r="Q292" s="156" t="s">
        <v>139</v>
      </c>
      <c r="V292" s="149">
        <v>38307</v>
      </c>
      <c r="W292" s="149" t="s">
        <v>103</v>
      </c>
      <c r="X292" s="149" t="s">
        <v>103</v>
      </c>
      <c r="Y292" s="149">
        <v>40084</v>
      </c>
      <c r="Z292" s="149">
        <v>40084</v>
      </c>
      <c r="AA292" s="149">
        <v>40084</v>
      </c>
      <c r="AB292" s="763" t="s">
        <v>151</v>
      </c>
      <c r="AC292" s="594" t="s">
        <v>116</v>
      </c>
      <c r="AD292" s="153" t="s">
        <v>103</v>
      </c>
      <c r="AE292" s="149" t="s">
        <v>103</v>
      </c>
      <c r="AF292" s="596">
        <v>11</v>
      </c>
      <c r="AG292" s="596">
        <v>15</v>
      </c>
      <c r="AH292" s="595">
        <v>3840.3333333333335</v>
      </c>
      <c r="AI292" s="614">
        <v>0.72733585858585859</v>
      </c>
      <c r="AJ292" s="607">
        <v>1897</v>
      </c>
      <c r="AK292" s="153" t="s">
        <v>120</v>
      </c>
      <c r="AL292" s="791" t="s">
        <v>104</v>
      </c>
      <c r="AO292" s="963"/>
      <c r="AP292" s="94">
        <v>575000</v>
      </c>
      <c r="AQ292" s="574">
        <v>747296</v>
      </c>
      <c r="AR292" s="153" t="s">
        <v>116</v>
      </c>
      <c r="AS292" s="153" t="s">
        <v>116</v>
      </c>
      <c r="AT292" s="156">
        <v>0</v>
      </c>
      <c r="AU292" s="777" t="s">
        <v>122</v>
      </c>
      <c r="AV292" s="777" t="s">
        <v>122</v>
      </c>
      <c r="AW292" s="777" t="s">
        <v>122</v>
      </c>
      <c r="AX292" s="155" t="s">
        <v>103</v>
      </c>
      <c r="AY292" s="155" t="s">
        <v>103</v>
      </c>
      <c r="AZ292" s="155" t="s">
        <v>103</v>
      </c>
      <c r="BA292" s="156">
        <v>0</v>
      </c>
      <c r="BB292" s="574">
        <f t="shared" ref="BB292:BB296" si="62">AQ292</f>
        <v>747296</v>
      </c>
      <c r="BC292" s="780">
        <v>-172296</v>
      </c>
      <c r="BD292" s="1008" t="s">
        <v>151</v>
      </c>
      <c r="BE292" s="679">
        <v>1411</v>
      </c>
      <c r="BF292" s="153">
        <v>2015</v>
      </c>
      <c r="BG292" s="94">
        <v>747296</v>
      </c>
      <c r="BH292" s="766">
        <v>1461155</v>
      </c>
      <c r="BI292" s="774">
        <v>0</v>
      </c>
      <c r="BJ292" s="774">
        <v>0</v>
      </c>
      <c r="BK292" s="153" t="s">
        <v>103</v>
      </c>
      <c r="BL292" s="153" t="s">
        <v>124</v>
      </c>
      <c r="BM292" s="94" t="s">
        <v>103</v>
      </c>
      <c r="BN292" s="155" t="s">
        <v>103</v>
      </c>
      <c r="BO292" s="153" t="s">
        <v>103</v>
      </c>
      <c r="BP292" s="153" t="s">
        <v>103</v>
      </c>
      <c r="BQ292" s="153" t="s">
        <v>103</v>
      </c>
      <c r="BR292" s="153" t="s">
        <v>110</v>
      </c>
      <c r="BS292" s="153" t="s">
        <v>110</v>
      </c>
      <c r="BT292" s="153" t="s">
        <v>110</v>
      </c>
      <c r="BU292" s="153" t="s">
        <v>110</v>
      </c>
      <c r="BV292" s="153" t="s">
        <v>110</v>
      </c>
      <c r="BW292" s="153" t="s">
        <v>110</v>
      </c>
      <c r="BX292" s="153" t="s">
        <v>110</v>
      </c>
      <c r="BY292" s="153" t="s">
        <v>117</v>
      </c>
      <c r="BZ292" s="153" t="s">
        <v>110</v>
      </c>
      <c r="CA292" s="616" t="s">
        <v>103</v>
      </c>
      <c r="CB292" s="153" t="s">
        <v>103</v>
      </c>
      <c r="CC292" s="153" t="s">
        <v>103</v>
      </c>
      <c r="CD292" s="153" t="s">
        <v>103</v>
      </c>
      <c r="CE292" s="153" t="s">
        <v>103</v>
      </c>
    </row>
    <row r="293" spans="1:83" ht="41.45" customHeight="1">
      <c r="A293" s="503" t="s">
        <v>838</v>
      </c>
      <c r="B293" s="164" t="s">
        <v>839</v>
      </c>
      <c r="C293" s="155" t="s">
        <v>840</v>
      </c>
      <c r="D293" s="153">
        <v>5650</v>
      </c>
      <c r="E293" s="153">
        <v>92373</v>
      </c>
      <c r="F293" s="153">
        <v>6071003510</v>
      </c>
      <c r="G293" s="153" t="s">
        <v>104</v>
      </c>
      <c r="H293" s="674">
        <v>0.39769163622255987</v>
      </c>
      <c r="I293" s="508" t="s">
        <v>839</v>
      </c>
      <c r="J293" s="153" t="s">
        <v>117</v>
      </c>
      <c r="K293" s="156">
        <v>0</v>
      </c>
      <c r="L293" s="153">
        <v>5650</v>
      </c>
      <c r="M293" s="153" t="s">
        <v>104</v>
      </c>
      <c r="N293" s="156">
        <v>1</v>
      </c>
      <c r="P293" s="156">
        <v>0</v>
      </c>
      <c r="Q293" s="156" t="s">
        <v>139</v>
      </c>
      <c r="R293" s="156">
        <v>0</v>
      </c>
      <c r="S293" s="156">
        <v>1</v>
      </c>
      <c r="T293" s="958" t="s">
        <v>105</v>
      </c>
      <c r="U293" s="153" t="s">
        <v>104</v>
      </c>
      <c r="V293" s="149">
        <v>39772</v>
      </c>
      <c r="W293" s="149" t="s">
        <v>103</v>
      </c>
      <c r="X293" s="149" t="s">
        <v>103</v>
      </c>
      <c r="Y293" s="149">
        <v>40664</v>
      </c>
      <c r="Z293" s="149">
        <v>40664</v>
      </c>
      <c r="AA293" s="149">
        <v>39772</v>
      </c>
      <c r="AB293" s="763" t="s">
        <v>121</v>
      </c>
      <c r="AC293" s="594" t="s">
        <v>116</v>
      </c>
      <c r="AD293" s="153" t="s">
        <v>103</v>
      </c>
      <c r="AE293" s="149" t="s">
        <v>103</v>
      </c>
      <c r="AF293" s="596">
        <v>24</v>
      </c>
      <c r="AG293" s="596">
        <v>3</v>
      </c>
      <c r="AH293" s="595">
        <v>4628</v>
      </c>
      <c r="AI293" s="614">
        <v>0.87651515151515147</v>
      </c>
      <c r="AJ293" s="607">
        <v>5041</v>
      </c>
      <c r="AK293" s="153" t="s">
        <v>120</v>
      </c>
      <c r="AL293" s="791" t="s">
        <v>104</v>
      </c>
      <c r="AO293" s="963"/>
      <c r="AP293" s="1017">
        <v>2200000</v>
      </c>
      <c r="AQ293" s="574">
        <v>1732160</v>
      </c>
      <c r="AR293" s="153" t="s">
        <v>116</v>
      </c>
      <c r="AS293" s="153" t="s">
        <v>116</v>
      </c>
      <c r="AT293" s="156">
        <v>0</v>
      </c>
      <c r="AU293" s="777" t="s">
        <v>122</v>
      </c>
      <c r="AV293" s="777" t="s">
        <v>122</v>
      </c>
      <c r="AW293" s="777" t="s">
        <v>122</v>
      </c>
      <c r="AX293" s="155" t="s">
        <v>103</v>
      </c>
      <c r="AY293" s="155" t="s">
        <v>103</v>
      </c>
      <c r="AZ293" s="155" t="s">
        <v>103</v>
      </c>
      <c r="BA293" s="156">
        <v>0</v>
      </c>
      <c r="BB293" s="574">
        <f t="shared" si="62"/>
        <v>1732160</v>
      </c>
      <c r="BC293" s="780">
        <v>467840</v>
      </c>
      <c r="BD293" s="1008" t="s">
        <v>121</v>
      </c>
      <c r="BE293" s="679">
        <v>0</v>
      </c>
      <c r="BF293" s="153" t="s">
        <v>103</v>
      </c>
      <c r="BG293" s="94">
        <v>1876276.32</v>
      </c>
      <c r="BH293" s="766">
        <v>1094111</v>
      </c>
      <c r="BI293" s="774">
        <v>867717.69</v>
      </c>
      <c r="BJ293" s="774">
        <v>238171.31</v>
      </c>
      <c r="BK293" s="153" t="s">
        <v>103</v>
      </c>
      <c r="BL293" s="153" t="s">
        <v>124</v>
      </c>
      <c r="BM293" s="94" t="s">
        <v>103</v>
      </c>
      <c r="BN293" s="155" t="s">
        <v>103</v>
      </c>
      <c r="BO293" s="153" t="s">
        <v>103</v>
      </c>
      <c r="BP293" s="153" t="s">
        <v>103</v>
      </c>
      <c r="BQ293" s="153" t="s">
        <v>103</v>
      </c>
      <c r="BR293" s="153" t="s">
        <v>110</v>
      </c>
      <c r="BS293" s="153" t="s">
        <v>110</v>
      </c>
      <c r="BT293" s="153" t="s">
        <v>110</v>
      </c>
      <c r="BU293" s="153" t="s">
        <v>110</v>
      </c>
      <c r="BV293" s="153" t="s">
        <v>104</v>
      </c>
      <c r="BW293" s="153" t="s">
        <v>110</v>
      </c>
      <c r="BX293" s="153" t="s">
        <v>110</v>
      </c>
      <c r="BY293" s="153" t="s">
        <v>117</v>
      </c>
      <c r="BZ293" s="153" t="s">
        <v>110</v>
      </c>
      <c r="CA293" s="616" t="s">
        <v>103</v>
      </c>
      <c r="CB293" s="153" t="s">
        <v>103</v>
      </c>
      <c r="CC293" s="153" t="s">
        <v>103</v>
      </c>
      <c r="CD293" s="153" t="s">
        <v>103</v>
      </c>
      <c r="CE293" s="153" t="s">
        <v>103</v>
      </c>
    </row>
    <row r="294" spans="1:83" ht="27.6" customHeight="1">
      <c r="A294" s="503" t="s">
        <v>841</v>
      </c>
      <c r="B294" s="164" t="s">
        <v>842</v>
      </c>
      <c r="C294" s="155" t="s">
        <v>843</v>
      </c>
      <c r="D294" s="153" t="s">
        <v>844</v>
      </c>
      <c r="E294" s="153">
        <v>92509</v>
      </c>
      <c r="F294" s="153">
        <v>6071005500</v>
      </c>
      <c r="G294" s="153" t="s">
        <v>110</v>
      </c>
      <c r="H294" s="674">
        <v>0.40800901596168215</v>
      </c>
      <c r="I294" s="508" t="s">
        <v>842</v>
      </c>
      <c r="J294" s="153" t="s">
        <v>117</v>
      </c>
      <c r="K294" s="572" t="s">
        <v>156</v>
      </c>
      <c r="L294" s="153" t="s">
        <v>844</v>
      </c>
      <c r="M294" s="153" t="s">
        <v>104</v>
      </c>
      <c r="N294" s="156">
        <v>4</v>
      </c>
      <c r="P294" s="156">
        <v>0</v>
      </c>
      <c r="Q294" s="156" t="s">
        <v>139</v>
      </c>
      <c r="R294" s="156">
        <v>0</v>
      </c>
      <c r="S294" s="156">
        <v>3</v>
      </c>
      <c r="T294" s="958" t="s">
        <v>105</v>
      </c>
      <c r="U294" s="153" t="s">
        <v>104</v>
      </c>
      <c r="V294" s="149">
        <v>38161</v>
      </c>
      <c r="W294" s="149" t="s">
        <v>103</v>
      </c>
      <c r="X294" s="149" t="s">
        <v>103</v>
      </c>
      <c r="Y294" s="149">
        <v>41244</v>
      </c>
      <c r="Z294" s="149">
        <v>41244</v>
      </c>
      <c r="AA294" s="149">
        <v>38161</v>
      </c>
      <c r="AB294" s="763" t="s">
        <v>121</v>
      </c>
      <c r="AC294" s="594" t="s">
        <v>116</v>
      </c>
      <c r="AD294" s="153" t="s">
        <v>103</v>
      </c>
      <c r="AE294" s="149" t="s">
        <v>103</v>
      </c>
      <c r="AF294" s="596">
        <v>9</v>
      </c>
      <c r="AG294" s="596">
        <v>48</v>
      </c>
      <c r="AH294" s="595">
        <v>4770</v>
      </c>
      <c r="AI294" s="614">
        <v>0.90340909090909094</v>
      </c>
      <c r="AJ294" s="607">
        <v>3110</v>
      </c>
      <c r="AK294" s="153" t="s">
        <v>152</v>
      </c>
      <c r="AL294" s="791" t="s">
        <v>104</v>
      </c>
      <c r="AO294" s="963"/>
      <c r="AP294" s="1017">
        <v>2000000</v>
      </c>
      <c r="AQ294" s="574">
        <v>1198257</v>
      </c>
      <c r="AR294" s="153" t="s">
        <v>116</v>
      </c>
      <c r="AS294" s="153" t="s">
        <v>116</v>
      </c>
      <c r="AT294" s="156">
        <v>0</v>
      </c>
      <c r="AU294" s="777" t="s">
        <v>122</v>
      </c>
      <c r="AV294" s="777" t="s">
        <v>122</v>
      </c>
      <c r="AW294" s="777" t="s">
        <v>122</v>
      </c>
      <c r="AX294" s="155" t="s">
        <v>103</v>
      </c>
      <c r="AY294" s="155" t="s">
        <v>103</v>
      </c>
      <c r="AZ294" s="155" t="s">
        <v>103</v>
      </c>
      <c r="BA294" s="156">
        <v>0</v>
      </c>
      <c r="BB294" s="574">
        <f t="shared" si="62"/>
        <v>1198257</v>
      </c>
      <c r="BC294" s="780">
        <v>801743</v>
      </c>
      <c r="BD294" s="1008" t="s">
        <v>121</v>
      </c>
      <c r="BE294" s="679">
        <v>0</v>
      </c>
      <c r="BF294" s="153" t="s">
        <v>103</v>
      </c>
      <c r="BG294" s="94">
        <v>1198257</v>
      </c>
      <c r="BH294" s="766" t="s">
        <v>123</v>
      </c>
      <c r="BI294" s="774">
        <v>0</v>
      </c>
      <c r="BJ294" s="774">
        <v>0</v>
      </c>
      <c r="BK294" s="153" t="s">
        <v>103</v>
      </c>
      <c r="BL294" s="94" t="s">
        <v>124</v>
      </c>
      <c r="BM294" s="94" t="s">
        <v>124</v>
      </c>
      <c r="BN294" s="94" t="s">
        <v>124</v>
      </c>
      <c r="BO294" s="153" t="s">
        <v>116</v>
      </c>
      <c r="BP294" s="153" t="s">
        <v>124</v>
      </c>
      <c r="BQ294" s="153" t="s">
        <v>103</v>
      </c>
      <c r="BR294" s="153" t="s">
        <v>110</v>
      </c>
      <c r="BS294" s="153" t="s">
        <v>110</v>
      </c>
      <c r="BT294" s="153" t="s">
        <v>110</v>
      </c>
      <c r="BU294" s="153" t="s">
        <v>110</v>
      </c>
      <c r="BV294" s="153" t="s">
        <v>110</v>
      </c>
      <c r="BW294" s="153" t="s">
        <v>110</v>
      </c>
      <c r="BX294" s="153" t="s">
        <v>110</v>
      </c>
      <c r="BY294" s="153" t="s">
        <v>117</v>
      </c>
      <c r="BZ294" s="153" t="s">
        <v>110</v>
      </c>
      <c r="CA294" s="616" t="s">
        <v>103</v>
      </c>
      <c r="CB294" s="153" t="s">
        <v>103</v>
      </c>
      <c r="CC294" s="153" t="s">
        <v>103</v>
      </c>
      <c r="CD294" s="153" t="s">
        <v>103</v>
      </c>
      <c r="CE294" s="153" t="s">
        <v>103</v>
      </c>
    </row>
    <row r="295" spans="1:83" ht="27.6" customHeight="1">
      <c r="A295" s="503"/>
      <c r="B295" s="164" t="s">
        <v>845</v>
      </c>
      <c r="C295" s="155" t="s">
        <v>846</v>
      </c>
      <c r="D295" s="153" t="s">
        <v>844</v>
      </c>
      <c r="E295" s="153">
        <v>92405</v>
      </c>
      <c r="F295" s="153">
        <v>6071005500</v>
      </c>
      <c r="G295" s="153" t="s">
        <v>110</v>
      </c>
      <c r="H295" s="153" t="s">
        <v>150</v>
      </c>
      <c r="I295" s="508" t="s">
        <v>845</v>
      </c>
      <c r="J295" s="153" t="s">
        <v>117</v>
      </c>
      <c r="K295" s="572" t="s">
        <v>156</v>
      </c>
      <c r="L295" s="153" t="s">
        <v>844</v>
      </c>
      <c r="M295" s="153" t="s">
        <v>104</v>
      </c>
      <c r="Q295" s="156" t="s">
        <v>139</v>
      </c>
      <c r="V295" s="149">
        <v>38161</v>
      </c>
      <c r="W295" s="149" t="s">
        <v>103</v>
      </c>
      <c r="X295" s="149" t="s">
        <v>103</v>
      </c>
      <c r="Y295" s="149">
        <v>40140</v>
      </c>
      <c r="Z295" s="149">
        <v>40140</v>
      </c>
      <c r="AA295" s="149">
        <v>38161</v>
      </c>
      <c r="AB295" s="763" t="s">
        <v>151</v>
      </c>
      <c r="AC295" s="594" t="s">
        <v>116</v>
      </c>
      <c r="AD295" s="153" t="s">
        <v>103</v>
      </c>
      <c r="AE295" s="149" t="s">
        <v>103</v>
      </c>
      <c r="AF295" s="598">
        <v>10</v>
      </c>
      <c r="AG295" s="598">
        <v>21</v>
      </c>
      <c r="AH295" s="595">
        <v>1449.75</v>
      </c>
      <c r="AI295" s="614">
        <v>0.27457386363636366</v>
      </c>
      <c r="AJ295" s="607">
        <v>1540</v>
      </c>
      <c r="AK295" s="153" t="s">
        <v>152</v>
      </c>
      <c r="AL295" s="791" t="s">
        <v>104</v>
      </c>
      <c r="AO295" s="963"/>
      <c r="AP295" s="1017">
        <v>1000000</v>
      </c>
      <c r="AQ295" s="574">
        <v>1274526</v>
      </c>
      <c r="AR295" s="153" t="s">
        <v>116</v>
      </c>
      <c r="AS295" s="153" t="s">
        <v>116</v>
      </c>
      <c r="AT295" s="156">
        <v>0</v>
      </c>
      <c r="AU295" s="777" t="s">
        <v>122</v>
      </c>
      <c r="AV295" s="777" t="s">
        <v>122</v>
      </c>
      <c r="AW295" s="777" t="s">
        <v>122</v>
      </c>
      <c r="AX295" s="155" t="s">
        <v>103</v>
      </c>
      <c r="AY295" s="155" t="s">
        <v>103</v>
      </c>
      <c r="AZ295" s="155" t="s">
        <v>103</v>
      </c>
      <c r="BA295" s="156">
        <v>0</v>
      </c>
      <c r="BB295" s="574">
        <f t="shared" si="62"/>
        <v>1274526</v>
      </c>
      <c r="BC295" s="780">
        <v>-274526</v>
      </c>
      <c r="BD295" s="1008" t="s">
        <v>151</v>
      </c>
      <c r="BE295" s="679">
        <v>72756</v>
      </c>
      <c r="BF295" s="153">
        <v>2013</v>
      </c>
      <c r="BG295" s="94">
        <v>1274526</v>
      </c>
      <c r="BH295" s="766" t="s">
        <v>123</v>
      </c>
      <c r="BI295" s="774">
        <v>0</v>
      </c>
      <c r="BJ295" s="774">
        <v>0</v>
      </c>
      <c r="BK295" s="153" t="s">
        <v>103</v>
      </c>
      <c r="BL295" s="153" t="s">
        <v>124</v>
      </c>
      <c r="BM295" s="94" t="s">
        <v>124</v>
      </c>
      <c r="BN295" s="155" t="s">
        <v>124</v>
      </c>
      <c r="BO295" s="153" t="s">
        <v>116</v>
      </c>
      <c r="BP295" s="153" t="s">
        <v>124</v>
      </c>
      <c r="BQ295" s="153" t="s">
        <v>103</v>
      </c>
      <c r="BR295" s="153" t="s">
        <v>110</v>
      </c>
      <c r="BS295" s="153" t="s">
        <v>110</v>
      </c>
      <c r="BT295" s="153" t="s">
        <v>110</v>
      </c>
      <c r="BU295" s="153" t="s">
        <v>110</v>
      </c>
      <c r="BV295" s="153" t="s">
        <v>110</v>
      </c>
      <c r="BW295" s="153" t="s">
        <v>110</v>
      </c>
      <c r="BX295" s="153" t="s">
        <v>110</v>
      </c>
      <c r="BY295" s="153" t="s">
        <v>117</v>
      </c>
      <c r="BZ295" s="153" t="s">
        <v>110</v>
      </c>
      <c r="CA295" s="616" t="s">
        <v>103</v>
      </c>
      <c r="CB295" s="153" t="s">
        <v>103</v>
      </c>
      <c r="CC295" s="153" t="s">
        <v>103</v>
      </c>
      <c r="CD295" s="153" t="s">
        <v>103</v>
      </c>
      <c r="CE295" s="153" t="s">
        <v>103</v>
      </c>
    </row>
    <row r="296" spans="1:83" ht="41.45" customHeight="1">
      <c r="A296" s="503"/>
      <c r="B296" s="164" t="s">
        <v>847</v>
      </c>
      <c r="C296" s="155" t="s">
        <v>848</v>
      </c>
      <c r="D296" s="153" t="s">
        <v>849</v>
      </c>
      <c r="E296" s="153">
        <v>92346</v>
      </c>
      <c r="F296" s="153">
        <v>6071012300</v>
      </c>
      <c r="G296" s="153" t="s">
        <v>110</v>
      </c>
      <c r="H296" s="153" t="s">
        <v>150</v>
      </c>
      <c r="I296" s="508" t="s">
        <v>847</v>
      </c>
      <c r="J296" s="153" t="s">
        <v>117</v>
      </c>
      <c r="K296" s="572" t="s">
        <v>130</v>
      </c>
      <c r="L296" s="153" t="s">
        <v>849</v>
      </c>
      <c r="M296" s="153" t="s">
        <v>104</v>
      </c>
      <c r="Q296" s="156" t="s">
        <v>139</v>
      </c>
      <c r="V296" s="149">
        <v>38666</v>
      </c>
      <c r="W296" s="149" t="s">
        <v>103</v>
      </c>
      <c r="X296" s="149" t="s">
        <v>103</v>
      </c>
      <c r="Y296" s="149">
        <v>39678</v>
      </c>
      <c r="Z296" s="149">
        <v>39678</v>
      </c>
      <c r="AA296" s="149">
        <v>38666</v>
      </c>
      <c r="AB296" s="763" t="s">
        <v>121</v>
      </c>
      <c r="AC296" s="594" t="s">
        <v>116</v>
      </c>
      <c r="AD296" s="153" t="s">
        <v>103</v>
      </c>
      <c r="AE296" s="149" t="s">
        <v>103</v>
      </c>
      <c r="AF296" s="596">
        <v>11</v>
      </c>
      <c r="AG296" s="596">
        <v>0</v>
      </c>
      <c r="AH296" s="595">
        <v>4049.3333333333335</v>
      </c>
      <c r="AI296" s="614">
        <v>0.766919191919192</v>
      </c>
      <c r="AJ296" s="607">
        <v>2687</v>
      </c>
      <c r="AK296" s="153" t="s">
        <v>152</v>
      </c>
      <c r="AL296" s="791" t="s">
        <v>104</v>
      </c>
      <c r="AO296" s="963"/>
      <c r="AP296" s="1017">
        <v>960000</v>
      </c>
      <c r="AQ296" s="574">
        <v>665365</v>
      </c>
      <c r="AR296" s="153" t="s">
        <v>116</v>
      </c>
      <c r="AS296" s="153" t="s">
        <v>116</v>
      </c>
      <c r="AT296" s="156">
        <v>0</v>
      </c>
      <c r="AU296" s="777" t="s">
        <v>122</v>
      </c>
      <c r="AV296" s="777" t="s">
        <v>122</v>
      </c>
      <c r="AW296" s="777" t="s">
        <v>122</v>
      </c>
      <c r="AX296" s="155" t="s">
        <v>103</v>
      </c>
      <c r="AY296" s="155" t="s">
        <v>103</v>
      </c>
      <c r="AZ296" s="155" t="s">
        <v>103</v>
      </c>
      <c r="BA296" s="156">
        <v>0</v>
      </c>
      <c r="BB296" s="574">
        <f t="shared" si="62"/>
        <v>665365</v>
      </c>
      <c r="BC296" s="780">
        <v>294635</v>
      </c>
      <c r="BD296" s="1008" t="s">
        <v>121</v>
      </c>
      <c r="BE296" s="679">
        <v>19209</v>
      </c>
      <c r="BF296" s="153">
        <v>2013</v>
      </c>
      <c r="BG296" s="94">
        <v>665365</v>
      </c>
      <c r="BH296" s="766" t="s">
        <v>123</v>
      </c>
      <c r="BI296" s="774">
        <v>0</v>
      </c>
      <c r="BJ296" s="774">
        <v>0</v>
      </c>
      <c r="BK296" s="153" t="s">
        <v>103</v>
      </c>
      <c r="BL296" s="153" t="s">
        <v>124</v>
      </c>
      <c r="BM296" s="94" t="s">
        <v>124</v>
      </c>
      <c r="BN296" s="155" t="s">
        <v>124</v>
      </c>
      <c r="BO296" s="153" t="s">
        <v>116</v>
      </c>
      <c r="BP296" s="153" t="s">
        <v>124</v>
      </c>
      <c r="BQ296" s="153" t="s">
        <v>103</v>
      </c>
      <c r="BR296" s="153" t="s">
        <v>110</v>
      </c>
      <c r="BS296" s="153" t="s">
        <v>110</v>
      </c>
      <c r="BT296" s="153" t="s">
        <v>110</v>
      </c>
      <c r="BU296" s="153" t="s">
        <v>110</v>
      </c>
      <c r="BV296" s="153" t="s">
        <v>110</v>
      </c>
      <c r="BW296" s="153" t="s">
        <v>110</v>
      </c>
      <c r="BX296" s="153" t="s">
        <v>110</v>
      </c>
      <c r="BY296" s="153" t="s">
        <v>117</v>
      </c>
      <c r="BZ296" s="153" t="s">
        <v>110</v>
      </c>
      <c r="CA296" s="616" t="s">
        <v>103</v>
      </c>
      <c r="CB296" s="153" t="s">
        <v>103</v>
      </c>
      <c r="CC296" s="153" t="s">
        <v>103</v>
      </c>
      <c r="CD296" s="153" t="s">
        <v>103</v>
      </c>
      <c r="CE296" s="153" t="s">
        <v>103</v>
      </c>
    </row>
    <row r="297" spans="1:83" ht="41.45" customHeight="1">
      <c r="A297" s="503"/>
      <c r="B297" s="164" t="s">
        <v>850</v>
      </c>
      <c r="C297" s="155" t="s">
        <v>851</v>
      </c>
      <c r="D297" s="153" t="s">
        <v>852</v>
      </c>
      <c r="E297" s="153">
        <v>92407</v>
      </c>
      <c r="F297" s="153">
        <v>6071005100</v>
      </c>
      <c r="G297" s="153" t="s">
        <v>104</v>
      </c>
      <c r="H297" s="153" t="s">
        <v>150</v>
      </c>
      <c r="I297" s="508" t="str">
        <f>B297</f>
        <v>40th Street/ Electric Ave to Johnson Street</v>
      </c>
      <c r="J297" s="153" t="s">
        <v>117</v>
      </c>
      <c r="K297" s="572" t="s">
        <v>150</v>
      </c>
      <c r="L297" s="153" t="s">
        <v>852</v>
      </c>
      <c r="M297" s="153" t="s">
        <v>110</v>
      </c>
      <c r="Q297" s="989" t="s">
        <v>131</v>
      </c>
      <c r="V297" s="149">
        <v>43586</v>
      </c>
      <c r="W297" s="149">
        <v>43707</v>
      </c>
      <c r="X297" s="149">
        <v>44322</v>
      </c>
      <c r="Y297" s="149">
        <v>44624</v>
      </c>
      <c r="Z297" s="149" t="s">
        <v>103</v>
      </c>
      <c r="AA297" s="149">
        <v>43586</v>
      </c>
      <c r="AB297" s="153" t="s">
        <v>103</v>
      </c>
      <c r="AC297" s="594">
        <f t="shared" ref="AC297" si="63">W297-V297</f>
        <v>121</v>
      </c>
      <c r="AD297" s="149">
        <v>44322</v>
      </c>
      <c r="AE297" s="149" t="s">
        <v>103</v>
      </c>
      <c r="AF297" s="596" t="s">
        <v>256</v>
      </c>
      <c r="AG297" s="596" t="s">
        <v>258</v>
      </c>
      <c r="AH297" s="595" t="s">
        <v>256</v>
      </c>
      <c r="AI297" s="614" t="s">
        <v>256</v>
      </c>
      <c r="AJ297" s="607" t="s">
        <v>258</v>
      </c>
      <c r="AK297" s="153" t="s">
        <v>120</v>
      </c>
      <c r="AL297" s="791" t="s">
        <v>116</v>
      </c>
      <c r="AO297" s="963"/>
      <c r="AP297" s="1017">
        <v>2600000</v>
      </c>
      <c r="AQ297" s="574">
        <v>0</v>
      </c>
      <c r="AR297" s="153" t="s">
        <v>116</v>
      </c>
      <c r="AS297" s="153" t="s">
        <v>116</v>
      </c>
      <c r="AT297" s="777" t="s">
        <v>122</v>
      </c>
      <c r="AU297" s="777" t="s">
        <v>122</v>
      </c>
      <c r="AV297" s="777" t="s">
        <v>122</v>
      </c>
      <c r="AW297" s="777" t="s">
        <v>122</v>
      </c>
      <c r="AX297" s="155" t="s">
        <v>103</v>
      </c>
      <c r="AY297" s="155" t="s">
        <v>103</v>
      </c>
      <c r="AZ297" s="155" t="s">
        <v>103</v>
      </c>
      <c r="BA297" s="156" t="s">
        <v>150</v>
      </c>
      <c r="BB297" s="153" t="s">
        <v>150</v>
      </c>
      <c r="BC297" s="780" t="s">
        <v>150</v>
      </c>
      <c r="BD297" s="156" t="s">
        <v>116</v>
      </c>
      <c r="BE297" s="679" t="s">
        <v>103</v>
      </c>
      <c r="BF297" s="153" t="s">
        <v>103</v>
      </c>
      <c r="BG297" s="94" t="s">
        <v>150</v>
      </c>
      <c r="BH297" s="766">
        <v>2845982.7373393197</v>
      </c>
      <c r="BI297" s="774">
        <v>0</v>
      </c>
      <c r="BJ297" s="774">
        <v>0</v>
      </c>
      <c r="BK297" s="153" t="s">
        <v>103</v>
      </c>
      <c r="BL297" s="153" t="s">
        <v>103</v>
      </c>
      <c r="BM297" s="94" t="s">
        <v>103</v>
      </c>
      <c r="BN297" s="155" t="s">
        <v>103</v>
      </c>
      <c r="BO297" s="153" t="s">
        <v>103</v>
      </c>
      <c r="BP297" s="153" t="s">
        <v>103</v>
      </c>
      <c r="BQ297" s="153" t="s">
        <v>103</v>
      </c>
      <c r="BR297" s="153" t="s">
        <v>124</v>
      </c>
      <c r="BS297" s="153" t="s">
        <v>124</v>
      </c>
      <c r="BT297" s="153" t="s">
        <v>124</v>
      </c>
      <c r="BU297" s="153" t="s">
        <v>124</v>
      </c>
      <c r="BV297" s="153" t="s">
        <v>124</v>
      </c>
      <c r="BW297" s="153" t="s">
        <v>124</v>
      </c>
      <c r="BX297" s="153" t="s">
        <v>124</v>
      </c>
      <c r="BY297" s="153" t="s">
        <v>124</v>
      </c>
      <c r="BZ297" s="153" t="s">
        <v>124</v>
      </c>
      <c r="CA297" s="153" t="s">
        <v>124</v>
      </c>
      <c r="CB297" s="153" t="s">
        <v>124</v>
      </c>
      <c r="CC297" s="153" t="s">
        <v>124</v>
      </c>
      <c r="CD297" s="153" t="s">
        <v>124</v>
      </c>
      <c r="CE297" s="153" t="s">
        <v>124</v>
      </c>
    </row>
    <row r="298" spans="1:83" ht="27.6" customHeight="1">
      <c r="A298" s="503" t="s">
        <v>853</v>
      </c>
      <c r="B298" s="164" t="s">
        <v>854</v>
      </c>
      <c r="C298" s="155" t="s">
        <v>855</v>
      </c>
      <c r="D298" s="153" t="s">
        <v>856</v>
      </c>
      <c r="E298" s="153">
        <v>92277</v>
      </c>
      <c r="F298" s="153">
        <v>6071010421</v>
      </c>
      <c r="G298" s="153" t="s">
        <v>110</v>
      </c>
      <c r="H298" s="674">
        <v>0.22071065989847716</v>
      </c>
      <c r="I298" s="508" t="s">
        <v>854</v>
      </c>
      <c r="J298" s="153" t="s">
        <v>117</v>
      </c>
      <c r="K298" s="572" t="s">
        <v>205</v>
      </c>
      <c r="L298" s="153" t="s">
        <v>856</v>
      </c>
      <c r="M298" s="153" t="s">
        <v>110</v>
      </c>
      <c r="N298" s="156">
        <v>1</v>
      </c>
      <c r="P298" s="156">
        <v>0</v>
      </c>
      <c r="Q298" s="156" t="s">
        <v>244</v>
      </c>
      <c r="R298" s="156">
        <v>0</v>
      </c>
      <c r="S298" s="156">
        <v>0</v>
      </c>
      <c r="T298" s="958" t="s">
        <v>105</v>
      </c>
      <c r="U298" s="153" t="s">
        <v>110</v>
      </c>
      <c r="V298" s="149">
        <v>42016</v>
      </c>
      <c r="W298" s="149" t="s">
        <v>103</v>
      </c>
      <c r="X298" s="149" t="s">
        <v>103</v>
      </c>
      <c r="Y298" s="149">
        <v>43174</v>
      </c>
      <c r="Z298" s="149" t="s">
        <v>103</v>
      </c>
      <c r="AA298" s="149">
        <v>42016</v>
      </c>
      <c r="AB298" s="153" t="s">
        <v>103</v>
      </c>
      <c r="AC298" s="594" t="s">
        <v>116</v>
      </c>
      <c r="AD298" s="149" t="s">
        <v>103</v>
      </c>
      <c r="AE298" s="149">
        <v>43186</v>
      </c>
      <c r="AF298" s="153" t="s">
        <v>103</v>
      </c>
      <c r="AG298" s="153" t="s">
        <v>103</v>
      </c>
      <c r="AH298" s="596" t="s">
        <v>103</v>
      </c>
      <c r="AI298" s="960" t="s">
        <v>103</v>
      </c>
      <c r="AJ298" s="607">
        <v>2310</v>
      </c>
      <c r="AK298" s="153" t="s">
        <v>120</v>
      </c>
      <c r="AL298" s="791" t="s">
        <v>104</v>
      </c>
      <c r="AO298" s="963"/>
      <c r="AP298" s="94">
        <v>1400000</v>
      </c>
      <c r="AQ298" s="574">
        <v>0</v>
      </c>
      <c r="AR298" s="153" t="s">
        <v>116</v>
      </c>
      <c r="AS298" s="153" t="s">
        <v>116</v>
      </c>
      <c r="AT298" s="156">
        <v>0</v>
      </c>
      <c r="AU298" s="777" t="s">
        <v>122</v>
      </c>
      <c r="AV298" s="777" t="s">
        <v>122</v>
      </c>
      <c r="AW298" s="777" t="s">
        <v>122</v>
      </c>
      <c r="AX298" s="155" t="s">
        <v>103</v>
      </c>
      <c r="AY298" s="155" t="s">
        <v>103</v>
      </c>
      <c r="AZ298" s="155" t="s">
        <v>103</v>
      </c>
      <c r="BA298" s="156">
        <v>0</v>
      </c>
      <c r="BB298" s="153"/>
      <c r="BC298" s="780" t="s">
        <v>103</v>
      </c>
      <c r="BD298" s="153" t="s">
        <v>103</v>
      </c>
      <c r="BE298" s="679" t="s">
        <v>103</v>
      </c>
      <c r="BF298" s="156" t="s">
        <v>103</v>
      </c>
      <c r="BG298" s="94">
        <v>50736.59</v>
      </c>
      <c r="BH298" s="766">
        <v>1150296</v>
      </c>
      <c r="BI298" s="774">
        <v>249704</v>
      </c>
      <c r="BJ298" s="774">
        <v>0</v>
      </c>
      <c r="BK298" s="153" t="s">
        <v>103</v>
      </c>
      <c r="BL298" s="153" t="s">
        <v>124</v>
      </c>
      <c r="BM298" s="94" t="s">
        <v>103</v>
      </c>
      <c r="BN298" s="155" t="s">
        <v>103</v>
      </c>
      <c r="BO298" s="153" t="s">
        <v>103</v>
      </c>
      <c r="BP298" s="153" t="s">
        <v>103</v>
      </c>
      <c r="BQ298" s="153" t="s">
        <v>103</v>
      </c>
      <c r="BR298" s="153" t="s">
        <v>110</v>
      </c>
      <c r="BS298" s="153" t="s">
        <v>110</v>
      </c>
      <c r="BT298" s="153" t="s">
        <v>110</v>
      </c>
      <c r="BU298" s="153" t="s">
        <v>110</v>
      </c>
      <c r="BV298" s="153" t="s">
        <v>110</v>
      </c>
      <c r="BW298" s="153" t="s">
        <v>104</v>
      </c>
      <c r="BX298" s="153" t="s">
        <v>110</v>
      </c>
      <c r="BY298" s="153" t="s">
        <v>103</v>
      </c>
      <c r="BZ298" s="153" t="s">
        <v>110</v>
      </c>
      <c r="CA298" s="616" t="s">
        <v>103</v>
      </c>
      <c r="CB298" s="153" t="s">
        <v>103</v>
      </c>
      <c r="CC298" s="153" t="s">
        <v>103</v>
      </c>
      <c r="CD298" s="153" t="s">
        <v>103</v>
      </c>
      <c r="CE298" s="153" t="s">
        <v>103</v>
      </c>
    </row>
    <row r="299" spans="1:83" ht="27.6" customHeight="1">
      <c r="A299" s="503"/>
      <c r="B299" s="164" t="s">
        <v>857</v>
      </c>
      <c r="C299" s="155" t="s">
        <v>858</v>
      </c>
      <c r="D299" s="153" t="s">
        <v>859</v>
      </c>
      <c r="E299" s="153">
        <v>92277</v>
      </c>
      <c r="F299" s="153">
        <v>6071010421</v>
      </c>
      <c r="H299" s="153" t="s">
        <v>150</v>
      </c>
      <c r="I299" s="508" t="s">
        <v>860</v>
      </c>
      <c r="J299" s="153" t="s">
        <v>117</v>
      </c>
      <c r="K299" s="572" t="s">
        <v>283</v>
      </c>
      <c r="L299" s="153" t="str">
        <f>D299</f>
        <v>18-02</v>
      </c>
      <c r="M299" s="153" t="s">
        <v>110</v>
      </c>
      <c r="Q299" s="989" t="s">
        <v>131</v>
      </c>
      <c r="V299" s="149">
        <v>43186</v>
      </c>
      <c r="W299" s="149">
        <v>43532</v>
      </c>
      <c r="X299" s="149">
        <v>43993</v>
      </c>
      <c r="Y299" s="149">
        <v>44295</v>
      </c>
      <c r="Z299" s="149" t="s">
        <v>103</v>
      </c>
      <c r="AA299" s="149">
        <v>43186</v>
      </c>
      <c r="AB299" s="153" t="s">
        <v>103</v>
      </c>
      <c r="AC299" s="594">
        <f t="shared" ref="AC299" si="64">W299-V299</f>
        <v>346</v>
      </c>
      <c r="AD299" s="149">
        <v>44295</v>
      </c>
      <c r="AE299" s="149" t="s">
        <v>103</v>
      </c>
      <c r="AF299" s="153" t="s">
        <v>256</v>
      </c>
      <c r="AG299" s="153" t="s">
        <v>258</v>
      </c>
      <c r="AH299" s="596" t="s">
        <v>256</v>
      </c>
      <c r="AI299" s="960" t="s">
        <v>256</v>
      </c>
      <c r="AJ299" s="607">
        <v>2260</v>
      </c>
      <c r="AK299" s="153" t="s">
        <v>120</v>
      </c>
      <c r="AL299" s="791" t="s">
        <v>116</v>
      </c>
      <c r="AO299" s="963"/>
      <c r="AP299" s="94">
        <v>1600000</v>
      </c>
      <c r="AQ299" s="574" t="s">
        <v>150</v>
      </c>
      <c r="AR299" s="153" t="s">
        <v>116</v>
      </c>
      <c r="AS299" s="153" t="s">
        <v>116</v>
      </c>
      <c r="AT299" s="777" t="s">
        <v>122</v>
      </c>
      <c r="AU299" s="777" t="s">
        <v>122</v>
      </c>
      <c r="AV299" s="777" t="s">
        <v>122</v>
      </c>
      <c r="AW299" s="777" t="s">
        <v>122</v>
      </c>
      <c r="AX299" s="155" t="s">
        <v>103</v>
      </c>
      <c r="AY299" s="155" t="s">
        <v>103</v>
      </c>
      <c r="AZ299" s="155" t="s">
        <v>103</v>
      </c>
      <c r="BA299" s="156">
        <v>0</v>
      </c>
      <c r="BB299" s="153" t="s">
        <v>150</v>
      </c>
      <c r="BC299" s="780" t="s">
        <v>150</v>
      </c>
      <c r="BD299" s="153" t="s">
        <v>116</v>
      </c>
      <c r="BE299" s="679" t="s">
        <v>116</v>
      </c>
      <c r="BF299" s="156" t="s">
        <v>116</v>
      </c>
      <c r="BG299" s="94" t="s">
        <v>150</v>
      </c>
      <c r="BH299" s="766">
        <v>1373419.3358991516</v>
      </c>
      <c r="BI299" s="774">
        <f>1600000-BH299</f>
        <v>226580.66410084837</v>
      </c>
      <c r="BJ299" s="774">
        <v>0</v>
      </c>
      <c r="BK299" s="153" t="s">
        <v>103</v>
      </c>
      <c r="BL299" s="153" t="s">
        <v>103</v>
      </c>
      <c r="BM299" s="94" t="s">
        <v>103</v>
      </c>
      <c r="BN299" s="155" t="s">
        <v>103</v>
      </c>
      <c r="BO299" s="153" t="s">
        <v>103</v>
      </c>
      <c r="BP299" s="153" t="s">
        <v>103</v>
      </c>
      <c r="BQ299" s="153" t="s">
        <v>103</v>
      </c>
      <c r="BR299" s="153" t="s">
        <v>256</v>
      </c>
      <c r="BS299" s="153" t="s">
        <v>256</v>
      </c>
      <c r="BT299" s="153" t="s">
        <v>256</v>
      </c>
      <c r="BU299" s="153" t="s">
        <v>256</v>
      </c>
      <c r="BV299" s="153" t="s">
        <v>256</v>
      </c>
      <c r="BW299" s="153" t="s">
        <v>256</v>
      </c>
      <c r="BX299" s="153" t="s">
        <v>256</v>
      </c>
      <c r="BY299" s="153" t="s">
        <v>256</v>
      </c>
      <c r="BZ299" s="153" t="s">
        <v>256</v>
      </c>
      <c r="CA299" s="616" t="s">
        <v>256</v>
      </c>
      <c r="CB299" s="153" t="s">
        <v>256</v>
      </c>
      <c r="CC299" s="153" t="s">
        <v>256</v>
      </c>
      <c r="CD299" s="153" t="s">
        <v>256</v>
      </c>
      <c r="CE299" s="153" t="s">
        <v>256</v>
      </c>
    </row>
    <row r="300" spans="1:83" ht="14.1" customHeight="1">
      <c r="A300" s="503" t="s">
        <v>861</v>
      </c>
      <c r="B300" s="164" t="s">
        <v>103</v>
      </c>
      <c r="C300" s="155" t="s">
        <v>103</v>
      </c>
      <c r="D300" s="153" t="s">
        <v>103</v>
      </c>
      <c r="E300" s="153" t="s">
        <v>103</v>
      </c>
      <c r="F300" s="958" t="s">
        <v>103</v>
      </c>
      <c r="G300" s="153" t="s">
        <v>104</v>
      </c>
      <c r="H300" s="673">
        <v>0.19268909762410213</v>
      </c>
      <c r="I300" s="508" t="s">
        <v>103</v>
      </c>
      <c r="J300" s="958" t="s">
        <v>103</v>
      </c>
      <c r="K300" s="958" t="s">
        <v>103</v>
      </c>
      <c r="L300" s="155" t="s">
        <v>103</v>
      </c>
      <c r="M300" s="155" t="s">
        <v>103</v>
      </c>
      <c r="N300" s="156">
        <v>0</v>
      </c>
      <c r="O300" s="156" t="s">
        <v>103</v>
      </c>
      <c r="P300" s="156">
        <v>0</v>
      </c>
      <c r="Q300" s="958" t="s">
        <v>103</v>
      </c>
      <c r="R300" s="156">
        <v>0</v>
      </c>
      <c r="S300" s="156">
        <v>0</v>
      </c>
      <c r="T300" s="958" t="s">
        <v>105</v>
      </c>
      <c r="U300" s="153" t="s">
        <v>104</v>
      </c>
      <c r="V300" s="518" t="s">
        <v>103</v>
      </c>
      <c r="W300" s="991" t="s">
        <v>103</v>
      </c>
      <c r="X300" s="991" t="s">
        <v>103</v>
      </c>
      <c r="Y300" s="991" t="s">
        <v>103</v>
      </c>
      <c r="Z300" s="518" t="s">
        <v>103</v>
      </c>
      <c r="AA300" s="991" t="s">
        <v>103</v>
      </c>
      <c r="AB300" s="155" t="s">
        <v>103</v>
      </c>
      <c r="AC300" s="959" t="s">
        <v>116</v>
      </c>
      <c r="AD300" s="155" t="s">
        <v>103</v>
      </c>
      <c r="AE300" s="155" t="s">
        <v>103</v>
      </c>
      <c r="AF300" s="155" t="s">
        <v>103</v>
      </c>
      <c r="AG300" s="155" t="s">
        <v>103</v>
      </c>
      <c r="AH300" s="992" t="s">
        <v>103</v>
      </c>
      <c r="AI300" s="960" t="s">
        <v>103</v>
      </c>
      <c r="AJ300" s="992" t="s">
        <v>103</v>
      </c>
      <c r="AK300" s="155" t="s">
        <v>103</v>
      </c>
      <c r="AL300" s="993" t="s">
        <v>103</v>
      </c>
      <c r="AM300" s="155"/>
      <c r="AN300" s="155"/>
      <c r="AO300" s="994"/>
      <c r="AP300" s="94">
        <v>0</v>
      </c>
      <c r="AQ300" s="578">
        <v>0</v>
      </c>
      <c r="AR300" s="155" t="s">
        <v>103</v>
      </c>
      <c r="AS300" s="155" t="s">
        <v>103</v>
      </c>
      <c r="AT300" s="155" t="s">
        <v>103</v>
      </c>
      <c r="AU300" s="155" t="s">
        <v>103</v>
      </c>
      <c r="AV300" s="155" t="s">
        <v>103</v>
      </c>
      <c r="AW300" s="155" t="s">
        <v>103</v>
      </c>
      <c r="AX300" s="155" t="s">
        <v>103</v>
      </c>
      <c r="AY300" s="155" t="s">
        <v>103</v>
      </c>
      <c r="AZ300" s="155" t="s">
        <v>103</v>
      </c>
      <c r="BA300" s="155" t="s">
        <v>103</v>
      </c>
      <c r="BB300" s="155" t="s">
        <v>103</v>
      </c>
      <c r="BC300" s="155" t="s">
        <v>103</v>
      </c>
      <c r="BD300" s="155" t="s">
        <v>103</v>
      </c>
      <c r="BE300" s="989" t="s">
        <v>103</v>
      </c>
      <c r="BF300" s="155" t="s">
        <v>103</v>
      </c>
      <c r="BG300" s="961">
        <v>0</v>
      </c>
      <c r="BH300" s="155" t="s">
        <v>103</v>
      </c>
      <c r="BI300" s="990" t="s">
        <v>103</v>
      </c>
      <c r="BJ300" s="155" t="s">
        <v>103</v>
      </c>
      <c r="BK300" s="155" t="s">
        <v>103</v>
      </c>
      <c r="BL300" s="155" t="s">
        <v>103</v>
      </c>
      <c r="BM300" s="155" t="s">
        <v>103</v>
      </c>
      <c r="BN300" s="155" t="s">
        <v>103</v>
      </c>
      <c r="BO300" s="155" t="s">
        <v>103</v>
      </c>
      <c r="BP300" s="155" t="s">
        <v>103</v>
      </c>
      <c r="BQ300" s="155" t="s">
        <v>103</v>
      </c>
      <c r="BR300" s="155" t="s">
        <v>103</v>
      </c>
      <c r="BS300" s="155" t="s">
        <v>103</v>
      </c>
      <c r="BT300" s="155" t="s">
        <v>103</v>
      </c>
      <c r="BU300" s="155" t="s">
        <v>103</v>
      </c>
      <c r="BV300" s="155" t="s">
        <v>103</v>
      </c>
      <c r="BW300" s="155" t="s">
        <v>103</v>
      </c>
      <c r="BX300" s="155" t="s">
        <v>103</v>
      </c>
      <c r="BY300" s="155" t="s">
        <v>103</v>
      </c>
      <c r="BZ300" s="155" t="s">
        <v>103</v>
      </c>
      <c r="CA300" s="155" t="s">
        <v>103</v>
      </c>
      <c r="CB300" s="155" t="s">
        <v>103</v>
      </c>
      <c r="CC300" s="155" t="s">
        <v>103</v>
      </c>
      <c r="CD300" s="155" t="s">
        <v>103</v>
      </c>
      <c r="CE300" s="155" t="s">
        <v>103</v>
      </c>
    </row>
    <row r="301" spans="1:83" ht="27.6" customHeight="1">
      <c r="A301" s="503" t="s">
        <v>862</v>
      </c>
      <c r="B301" s="164" t="s">
        <v>863</v>
      </c>
      <c r="C301" s="155" t="s">
        <v>864</v>
      </c>
      <c r="D301" s="153" t="s">
        <v>865</v>
      </c>
      <c r="E301" s="153">
        <v>92394</v>
      </c>
      <c r="F301" s="153">
        <v>6071010025</v>
      </c>
      <c r="G301" s="153" t="s">
        <v>110</v>
      </c>
      <c r="H301" s="674">
        <v>0.25754221469809435</v>
      </c>
      <c r="I301" s="508" t="s">
        <v>863</v>
      </c>
      <c r="J301" s="153" t="s">
        <v>117</v>
      </c>
      <c r="K301" s="572" t="s">
        <v>437</v>
      </c>
      <c r="L301" s="153" t="s">
        <v>865</v>
      </c>
      <c r="M301" s="153" t="s">
        <v>104</v>
      </c>
      <c r="N301" s="156">
        <v>2</v>
      </c>
      <c r="P301" s="156">
        <v>0</v>
      </c>
      <c r="Q301" s="156" t="s">
        <v>139</v>
      </c>
      <c r="R301" s="156">
        <v>0</v>
      </c>
      <c r="S301" s="156">
        <v>1</v>
      </c>
      <c r="T301" s="958" t="s">
        <v>105</v>
      </c>
      <c r="U301" s="153" t="s">
        <v>104</v>
      </c>
      <c r="V301" s="149">
        <v>38461</v>
      </c>
      <c r="W301" s="149" t="s">
        <v>103</v>
      </c>
      <c r="X301" s="149" t="s">
        <v>103</v>
      </c>
      <c r="Y301" s="149">
        <v>40001</v>
      </c>
      <c r="Z301" s="149">
        <v>40001</v>
      </c>
      <c r="AA301" s="149">
        <v>38461</v>
      </c>
      <c r="AB301" s="763" t="s">
        <v>121</v>
      </c>
      <c r="AC301" s="594" t="s">
        <v>116</v>
      </c>
      <c r="AD301" s="153" t="s">
        <v>103</v>
      </c>
      <c r="AE301" s="149" t="s">
        <v>103</v>
      </c>
      <c r="AF301" s="596">
        <v>27</v>
      </c>
      <c r="AG301" s="596">
        <v>39</v>
      </c>
      <c r="AH301" s="595">
        <v>8205.3333333333339</v>
      </c>
      <c r="AI301" s="614">
        <v>1.5540404040404041</v>
      </c>
      <c r="AJ301" s="607">
        <v>7419</v>
      </c>
      <c r="AK301" s="153" t="s">
        <v>120</v>
      </c>
      <c r="AL301" s="791" t="s">
        <v>104</v>
      </c>
      <c r="AO301" s="963"/>
      <c r="AP301" s="1017">
        <v>1500000</v>
      </c>
      <c r="AQ301" s="574">
        <v>1300537</v>
      </c>
      <c r="AR301" s="153" t="s">
        <v>116</v>
      </c>
      <c r="AS301" s="153" t="s">
        <v>116</v>
      </c>
      <c r="AT301" s="156">
        <v>0</v>
      </c>
      <c r="AU301" s="777" t="s">
        <v>122</v>
      </c>
      <c r="AV301" s="777" t="s">
        <v>122</v>
      </c>
      <c r="AW301" s="777" t="s">
        <v>122</v>
      </c>
      <c r="AX301" s="155" t="s">
        <v>103</v>
      </c>
      <c r="AY301" s="155" t="s">
        <v>103</v>
      </c>
      <c r="AZ301" s="155" t="s">
        <v>103</v>
      </c>
      <c r="BA301" s="156">
        <v>0</v>
      </c>
      <c r="BB301" s="574">
        <f t="shared" ref="BB301" si="65">AQ301</f>
        <v>1300537</v>
      </c>
      <c r="BC301" s="780">
        <v>199463</v>
      </c>
      <c r="BD301" s="1008" t="s">
        <v>121</v>
      </c>
      <c r="BE301" s="679">
        <v>1792</v>
      </c>
      <c r="BF301" s="153">
        <v>2012</v>
      </c>
      <c r="BG301" s="94">
        <v>1300537</v>
      </c>
      <c r="BH301" s="766" t="s">
        <v>123</v>
      </c>
      <c r="BI301" s="774">
        <v>0</v>
      </c>
      <c r="BJ301" s="774">
        <v>0</v>
      </c>
      <c r="BK301" s="153" t="s">
        <v>103</v>
      </c>
      <c r="BL301" s="153" t="s">
        <v>124</v>
      </c>
      <c r="BM301" s="94" t="s">
        <v>103</v>
      </c>
      <c r="BN301" s="155" t="s">
        <v>103</v>
      </c>
      <c r="BO301" s="153" t="s">
        <v>103</v>
      </c>
      <c r="BP301" s="153" t="s">
        <v>103</v>
      </c>
      <c r="BQ301" s="153" t="s">
        <v>103</v>
      </c>
      <c r="BR301" s="153" t="s">
        <v>110</v>
      </c>
      <c r="BS301" s="153" t="s">
        <v>110</v>
      </c>
      <c r="BT301" s="153" t="s">
        <v>110</v>
      </c>
      <c r="BU301" s="153" t="s">
        <v>110</v>
      </c>
      <c r="BV301" s="153" t="s">
        <v>110</v>
      </c>
      <c r="BW301" s="153" t="s">
        <v>110</v>
      </c>
      <c r="BX301" s="153" t="s">
        <v>110</v>
      </c>
      <c r="BY301" s="153" t="s">
        <v>117</v>
      </c>
      <c r="BZ301" s="153" t="s">
        <v>110</v>
      </c>
      <c r="CA301" s="616" t="s">
        <v>103</v>
      </c>
      <c r="CB301" s="153" t="s">
        <v>103</v>
      </c>
      <c r="CC301" s="153" t="s">
        <v>103</v>
      </c>
      <c r="CD301" s="153" t="s">
        <v>103</v>
      </c>
      <c r="CE301" s="153" t="s">
        <v>103</v>
      </c>
    </row>
    <row r="302" spans="1:83" ht="55.5" customHeight="1">
      <c r="A302" s="503"/>
      <c r="B302" s="164" t="s">
        <v>866</v>
      </c>
      <c r="C302" s="155" t="s">
        <v>867</v>
      </c>
      <c r="D302" s="153" t="s">
        <v>868</v>
      </c>
      <c r="E302" s="153">
        <v>92394</v>
      </c>
      <c r="F302" s="153">
        <v>6071010025</v>
      </c>
      <c r="H302" s="153" t="s">
        <v>150</v>
      </c>
      <c r="I302" s="508" t="str">
        <f>B302</f>
        <v>Nisqualli/ Arrowhead to 7th</v>
      </c>
      <c r="J302" s="153" t="s">
        <v>117</v>
      </c>
      <c r="K302" s="572" t="s">
        <v>205</v>
      </c>
      <c r="L302" s="153" t="s">
        <v>868</v>
      </c>
      <c r="M302" s="153" t="s">
        <v>110</v>
      </c>
      <c r="Q302" s="989" t="s">
        <v>131</v>
      </c>
      <c r="V302" s="149">
        <v>43739</v>
      </c>
      <c r="W302" s="149">
        <v>43755</v>
      </c>
      <c r="X302" s="149">
        <v>44370</v>
      </c>
      <c r="Y302" s="149">
        <v>44672</v>
      </c>
      <c r="Z302" s="149" t="s">
        <v>103</v>
      </c>
      <c r="AA302" s="149">
        <v>43739</v>
      </c>
      <c r="AB302" s="155" t="s">
        <v>103</v>
      </c>
      <c r="AC302" s="594">
        <f t="shared" ref="AC302" si="66">W302-V302</f>
        <v>16</v>
      </c>
      <c r="AD302" s="149">
        <v>44672</v>
      </c>
      <c r="AE302" s="149" t="s">
        <v>103</v>
      </c>
      <c r="AF302" s="596" t="s">
        <v>256</v>
      </c>
      <c r="AG302" s="596" t="s">
        <v>258</v>
      </c>
      <c r="AH302" s="595" t="s">
        <v>256</v>
      </c>
      <c r="AI302" s="614" t="s">
        <v>256</v>
      </c>
      <c r="AJ302" s="607">
        <v>980</v>
      </c>
      <c r="AK302" s="153" t="s">
        <v>120</v>
      </c>
      <c r="AL302" s="791" t="s">
        <v>116</v>
      </c>
      <c r="AO302" s="963"/>
      <c r="AP302" s="1017">
        <v>1000000</v>
      </c>
      <c r="AQ302" s="574" t="s">
        <v>150</v>
      </c>
      <c r="AR302" s="153" t="s">
        <v>116</v>
      </c>
      <c r="AS302" s="153" t="s">
        <v>116</v>
      </c>
      <c r="AT302" s="777" t="s">
        <v>122</v>
      </c>
      <c r="AU302" s="777" t="s">
        <v>122</v>
      </c>
      <c r="AV302" s="777" t="s">
        <v>122</v>
      </c>
      <c r="AW302" s="777" t="s">
        <v>122</v>
      </c>
      <c r="AX302" s="155" t="s">
        <v>103</v>
      </c>
      <c r="AY302" s="155" t="s">
        <v>103</v>
      </c>
      <c r="AZ302" s="155" t="s">
        <v>103</v>
      </c>
      <c r="BA302" s="156" t="s">
        <v>150</v>
      </c>
      <c r="BB302" s="153" t="s">
        <v>150</v>
      </c>
      <c r="BC302" s="780" t="s">
        <v>150</v>
      </c>
      <c r="BD302" s="153" t="s">
        <v>116</v>
      </c>
      <c r="BE302" s="679" t="s">
        <v>116</v>
      </c>
      <c r="BF302" s="153" t="s">
        <v>116</v>
      </c>
      <c r="BG302" s="94" t="s">
        <v>150</v>
      </c>
      <c r="BH302" s="766">
        <v>600125.43878146308</v>
      </c>
      <c r="BI302" s="774">
        <f>1000000-BH302</f>
        <v>399874.56121853692</v>
      </c>
      <c r="BJ302" s="774">
        <v>0</v>
      </c>
      <c r="BK302" s="153" t="s">
        <v>103</v>
      </c>
      <c r="BL302" s="153" t="s">
        <v>103</v>
      </c>
      <c r="BM302" s="94" t="s">
        <v>103</v>
      </c>
      <c r="BN302" s="155" t="s">
        <v>103</v>
      </c>
      <c r="BO302" s="153" t="s">
        <v>103</v>
      </c>
      <c r="BP302" s="153" t="s">
        <v>103</v>
      </c>
      <c r="BQ302" s="153" t="s">
        <v>103</v>
      </c>
      <c r="BR302" s="153" t="s">
        <v>124</v>
      </c>
      <c r="BS302" s="153" t="s">
        <v>124</v>
      </c>
      <c r="BT302" s="153" t="s">
        <v>124</v>
      </c>
      <c r="BU302" s="153" t="s">
        <v>124</v>
      </c>
      <c r="BV302" s="153" t="s">
        <v>124</v>
      </c>
      <c r="BW302" s="153" t="s">
        <v>116</v>
      </c>
      <c r="BX302" s="153" t="s">
        <v>124</v>
      </c>
      <c r="BY302" s="153" t="s">
        <v>124</v>
      </c>
      <c r="BZ302" s="153" t="s">
        <v>124</v>
      </c>
      <c r="CA302" s="616" t="s">
        <v>116</v>
      </c>
      <c r="CB302" s="153" t="s">
        <v>124</v>
      </c>
      <c r="CC302" s="153" t="s">
        <v>124</v>
      </c>
      <c r="CD302" s="153" t="s">
        <v>116</v>
      </c>
      <c r="CE302" s="153" t="s">
        <v>116</v>
      </c>
    </row>
    <row r="303" spans="1:83" ht="14.1" customHeight="1">
      <c r="A303" s="503" t="s">
        <v>869</v>
      </c>
      <c r="B303" s="164" t="s">
        <v>103</v>
      </c>
      <c r="C303" s="155" t="s">
        <v>103</v>
      </c>
      <c r="D303" s="153" t="s">
        <v>103</v>
      </c>
      <c r="E303" s="153" t="s">
        <v>103</v>
      </c>
      <c r="F303" s="958" t="s">
        <v>103</v>
      </c>
      <c r="G303" s="153" t="s">
        <v>110</v>
      </c>
      <c r="H303" s="673">
        <v>0.18783958602846054</v>
      </c>
      <c r="I303" s="508" t="s">
        <v>103</v>
      </c>
      <c r="J303" s="958" t="s">
        <v>103</v>
      </c>
      <c r="K303" s="958" t="s">
        <v>103</v>
      </c>
      <c r="L303" s="155" t="s">
        <v>865</v>
      </c>
      <c r="M303" s="155" t="s">
        <v>103</v>
      </c>
      <c r="N303" s="156">
        <v>0</v>
      </c>
      <c r="O303" s="156" t="s">
        <v>103</v>
      </c>
      <c r="P303" s="156">
        <v>0</v>
      </c>
      <c r="Q303" s="958" t="s">
        <v>103</v>
      </c>
      <c r="R303" s="156">
        <v>0</v>
      </c>
      <c r="S303" s="156">
        <v>0</v>
      </c>
      <c r="T303" s="958" t="s">
        <v>105</v>
      </c>
      <c r="U303" s="153" t="s">
        <v>110</v>
      </c>
      <c r="V303" s="518" t="s">
        <v>103</v>
      </c>
      <c r="W303" s="991" t="s">
        <v>103</v>
      </c>
      <c r="X303" s="991" t="s">
        <v>103</v>
      </c>
      <c r="Y303" s="991" t="s">
        <v>103</v>
      </c>
      <c r="Z303" s="518" t="s">
        <v>103</v>
      </c>
      <c r="AA303" s="991" t="s">
        <v>103</v>
      </c>
      <c r="AB303" s="155" t="s">
        <v>103</v>
      </c>
      <c r="AC303" s="959" t="s">
        <v>116</v>
      </c>
      <c r="AD303" s="155" t="s">
        <v>103</v>
      </c>
      <c r="AE303" s="155" t="s">
        <v>103</v>
      </c>
      <c r="AF303" s="155" t="s">
        <v>103</v>
      </c>
      <c r="AG303" s="155" t="s">
        <v>103</v>
      </c>
      <c r="AH303" s="992" t="s">
        <v>103</v>
      </c>
      <c r="AI303" s="960" t="s">
        <v>103</v>
      </c>
      <c r="AJ303" s="992" t="s">
        <v>103</v>
      </c>
      <c r="AK303" s="155" t="s">
        <v>103</v>
      </c>
      <c r="AL303" s="993" t="s">
        <v>103</v>
      </c>
      <c r="AM303" s="155"/>
      <c r="AN303" s="155"/>
      <c r="AO303" s="994"/>
      <c r="AP303" s="519">
        <v>0</v>
      </c>
      <c r="AQ303" s="581">
        <v>0</v>
      </c>
      <c r="AR303" s="155" t="s">
        <v>103</v>
      </c>
      <c r="AS303" s="155" t="s">
        <v>103</v>
      </c>
      <c r="AT303" s="155" t="s">
        <v>103</v>
      </c>
      <c r="AU303" s="155" t="s">
        <v>103</v>
      </c>
      <c r="AV303" s="155" t="s">
        <v>103</v>
      </c>
      <c r="AW303" s="155" t="s">
        <v>103</v>
      </c>
      <c r="AX303" s="155" t="s">
        <v>103</v>
      </c>
      <c r="AY303" s="155" t="s">
        <v>103</v>
      </c>
      <c r="AZ303" s="155" t="s">
        <v>103</v>
      </c>
      <c r="BA303" s="155" t="s">
        <v>103</v>
      </c>
      <c r="BB303" s="155" t="s">
        <v>103</v>
      </c>
      <c r="BC303" s="155" t="s">
        <v>103</v>
      </c>
      <c r="BD303" s="155" t="s">
        <v>103</v>
      </c>
      <c r="BE303" s="989" t="s">
        <v>103</v>
      </c>
      <c r="BF303" s="155" t="s">
        <v>103</v>
      </c>
      <c r="BG303" s="961">
        <v>0</v>
      </c>
      <c r="BH303" s="155" t="s">
        <v>103</v>
      </c>
      <c r="BI303" s="990" t="s">
        <v>103</v>
      </c>
      <c r="BJ303" s="155" t="s">
        <v>103</v>
      </c>
      <c r="BK303" s="155" t="s">
        <v>103</v>
      </c>
      <c r="BL303" s="155" t="s">
        <v>103</v>
      </c>
      <c r="BM303" s="155" t="s">
        <v>103</v>
      </c>
      <c r="BN303" s="155" t="s">
        <v>103</v>
      </c>
      <c r="BO303" s="155" t="s">
        <v>103</v>
      </c>
      <c r="BP303" s="155" t="s">
        <v>103</v>
      </c>
      <c r="BQ303" s="155" t="s">
        <v>103</v>
      </c>
      <c r="BR303" s="155" t="s">
        <v>103</v>
      </c>
      <c r="BS303" s="155" t="s">
        <v>103</v>
      </c>
      <c r="BT303" s="155" t="s">
        <v>103</v>
      </c>
      <c r="BU303" s="155" t="s">
        <v>103</v>
      </c>
      <c r="BV303" s="155" t="s">
        <v>103</v>
      </c>
      <c r="BW303" s="155" t="s">
        <v>103</v>
      </c>
      <c r="BX303" s="155" t="s">
        <v>103</v>
      </c>
      <c r="BY303" s="155" t="s">
        <v>103</v>
      </c>
      <c r="BZ303" s="155" t="s">
        <v>103</v>
      </c>
      <c r="CA303" s="155" t="s">
        <v>103</v>
      </c>
      <c r="CB303" s="155" t="s">
        <v>103</v>
      </c>
      <c r="CC303" s="155" t="s">
        <v>103</v>
      </c>
      <c r="CD303" s="155" t="s">
        <v>103</v>
      </c>
      <c r="CE303" s="155" t="s">
        <v>103</v>
      </c>
    </row>
    <row r="304" spans="1:83" ht="14.1" customHeight="1">
      <c r="A304" s="505" t="s">
        <v>870</v>
      </c>
      <c r="B304" s="164" t="s">
        <v>103</v>
      </c>
      <c r="C304" s="155" t="s">
        <v>103</v>
      </c>
      <c r="D304" s="153" t="s">
        <v>103</v>
      </c>
      <c r="E304" s="153" t="s">
        <v>103</v>
      </c>
      <c r="F304" s="958" t="s">
        <v>103</v>
      </c>
      <c r="G304" s="153" t="s">
        <v>110</v>
      </c>
      <c r="H304" s="673">
        <v>0.27718471618935436</v>
      </c>
      <c r="I304" s="508" t="s">
        <v>103</v>
      </c>
      <c r="J304" s="958" t="s">
        <v>103</v>
      </c>
      <c r="K304" s="958" t="s">
        <v>103</v>
      </c>
      <c r="L304" s="155" t="s">
        <v>103</v>
      </c>
      <c r="M304" s="155" t="s">
        <v>103</v>
      </c>
      <c r="N304" s="156">
        <v>0</v>
      </c>
      <c r="O304" s="156" t="s">
        <v>103</v>
      </c>
      <c r="P304" s="156">
        <v>0</v>
      </c>
      <c r="Q304" s="958" t="s">
        <v>103</v>
      </c>
      <c r="R304" s="156">
        <v>0</v>
      </c>
      <c r="S304" s="156">
        <v>0</v>
      </c>
      <c r="T304" s="958" t="s">
        <v>105</v>
      </c>
      <c r="U304" s="153" t="s">
        <v>110</v>
      </c>
      <c r="V304" s="518" t="s">
        <v>103</v>
      </c>
      <c r="W304" s="991" t="s">
        <v>103</v>
      </c>
      <c r="X304" s="991" t="s">
        <v>103</v>
      </c>
      <c r="Y304" s="991" t="s">
        <v>103</v>
      </c>
      <c r="Z304" s="518" t="s">
        <v>103</v>
      </c>
      <c r="AA304" s="991" t="s">
        <v>103</v>
      </c>
      <c r="AB304" s="155" t="s">
        <v>103</v>
      </c>
      <c r="AC304" s="959" t="s">
        <v>116</v>
      </c>
      <c r="AD304" s="155" t="s">
        <v>103</v>
      </c>
      <c r="AE304" s="155" t="s">
        <v>103</v>
      </c>
      <c r="AF304" s="155" t="s">
        <v>103</v>
      </c>
      <c r="AG304" s="155" t="s">
        <v>103</v>
      </c>
      <c r="AH304" s="992" t="s">
        <v>103</v>
      </c>
      <c r="AI304" s="960" t="s">
        <v>103</v>
      </c>
      <c r="AJ304" s="992" t="s">
        <v>103</v>
      </c>
      <c r="AK304" s="155" t="s">
        <v>103</v>
      </c>
      <c r="AL304" s="993" t="s">
        <v>103</v>
      </c>
      <c r="AM304" s="155"/>
      <c r="AN304" s="155"/>
      <c r="AO304" s="994"/>
      <c r="AP304" s="94">
        <v>0</v>
      </c>
      <c r="AQ304" s="578">
        <v>0</v>
      </c>
      <c r="AR304" s="155" t="s">
        <v>103</v>
      </c>
      <c r="AS304" s="155" t="s">
        <v>103</v>
      </c>
      <c r="AT304" s="155" t="s">
        <v>103</v>
      </c>
      <c r="AU304" s="155" t="s">
        <v>103</v>
      </c>
      <c r="AV304" s="155" t="s">
        <v>103</v>
      </c>
      <c r="AW304" s="155" t="s">
        <v>103</v>
      </c>
      <c r="AX304" s="155" t="s">
        <v>103</v>
      </c>
      <c r="AY304" s="155" t="s">
        <v>103</v>
      </c>
      <c r="AZ304" s="155" t="s">
        <v>103</v>
      </c>
      <c r="BA304" s="155" t="s">
        <v>103</v>
      </c>
      <c r="BB304" s="155" t="s">
        <v>103</v>
      </c>
      <c r="BC304" s="155" t="s">
        <v>103</v>
      </c>
      <c r="BD304" s="155" t="s">
        <v>103</v>
      </c>
      <c r="BE304" s="989" t="s">
        <v>103</v>
      </c>
      <c r="BF304" s="155" t="s">
        <v>103</v>
      </c>
      <c r="BG304" s="961">
        <v>0</v>
      </c>
      <c r="BH304" s="155" t="s">
        <v>103</v>
      </c>
      <c r="BI304" s="990" t="s">
        <v>103</v>
      </c>
      <c r="BJ304" s="155" t="s">
        <v>103</v>
      </c>
      <c r="BK304" s="155" t="s">
        <v>103</v>
      </c>
      <c r="BL304" s="155" t="s">
        <v>103</v>
      </c>
      <c r="BM304" s="155" t="s">
        <v>103</v>
      </c>
      <c r="BN304" s="155" t="s">
        <v>103</v>
      </c>
      <c r="BO304" s="155" t="s">
        <v>103</v>
      </c>
      <c r="BP304" s="155" t="s">
        <v>103</v>
      </c>
      <c r="BQ304" s="155" t="s">
        <v>103</v>
      </c>
      <c r="BR304" s="155" t="s">
        <v>103</v>
      </c>
      <c r="BS304" s="155" t="s">
        <v>103</v>
      </c>
      <c r="BT304" s="155" t="s">
        <v>103</v>
      </c>
      <c r="BU304" s="155" t="s">
        <v>103</v>
      </c>
      <c r="BV304" s="155" t="s">
        <v>103</v>
      </c>
      <c r="BW304" s="155" t="s">
        <v>103</v>
      </c>
      <c r="BX304" s="155" t="s">
        <v>103</v>
      </c>
      <c r="BY304" s="155" t="s">
        <v>103</v>
      </c>
      <c r="BZ304" s="155" t="s">
        <v>103</v>
      </c>
      <c r="CA304" s="155" t="s">
        <v>103</v>
      </c>
      <c r="CB304" s="155" t="s">
        <v>103</v>
      </c>
      <c r="CC304" s="155" t="s">
        <v>103</v>
      </c>
      <c r="CD304" s="155" t="s">
        <v>103</v>
      </c>
      <c r="CE304" s="155" t="s">
        <v>103</v>
      </c>
    </row>
    <row r="305" spans="1:83" ht="41.45" customHeight="1">
      <c r="A305" s="503" t="s">
        <v>871</v>
      </c>
      <c r="B305" s="164" t="s">
        <v>872</v>
      </c>
      <c r="C305" s="155" t="s">
        <v>873</v>
      </c>
      <c r="D305" s="153" t="s">
        <v>874</v>
      </c>
      <c r="E305" s="153">
        <v>92252</v>
      </c>
      <c r="F305" s="153">
        <v>6071010419</v>
      </c>
      <c r="G305" s="153" t="s">
        <v>110</v>
      </c>
      <c r="H305" s="674">
        <v>0.15916255759437395</v>
      </c>
      <c r="I305" s="508" t="s">
        <v>872</v>
      </c>
      <c r="J305" s="153" t="s">
        <v>117</v>
      </c>
      <c r="K305" s="156">
        <v>0</v>
      </c>
      <c r="L305" s="153" t="s">
        <v>874</v>
      </c>
      <c r="M305" s="153" t="s">
        <v>104</v>
      </c>
      <c r="N305" s="156">
        <v>3</v>
      </c>
      <c r="P305" s="156">
        <v>0</v>
      </c>
      <c r="Q305" s="156" t="s">
        <v>139</v>
      </c>
      <c r="R305" s="156">
        <v>0</v>
      </c>
      <c r="S305" s="156">
        <v>2</v>
      </c>
      <c r="T305" s="958" t="s">
        <v>105</v>
      </c>
      <c r="U305" s="153" t="s">
        <v>104</v>
      </c>
      <c r="V305" s="149">
        <v>38447</v>
      </c>
      <c r="W305" s="149" t="s">
        <v>103</v>
      </c>
      <c r="X305" s="149" t="s">
        <v>103</v>
      </c>
      <c r="Y305" s="149">
        <v>43373</v>
      </c>
      <c r="Z305" s="149" t="s">
        <v>103</v>
      </c>
      <c r="AA305" s="149">
        <v>38447</v>
      </c>
      <c r="AB305" s="763" t="s">
        <v>121</v>
      </c>
      <c r="AC305" s="594">
        <v>0</v>
      </c>
      <c r="AD305" s="149">
        <v>41547</v>
      </c>
      <c r="AE305" s="149" t="s">
        <v>103</v>
      </c>
      <c r="AF305" s="596">
        <v>73</v>
      </c>
      <c r="AG305" s="596">
        <v>10</v>
      </c>
      <c r="AH305" s="595">
        <v>12581</v>
      </c>
      <c r="AI305" s="614">
        <v>2.3827651515151516</v>
      </c>
      <c r="AJ305" s="607">
        <v>14800</v>
      </c>
      <c r="AK305" s="153" t="s">
        <v>120</v>
      </c>
      <c r="AL305" s="791" t="s">
        <v>104</v>
      </c>
      <c r="AO305" s="963"/>
      <c r="AP305" s="1017">
        <v>7400000</v>
      </c>
      <c r="AQ305" s="574">
        <v>5428307</v>
      </c>
      <c r="AR305" s="153" t="s">
        <v>116</v>
      </c>
      <c r="AS305" s="153" t="s">
        <v>116</v>
      </c>
      <c r="AT305" s="156">
        <v>0</v>
      </c>
      <c r="AU305" s="777" t="s">
        <v>122</v>
      </c>
      <c r="AV305" s="777" t="s">
        <v>122</v>
      </c>
      <c r="AW305" s="777" t="s">
        <v>122</v>
      </c>
      <c r="AX305" s="155" t="s">
        <v>103</v>
      </c>
      <c r="AY305" s="155" t="s">
        <v>103</v>
      </c>
      <c r="AZ305" s="155" t="s">
        <v>103</v>
      </c>
      <c r="BA305" s="156">
        <v>0</v>
      </c>
      <c r="BB305" s="574">
        <f t="shared" ref="BB305:BB306" si="67">AQ305</f>
        <v>5428307</v>
      </c>
      <c r="BC305" s="780">
        <v>1971693</v>
      </c>
      <c r="BD305" s="1008" t="s">
        <v>121</v>
      </c>
      <c r="BE305" s="679">
        <v>0</v>
      </c>
      <c r="BF305" s="153" t="s">
        <v>103</v>
      </c>
      <c r="BG305" s="94">
        <v>5428307</v>
      </c>
      <c r="BH305" s="766" t="s">
        <v>123</v>
      </c>
      <c r="BI305" s="774">
        <v>0</v>
      </c>
      <c r="BJ305" s="774">
        <v>0</v>
      </c>
      <c r="BK305" s="153" t="s">
        <v>103</v>
      </c>
      <c r="BL305" s="153" t="s">
        <v>124</v>
      </c>
      <c r="BM305" s="94" t="s">
        <v>103</v>
      </c>
      <c r="BN305" s="155" t="s">
        <v>103</v>
      </c>
      <c r="BO305" s="153" t="s">
        <v>103</v>
      </c>
      <c r="BP305" s="153" t="s">
        <v>103</v>
      </c>
      <c r="BQ305" s="153" t="s">
        <v>103</v>
      </c>
      <c r="BR305" s="153" t="s">
        <v>110</v>
      </c>
      <c r="BS305" s="153" t="s">
        <v>110</v>
      </c>
      <c r="BT305" s="153" t="s">
        <v>110</v>
      </c>
      <c r="BU305" s="153" t="s">
        <v>110</v>
      </c>
      <c r="BV305" s="153" t="s">
        <v>110</v>
      </c>
      <c r="BW305" s="153" t="s">
        <v>110</v>
      </c>
      <c r="BX305" s="153" t="s">
        <v>110</v>
      </c>
      <c r="BY305" s="153" t="s">
        <v>117</v>
      </c>
      <c r="BZ305" s="153" t="s">
        <v>110</v>
      </c>
      <c r="CA305" s="616" t="s">
        <v>103</v>
      </c>
      <c r="CB305" s="153" t="s">
        <v>103</v>
      </c>
      <c r="CC305" s="153" t="s">
        <v>103</v>
      </c>
      <c r="CD305" s="153" t="s">
        <v>103</v>
      </c>
      <c r="CE305" s="153" t="s">
        <v>103</v>
      </c>
    </row>
    <row r="306" spans="1:83" ht="27.6" customHeight="1">
      <c r="A306" s="503"/>
      <c r="B306" s="164" t="s">
        <v>875</v>
      </c>
      <c r="G306" s="153" t="s">
        <v>110</v>
      </c>
      <c r="H306" s="153" t="s">
        <v>150</v>
      </c>
      <c r="I306" s="164" t="s">
        <v>875</v>
      </c>
      <c r="J306" s="153" t="s">
        <v>117</v>
      </c>
      <c r="K306" s="156">
        <v>0</v>
      </c>
      <c r="M306" s="153" t="s">
        <v>104</v>
      </c>
      <c r="Q306" s="156" t="s">
        <v>139</v>
      </c>
      <c r="V306" s="149"/>
      <c r="AE306" s="149" t="s">
        <v>103</v>
      </c>
      <c r="AH306" s="596"/>
      <c r="AI306" s="960">
        <v>0.28409089999999998</v>
      </c>
      <c r="AJ306" s="607">
        <v>1500</v>
      </c>
      <c r="AK306" s="153" t="s">
        <v>120</v>
      </c>
      <c r="AL306" s="791" t="s">
        <v>104</v>
      </c>
      <c r="AO306" s="963"/>
      <c r="AP306" s="519">
        <v>7900000</v>
      </c>
      <c r="AQ306" s="580">
        <v>0</v>
      </c>
      <c r="AR306" s="153" t="s">
        <v>116</v>
      </c>
      <c r="AS306" s="153" t="s">
        <v>116</v>
      </c>
      <c r="AT306" s="156">
        <v>0</v>
      </c>
      <c r="AU306" s="777" t="s">
        <v>122</v>
      </c>
      <c r="AV306" s="777" t="s">
        <v>122</v>
      </c>
      <c r="AW306" s="777" t="s">
        <v>122</v>
      </c>
      <c r="AX306" s="155" t="s">
        <v>103</v>
      </c>
      <c r="AY306" s="155" t="s">
        <v>103</v>
      </c>
      <c r="AZ306" s="155" t="s">
        <v>103</v>
      </c>
      <c r="BA306" s="156">
        <v>0</v>
      </c>
      <c r="BB306" s="574">
        <f t="shared" si="67"/>
        <v>0</v>
      </c>
      <c r="BC306" s="780" t="s">
        <v>103</v>
      </c>
      <c r="BD306" s="508" t="s">
        <v>103</v>
      </c>
      <c r="BE306" s="679" t="s">
        <v>103</v>
      </c>
      <c r="BF306" s="156" t="s">
        <v>103</v>
      </c>
      <c r="BG306" s="519">
        <v>909344.92</v>
      </c>
      <c r="BH306" s="769" t="s">
        <v>123</v>
      </c>
      <c r="BI306" s="774">
        <v>0</v>
      </c>
      <c r="BJ306" s="774">
        <v>0</v>
      </c>
      <c r="BK306" s="153" t="s">
        <v>103</v>
      </c>
      <c r="BL306" s="153" t="s">
        <v>124</v>
      </c>
      <c r="BM306" s="519" t="s">
        <v>103</v>
      </c>
      <c r="BN306" s="155" t="s">
        <v>103</v>
      </c>
      <c r="BO306" s="153" t="s">
        <v>103</v>
      </c>
      <c r="BP306" s="153" t="s">
        <v>103</v>
      </c>
      <c r="BQ306" s="153" t="s">
        <v>103</v>
      </c>
      <c r="BR306" s="153" t="s">
        <v>110</v>
      </c>
      <c r="BS306" s="153" t="s">
        <v>110</v>
      </c>
      <c r="BT306" s="153" t="s">
        <v>110</v>
      </c>
      <c r="BU306" s="153" t="s">
        <v>110</v>
      </c>
      <c r="BV306" s="153" t="s">
        <v>110</v>
      </c>
      <c r="BW306" s="153" t="s">
        <v>104</v>
      </c>
      <c r="BX306" s="153" t="s">
        <v>110</v>
      </c>
      <c r="BY306" s="153" t="s">
        <v>876</v>
      </c>
      <c r="BZ306" s="153" t="s">
        <v>110</v>
      </c>
      <c r="CA306" s="616" t="s">
        <v>103</v>
      </c>
      <c r="CB306" s="153" t="s">
        <v>103</v>
      </c>
      <c r="CC306" s="153" t="s">
        <v>103</v>
      </c>
      <c r="CD306" s="153" t="s">
        <v>103</v>
      </c>
      <c r="CE306" s="153" t="s">
        <v>103</v>
      </c>
    </row>
    <row r="307" spans="1:83" ht="27.6" customHeight="1">
      <c r="A307" s="503"/>
      <c r="B307" s="164" t="s">
        <v>877</v>
      </c>
      <c r="C307" s="155" t="s">
        <v>878</v>
      </c>
      <c r="D307" s="153" t="s">
        <v>879</v>
      </c>
      <c r="E307" s="153">
        <v>92356</v>
      </c>
      <c r="F307" s="153">
        <v>6071012103</v>
      </c>
      <c r="G307" s="153" t="s">
        <v>110</v>
      </c>
      <c r="H307" s="153" t="s">
        <v>150</v>
      </c>
      <c r="I307" s="508" t="s">
        <v>877</v>
      </c>
      <c r="J307" s="153" t="s">
        <v>117</v>
      </c>
      <c r="K307" s="156">
        <v>0</v>
      </c>
      <c r="L307" s="153" t="s">
        <v>879</v>
      </c>
      <c r="M307" s="153" t="s">
        <v>110</v>
      </c>
      <c r="Q307" s="989" t="s">
        <v>131</v>
      </c>
      <c r="V307" s="149">
        <v>38657</v>
      </c>
      <c r="W307" s="149" t="s">
        <v>103</v>
      </c>
      <c r="X307" s="149" t="s">
        <v>103</v>
      </c>
      <c r="Y307" s="149">
        <v>43651</v>
      </c>
      <c r="Z307" s="149" t="s">
        <v>103</v>
      </c>
      <c r="AA307" s="149">
        <v>38657</v>
      </c>
      <c r="AB307" s="153" t="s">
        <v>103</v>
      </c>
      <c r="AC307" s="594">
        <v>0</v>
      </c>
      <c r="AD307" s="149">
        <v>43651</v>
      </c>
      <c r="AE307" s="149" t="s">
        <v>103</v>
      </c>
      <c r="AF307" s="153" t="s">
        <v>103</v>
      </c>
      <c r="AG307" s="153" t="s">
        <v>103</v>
      </c>
      <c r="AH307" s="596" t="s">
        <v>103</v>
      </c>
      <c r="AI307" s="960" t="s">
        <v>103</v>
      </c>
      <c r="AJ307" s="607">
        <v>23020</v>
      </c>
      <c r="AK307" s="153" t="s">
        <v>120</v>
      </c>
      <c r="AL307" s="791" t="s">
        <v>104</v>
      </c>
      <c r="AO307" s="963"/>
      <c r="AP307" s="519">
        <v>7900000</v>
      </c>
      <c r="AQ307" s="580">
        <v>0</v>
      </c>
      <c r="AR307" s="153" t="s">
        <v>116</v>
      </c>
      <c r="AS307" s="153" t="s">
        <v>116</v>
      </c>
      <c r="AT307" s="777" t="s">
        <v>122</v>
      </c>
      <c r="AU307" s="777" t="s">
        <v>122</v>
      </c>
      <c r="AV307" s="777" t="s">
        <v>122</v>
      </c>
      <c r="AW307" s="777" t="s">
        <v>122</v>
      </c>
      <c r="AX307" s="155" t="s">
        <v>103</v>
      </c>
      <c r="AY307" s="155" t="s">
        <v>103</v>
      </c>
      <c r="AZ307" s="155" t="s">
        <v>103</v>
      </c>
      <c r="BA307" s="156">
        <v>0</v>
      </c>
      <c r="BB307" s="153"/>
      <c r="BC307" s="780" t="s">
        <v>103</v>
      </c>
      <c r="BD307" s="153" t="s">
        <v>103</v>
      </c>
      <c r="BE307" s="679" t="s">
        <v>103</v>
      </c>
      <c r="BF307" s="156" t="s">
        <v>103</v>
      </c>
      <c r="BG307" s="519">
        <v>909344.92</v>
      </c>
      <c r="BH307" s="769" t="s">
        <v>123</v>
      </c>
      <c r="BI307" s="774">
        <v>0</v>
      </c>
      <c r="BJ307" s="774">
        <v>0</v>
      </c>
      <c r="BK307" s="153" t="s">
        <v>103</v>
      </c>
      <c r="BL307" s="153" t="s">
        <v>124</v>
      </c>
      <c r="BM307" s="519" t="s">
        <v>103</v>
      </c>
      <c r="BN307" s="155" t="s">
        <v>103</v>
      </c>
      <c r="BO307" s="153" t="s">
        <v>103</v>
      </c>
      <c r="BP307" s="153" t="s">
        <v>103</v>
      </c>
      <c r="BQ307" s="153" t="s">
        <v>103</v>
      </c>
      <c r="BR307" s="153" t="s">
        <v>110</v>
      </c>
      <c r="BS307" s="153" t="s">
        <v>110</v>
      </c>
      <c r="BT307" s="153" t="s">
        <v>110</v>
      </c>
      <c r="BU307" s="153" t="s">
        <v>110</v>
      </c>
      <c r="BV307" s="153" t="s">
        <v>110</v>
      </c>
      <c r="BW307" s="153" t="s">
        <v>104</v>
      </c>
      <c r="BX307" s="153" t="s">
        <v>110</v>
      </c>
      <c r="BY307" s="153" t="s">
        <v>876</v>
      </c>
      <c r="BZ307" s="153" t="s">
        <v>110</v>
      </c>
      <c r="CA307" s="616" t="s">
        <v>103</v>
      </c>
      <c r="CB307" s="153" t="s">
        <v>103</v>
      </c>
      <c r="CC307" s="153" t="s">
        <v>103</v>
      </c>
      <c r="CD307" s="153" t="s">
        <v>103</v>
      </c>
      <c r="CE307" s="153" t="s">
        <v>103</v>
      </c>
    </row>
    <row r="308" spans="1:83" s="968" customFormat="1" ht="14.1" customHeight="1">
      <c r="A308" s="1045"/>
      <c r="B308" s="1054"/>
      <c r="C308" s="1059"/>
      <c r="D308" s="1054"/>
      <c r="E308" s="1054"/>
      <c r="F308" s="1054"/>
      <c r="G308" s="1054"/>
      <c r="H308" s="1054"/>
      <c r="I308" s="1072"/>
      <c r="J308" s="1054"/>
      <c r="K308" s="1054"/>
      <c r="L308" s="1054"/>
      <c r="M308" s="1054"/>
      <c r="N308" s="1069"/>
      <c r="O308" s="1069"/>
      <c r="P308" s="1069"/>
      <c r="Q308" s="1069"/>
      <c r="R308" s="1069"/>
      <c r="S308" s="1069"/>
      <c r="T308" s="1054"/>
      <c r="U308" s="1054"/>
      <c r="V308" s="1073"/>
      <c r="W308" s="1073"/>
      <c r="X308" s="1073"/>
      <c r="Y308" s="1073"/>
      <c r="Z308" s="1073"/>
      <c r="AA308" s="1073"/>
      <c r="AB308" s="1054"/>
      <c r="AC308" s="1074"/>
      <c r="AD308" s="1054"/>
      <c r="AE308" s="1054"/>
      <c r="AF308" s="1054"/>
      <c r="AG308" s="1054"/>
      <c r="AH308" s="1064"/>
      <c r="AI308" s="1065"/>
      <c r="AJ308" s="1064"/>
      <c r="AK308" s="1054"/>
      <c r="AL308" s="1066"/>
      <c r="AM308" s="1054"/>
      <c r="AN308" s="1054"/>
      <c r="AO308" s="1067"/>
      <c r="AP308" s="1070"/>
      <c r="AQ308" s="1068"/>
      <c r="AR308" s="1054"/>
      <c r="AS308" s="1054"/>
      <c r="AT308" s="1054"/>
      <c r="AU308" s="1054"/>
      <c r="AV308" s="1054"/>
      <c r="AW308" s="1054"/>
      <c r="AX308" s="1054"/>
      <c r="AY308" s="1054"/>
      <c r="AZ308" s="1054"/>
      <c r="BA308" s="1054"/>
      <c r="BB308" s="1054"/>
      <c r="BC308" s="1054"/>
      <c r="BD308" s="1054"/>
      <c r="BE308" s="1069"/>
      <c r="BF308" s="1054"/>
      <c r="BG308" s="1070"/>
      <c r="BH308" s="1054"/>
      <c r="BI308" s="1071"/>
      <c r="BJ308" s="1054"/>
      <c r="BK308" s="1054"/>
      <c r="BL308" s="1054"/>
      <c r="BM308" s="1070"/>
      <c r="BN308" s="1059"/>
      <c r="BO308" s="1054"/>
      <c r="BP308" s="1054"/>
      <c r="BQ308" s="1054"/>
      <c r="BR308" s="1054"/>
      <c r="BS308" s="1054"/>
      <c r="BT308" s="1054"/>
      <c r="BU308" s="1054"/>
      <c r="BV308" s="1054"/>
      <c r="BW308" s="1054"/>
      <c r="BX308" s="1054"/>
      <c r="BY308" s="1054"/>
      <c r="BZ308" s="1054"/>
      <c r="CA308" s="1054"/>
      <c r="CB308" s="1054"/>
      <c r="CC308" s="1054"/>
      <c r="CD308" s="1054"/>
      <c r="CE308" s="1054"/>
    </row>
    <row r="309" spans="1:83" s="980" customFormat="1" ht="14.45" customHeight="1">
      <c r="A309" s="1009" t="s">
        <v>880</v>
      </c>
      <c r="C309" s="997"/>
      <c r="I309" s="1010"/>
      <c r="N309" s="1005"/>
      <c r="O309" s="1005"/>
      <c r="P309" s="1005"/>
      <c r="Q309" s="1005"/>
      <c r="R309" s="1005"/>
      <c r="S309" s="1005"/>
      <c r="V309" s="1000"/>
      <c r="W309" s="1000" t="s">
        <v>103</v>
      </c>
      <c r="X309" s="1000" t="s">
        <v>103</v>
      </c>
      <c r="Y309" s="1000"/>
      <c r="Z309" s="1000"/>
      <c r="AA309" s="1000"/>
      <c r="AC309" s="1002" t="s">
        <v>103</v>
      </c>
      <c r="AH309" s="1003"/>
      <c r="AI309" s="1004"/>
      <c r="AJ309" s="1003"/>
      <c r="AL309" s="797"/>
      <c r="AO309" s="798"/>
      <c r="AP309" s="163"/>
      <c r="AQ309" s="579"/>
      <c r="BE309" s="1005"/>
      <c r="BG309" s="163"/>
      <c r="BI309" s="1006"/>
      <c r="BM309" s="163"/>
      <c r="BN309" s="997"/>
    </row>
    <row r="310" spans="1:83" ht="14.1" customHeight="1">
      <c r="A310" s="505" t="s">
        <v>881</v>
      </c>
      <c r="B310" s="164" t="s">
        <v>103</v>
      </c>
      <c r="C310" s="155" t="s">
        <v>103</v>
      </c>
      <c r="D310" s="153" t="s">
        <v>103</v>
      </c>
      <c r="E310" s="153" t="s">
        <v>103</v>
      </c>
      <c r="F310" s="958" t="s">
        <v>103</v>
      </c>
      <c r="G310" s="153" t="s">
        <v>104</v>
      </c>
      <c r="H310" s="673">
        <v>0</v>
      </c>
      <c r="I310" s="508" t="s">
        <v>103</v>
      </c>
      <c r="J310" s="958" t="s">
        <v>103</v>
      </c>
      <c r="K310" s="958" t="s">
        <v>103</v>
      </c>
      <c r="L310" s="155" t="s">
        <v>103</v>
      </c>
      <c r="M310" s="155" t="s">
        <v>103</v>
      </c>
      <c r="N310" s="156">
        <v>0</v>
      </c>
      <c r="O310" s="156" t="s">
        <v>103</v>
      </c>
      <c r="P310" s="156">
        <v>0</v>
      </c>
      <c r="Q310" s="958" t="s">
        <v>103</v>
      </c>
      <c r="R310" s="156">
        <v>0</v>
      </c>
      <c r="S310" s="156">
        <v>0</v>
      </c>
      <c r="T310" s="958" t="s">
        <v>105</v>
      </c>
      <c r="U310" s="153" t="s">
        <v>104</v>
      </c>
      <c r="V310" s="518" t="s">
        <v>103</v>
      </c>
      <c r="W310" s="991" t="s">
        <v>103</v>
      </c>
      <c r="X310" s="991" t="s">
        <v>103</v>
      </c>
      <c r="Y310" s="991" t="s">
        <v>103</v>
      </c>
      <c r="Z310" s="518" t="s">
        <v>103</v>
      </c>
      <c r="AA310" s="991" t="s">
        <v>103</v>
      </c>
      <c r="AB310" s="155" t="s">
        <v>103</v>
      </c>
      <c r="AC310" s="959" t="s">
        <v>103</v>
      </c>
      <c r="AD310" s="155" t="s">
        <v>103</v>
      </c>
      <c r="AE310" s="155" t="s">
        <v>103</v>
      </c>
      <c r="AF310" s="155" t="s">
        <v>103</v>
      </c>
      <c r="AG310" s="155" t="s">
        <v>103</v>
      </c>
      <c r="AH310" s="992" t="s">
        <v>103</v>
      </c>
      <c r="AI310" s="960" t="s">
        <v>103</v>
      </c>
      <c r="AJ310" s="992" t="s">
        <v>103</v>
      </c>
      <c r="AK310" s="155" t="s">
        <v>103</v>
      </c>
      <c r="AL310" s="993" t="s">
        <v>103</v>
      </c>
      <c r="AM310" s="155"/>
      <c r="AN310" s="155"/>
      <c r="AO310" s="994"/>
      <c r="AP310" s="94">
        <v>0</v>
      </c>
      <c r="AQ310" s="578">
        <v>0</v>
      </c>
      <c r="AR310" s="155" t="s">
        <v>103</v>
      </c>
      <c r="AS310" s="155" t="s">
        <v>103</v>
      </c>
      <c r="AT310" s="155" t="s">
        <v>103</v>
      </c>
      <c r="AU310" s="155" t="s">
        <v>103</v>
      </c>
      <c r="AV310" s="155" t="s">
        <v>103</v>
      </c>
      <c r="AW310" s="155" t="s">
        <v>103</v>
      </c>
      <c r="AX310" s="155" t="s">
        <v>103</v>
      </c>
      <c r="AY310" s="155" t="s">
        <v>103</v>
      </c>
      <c r="AZ310" s="155" t="s">
        <v>103</v>
      </c>
      <c r="BA310" s="155" t="s">
        <v>103</v>
      </c>
      <c r="BB310" s="155" t="s">
        <v>103</v>
      </c>
      <c r="BC310" s="155" t="s">
        <v>103</v>
      </c>
      <c r="BD310" s="155" t="s">
        <v>103</v>
      </c>
      <c r="BE310" s="989" t="s">
        <v>103</v>
      </c>
      <c r="BF310" s="155" t="s">
        <v>103</v>
      </c>
      <c r="BG310" s="961">
        <v>0</v>
      </c>
      <c r="BH310" s="155" t="s">
        <v>103</v>
      </c>
      <c r="BI310" s="990" t="s">
        <v>103</v>
      </c>
      <c r="BJ310" s="155" t="s">
        <v>103</v>
      </c>
      <c r="BK310" s="155" t="s">
        <v>103</v>
      </c>
      <c r="BL310" s="155" t="s">
        <v>103</v>
      </c>
      <c r="BM310" s="155" t="s">
        <v>103</v>
      </c>
      <c r="BN310" s="155" t="s">
        <v>103</v>
      </c>
      <c r="BO310" s="155" t="s">
        <v>103</v>
      </c>
      <c r="BP310" s="155" t="s">
        <v>103</v>
      </c>
      <c r="BQ310" s="155" t="s">
        <v>103</v>
      </c>
      <c r="BR310" s="155" t="s">
        <v>103</v>
      </c>
      <c r="BS310" s="155" t="s">
        <v>103</v>
      </c>
      <c r="BT310" s="155" t="s">
        <v>103</v>
      </c>
      <c r="BU310" s="155" t="s">
        <v>103</v>
      </c>
      <c r="BV310" s="155" t="s">
        <v>103</v>
      </c>
      <c r="BW310" s="155" t="s">
        <v>103</v>
      </c>
      <c r="BX310" s="155" t="s">
        <v>103</v>
      </c>
      <c r="BY310" s="155" t="s">
        <v>103</v>
      </c>
      <c r="BZ310" s="155" t="s">
        <v>103</v>
      </c>
      <c r="CA310" s="155" t="s">
        <v>103</v>
      </c>
      <c r="CB310" s="155" t="s">
        <v>103</v>
      </c>
      <c r="CC310" s="155" t="s">
        <v>103</v>
      </c>
      <c r="CD310" s="155" t="s">
        <v>103</v>
      </c>
      <c r="CE310" s="155" t="s">
        <v>103</v>
      </c>
    </row>
    <row r="311" spans="1:83" s="968" customFormat="1" ht="14.1" customHeight="1">
      <c r="A311" s="1076"/>
      <c r="B311" s="1054"/>
      <c r="C311" s="1059"/>
      <c r="D311" s="1054"/>
      <c r="E311" s="1054"/>
      <c r="F311" s="1054"/>
      <c r="G311" s="1054"/>
      <c r="H311" s="1054"/>
      <c r="I311" s="1072"/>
      <c r="J311" s="1054"/>
      <c r="K311" s="1054"/>
      <c r="L311" s="1054"/>
      <c r="M311" s="1054"/>
      <c r="N311" s="1069"/>
      <c r="O311" s="1069"/>
      <c r="P311" s="1069"/>
      <c r="Q311" s="1069"/>
      <c r="R311" s="1069"/>
      <c r="S311" s="1069"/>
      <c r="T311" s="1054"/>
      <c r="U311" s="1054"/>
      <c r="V311" s="1073"/>
      <c r="W311" s="1073"/>
      <c r="X311" s="1073"/>
      <c r="Y311" s="1073"/>
      <c r="Z311" s="1073"/>
      <c r="AA311" s="1073"/>
      <c r="AB311" s="1054"/>
      <c r="AC311" s="1074"/>
      <c r="AD311" s="1054"/>
      <c r="AE311" s="1054"/>
      <c r="AF311" s="1054"/>
      <c r="AG311" s="1054"/>
      <c r="AH311" s="1064"/>
      <c r="AI311" s="1065"/>
      <c r="AJ311" s="1064"/>
      <c r="AK311" s="1054"/>
      <c r="AL311" s="1066"/>
      <c r="AM311" s="1054"/>
      <c r="AN311" s="1054"/>
      <c r="AO311" s="1067"/>
      <c r="AP311" s="1070"/>
      <c r="AQ311" s="1068"/>
      <c r="AR311" s="1054"/>
      <c r="AS311" s="1054"/>
      <c r="AT311" s="1054"/>
      <c r="AU311" s="1054"/>
      <c r="AV311" s="1054"/>
      <c r="AW311" s="1054"/>
      <c r="AX311" s="1054"/>
      <c r="AY311" s="1054"/>
      <c r="AZ311" s="1054"/>
      <c r="BA311" s="1054"/>
      <c r="BB311" s="1054"/>
      <c r="BC311" s="1054"/>
      <c r="BD311" s="1054"/>
      <c r="BE311" s="1069"/>
      <c r="BF311" s="1054"/>
      <c r="BG311" s="1070"/>
      <c r="BH311" s="1054"/>
      <c r="BI311" s="1071"/>
      <c r="BJ311" s="1054"/>
      <c r="BK311" s="1054"/>
      <c r="BL311" s="1054"/>
      <c r="BM311" s="1070"/>
      <c r="BN311" s="1059"/>
      <c r="BO311" s="1054"/>
      <c r="BP311" s="1054"/>
      <c r="BQ311" s="1054"/>
      <c r="BR311" s="1054"/>
      <c r="BS311" s="1054"/>
      <c r="BT311" s="1054"/>
      <c r="BU311" s="1054"/>
      <c r="BV311" s="1054"/>
      <c r="BW311" s="1054"/>
      <c r="BX311" s="1054"/>
      <c r="BY311" s="1054"/>
      <c r="BZ311" s="1054"/>
      <c r="CA311" s="1054"/>
      <c r="CB311" s="1054"/>
      <c r="CC311" s="1054"/>
      <c r="CD311" s="1054"/>
      <c r="CE311" s="1054"/>
    </row>
    <row r="312" spans="1:83" s="980" customFormat="1" ht="12" customHeight="1">
      <c r="A312" s="1009" t="s">
        <v>882</v>
      </c>
      <c r="C312" s="997"/>
      <c r="I312" s="1010"/>
      <c r="N312" s="1005"/>
      <c r="O312" s="1005"/>
      <c r="P312" s="1005"/>
      <c r="Q312" s="1005"/>
      <c r="R312" s="1005"/>
      <c r="S312" s="1005"/>
      <c r="V312" s="1000"/>
      <c r="W312" s="1000" t="s">
        <v>103</v>
      </c>
      <c r="X312" s="1000" t="s">
        <v>103</v>
      </c>
      <c r="Y312" s="1000"/>
      <c r="Z312" s="1000"/>
      <c r="AA312" s="1000"/>
      <c r="AC312" s="1002" t="s">
        <v>103</v>
      </c>
      <c r="AH312" s="1003"/>
      <c r="AI312" s="1004"/>
      <c r="AJ312" s="1003"/>
      <c r="AL312" s="797"/>
      <c r="AO312" s="798"/>
      <c r="AP312" s="163"/>
      <c r="AQ312" s="579"/>
      <c r="BE312" s="1005"/>
      <c r="BG312" s="163"/>
      <c r="BI312" s="1006"/>
      <c r="BM312" s="163"/>
      <c r="BN312" s="997"/>
    </row>
    <row r="313" spans="1:83" ht="9" customHeight="1">
      <c r="A313" s="503" t="s">
        <v>883</v>
      </c>
      <c r="B313" s="164" t="s">
        <v>103</v>
      </c>
      <c r="C313" s="155" t="s">
        <v>103</v>
      </c>
      <c r="D313" s="153" t="s">
        <v>103</v>
      </c>
      <c r="E313" s="153" t="s">
        <v>103</v>
      </c>
      <c r="F313" s="958" t="s">
        <v>103</v>
      </c>
      <c r="G313" s="153" t="s">
        <v>110</v>
      </c>
      <c r="H313" s="673">
        <v>0.11915614012241177</v>
      </c>
      <c r="I313" s="508" t="s">
        <v>103</v>
      </c>
      <c r="J313" s="958" t="s">
        <v>103</v>
      </c>
      <c r="K313" s="958" t="s">
        <v>103</v>
      </c>
      <c r="L313" s="155" t="s">
        <v>103</v>
      </c>
      <c r="M313" s="155" t="s">
        <v>103</v>
      </c>
      <c r="N313" s="156">
        <v>0</v>
      </c>
      <c r="O313" s="156" t="s">
        <v>103</v>
      </c>
      <c r="P313" s="156">
        <v>0</v>
      </c>
      <c r="Q313" s="958" t="s">
        <v>103</v>
      </c>
      <c r="R313" s="156">
        <v>0</v>
      </c>
      <c r="S313" s="156">
        <v>0</v>
      </c>
      <c r="T313" s="958" t="s">
        <v>105</v>
      </c>
      <c r="U313" s="153" t="s">
        <v>110</v>
      </c>
      <c r="V313" s="518" t="s">
        <v>103</v>
      </c>
      <c r="W313" s="991" t="s">
        <v>103</v>
      </c>
      <c r="X313" s="991" t="s">
        <v>103</v>
      </c>
      <c r="Y313" s="991" t="s">
        <v>103</v>
      </c>
      <c r="Z313" s="518" t="s">
        <v>103</v>
      </c>
      <c r="AA313" s="991" t="s">
        <v>103</v>
      </c>
      <c r="AB313" s="155" t="s">
        <v>103</v>
      </c>
      <c r="AC313" s="959" t="s">
        <v>103</v>
      </c>
      <c r="AD313" s="155" t="s">
        <v>103</v>
      </c>
      <c r="AE313" s="155" t="s">
        <v>103</v>
      </c>
      <c r="AF313" s="155" t="s">
        <v>103</v>
      </c>
      <c r="AG313" s="155" t="s">
        <v>103</v>
      </c>
      <c r="AH313" s="992" t="s">
        <v>103</v>
      </c>
      <c r="AI313" s="960" t="s">
        <v>103</v>
      </c>
      <c r="AJ313" s="992" t="s">
        <v>103</v>
      </c>
      <c r="AK313" s="155" t="s">
        <v>103</v>
      </c>
      <c r="AL313" s="993" t="s">
        <v>103</v>
      </c>
      <c r="AM313" s="155"/>
      <c r="AN313" s="155"/>
      <c r="AO313" s="994"/>
      <c r="AP313" s="94">
        <v>0</v>
      </c>
      <c r="AQ313" s="578">
        <v>0</v>
      </c>
      <c r="AR313" s="155" t="s">
        <v>103</v>
      </c>
      <c r="AS313" s="155" t="s">
        <v>103</v>
      </c>
      <c r="AT313" s="155" t="s">
        <v>103</v>
      </c>
      <c r="AU313" s="155" t="s">
        <v>103</v>
      </c>
      <c r="AV313" s="155" t="s">
        <v>103</v>
      </c>
      <c r="AW313" s="155" t="s">
        <v>103</v>
      </c>
      <c r="AX313" s="155" t="s">
        <v>103</v>
      </c>
      <c r="AY313" s="155" t="s">
        <v>103</v>
      </c>
      <c r="AZ313" s="155" t="s">
        <v>103</v>
      </c>
      <c r="BA313" s="155" t="s">
        <v>103</v>
      </c>
      <c r="BB313" s="155" t="s">
        <v>103</v>
      </c>
      <c r="BC313" s="155" t="s">
        <v>103</v>
      </c>
      <c r="BD313" s="155" t="s">
        <v>103</v>
      </c>
      <c r="BE313" s="989" t="s">
        <v>103</v>
      </c>
      <c r="BF313" s="155" t="s">
        <v>103</v>
      </c>
      <c r="BG313" s="961">
        <v>0</v>
      </c>
      <c r="BH313" s="155" t="s">
        <v>103</v>
      </c>
      <c r="BI313" s="990" t="s">
        <v>103</v>
      </c>
      <c r="BJ313" s="155" t="s">
        <v>103</v>
      </c>
      <c r="BK313" s="155" t="s">
        <v>103</v>
      </c>
      <c r="BL313" s="155" t="s">
        <v>103</v>
      </c>
      <c r="BM313" s="155" t="s">
        <v>103</v>
      </c>
      <c r="BN313" s="155" t="s">
        <v>103</v>
      </c>
      <c r="BO313" s="155" t="s">
        <v>103</v>
      </c>
      <c r="BP313" s="155" t="s">
        <v>103</v>
      </c>
      <c r="BQ313" s="155" t="s">
        <v>103</v>
      </c>
      <c r="BR313" s="155" t="s">
        <v>103</v>
      </c>
      <c r="BS313" s="155" t="s">
        <v>103</v>
      </c>
      <c r="BT313" s="155" t="s">
        <v>103</v>
      </c>
      <c r="BU313" s="155" t="s">
        <v>103</v>
      </c>
      <c r="BV313" s="155" t="s">
        <v>103</v>
      </c>
      <c r="BW313" s="155" t="s">
        <v>103</v>
      </c>
      <c r="BX313" s="155" t="s">
        <v>103</v>
      </c>
      <c r="BY313" s="155" t="s">
        <v>103</v>
      </c>
      <c r="BZ313" s="155" t="s">
        <v>103</v>
      </c>
      <c r="CA313" s="155" t="s">
        <v>103</v>
      </c>
      <c r="CB313" s="155" t="s">
        <v>103</v>
      </c>
      <c r="CC313" s="155" t="s">
        <v>103</v>
      </c>
      <c r="CD313" s="155" t="s">
        <v>103</v>
      </c>
      <c r="CE313" s="155" t="s">
        <v>103</v>
      </c>
    </row>
    <row r="314" spans="1:83" ht="12" customHeight="1">
      <c r="A314" s="503" t="s">
        <v>884</v>
      </c>
      <c r="B314" s="164" t="s">
        <v>103</v>
      </c>
      <c r="C314" s="155" t="s">
        <v>103</v>
      </c>
      <c r="D314" s="153" t="s">
        <v>103</v>
      </c>
      <c r="E314" s="153" t="s">
        <v>103</v>
      </c>
      <c r="F314" s="958" t="s">
        <v>103</v>
      </c>
      <c r="G314" s="153" t="s">
        <v>110</v>
      </c>
      <c r="H314" s="673">
        <v>9.0645738965553571E-2</v>
      </c>
      <c r="I314" s="508" t="s">
        <v>103</v>
      </c>
      <c r="J314" s="958" t="s">
        <v>103</v>
      </c>
      <c r="K314" s="958" t="s">
        <v>103</v>
      </c>
      <c r="L314" s="155" t="s">
        <v>103</v>
      </c>
      <c r="M314" s="155" t="s">
        <v>103</v>
      </c>
      <c r="N314" s="156">
        <v>0</v>
      </c>
      <c r="O314" s="156" t="s">
        <v>103</v>
      </c>
      <c r="P314" s="156">
        <v>0</v>
      </c>
      <c r="Q314" s="958" t="s">
        <v>103</v>
      </c>
      <c r="R314" s="156">
        <v>0</v>
      </c>
      <c r="S314" s="156">
        <v>0</v>
      </c>
      <c r="T314" s="958" t="s">
        <v>105</v>
      </c>
      <c r="U314" s="153" t="s">
        <v>110</v>
      </c>
      <c r="V314" s="518" t="s">
        <v>103</v>
      </c>
      <c r="W314" s="991" t="s">
        <v>103</v>
      </c>
      <c r="X314" s="991" t="s">
        <v>103</v>
      </c>
      <c r="Y314" s="991" t="s">
        <v>103</v>
      </c>
      <c r="Z314" s="518" t="s">
        <v>103</v>
      </c>
      <c r="AA314" s="991" t="s">
        <v>103</v>
      </c>
      <c r="AB314" s="155" t="s">
        <v>103</v>
      </c>
      <c r="AC314" s="959" t="s">
        <v>103</v>
      </c>
      <c r="AD314" s="155" t="s">
        <v>103</v>
      </c>
      <c r="AE314" s="155" t="s">
        <v>103</v>
      </c>
      <c r="AF314" s="155" t="s">
        <v>103</v>
      </c>
      <c r="AG314" s="155" t="s">
        <v>103</v>
      </c>
      <c r="AH314" s="992" t="s">
        <v>103</v>
      </c>
      <c r="AI314" s="960" t="s">
        <v>103</v>
      </c>
      <c r="AJ314" s="992" t="s">
        <v>103</v>
      </c>
      <c r="AK314" s="155" t="s">
        <v>103</v>
      </c>
      <c r="AL314" s="993" t="s">
        <v>103</v>
      </c>
      <c r="AM314" s="155"/>
      <c r="AN314" s="155"/>
      <c r="AO314" s="994"/>
      <c r="AP314" s="519">
        <v>0</v>
      </c>
      <c r="AQ314" s="581">
        <v>0</v>
      </c>
      <c r="AR314" s="155" t="s">
        <v>103</v>
      </c>
      <c r="AS314" s="155" t="s">
        <v>103</v>
      </c>
      <c r="AT314" s="155" t="s">
        <v>103</v>
      </c>
      <c r="AU314" s="155" t="s">
        <v>103</v>
      </c>
      <c r="AV314" s="155" t="s">
        <v>103</v>
      </c>
      <c r="AW314" s="155" t="s">
        <v>103</v>
      </c>
      <c r="AX314" s="155" t="s">
        <v>103</v>
      </c>
      <c r="AY314" s="155" t="s">
        <v>103</v>
      </c>
      <c r="AZ314" s="155" t="s">
        <v>103</v>
      </c>
      <c r="BA314" s="155" t="s">
        <v>103</v>
      </c>
      <c r="BB314" s="155" t="s">
        <v>103</v>
      </c>
      <c r="BC314" s="155" t="s">
        <v>103</v>
      </c>
      <c r="BD314" s="155" t="s">
        <v>103</v>
      </c>
      <c r="BE314" s="989" t="s">
        <v>103</v>
      </c>
      <c r="BF314" s="155" t="s">
        <v>103</v>
      </c>
      <c r="BG314" s="961">
        <v>0</v>
      </c>
      <c r="BH314" s="155" t="s">
        <v>103</v>
      </c>
      <c r="BI314" s="990" t="s">
        <v>103</v>
      </c>
      <c r="BJ314" s="155" t="s">
        <v>103</v>
      </c>
      <c r="BK314" s="155" t="s">
        <v>103</v>
      </c>
      <c r="BL314" s="155" t="s">
        <v>103</v>
      </c>
      <c r="BM314" s="155" t="s">
        <v>103</v>
      </c>
      <c r="BN314" s="155" t="s">
        <v>103</v>
      </c>
      <c r="BO314" s="155" t="s">
        <v>103</v>
      </c>
      <c r="BP314" s="155" t="s">
        <v>103</v>
      </c>
      <c r="BQ314" s="155" t="s">
        <v>103</v>
      </c>
      <c r="BR314" s="155" t="s">
        <v>103</v>
      </c>
      <c r="BS314" s="155" t="s">
        <v>103</v>
      </c>
      <c r="BT314" s="155" t="s">
        <v>103</v>
      </c>
      <c r="BU314" s="155" t="s">
        <v>103</v>
      </c>
      <c r="BV314" s="155" t="s">
        <v>103</v>
      </c>
      <c r="BW314" s="155" t="s">
        <v>103</v>
      </c>
      <c r="BX314" s="155" t="s">
        <v>103</v>
      </c>
      <c r="BY314" s="155" t="s">
        <v>103</v>
      </c>
      <c r="BZ314" s="155" t="s">
        <v>103</v>
      </c>
      <c r="CA314" s="155" t="s">
        <v>103</v>
      </c>
      <c r="CB314" s="155" t="s">
        <v>103</v>
      </c>
      <c r="CC314" s="155" t="s">
        <v>103</v>
      </c>
      <c r="CD314" s="155" t="s">
        <v>103</v>
      </c>
      <c r="CE314" s="155" t="s">
        <v>103</v>
      </c>
    </row>
    <row r="315" spans="1:83" ht="41.45" customHeight="1">
      <c r="A315" s="503" t="s">
        <v>885</v>
      </c>
      <c r="B315" s="164" t="s">
        <v>886</v>
      </c>
      <c r="C315" s="155" t="s">
        <v>887</v>
      </c>
      <c r="D315" s="153" t="s">
        <v>888</v>
      </c>
      <c r="E315" s="153">
        <v>93109</v>
      </c>
      <c r="F315" s="153">
        <v>6083001304</v>
      </c>
      <c r="G315" s="153" t="s">
        <v>110</v>
      </c>
      <c r="H315" s="674">
        <v>0.10286499807211949</v>
      </c>
      <c r="I315" s="508" t="s">
        <v>886</v>
      </c>
      <c r="J315" s="153" t="s">
        <v>257</v>
      </c>
      <c r="K315" s="572" t="s">
        <v>217</v>
      </c>
      <c r="L315" s="153" t="s">
        <v>888</v>
      </c>
      <c r="M315" s="153" t="s">
        <v>104</v>
      </c>
      <c r="N315" s="156">
        <v>1</v>
      </c>
      <c r="P315" s="156">
        <v>0</v>
      </c>
      <c r="Q315" s="156" t="s">
        <v>139</v>
      </c>
      <c r="R315" s="156">
        <v>0</v>
      </c>
      <c r="S315" s="156">
        <v>1</v>
      </c>
      <c r="T315" s="958" t="s">
        <v>105</v>
      </c>
      <c r="U315" s="153" t="s">
        <v>110</v>
      </c>
      <c r="V315" s="149">
        <v>38951</v>
      </c>
      <c r="W315" s="149" t="s">
        <v>103</v>
      </c>
      <c r="X315" s="149" t="s">
        <v>103</v>
      </c>
      <c r="Y315" s="149">
        <v>40452</v>
      </c>
      <c r="Z315" s="149">
        <v>40452</v>
      </c>
      <c r="AA315" s="149">
        <v>38951</v>
      </c>
      <c r="AB315" s="763" t="s">
        <v>151</v>
      </c>
      <c r="AC315" s="594">
        <v>0</v>
      </c>
      <c r="AD315" s="153" t="s">
        <v>103</v>
      </c>
      <c r="AE315" s="149" t="s">
        <v>103</v>
      </c>
      <c r="AF315" s="596">
        <v>55</v>
      </c>
      <c r="AG315" s="596" t="s">
        <v>103</v>
      </c>
      <c r="AH315" s="595">
        <v>10557</v>
      </c>
      <c r="AI315" s="614">
        <v>1.9994318181818183</v>
      </c>
      <c r="AJ315" s="607">
        <v>10684</v>
      </c>
      <c r="AK315" s="153" t="s">
        <v>120</v>
      </c>
      <c r="AL315" s="791" t="s">
        <v>104</v>
      </c>
      <c r="AO315" s="963"/>
      <c r="AP315" s="1017">
        <v>4500000</v>
      </c>
      <c r="AQ315" s="574">
        <v>5188642</v>
      </c>
      <c r="AR315" s="153" t="s">
        <v>116</v>
      </c>
      <c r="AS315" s="153" t="s">
        <v>116</v>
      </c>
      <c r="AT315" s="777" t="s">
        <v>122</v>
      </c>
      <c r="AU315" s="777" t="s">
        <v>122</v>
      </c>
      <c r="AV315" s="777" t="s">
        <v>122</v>
      </c>
      <c r="AW315" s="777" t="s">
        <v>122</v>
      </c>
      <c r="AX315" s="155" t="s">
        <v>103</v>
      </c>
      <c r="AY315" s="155" t="s">
        <v>103</v>
      </c>
      <c r="AZ315" s="155" t="s">
        <v>103</v>
      </c>
      <c r="BB315" s="574">
        <f t="shared" ref="BB315" si="68">AQ315</f>
        <v>5188642</v>
      </c>
      <c r="BC315" s="780">
        <v>-688642</v>
      </c>
      <c r="BD315" s="1008" t="s">
        <v>151</v>
      </c>
      <c r="BE315" s="679">
        <v>-34328</v>
      </c>
      <c r="BF315" s="153">
        <v>2013</v>
      </c>
      <c r="BG315" s="94">
        <v>5188642</v>
      </c>
      <c r="BH315" s="766">
        <v>2100494</v>
      </c>
      <c r="BI315" s="774">
        <v>2399506</v>
      </c>
      <c r="BJ315" s="774">
        <v>0</v>
      </c>
      <c r="BK315" s="153" t="s">
        <v>103</v>
      </c>
      <c r="BL315" s="153" t="s">
        <v>124</v>
      </c>
      <c r="BM315" s="94" t="s">
        <v>103</v>
      </c>
      <c r="BN315" s="155" t="s">
        <v>103</v>
      </c>
      <c r="BO315" s="153" t="s">
        <v>103</v>
      </c>
      <c r="BP315" s="153" t="s">
        <v>103</v>
      </c>
      <c r="BQ315" s="153" t="s">
        <v>103</v>
      </c>
      <c r="BR315" s="153" t="s">
        <v>116</v>
      </c>
      <c r="BS315" s="153" t="s">
        <v>116</v>
      </c>
      <c r="BT315" s="153" t="s">
        <v>116</v>
      </c>
      <c r="BU315" s="153" t="s">
        <v>116</v>
      </c>
      <c r="BV315" s="153" t="s">
        <v>116</v>
      </c>
      <c r="BW315" s="153" t="s">
        <v>116</v>
      </c>
      <c r="BX315" s="153" t="s">
        <v>116</v>
      </c>
      <c r="BY315" s="153" t="s">
        <v>116</v>
      </c>
      <c r="BZ315" s="153" t="s">
        <v>116</v>
      </c>
      <c r="CA315" s="616" t="s">
        <v>116</v>
      </c>
      <c r="CB315" s="153" t="s">
        <v>116</v>
      </c>
      <c r="CC315" s="153" t="s">
        <v>116</v>
      </c>
      <c r="CD315" s="153" t="s">
        <v>116</v>
      </c>
      <c r="CE315" s="153" t="s">
        <v>116</v>
      </c>
    </row>
    <row r="316" spans="1:83" ht="10.35" customHeight="1">
      <c r="A316" s="503" t="s">
        <v>889</v>
      </c>
      <c r="B316" s="164" t="s">
        <v>890</v>
      </c>
      <c r="C316" s="155" t="s">
        <v>891</v>
      </c>
      <c r="D316" s="153" t="s">
        <v>892</v>
      </c>
      <c r="E316" s="153">
        <v>93108</v>
      </c>
      <c r="F316" s="153">
        <v>6083001402</v>
      </c>
      <c r="G316" s="153" t="s">
        <v>110</v>
      </c>
      <c r="H316" s="674">
        <v>6.2038404726735601E-2</v>
      </c>
      <c r="I316" s="508" t="s">
        <v>890</v>
      </c>
      <c r="J316" s="153" t="s">
        <v>484</v>
      </c>
      <c r="K316" s="572" t="s">
        <v>217</v>
      </c>
      <c r="L316" s="153" t="s">
        <v>892</v>
      </c>
      <c r="M316" s="153" t="s">
        <v>110</v>
      </c>
      <c r="N316" s="156">
        <v>2</v>
      </c>
      <c r="P316" s="156">
        <v>0</v>
      </c>
      <c r="Q316" s="989" t="s">
        <v>131</v>
      </c>
      <c r="R316" s="156">
        <v>0</v>
      </c>
      <c r="S316" s="156">
        <v>1</v>
      </c>
      <c r="T316" s="958" t="s">
        <v>105</v>
      </c>
      <c r="U316" s="153" t="s">
        <v>110</v>
      </c>
      <c r="V316" s="149">
        <v>38328</v>
      </c>
      <c r="W316" s="149" t="s">
        <v>103</v>
      </c>
      <c r="X316" s="149" t="s">
        <v>103</v>
      </c>
      <c r="Y316" s="149">
        <v>44108</v>
      </c>
      <c r="Z316" s="149" t="s">
        <v>103</v>
      </c>
      <c r="AA316" s="149">
        <v>38328</v>
      </c>
      <c r="AB316" s="153" t="s">
        <v>103</v>
      </c>
      <c r="AC316" s="594">
        <v>0</v>
      </c>
      <c r="AD316" s="149">
        <v>44108</v>
      </c>
      <c r="AE316" s="149" t="s">
        <v>103</v>
      </c>
      <c r="AF316" s="153" t="s">
        <v>103</v>
      </c>
      <c r="AG316" s="153" t="s">
        <v>103</v>
      </c>
      <c r="AH316" s="596" t="s">
        <v>103</v>
      </c>
      <c r="AI316" s="960" t="s">
        <v>103</v>
      </c>
      <c r="AJ316" s="607">
        <v>1440</v>
      </c>
      <c r="AK316" s="153" t="s">
        <v>152</v>
      </c>
      <c r="AL316" s="791" t="s">
        <v>103</v>
      </c>
      <c r="AO316" s="963"/>
      <c r="AP316" s="94">
        <v>1600000</v>
      </c>
      <c r="AQ316" s="574">
        <v>0</v>
      </c>
      <c r="AR316" s="153" t="s">
        <v>116</v>
      </c>
      <c r="AS316" s="153" t="s">
        <v>116</v>
      </c>
      <c r="AT316" s="777" t="s">
        <v>122</v>
      </c>
      <c r="AU316" s="777" t="s">
        <v>122</v>
      </c>
      <c r="AV316" s="777" t="s">
        <v>122</v>
      </c>
      <c r="AW316" s="777" t="s">
        <v>122</v>
      </c>
      <c r="AX316" s="155" t="s">
        <v>103</v>
      </c>
      <c r="AY316" s="155" t="s">
        <v>103</v>
      </c>
      <c r="AZ316" s="155" t="s">
        <v>103</v>
      </c>
      <c r="BB316" s="153"/>
      <c r="BC316" s="780" t="s">
        <v>103</v>
      </c>
      <c r="BD316" s="153" t="s">
        <v>103</v>
      </c>
      <c r="BE316" s="679" t="s">
        <v>103</v>
      </c>
      <c r="BF316" s="156" t="s">
        <v>103</v>
      </c>
      <c r="BG316" s="94">
        <v>420018.35</v>
      </c>
      <c r="BH316" s="766" t="s">
        <v>123</v>
      </c>
      <c r="BI316" s="774">
        <v>0</v>
      </c>
      <c r="BJ316" s="774">
        <v>0</v>
      </c>
      <c r="BK316" s="153" t="s">
        <v>103</v>
      </c>
      <c r="BL316" s="153" t="s">
        <v>124</v>
      </c>
      <c r="BM316" s="94" t="s">
        <v>103</v>
      </c>
      <c r="BN316" s="155" t="s">
        <v>103</v>
      </c>
      <c r="BO316" s="153" t="s">
        <v>103</v>
      </c>
      <c r="BP316" s="153" t="s">
        <v>103</v>
      </c>
      <c r="BQ316" s="153" t="s">
        <v>103</v>
      </c>
      <c r="BR316" s="153" t="s">
        <v>110</v>
      </c>
      <c r="BS316" s="153" t="s">
        <v>104</v>
      </c>
      <c r="BT316" s="153" t="s">
        <v>110</v>
      </c>
      <c r="BU316" s="153" t="s">
        <v>110</v>
      </c>
      <c r="BV316" s="153" t="s">
        <v>104</v>
      </c>
      <c r="BW316" s="153" t="s">
        <v>110</v>
      </c>
      <c r="BX316" s="153" t="s">
        <v>110</v>
      </c>
      <c r="BY316" s="153" t="s">
        <v>103</v>
      </c>
      <c r="BZ316" s="153" t="s">
        <v>103</v>
      </c>
      <c r="CA316" s="616" t="s">
        <v>110</v>
      </c>
      <c r="CB316" s="153" t="s">
        <v>110</v>
      </c>
      <c r="CC316" s="153" t="s">
        <v>116</v>
      </c>
      <c r="CD316" s="153" t="s">
        <v>116</v>
      </c>
      <c r="CE316" s="153" t="s">
        <v>116</v>
      </c>
    </row>
    <row r="317" spans="1:83" ht="41.45" customHeight="1">
      <c r="A317" s="503"/>
      <c r="B317" s="164" t="s">
        <v>893</v>
      </c>
      <c r="C317" s="155" t="s">
        <v>894</v>
      </c>
      <c r="D317" s="153" t="s">
        <v>895</v>
      </c>
      <c r="E317" s="153">
        <v>93106</v>
      </c>
      <c r="F317" s="153">
        <v>6083002928</v>
      </c>
      <c r="G317" s="153" t="s">
        <v>110</v>
      </c>
      <c r="H317" s="153" t="s">
        <v>150</v>
      </c>
      <c r="I317" s="508" t="s">
        <v>893</v>
      </c>
      <c r="J317" s="153" t="s">
        <v>117</v>
      </c>
      <c r="K317" s="572" t="s">
        <v>217</v>
      </c>
      <c r="L317" s="153" t="s">
        <v>895</v>
      </c>
      <c r="M317" s="153" t="s">
        <v>104</v>
      </c>
      <c r="Q317" s="156" t="s">
        <v>139</v>
      </c>
      <c r="V317" s="149">
        <v>38034</v>
      </c>
      <c r="W317" s="149" t="s">
        <v>103</v>
      </c>
      <c r="X317" s="149" t="s">
        <v>103</v>
      </c>
      <c r="Y317" s="149">
        <v>39612</v>
      </c>
      <c r="Z317" s="149">
        <v>39612</v>
      </c>
      <c r="AA317" s="149">
        <v>38034</v>
      </c>
      <c r="AB317" s="763" t="s">
        <v>151</v>
      </c>
      <c r="AC317" s="594">
        <v>0</v>
      </c>
      <c r="AD317" s="153" t="s">
        <v>103</v>
      </c>
      <c r="AE317" s="149" t="s">
        <v>103</v>
      </c>
      <c r="AF317" s="596">
        <v>48</v>
      </c>
      <c r="AG317" s="596">
        <v>6</v>
      </c>
      <c r="AH317" s="595" t="s">
        <v>103</v>
      </c>
      <c r="AI317" s="614">
        <v>1.7045454545454546</v>
      </c>
      <c r="AJ317" s="607">
        <v>9000</v>
      </c>
      <c r="AK317" s="153" t="s">
        <v>152</v>
      </c>
      <c r="AL317" s="791" t="s">
        <v>104</v>
      </c>
      <c r="AO317" s="963"/>
      <c r="AP317" s="1017">
        <v>1600000</v>
      </c>
      <c r="AQ317" s="574">
        <v>3675583</v>
      </c>
      <c r="AR317" s="153" t="s">
        <v>116</v>
      </c>
      <c r="AS317" s="153" t="s">
        <v>116</v>
      </c>
      <c r="AT317" s="777" t="s">
        <v>122</v>
      </c>
      <c r="AU317" s="777" t="s">
        <v>122</v>
      </c>
      <c r="AV317" s="777" t="s">
        <v>122</v>
      </c>
      <c r="AW317" s="777" t="s">
        <v>122</v>
      </c>
      <c r="AX317" s="155" t="s">
        <v>103</v>
      </c>
      <c r="AY317" s="155" t="s">
        <v>103</v>
      </c>
      <c r="AZ317" s="155" t="s">
        <v>103</v>
      </c>
      <c r="BB317" s="574">
        <f t="shared" ref="BB317" si="69">AQ317</f>
        <v>3675583</v>
      </c>
      <c r="BC317" s="780">
        <v>-2075583</v>
      </c>
      <c r="BD317" s="996" t="s">
        <v>896</v>
      </c>
      <c r="BE317" s="679">
        <v>0</v>
      </c>
      <c r="BF317" s="153" t="s">
        <v>103</v>
      </c>
      <c r="BG317" s="94">
        <v>3675583</v>
      </c>
      <c r="BH317" s="766" t="s">
        <v>123</v>
      </c>
      <c r="BI317" s="774">
        <v>0</v>
      </c>
      <c r="BJ317" s="774">
        <v>0</v>
      </c>
      <c r="BK317" s="153" t="s">
        <v>103</v>
      </c>
      <c r="BL317" s="153" t="s">
        <v>124</v>
      </c>
      <c r="BM317" s="94" t="s">
        <v>103</v>
      </c>
      <c r="BN317" s="155" t="s">
        <v>103</v>
      </c>
      <c r="BO317" s="153" t="s">
        <v>103</v>
      </c>
      <c r="BP317" s="153" t="s">
        <v>103</v>
      </c>
      <c r="BQ317" s="153" t="s">
        <v>103</v>
      </c>
      <c r="BR317" s="153" t="s">
        <v>116</v>
      </c>
      <c r="BS317" s="153" t="s">
        <v>116</v>
      </c>
      <c r="BT317" s="153" t="s">
        <v>116</v>
      </c>
      <c r="BU317" s="153" t="s">
        <v>116</v>
      </c>
      <c r="BV317" s="153" t="s">
        <v>116</v>
      </c>
      <c r="BW317" s="153" t="s">
        <v>116</v>
      </c>
      <c r="BX317" s="153" t="s">
        <v>116</v>
      </c>
      <c r="BY317" s="153" t="s">
        <v>116</v>
      </c>
      <c r="BZ317" s="153" t="s">
        <v>116</v>
      </c>
      <c r="CA317" s="616" t="s">
        <v>116</v>
      </c>
      <c r="CB317" s="153" t="s">
        <v>116</v>
      </c>
      <c r="CC317" s="153" t="s">
        <v>116</v>
      </c>
      <c r="CD317" s="153" t="s">
        <v>116</v>
      </c>
      <c r="CE317" s="153" t="s">
        <v>116</v>
      </c>
    </row>
    <row r="318" spans="1:83" s="968" customFormat="1" ht="14.1" customHeight="1">
      <c r="A318" s="1045"/>
      <c r="B318" s="1054"/>
      <c r="C318" s="1059"/>
      <c r="D318" s="1054"/>
      <c r="E318" s="1054"/>
      <c r="F318" s="1054"/>
      <c r="G318" s="1054"/>
      <c r="H318" s="1054"/>
      <c r="I318" s="1072"/>
      <c r="J318" s="1054"/>
      <c r="K318" s="1054"/>
      <c r="L318" s="1054"/>
      <c r="M318" s="1054"/>
      <c r="N318" s="1069"/>
      <c r="O318" s="1069"/>
      <c r="P318" s="1069"/>
      <c r="Q318" s="1069"/>
      <c r="R318" s="1069"/>
      <c r="S318" s="1069"/>
      <c r="T318" s="1054"/>
      <c r="U318" s="1054"/>
      <c r="V318" s="1073"/>
      <c r="W318" s="1073"/>
      <c r="X318" s="1073"/>
      <c r="Y318" s="1073"/>
      <c r="Z318" s="1073"/>
      <c r="AA318" s="1073"/>
      <c r="AB318" s="1054"/>
      <c r="AC318" s="1074"/>
      <c r="AD318" s="1054"/>
      <c r="AE318" s="1054"/>
      <c r="AF318" s="1054"/>
      <c r="AG318" s="1054"/>
      <c r="AH318" s="1064"/>
      <c r="AI318" s="1065"/>
      <c r="AJ318" s="1064"/>
      <c r="AK318" s="1054"/>
      <c r="AL318" s="1066"/>
      <c r="AM318" s="1054"/>
      <c r="AN318" s="1054"/>
      <c r="AO318" s="1067"/>
      <c r="AP318" s="1070"/>
      <c r="AQ318" s="1068"/>
      <c r="AR318" s="1054"/>
      <c r="AS318" s="1054"/>
      <c r="AT318" s="1054"/>
      <c r="AU318" s="1054"/>
      <c r="AV318" s="1054"/>
      <c r="AW318" s="1054"/>
      <c r="AX318" s="1054"/>
      <c r="AY318" s="1054"/>
      <c r="AZ318" s="1054"/>
      <c r="BA318" s="1054"/>
      <c r="BB318" s="1054"/>
      <c r="BC318" s="1054"/>
      <c r="BD318" s="1054"/>
      <c r="BE318" s="1069"/>
      <c r="BF318" s="1054"/>
      <c r="BG318" s="1070"/>
      <c r="BH318" s="1054"/>
      <c r="BI318" s="1071"/>
      <c r="BJ318" s="1054"/>
      <c r="BK318" s="1054"/>
      <c r="BL318" s="1054"/>
      <c r="BM318" s="1070"/>
      <c r="BN318" s="1059"/>
      <c r="BO318" s="1054"/>
      <c r="BP318" s="1054"/>
      <c r="BQ318" s="1054"/>
      <c r="BR318" s="1054"/>
      <c r="BS318" s="1054"/>
      <c r="BT318" s="1054"/>
      <c r="BU318" s="1054"/>
      <c r="BV318" s="1054"/>
      <c r="BW318" s="1054"/>
      <c r="BX318" s="1054"/>
      <c r="BY318" s="1054"/>
      <c r="BZ318" s="1054"/>
      <c r="CA318" s="1054"/>
      <c r="CB318" s="1054"/>
      <c r="CC318" s="1054"/>
      <c r="CD318" s="1054"/>
      <c r="CE318" s="1054"/>
    </row>
    <row r="319" spans="1:83" s="980" customFormat="1" ht="10.35" customHeight="1">
      <c r="A319" s="1009" t="s">
        <v>897</v>
      </c>
      <c r="C319" s="997"/>
      <c r="I319" s="1010"/>
      <c r="N319" s="1005"/>
      <c r="O319" s="1005"/>
      <c r="P319" s="1005"/>
      <c r="Q319" s="1005"/>
      <c r="R319" s="1005"/>
      <c r="S319" s="1005"/>
      <c r="V319" s="1000"/>
      <c r="W319" s="1000" t="s">
        <v>103</v>
      </c>
      <c r="X319" s="1000" t="s">
        <v>103</v>
      </c>
      <c r="Y319" s="1000"/>
      <c r="Z319" s="1000"/>
      <c r="AA319" s="1000"/>
      <c r="AC319" s="1002"/>
      <c r="AH319" s="1003"/>
      <c r="AI319" s="1004"/>
      <c r="AJ319" s="1003"/>
      <c r="AL319" s="797"/>
      <c r="AO319" s="798"/>
      <c r="AP319" s="163"/>
      <c r="AQ319" s="579"/>
      <c r="BE319" s="1005"/>
      <c r="BG319" s="163"/>
      <c r="BI319" s="1006"/>
      <c r="BM319" s="163"/>
      <c r="BN319" s="997"/>
    </row>
    <row r="320" spans="1:83" ht="27.6" customHeight="1">
      <c r="A320" s="503" t="s">
        <v>898</v>
      </c>
      <c r="B320" s="164" t="s">
        <v>899</v>
      </c>
      <c r="C320" s="155" t="s">
        <v>900</v>
      </c>
      <c r="D320" s="153" t="s">
        <v>901</v>
      </c>
      <c r="E320" s="153">
        <v>93221</v>
      </c>
      <c r="F320" s="153">
        <v>6107001501</v>
      </c>
      <c r="G320" s="153" t="s">
        <v>110</v>
      </c>
      <c r="H320" s="674">
        <v>0.23768707482993198</v>
      </c>
      <c r="I320" s="508" t="s">
        <v>899</v>
      </c>
      <c r="J320" s="153" t="s">
        <v>117</v>
      </c>
      <c r="K320" s="572" t="s">
        <v>577</v>
      </c>
      <c r="L320" s="153" t="s">
        <v>901</v>
      </c>
      <c r="M320" s="153" t="s">
        <v>104</v>
      </c>
      <c r="N320" s="156">
        <v>1</v>
      </c>
      <c r="P320" s="156">
        <v>0</v>
      </c>
      <c r="Q320" s="156" t="s">
        <v>139</v>
      </c>
      <c r="R320" s="156">
        <v>0</v>
      </c>
      <c r="S320" s="156">
        <v>1</v>
      </c>
      <c r="T320" s="958" t="s">
        <v>105</v>
      </c>
      <c r="U320" s="153" t="s">
        <v>110</v>
      </c>
      <c r="V320" s="149">
        <v>39882</v>
      </c>
      <c r="W320" s="149" t="s">
        <v>103</v>
      </c>
      <c r="X320" s="149" t="s">
        <v>103</v>
      </c>
      <c r="Y320" s="149">
        <v>40664</v>
      </c>
      <c r="Z320" s="149">
        <v>40664</v>
      </c>
      <c r="AA320" s="149">
        <v>39882</v>
      </c>
      <c r="AB320" s="763" t="s">
        <v>151</v>
      </c>
      <c r="AC320" s="594">
        <v>0</v>
      </c>
      <c r="AD320" s="153" t="s">
        <v>103</v>
      </c>
      <c r="AE320" s="149" t="s">
        <v>103</v>
      </c>
      <c r="AF320" s="596">
        <v>11</v>
      </c>
      <c r="AG320" s="596">
        <v>6</v>
      </c>
      <c r="AH320" s="595">
        <v>4909</v>
      </c>
      <c r="AI320" s="614">
        <v>0.92973484848484844</v>
      </c>
      <c r="AJ320" s="607">
        <v>1885</v>
      </c>
      <c r="AK320" s="153" t="s">
        <v>120</v>
      </c>
      <c r="AL320" s="791" t="s">
        <v>104</v>
      </c>
      <c r="AO320" s="963"/>
      <c r="AP320" s="1017">
        <v>875000</v>
      </c>
      <c r="AQ320" s="574">
        <v>936103</v>
      </c>
      <c r="AR320" s="153" t="s">
        <v>116</v>
      </c>
      <c r="AS320" s="153" t="s">
        <v>116</v>
      </c>
      <c r="AT320" s="156">
        <v>0</v>
      </c>
      <c r="AU320" s="777" t="s">
        <v>122</v>
      </c>
      <c r="AV320" s="777" t="s">
        <v>122</v>
      </c>
      <c r="AW320" s="777" t="s">
        <v>122</v>
      </c>
      <c r="AX320" s="155" t="s">
        <v>103</v>
      </c>
      <c r="AY320" s="155" t="s">
        <v>103</v>
      </c>
      <c r="AZ320" s="155" t="s">
        <v>103</v>
      </c>
      <c r="BA320" s="156">
        <v>0</v>
      </c>
      <c r="BB320" s="574">
        <f t="shared" ref="BB320" si="70">AQ320</f>
        <v>936103</v>
      </c>
      <c r="BC320" s="780">
        <v>-61103</v>
      </c>
      <c r="BD320" s="1008" t="s">
        <v>151</v>
      </c>
      <c r="BE320" s="679">
        <v>0</v>
      </c>
      <c r="BF320" s="153" t="s">
        <v>103</v>
      </c>
      <c r="BG320" s="94">
        <v>936103</v>
      </c>
      <c r="BH320" s="766">
        <v>768444</v>
      </c>
      <c r="BI320" s="774">
        <v>135135.08000000002</v>
      </c>
      <c r="BJ320" s="774">
        <v>76420.92</v>
      </c>
      <c r="BK320" s="153" t="s">
        <v>103</v>
      </c>
      <c r="BL320" s="94" t="s">
        <v>124</v>
      </c>
      <c r="BM320" s="94" t="s">
        <v>124</v>
      </c>
      <c r="BN320" s="94" t="s">
        <v>124</v>
      </c>
      <c r="BO320" s="153" t="s">
        <v>116</v>
      </c>
      <c r="BP320" s="153" t="s">
        <v>124</v>
      </c>
      <c r="BQ320" s="153" t="s">
        <v>103</v>
      </c>
      <c r="BR320" s="153" t="s">
        <v>110</v>
      </c>
      <c r="BS320" s="153" t="s">
        <v>110</v>
      </c>
      <c r="BT320" s="153" t="s">
        <v>110</v>
      </c>
      <c r="BU320" s="153" t="s">
        <v>110</v>
      </c>
      <c r="BV320" s="153" t="s">
        <v>110</v>
      </c>
      <c r="BW320" s="153" t="s">
        <v>110</v>
      </c>
      <c r="BX320" s="153" t="s">
        <v>110</v>
      </c>
      <c r="BZ320" s="153" t="s">
        <v>110</v>
      </c>
      <c r="CA320" s="616" t="s">
        <v>103</v>
      </c>
      <c r="CB320" s="153" t="s">
        <v>103</v>
      </c>
      <c r="CC320" s="153" t="s">
        <v>103</v>
      </c>
      <c r="CD320" s="153" t="s">
        <v>103</v>
      </c>
      <c r="CE320" s="153" t="s">
        <v>103</v>
      </c>
    </row>
    <row r="321" spans="1:83" ht="14.1" customHeight="1">
      <c r="A321" s="503" t="s">
        <v>902</v>
      </c>
      <c r="B321" s="164" t="s">
        <v>903</v>
      </c>
      <c r="C321" s="155" t="s">
        <v>103</v>
      </c>
      <c r="D321" s="153" t="s">
        <v>904</v>
      </c>
      <c r="E321" s="153">
        <v>93223</v>
      </c>
      <c r="F321" s="153">
        <v>6107001601</v>
      </c>
      <c r="G321" s="153" t="s">
        <v>104</v>
      </c>
      <c r="H321" s="674">
        <v>0.45394321766561513</v>
      </c>
      <c r="I321" s="508" t="s">
        <v>903</v>
      </c>
      <c r="J321" s="153" t="s">
        <v>117</v>
      </c>
      <c r="K321" s="572" t="s">
        <v>130</v>
      </c>
      <c r="L321" s="153" t="s">
        <v>904</v>
      </c>
      <c r="M321" s="153" t="s">
        <v>110</v>
      </c>
      <c r="N321" s="156">
        <v>1</v>
      </c>
      <c r="P321" s="156">
        <v>0</v>
      </c>
      <c r="Q321" s="156" t="s">
        <v>119</v>
      </c>
      <c r="R321" s="156">
        <v>0</v>
      </c>
      <c r="S321" s="156">
        <v>0</v>
      </c>
      <c r="T321" s="958" t="s">
        <v>105</v>
      </c>
      <c r="U321" s="153" t="s">
        <v>104</v>
      </c>
      <c r="V321" s="149">
        <v>40245</v>
      </c>
      <c r="W321" s="149" t="s">
        <v>103</v>
      </c>
      <c r="X321" s="149" t="s">
        <v>103</v>
      </c>
      <c r="Y321" s="149" t="s">
        <v>103</v>
      </c>
      <c r="Z321" s="149" t="s">
        <v>103</v>
      </c>
      <c r="AA321" s="149" t="s">
        <v>103</v>
      </c>
      <c r="AB321" s="153" t="s">
        <v>103</v>
      </c>
      <c r="AC321" s="594" t="s">
        <v>103</v>
      </c>
      <c r="AD321" s="153" t="s">
        <v>103</v>
      </c>
      <c r="AE321" s="149" t="s">
        <v>103</v>
      </c>
      <c r="AF321" s="153" t="s">
        <v>103</v>
      </c>
      <c r="AG321" s="153" t="s">
        <v>103</v>
      </c>
      <c r="AH321" s="596" t="s">
        <v>103</v>
      </c>
      <c r="AI321" s="960" t="s">
        <v>103</v>
      </c>
      <c r="AJ321" s="607">
        <v>2120</v>
      </c>
      <c r="AK321" s="153" t="s">
        <v>120</v>
      </c>
      <c r="AL321" s="791" t="s">
        <v>104</v>
      </c>
      <c r="AO321" s="963"/>
      <c r="AP321" s="94">
        <v>702000</v>
      </c>
      <c r="AQ321" s="574">
        <v>0</v>
      </c>
      <c r="AR321" s="153" t="s">
        <v>116</v>
      </c>
      <c r="AS321" s="153" t="s">
        <v>116</v>
      </c>
      <c r="AT321" s="777" t="s">
        <v>121</v>
      </c>
      <c r="AU321" s="777" t="s">
        <v>122</v>
      </c>
      <c r="AV321" s="777" t="s">
        <v>122</v>
      </c>
      <c r="AW321" s="777" t="s">
        <v>122</v>
      </c>
      <c r="AX321" s="155" t="s">
        <v>103</v>
      </c>
      <c r="AY321" s="155" t="s">
        <v>103</v>
      </c>
      <c r="AZ321" s="155" t="s">
        <v>103</v>
      </c>
      <c r="BB321" s="153"/>
      <c r="BC321" s="780" t="s">
        <v>103</v>
      </c>
      <c r="BD321" s="153" t="s">
        <v>103</v>
      </c>
      <c r="BE321" s="679" t="s">
        <v>103</v>
      </c>
      <c r="BF321" s="156" t="s">
        <v>103</v>
      </c>
      <c r="BG321" s="94">
        <v>0</v>
      </c>
      <c r="BH321" s="149" t="s">
        <v>103</v>
      </c>
      <c r="BI321" s="774" t="s">
        <v>103</v>
      </c>
      <c r="BJ321" s="149" t="s">
        <v>103</v>
      </c>
      <c r="BK321" s="149" t="s">
        <v>103</v>
      </c>
      <c r="BL321" s="94" t="s">
        <v>124</v>
      </c>
      <c r="BM321" s="94" t="s">
        <v>124</v>
      </c>
      <c r="BN321" s="94" t="s">
        <v>124</v>
      </c>
      <c r="BO321" s="153" t="s">
        <v>116</v>
      </c>
      <c r="BP321" s="153" t="s">
        <v>124</v>
      </c>
      <c r="BQ321" s="153" t="s">
        <v>103</v>
      </c>
      <c r="BR321" s="153" t="s">
        <v>110</v>
      </c>
      <c r="BS321" s="153" t="s">
        <v>110</v>
      </c>
      <c r="BT321" s="153" t="s">
        <v>110</v>
      </c>
      <c r="BU321" s="153" t="s">
        <v>110</v>
      </c>
      <c r="BV321" s="153" t="s">
        <v>110</v>
      </c>
      <c r="BW321" s="153" t="s">
        <v>110</v>
      </c>
      <c r="BX321" s="153" t="s">
        <v>110</v>
      </c>
      <c r="BZ321" s="153" t="s">
        <v>110</v>
      </c>
      <c r="CA321" s="616" t="s">
        <v>103</v>
      </c>
      <c r="CB321" s="153" t="s">
        <v>103</v>
      </c>
      <c r="CC321" s="153" t="s">
        <v>103</v>
      </c>
      <c r="CD321" s="153" t="s">
        <v>103</v>
      </c>
      <c r="CE321" s="153" t="s">
        <v>103</v>
      </c>
    </row>
    <row r="322" spans="1:83" ht="14.1" customHeight="1">
      <c r="A322" s="503" t="s">
        <v>905</v>
      </c>
      <c r="B322" s="164" t="s">
        <v>906</v>
      </c>
      <c r="C322" s="155" t="s">
        <v>103</v>
      </c>
      <c r="D322" s="153" t="s">
        <v>907</v>
      </c>
      <c r="E322" s="153">
        <v>93247</v>
      </c>
      <c r="F322" s="153">
        <v>6107002601</v>
      </c>
      <c r="G322" s="153" t="s">
        <v>110</v>
      </c>
      <c r="H322" s="674">
        <v>0.32046436285097191</v>
      </c>
      <c r="I322" s="508" t="s">
        <v>906</v>
      </c>
      <c r="J322" s="153" t="s">
        <v>117</v>
      </c>
      <c r="K322" s="572" t="s">
        <v>118</v>
      </c>
      <c r="L322" s="153" t="s">
        <v>907</v>
      </c>
      <c r="M322" s="153" t="s">
        <v>110</v>
      </c>
      <c r="N322" s="156">
        <v>1</v>
      </c>
      <c r="P322" s="156">
        <v>0</v>
      </c>
      <c r="Q322" s="156" t="s">
        <v>119</v>
      </c>
      <c r="R322" s="156">
        <v>0</v>
      </c>
      <c r="S322" s="156">
        <v>0</v>
      </c>
      <c r="T322" s="958" t="s">
        <v>105</v>
      </c>
      <c r="U322" s="153" t="s">
        <v>104</v>
      </c>
      <c r="V322" s="149">
        <v>40764</v>
      </c>
      <c r="W322" s="149" t="s">
        <v>103</v>
      </c>
      <c r="X322" s="149" t="s">
        <v>103</v>
      </c>
      <c r="Y322" s="149" t="s">
        <v>103</v>
      </c>
      <c r="Z322" s="149" t="s">
        <v>103</v>
      </c>
      <c r="AA322" s="149" t="s">
        <v>103</v>
      </c>
      <c r="AB322" s="153" t="s">
        <v>103</v>
      </c>
      <c r="AC322" s="594" t="s">
        <v>103</v>
      </c>
      <c r="AD322" s="153" t="s">
        <v>103</v>
      </c>
      <c r="AE322" s="149" t="s">
        <v>103</v>
      </c>
      <c r="AF322" s="153" t="s">
        <v>103</v>
      </c>
      <c r="AG322" s="153" t="s">
        <v>103</v>
      </c>
      <c r="AH322" s="596" t="s">
        <v>103</v>
      </c>
      <c r="AI322" s="960" t="s">
        <v>103</v>
      </c>
      <c r="AJ322" s="607">
        <v>3150</v>
      </c>
      <c r="AK322" s="153" t="s">
        <v>120</v>
      </c>
      <c r="AL322" s="791" t="s">
        <v>104</v>
      </c>
      <c r="AO322" s="963"/>
      <c r="AP322" s="94">
        <v>3500000</v>
      </c>
      <c r="AQ322" s="574">
        <v>0</v>
      </c>
      <c r="AR322" s="153" t="s">
        <v>116</v>
      </c>
      <c r="AS322" s="153" t="s">
        <v>116</v>
      </c>
      <c r="AT322" s="777" t="s">
        <v>121</v>
      </c>
      <c r="AU322" s="777" t="s">
        <v>122</v>
      </c>
      <c r="AV322" s="777" t="s">
        <v>122</v>
      </c>
      <c r="AW322" s="777" t="s">
        <v>122</v>
      </c>
      <c r="AX322" s="155" t="s">
        <v>103</v>
      </c>
      <c r="AY322" s="155" t="s">
        <v>103</v>
      </c>
      <c r="AZ322" s="155" t="s">
        <v>103</v>
      </c>
      <c r="BB322" s="153"/>
      <c r="BC322" s="780" t="s">
        <v>103</v>
      </c>
      <c r="BD322" s="153" t="s">
        <v>103</v>
      </c>
      <c r="BE322" s="679" t="s">
        <v>103</v>
      </c>
      <c r="BF322" s="156" t="s">
        <v>103</v>
      </c>
      <c r="BG322" s="94">
        <v>0</v>
      </c>
      <c r="BH322" s="149" t="s">
        <v>103</v>
      </c>
      <c r="BI322" s="774" t="s">
        <v>103</v>
      </c>
      <c r="BJ322" s="149" t="s">
        <v>103</v>
      </c>
      <c r="BK322" s="149" t="s">
        <v>103</v>
      </c>
      <c r="BL322" s="94" t="s">
        <v>124</v>
      </c>
      <c r="BM322" s="94" t="s">
        <v>124</v>
      </c>
      <c r="BN322" s="94" t="s">
        <v>124</v>
      </c>
      <c r="BO322" s="153" t="s">
        <v>116</v>
      </c>
      <c r="BP322" s="153" t="s">
        <v>124</v>
      </c>
      <c r="BQ322" s="153" t="s">
        <v>103</v>
      </c>
      <c r="BR322" s="153" t="s">
        <v>110</v>
      </c>
      <c r="BS322" s="153" t="s">
        <v>110</v>
      </c>
      <c r="BT322" s="153" t="s">
        <v>110</v>
      </c>
      <c r="BU322" s="153" t="s">
        <v>110</v>
      </c>
      <c r="BV322" s="153" t="s">
        <v>110</v>
      </c>
      <c r="BW322" s="153" t="s">
        <v>110</v>
      </c>
      <c r="BX322" s="153" t="s">
        <v>110</v>
      </c>
      <c r="BZ322" s="153" t="s">
        <v>110</v>
      </c>
      <c r="CA322" s="616" t="s">
        <v>103</v>
      </c>
      <c r="CB322" s="153" t="s">
        <v>103</v>
      </c>
      <c r="CC322" s="153" t="s">
        <v>103</v>
      </c>
      <c r="CD322" s="153" t="s">
        <v>103</v>
      </c>
      <c r="CE322" s="153" t="s">
        <v>103</v>
      </c>
    </row>
    <row r="323" spans="1:83" ht="14.1" customHeight="1">
      <c r="A323" s="503" t="s">
        <v>908</v>
      </c>
      <c r="B323" s="164" t="s">
        <v>909</v>
      </c>
      <c r="C323" s="155" t="s">
        <v>103</v>
      </c>
      <c r="D323" s="153" t="s">
        <v>910</v>
      </c>
      <c r="E323" s="153">
        <v>93257</v>
      </c>
      <c r="F323" s="153">
        <v>6107003802</v>
      </c>
      <c r="G323" s="153" t="s">
        <v>110</v>
      </c>
      <c r="H323" s="674">
        <v>0.34689197770408525</v>
      </c>
      <c r="I323" s="508" t="s">
        <v>909</v>
      </c>
      <c r="J323" s="153" t="s">
        <v>117</v>
      </c>
      <c r="K323" s="156">
        <v>0</v>
      </c>
      <c r="L323" s="153" t="s">
        <v>910</v>
      </c>
      <c r="M323" s="153" t="s">
        <v>110</v>
      </c>
      <c r="N323" s="156">
        <v>1</v>
      </c>
      <c r="P323" s="156">
        <v>0</v>
      </c>
      <c r="Q323" s="156" t="s">
        <v>119</v>
      </c>
      <c r="R323" s="156">
        <v>0</v>
      </c>
      <c r="S323" s="156">
        <v>0</v>
      </c>
      <c r="T323" s="958" t="s">
        <v>105</v>
      </c>
      <c r="U323" s="153" t="s">
        <v>104</v>
      </c>
      <c r="V323" s="149">
        <v>39588</v>
      </c>
      <c r="W323" s="149" t="s">
        <v>103</v>
      </c>
      <c r="X323" s="149" t="s">
        <v>103</v>
      </c>
      <c r="Y323" s="149" t="s">
        <v>103</v>
      </c>
      <c r="Z323" s="149" t="s">
        <v>103</v>
      </c>
      <c r="AA323" s="149" t="s">
        <v>103</v>
      </c>
      <c r="AB323" s="153" t="s">
        <v>103</v>
      </c>
      <c r="AC323" s="594" t="s">
        <v>103</v>
      </c>
      <c r="AD323" s="153" t="s">
        <v>103</v>
      </c>
      <c r="AE323" s="149" t="s">
        <v>103</v>
      </c>
      <c r="AF323" s="153" t="s">
        <v>103</v>
      </c>
      <c r="AG323" s="153" t="s">
        <v>103</v>
      </c>
      <c r="AH323" s="596" t="s">
        <v>103</v>
      </c>
      <c r="AI323" s="960" t="s">
        <v>103</v>
      </c>
      <c r="AJ323" s="607">
        <v>1500</v>
      </c>
      <c r="AK323" s="153" t="s">
        <v>120</v>
      </c>
      <c r="AL323" s="791" t="s">
        <v>104</v>
      </c>
      <c r="AO323" s="963"/>
      <c r="AP323" s="94" t="s">
        <v>103</v>
      </c>
      <c r="AQ323" s="574">
        <v>0</v>
      </c>
      <c r="AR323" s="153" t="s">
        <v>116</v>
      </c>
      <c r="AS323" s="153" t="s">
        <v>116</v>
      </c>
      <c r="AT323" s="777" t="s">
        <v>121</v>
      </c>
      <c r="AU323" s="777" t="s">
        <v>122</v>
      </c>
      <c r="AV323" s="777" t="s">
        <v>122</v>
      </c>
      <c r="AW323" s="777" t="s">
        <v>122</v>
      </c>
      <c r="AX323" s="155" t="s">
        <v>103</v>
      </c>
      <c r="AY323" s="155" t="s">
        <v>103</v>
      </c>
      <c r="AZ323" s="155" t="s">
        <v>103</v>
      </c>
      <c r="BA323" s="153" t="s">
        <v>103</v>
      </c>
      <c r="BB323" s="153" t="s">
        <v>103</v>
      </c>
      <c r="BC323" s="780" t="s">
        <v>103</v>
      </c>
      <c r="BD323" s="153" t="s">
        <v>103</v>
      </c>
      <c r="BE323" s="679" t="s">
        <v>103</v>
      </c>
      <c r="BF323" s="156" t="s">
        <v>103</v>
      </c>
      <c r="BG323" s="94">
        <v>0</v>
      </c>
      <c r="BH323" s="149" t="s">
        <v>103</v>
      </c>
      <c r="BI323" s="774" t="s">
        <v>103</v>
      </c>
      <c r="BJ323" s="149" t="s">
        <v>103</v>
      </c>
      <c r="BK323" s="149" t="s">
        <v>103</v>
      </c>
      <c r="BL323" s="94" t="s">
        <v>124</v>
      </c>
      <c r="BM323" s="94" t="s">
        <v>124</v>
      </c>
      <c r="BN323" s="94" t="s">
        <v>124</v>
      </c>
      <c r="BO323" s="153" t="s">
        <v>116</v>
      </c>
      <c r="BP323" s="153" t="s">
        <v>124</v>
      </c>
      <c r="BQ323" s="153" t="s">
        <v>103</v>
      </c>
      <c r="BR323" s="153" t="s">
        <v>110</v>
      </c>
      <c r="BS323" s="153" t="s">
        <v>110</v>
      </c>
      <c r="BT323" s="153" t="s">
        <v>110</v>
      </c>
      <c r="BU323" s="153" t="s">
        <v>110</v>
      </c>
      <c r="BV323" s="153" t="s">
        <v>104</v>
      </c>
      <c r="BW323" s="153" t="s">
        <v>104</v>
      </c>
      <c r="BX323" s="153" t="s">
        <v>110</v>
      </c>
      <c r="BZ323" s="153" t="s">
        <v>110</v>
      </c>
      <c r="CA323" s="616" t="s">
        <v>103</v>
      </c>
      <c r="CB323" s="153" t="s">
        <v>103</v>
      </c>
      <c r="CC323" s="153" t="s">
        <v>103</v>
      </c>
      <c r="CD323" s="153" t="s">
        <v>103</v>
      </c>
      <c r="CE323" s="153" t="s">
        <v>103</v>
      </c>
    </row>
    <row r="324" spans="1:83" ht="14.1" customHeight="1">
      <c r="A324" s="505" t="s">
        <v>911</v>
      </c>
      <c r="B324" s="164" t="s">
        <v>103</v>
      </c>
      <c r="C324" s="155" t="s">
        <v>103</v>
      </c>
      <c r="D324" s="153" t="s">
        <v>103</v>
      </c>
      <c r="E324" s="153" t="s">
        <v>103</v>
      </c>
      <c r="F324" s="958" t="s">
        <v>103</v>
      </c>
      <c r="G324" s="153" t="s">
        <v>104</v>
      </c>
      <c r="H324" s="673">
        <v>0.28276148599522211</v>
      </c>
      <c r="I324" s="508" t="s">
        <v>103</v>
      </c>
      <c r="J324" s="958" t="s">
        <v>103</v>
      </c>
      <c r="K324" s="958" t="s">
        <v>103</v>
      </c>
      <c r="L324" s="155" t="s">
        <v>103</v>
      </c>
      <c r="M324" s="155" t="s">
        <v>103</v>
      </c>
      <c r="N324" s="156">
        <v>0</v>
      </c>
      <c r="O324" s="156" t="s">
        <v>103</v>
      </c>
      <c r="P324" s="156">
        <v>0</v>
      </c>
      <c r="Q324" s="958" t="s">
        <v>103</v>
      </c>
      <c r="R324" s="156">
        <v>0</v>
      </c>
      <c r="S324" s="156">
        <v>0</v>
      </c>
      <c r="T324" s="958" t="s">
        <v>105</v>
      </c>
      <c r="U324" s="153" t="s">
        <v>104</v>
      </c>
      <c r="V324" s="518" t="s">
        <v>103</v>
      </c>
      <c r="W324" s="991" t="s">
        <v>103</v>
      </c>
      <c r="X324" s="991" t="s">
        <v>103</v>
      </c>
      <c r="Y324" s="991" t="s">
        <v>103</v>
      </c>
      <c r="Z324" s="518" t="s">
        <v>103</v>
      </c>
      <c r="AA324" s="991" t="s">
        <v>103</v>
      </c>
      <c r="AB324" s="155" t="s">
        <v>103</v>
      </c>
      <c r="AC324" s="959" t="s">
        <v>103</v>
      </c>
      <c r="AD324" s="155" t="s">
        <v>103</v>
      </c>
      <c r="AE324" s="155" t="s">
        <v>103</v>
      </c>
      <c r="AF324" s="155" t="s">
        <v>103</v>
      </c>
      <c r="AG324" s="155" t="s">
        <v>103</v>
      </c>
      <c r="AH324" s="992" t="s">
        <v>103</v>
      </c>
      <c r="AI324" s="960" t="s">
        <v>103</v>
      </c>
      <c r="AJ324" s="992" t="s">
        <v>103</v>
      </c>
      <c r="AK324" s="155" t="s">
        <v>103</v>
      </c>
      <c r="AL324" s="993" t="s">
        <v>103</v>
      </c>
      <c r="AM324" s="155"/>
      <c r="AN324" s="155"/>
      <c r="AO324" s="994"/>
      <c r="AP324" s="94">
        <v>0</v>
      </c>
      <c r="AQ324" s="578">
        <v>0</v>
      </c>
      <c r="AR324" s="155" t="s">
        <v>103</v>
      </c>
      <c r="AS324" s="155" t="s">
        <v>103</v>
      </c>
      <c r="AT324" s="155" t="s">
        <v>103</v>
      </c>
      <c r="AU324" s="155" t="s">
        <v>103</v>
      </c>
      <c r="AV324" s="155" t="s">
        <v>103</v>
      </c>
      <c r="AW324" s="155" t="s">
        <v>103</v>
      </c>
      <c r="AX324" s="155" t="s">
        <v>103</v>
      </c>
      <c r="AY324" s="155" t="s">
        <v>103</v>
      </c>
      <c r="AZ324" s="155" t="s">
        <v>103</v>
      </c>
      <c r="BA324" s="155" t="s">
        <v>103</v>
      </c>
      <c r="BB324" s="155" t="s">
        <v>103</v>
      </c>
      <c r="BC324" s="155" t="s">
        <v>103</v>
      </c>
      <c r="BD324" s="155" t="s">
        <v>103</v>
      </c>
      <c r="BE324" s="989" t="s">
        <v>103</v>
      </c>
      <c r="BF324" s="155" t="s">
        <v>103</v>
      </c>
      <c r="BG324" s="961">
        <v>0</v>
      </c>
      <c r="BH324" s="155" t="s">
        <v>103</v>
      </c>
      <c r="BI324" s="990" t="s">
        <v>103</v>
      </c>
      <c r="BJ324" s="155" t="s">
        <v>103</v>
      </c>
      <c r="BK324" s="155" t="s">
        <v>103</v>
      </c>
      <c r="BL324" s="155" t="s">
        <v>103</v>
      </c>
      <c r="BM324" s="155" t="s">
        <v>103</v>
      </c>
      <c r="BN324" s="155" t="s">
        <v>103</v>
      </c>
      <c r="BO324" s="155" t="s">
        <v>103</v>
      </c>
      <c r="BP324" s="155" t="s">
        <v>103</v>
      </c>
      <c r="BQ324" s="155" t="s">
        <v>103</v>
      </c>
      <c r="BR324" s="155" t="s">
        <v>103</v>
      </c>
      <c r="BS324" s="155" t="s">
        <v>103</v>
      </c>
      <c r="BT324" s="155" t="s">
        <v>103</v>
      </c>
      <c r="BU324" s="155" t="s">
        <v>103</v>
      </c>
      <c r="BV324" s="155" t="s">
        <v>103</v>
      </c>
      <c r="BW324" s="155" t="s">
        <v>103</v>
      </c>
      <c r="BX324" s="155" t="s">
        <v>103</v>
      </c>
      <c r="BY324" s="155" t="s">
        <v>103</v>
      </c>
      <c r="BZ324" s="155" t="s">
        <v>103</v>
      </c>
      <c r="CA324" s="155" t="s">
        <v>103</v>
      </c>
      <c r="CB324" s="155" t="s">
        <v>103</v>
      </c>
      <c r="CC324" s="155" t="s">
        <v>103</v>
      </c>
      <c r="CD324" s="155" t="s">
        <v>103</v>
      </c>
      <c r="CE324" s="155" t="s">
        <v>103</v>
      </c>
    </row>
    <row r="325" spans="1:83" ht="41.45" customHeight="1">
      <c r="A325" s="503" t="s">
        <v>912</v>
      </c>
      <c r="B325" s="164" t="s">
        <v>913</v>
      </c>
      <c r="C325" s="155" t="s">
        <v>914</v>
      </c>
      <c r="D325" s="153" t="s">
        <v>915</v>
      </c>
      <c r="E325" s="153">
        <v>93291</v>
      </c>
      <c r="F325" s="153">
        <v>6107001004</v>
      </c>
      <c r="G325" s="153" t="s">
        <v>104</v>
      </c>
      <c r="H325" s="674">
        <v>0.22908807283956512</v>
      </c>
      <c r="I325" s="508" t="s">
        <v>913</v>
      </c>
      <c r="J325" s="153" t="s">
        <v>117</v>
      </c>
      <c r="K325" s="572" t="s">
        <v>293</v>
      </c>
      <c r="L325" s="153" t="s">
        <v>915</v>
      </c>
      <c r="M325" s="153" t="s">
        <v>104</v>
      </c>
      <c r="N325" s="156">
        <v>3</v>
      </c>
      <c r="P325" s="156">
        <v>0</v>
      </c>
      <c r="Q325" s="156" t="s">
        <v>139</v>
      </c>
      <c r="R325" s="156">
        <v>0</v>
      </c>
      <c r="S325" s="156">
        <v>2</v>
      </c>
      <c r="T325" s="958" t="s">
        <v>105</v>
      </c>
      <c r="U325" s="153" t="s">
        <v>104</v>
      </c>
      <c r="V325" s="590">
        <v>39356</v>
      </c>
      <c r="W325" s="149">
        <v>39118</v>
      </c>
      <c r="X325" s="149">
        <v>40518</v>
      </c>
      <c r="Y325" s="149">
        <v>40969</v>
      </c>
      <c r="Z325" s="149">
        <v>40969</v>
      </c>
      <c r="AA325" s="149">
        <v>39356</v>
      </c>
      <c r="AB325" s="763" t="s">
        <v>121</v>
      </c>
      <c r="AC325" s="594">
        <v>-170</v>
      </c>
      <c r="AD325" s="153" t="s">
        <v>103</v>
      </c>
      <c r="AE325" s="149" t="s">
        <v>103</v>
      </c>
      <c r="AF325" s="596">
        <v>23</v>
      </c>
      <c r="AG325" s="596" t="s">
        <v>103</v>
      </c>
      <c r="AH325" s="595">
        <v>4424</v>
      </c>
      <c r="AI325" s="614">
        <v>0.83787878787878789</v>
      </c>
      <c r="AJ325" s="607">
        <v>4795</v>
      </c>
      <c r="AK325" s="153" t="s">
        <v>120</v>
      </c>
      <c r="AL325" s="791" t="s">
        <v>104</v>
      </c>
      <c r="AO325" s="963"/>
      <c r="AP325" s="1017">
        <v>1750000</v>
      </c>
      <c r="AQ325" s="574">
        <v>1679730</v>
      </c>
      <c r="AR325" s="153" t="s">
        <v>116</v>
      </c>
      <c r="AS325" s="153" t="s">
        <v>116</v>
      </c>
      <c r="AT325" s="156">
        <v>0</v>
      </c>
      <c r="AU325" s="777" t="s">
        <v>122</v>
      </c>
      <c r="AV325" s="777" t="s">
        <v>122</v>
      </c>
      <c r="AW325" s="777" t="s">
        <v>122</v>
      </c>
      <c r="AX325" s="155" t="s">
        <v>103</v>
      </c>
      <c r="AY325" s="155" t="s">
        <v>103</v>
      </c>
      <c r="AZ325" s="155" t="s">
        <v>103</v>
      </c>
      <c r="BA325" s="156">
        <v>0</v>
      </c>
      <c r="BB325" s="574">
        <f t="shared" ref="BB325" si="71">AQ325</f>
        <v>1679730</v>
      </c>
      <c r="BC325" s="780">
        <v>70270</v>
      </c>
      <c r="BD325" s="1008" t="s">
        <v>121</v>
      </c>
      <c r="BE325" s="679">
        <v>0</v>
      </c>
      <c r="BF325" s="153" t="s">
        <v>103</v>
      </c>
      <c r="BG325" s="94">
        <v>1679730</v>
      </c>
      <c r="BH325" s="766">
        <v>3056624</v>
      </c>
      <c r="BI325" s="774">
        <v>0</v>
      </c>
      <c r="BJ325" s="774">
        <v>0</v>
      </c>
      <c r="BK325" s="153" t="s">
        <v>103</v>
      </c>
      <c r="BL325" s="94" t="s">
        <v>124</v>
      </c>
      <c r="BM325" s="94" t="s">
        <v>124</v>
      </c>
      <c r="BN325" s="94" t="s">
        <v>124</v>
      </c>
      <c r="BO325" s="153" t="s">
        <v>116</v>
      </c>
      <c r="BP325" s="153" t="s">
        <v>124</v>
      </c>
      <c r="BQ325" s="153" t="s">
        <v>103</v>
      </c>
      <c r="BR325" s="153" t="s">
        <v>110</v>
      </c>
      <c r="BS325" s="153" t="s">
        <v>110</v>
      </c>
      <c r="BT325" s="153" t="s">
        <v>110</v>
      </c>
      <c r="BU325" s="153" t="s">
        <v>110</v>
      </c>
      <c r="BV325" s="153" t="s">
        <v>110</v>
      </c>
      <c r="BW325" s="153" t="s">
        <v>110</v>
      </c>
      <c r="BX325" s="153" t="s">
        <v>110</v>
      </c>
      <c r="BY325" s="153" t="s">
        <v>110</v>
      </c>
      <c r="BZ325" s="153" t="s">
        <v>110</v>
      </c>
      <c r="CA325" s="616" t="s">
        <v>103</v>
      </c>
      <c r="CB325" s="153" t="s">
        <v>103</v>
      </c>
      <c r="CC325" s="153" t="s">
        <v>103</v>
      </c>
      <c r="CD325" s="153" t="s">
        <v>103</v>
      </c>
      <c r="CE325" s="153" t="s">
        <v>103</v>
      </c>
    </row>
    <row r="326" spans="1:83" ht="41.45" customHeight="1">
      <c r="A326" s="503"/>
      <c r="B326" s="164" t="s">
        <v>916</v>
      </c>
      <c r="C326" s="155" t="s">
        <v>917</v>
      </c>
      <c r="D326" s="153" t="s">
        <v>918</v>
      </c>
      <c r="E326" s="153">
        <v>93277</v>
      </c>
      <c r="F326" s="153">
        <v>6107001302</v>
      </c>
      <c r="G326" s="153" t="s">
        <v>216</v>
      </c>
      <c r="H326" s="153" t="s">
        <v>150</v>
      </c>
      <c r="I326" s="508" t="s">
        <v>916</v>
      </c>
      <c r="J326" s="153" t="s">
        <v>117</v>
      </c>
      <c r="K326" s="572" t="s">
        <v>156</v>
      </c>
      <c r="L326" s="153" t="s">
        <v>918</v>
      </c>
      <c r="M326" s="153" t="s">
        <v>104</v>
      </c>
      <c r="Q326" s="989" t="s">
        <v>139</v>
      </c>
      <c r="V326" s="149">
        <v>41428</v>
      </c>
      <c r="W326" s="149">
        <v>41577</v>
      </c>
      <c r="X326" s="149">
        <v>42750</v>
      </c>
      <c r="Y326" s="149">
        <v>43087</v>
      </c>
      <c r="Z326" s="149">
        <v>43087</v>
      </c>
      <c r="AA326" s="149">
        <v>41428</v>
      </c>
      <c r="AB326" s="763" t="s">
        <v>151</v>
      </c>
      <c r="AC326" s="594">
        <v>106.42857142857142</v>
      </c>
      <c r="AD326" s="153" t="s">
        <v>103</v>
      </c>
      <c r="AE326" s="149" t="s">
        <v>103</v>
      </c>
      <c r="AF326" s="596">
        <v>5</v>
      </c>
      <c r="AG326" s="596">
        <v>10</v>
      </c>
      <c r="AH326" s="597">
        <v>4631</v>
      </c>
      <c r="AI326" s="615">
        <v>0.87708333333333333</v>
      </c>
      <c r="AJ326" s="607">
        <v>4780</v>
      </c>
      <c r="AK326" s="153" t="s">
        <v>120</v>
      </c>
      <c r="AL326" s="791" t="s">
        <v>104</v>
      </c>
      <c r="AO326" s="963"/>
      <c r="AP326" s="519">
        <v>2600000</v>
      </c>
      <c r="AQ326" s="580">
        <v>2999304.34</v>
      </c>
      <c r="AR326" s="153" t="s">
        <v>116</v>
      </c>
      <c r="AS326" s="153" t="s">
        <v>116</v>
      </c>
      <c r="AT326" s="777" t="s">
        <v>122</v>
      </c>
      <c r="AU326" s="777" t="s">
        <v>122</v>
      </c>
      <c r="AV326" s="777" t="s">
        <v>122</v>
      </c>
      <c r="AW326" s="777" t="s">
        <v>122</v>
      </c>
      <c r="AX326" s="155" t="s">
        <v>103</v>
      </c>
      <c r="AY326" s="155" t="s">
        <v>103</v>
      </c>
      <c r="AZ326" s="155" t="s">
        <v>103</v>
      </c>
      <c r="BA326" s="156">
        <v>0</v>
      </c>
      <c r="BB326" s="153"/>
      <c r="BC326" s="780">
        <v>-399304.33999999985</v>
      </c>
      <c r="BD326" s="763" t="s">
        <v>151</v>
      </c>
      <c r="BE326" s="679" t="s">
        <v>103</v>
      </c>
      <c r="BF326" s="156" t="s">
        <v>103</v>
      </c>
      <c r="BG326" s="519">
        <v>1586816.72</v>
      </c>
      <c r="BH326" s="769">
        <v>2651641</v>
      </c>
      <c r="BI326" s="774">
        <v>0</v>
      </c>
      <c r="BJ326" s="774">
        <v>0</v>
      </c>
      <c r="BK326" s="153" t="s">
        <v>103</v>
      </c>
      <c r="BL326" s="153" t="s">
        <v>124</v>
      </c>
      <c r="BM326" s="519" t="s">
        <v>124</v>
      </c>
      <c r="BN326" s="155" t="s">
        <v>124</v>
      </c>
      <c r="BO326" s="153" t="s">
        <v>116</v>
      </c>
      <c r="BP326" s="153" t="s">
        <v>124</v>
      </c>
      <c r="BQ326" s="153" t="s">
        <v>103</v>
      </c>
      <c r="BR326" s="153" t="s">
        <v>110</v>
      </c>
      <c r="BS326" s="153" t="s">
        <v>104</v>
      </c>
      <c r="BT326" s="153" t="s">
        <v>104</v>
      </c>
      <c r="BU326" s="153" t="s">
        <v>110</v>
      </c>
      <c r="BV326" s="153" t="s">
        <v>110</v>
      </c>
      <c r="BW326" s="153" t="s">
        <v>110</v>
      </c>
      <c r="BX326" s="153" t="s">
        <v>110</v>
      </c>
      <c r="BY326" s="153" t="s">
        <v>110</v>
      </c>
      <c r="BZ326" s="153" t="s">
        <v>110</v>
      </c>
      <c r="CA326" s="616" t="s">
        <v>116</v>
      </c>
      <c r="CB326" s="153" t="s">
        <v>116</v>
      </c>
      <c r="CC326" s="153" t="s">
        <v>110</v>
      </c>
      <c r="CD326" s="153" t="s">
        <v>110</v>
      </c>
      <c r="CE326" s="153" t="s">
        <v>110</v>
      </c>
    </row>
    <row r="327" spans="1:83" ht="14.1" customHeight="1">
      <c r="A327" s="503"/>
      <c r="B327" s="164" t="s">
        <v>919</v>
      </c>
      <c r="C327" s="155" t="s">
        <v>103</v>
      </c>
      <c r="D327" s="153" t="s">
        <v>915</v>
      </c>
      <c r="E327" s="153">
        <v>93291</v>
      </c>
      <c r="F327" s="153">
        <v>6107001004</v>
      </c>
      <c r="G327" s="153" t="s">
        <v>104</v>
      </c>
      <c r="H327" s="153" t="s">
        <v>150</v>
      </c>
      <c r="I327" s="508" t="s">
        <v>919</v>
      </c>
      <c r="J327" s="153" t="s">
        <v>117</v>
      </c>
      <c r="K327" s="572" t="s">
        <v>293</v>
      </c>
      <c r="L327" s="153" t="s">
        <v>915</v>
      </c>
      <c r="M327" s="153" t="s">
        <v>110</v>
      </c>
      <c r="Q327" s="156" t="s">
        <v>119</v>
      </c>
      <c r="V327" s="149">
        <v>39356</v>
      </c>
      <c r="W327" s="149" t="s">
        <v>103</v>
      </c>
      <c r="X327" s="149" t="s">
        <v>103</v>
      </c>
      <c r="Y327" s="149" t="s">
        <v>103</v>
      </c>
      <c r="Z327" s="149" t="s">
        <v>103</v>
      </c>
      <c r="AA327" s="149" t="s">
        <v>103</v>
      </c>
      <c r="AB327" s="153" t="s">
        <v>103</v>
      </c>
      <c r="AC327" s="594" t="s">
        <v>103</v>
      </c>
      <c r="AD327" s="153" t="s">
        <v>103</v>
      </c>
      <c r="AE327" s="149" t="s">
        <v>103</v>
      </c>
      <c r="AF327" s="153" t="s">
        <v>103</v>
      </c>
      <c r="AG327" s="153" t="s">
        <v>103</v>
      </c>
      <c r="AH327" s="596" t="s">
        <v>103</v>
      </c>
      <c r="AI327" s="960" t="s">
        <v>103</v>
      </c>
      <c r="AJ327" s="607">
        <v>2055</v>
      </c>
      <c r="AK327" s="153" t="s">
        <v>120</v>
      </c>
      <c r="AL327" s="791" t="s">
        <v>104</v>
      </c>
      <c r="AO327" s="963"/>
      <c r="AP327" s="94">
        <v>750000</v>
      </c>
      <c r="AQ327" s="574">
        <v>0</v>
      </c>
      <c r="AR327" s="153" t="s">
        <v>116</v>
      </c>
      <c r="AS327" s="153" t="s">
        <v>116</v>
      </c>
      <c r="AT327" s="777" t="s">
        <v>121</v>
      </c>
      <c r="AU327" s="777" t="s">
        <v>122</v>
      </c>
      <c r="AV327" s="777" t="s">
        <v>122</v>
      </c>
      <c r="AW327" s="777" t="s">
        <v>122</v>
      </c>
      <c r="AX327" s="155" t="s">
        <v>103</v>
      </c>
      <c r="AY327" s="155" t="s">
        <v>103</v>
      </c>
      <c r="AZ327" s="155" t="s">
        <v>103</v>
      </c>
      <c r="BB327" s="153"/>
      <c r="BC327" s="780" t="s">
        <v>103</v>
      </c>
      <c r="BD327" s="153" t="s">
        <v>103</v>
      </c>
      <c r="BE327" s="679" t="s">
        <v>103</v>
      </c>
      <c r="BF327" s="156" t="s">
        <v>103</v>
      </c>
      <c r="BG327" s="94">
        <v>0</v>
      </c>
      <c r="BH327" s="149" t="s">
        <v>103</v>
      </c>
      <c r="BI327" s="774" t="s">
        <v>103</v>
      </c>
      <c r="BJ327" s="149" t="s">
        <v>103</v>
      </c>
      <c r="BK327" s="149" t="s">
        <v>103</v>
      </c>
      <c r="BL327" s="153" t="s">
        <v>124</v>
      </c>
      <c r="BM327" s="94" t="s">
        <v>124</v>
      </c>
      <c r="BN327" s="155" t="s">
        <v>124</v>
      </c>
      <c r="BO327" s="153" t="s">
        <v>116</v>
      </c>
      <c r="BP327" s="153" t="s">
        <v>124</v>
      </c>
      <c r="BQ327" s="153" t="s">
        <v>103</v>
      </c>
      <c r="BR327" s="153" t="s">
        <v>110</v>
      </c>
      <c r="BS327" s="153" t="s">
        <v>110</v>
      </c>
      <c r="BT327" s="153" t="s">
        <v>110</v>
      </c>
      <c r="BU327" s="153" t="s">
        <v>110</v>
      </c>
      <c r="BV327" s="153" t="s">
        <v>110</v>
      </c>
      <c r="BW327" s="153" t="s">
        <v>110</v>
      </c>
      <c r="BX327" s="153" t="s">
        <v>110</v>
      </c>
      <c r="BY327" s="153" t="s">
        <v>110</v>
      </c>
      <c r="BZ327" s="153" t="s">
        <v>110</v>
      </c>
      <c r="CA327" s="616" t="s">
        <v>103</v>
      </c>
      <c r="CB327" s="153" t="s">
        <v>103</v>
      </c>
      <c r="CC327" s="153" t="s">
        <v>103</v>
      </c>
      <c r="CD327" s="153" t="s">
        <v>103</v>
      </c>
      <c r="CE327" s="153" t="s">
        <v>103</v>
      </c>
    </row>
    <row r="328" spans="1:83" ht="14.1" customHeight="1">
      <c r="A328" s="503" t="s">
        <v>920</v>
      </c>
      <c r="B328" s="164" t="s">
        <v>103</v>
      </c>
      <c r="C328" s="155" t="s">
        <v>103</v>
      </c>
      <c r="D328" s="153" t="s">
        <v>103</v>
      </c>
      <c r="E328" s="153" t="s">
        <v>103</v>
      </c>
      <c r="F328" s="958" t="s">
        <v>103</v>
      </c>
      <c r="G328" s="153" t="s">
        <v>110</v>
      </c>
      <c r="H328" s="673">
        <v>0.34277075316107752</v>
      </c>
      <c r="I328" s="508" t="s">
        <v>103</v>
      </c>
      <c r="J328" s="958" t="s">
        <v>103</v>
      </c>
      <c r="K328" s="958" t="s">
        <v>103</v>
      </c>
      <c r="L328" s="155" t="s">
        <v>103</v>
      </c>
      <c r="M328" s="155" t="s">
        <v>103</v>
      </c>
      <c r="N328" s="156">
        <v>0</v>
      </c>
      <c r="O328" s="156" t="s">
        <v>103</v>
      </c>
      <c r="P328" s="156">
        <v>0</v>
      </c>
      <c r="Q328" s="958" t="s">
        <v>103</v>
      </c>
      <c r="R328" s="156">
        <v>0</v>
      </c>
      <c r="S328" s="156">
        <v>0</v>
      </c>
      <c r="T328" s="958" t="s">
        <v>105</v>
      </c>
      <c r="U328" s="153" t="s">
        <v>110</v>
      </c>
      <c r="V328" s="518" t="s">
        <v>103</v>
      </c>
      <c r="W328" s="991" t="s">
        <v>103</v>
      </c>
      <c r="X328" s="991" t="s">
        <v>103</v>
      </c>
      <c r="Y328" s="991" t="s">
        <v>103</v>
      </c>
      <c r="Z328" s="518" t="s">
        <v>103</v>
      </c>
      <c r="AA328" s="991" t="s">
        <v>103</v>
      </c>
      <c r="AB328" s="155" t="s">
        <v>103</v>
      </c>
      <c r="AC328" s="959" t="s">
        <v>103</v>
      </c>
      <c r="AD328" s="155" t="s">
        <v>103</v>
      </c>
      <c r="AE328" s="155" t="s">
        <v>103</v>
      </c>
      <c r="AF328" s="155" t="s">
        <v>103</v>
      </c>
      <c r="AG328" s="155" t="s">
        <v>103</v>
      </c>
      <c r="AH328" s="992" t="s">
        <v>103</v>
      </c>
      <c r="AI328" s="960" t="s">
        <v>103</v>
      </c>
      <c r="AJ328" s="992" t="s">
        <v>103</v>
      </c>
      <c r="AK328" s="155" t="s">
        <v>103</v>
      </c>
      <c r="AL328" s="993" t="s">
        <v>103</v>
      </c>
      <c r="AM328" s="155"/>
      <c r="AN328" s="155"/>
      <c r="AO328" s="994"/>
      <c r="AP328" s="94">
        <v>0</v>
      </c>
      <c r="AQ328" s="578">
        <v>0</v>
      </c>
      <c r="AR328" s="155" t="s">
        <v>103</v>
      </c>
      <c r="AS328" s="155" t="s">
        <v>103</v>
      </c>
      <c r="AT328" s="155" t="s">
        <v>103</v>
      </c>
      <c r="AU328" s="155" t="s">
        <v>103</v>
      </c>
      <c r="AV328" s="155" t="s">
        <v>103</v>
      </c>
      <c r="AW328" s="155" t="s">
        <v>103</v>
      </c>
      <c r="AX328" s="155" t="s">
        <v>103</v>
      </c>
      <c r="AY328" s="155" t="s">
        <v>103</v>
      </c>
      <c r="AZ328" s="155" t="s">
        <v>103</v>
      </c>
      <c r="BA328" s="155" t="s">
        <v>103</v>
      </c>
      <c r="BB328" s="155" t="s">
        <v>103</v>
      </c>
      <c r="BC328" s="155" t="s">
        <v>103</v>
      </c>
      <c r="BD328" s="155" t="s">
        <v>103</v>
      </c>
      <c r="BE328" s="989" t="s">
        <v>103</v>
      </c>
      <c r="BF328" s="155" t="s">
        <v>103</v>
      </c>
      <c r="BG328" s="961">
        <v>0</v>
      </c>
      <c r="BH328" s="155" t="s">
        <v>103</v>
      </c>
      <c r="BI328" s="990" t="s">
        <v>103</v>
      </c>
      <c r="BJ328" s="155" t="s">
        <v>103</v>
      </c>
      <c r="BK328" s="155" t="s">
        <v>103</v>
      </c>
      <c r="BL328" s="155" t="s">
        <v>103</v>
      </c>
      <c r="BM328" s="155" t="s">
        <v>103</v>
      </c>
      <c r="BN328" s="155" t="s">
        <v>103</v>
      </c>
      <c r="BO328" s="155" t="s">
        <v>103</v>
      </c>
      <c r="BP328" s="155" t="s">
        <v>103</v>
      </c>
      <c r="BQ328" s="155" t="s">
        <v>103</v>
      </c>
      <c r="BR328" s="155" t="s">
        <v>103</v>
      </c>
      <c r="BS328" s="155" t="s">
        <v>103</v>
      </c>
      <c r="BT328" s="155" t="s">
        <v>103</v>
      </c>
      <c r="BU328" s="155" t="s">
        <v>103</v>
      </c>
      <c r="BV328" s="155" t="s">
        <v>103</v>
      </c>
      <c r="BW328" s="155" t="s">
        <v>103</v>
      </c>
      <c r="BX328" s="155" t="s">
        <v>103</v>
      </c>
      <c r="BY328" s="155" t="s">
        <v>103</v>
      </c>
      <c r="BZ328" s="155" t="s">
        <v>103</v>
      </c>
      <c r="CA328" s="155" t="s">
        <v>103</v>
      </c>
      <c r="CB328" s="155" t="s">
        <v>103</v>
      </c>
      <c r="CC328" s="155" t="s">
        <v>103</v>
      </c>
      <c r="CD328" s="155" t="s">
        <v>103</v>
      </c>
      <c r="CE328" s="155" t="s">
        <v>103</v>
      </c>
    </row>
    <row r="329" spans="1:83" ht="41.45" customHeight="1">
      <c r="A329" s="503" t="s">
        <v>921</v>
      </c>
      <c r="B329" s="164" t="s">
        <v>922</v>
      </c>
      <c r="C329" s="155" t="s">
        <v>923</v>
      </c>
      <c r="D329" s="153" t="s">
        <v>924</v>
      </c>
      <c r="E329" s="153">
        <v>93265</v>
      </c>
      <c r="F329" s="153">
        <v>6107002700</v>
      </c>
      <c r="G329" s="153" t="s">
        <v>110</v>
      </c>
      <c r="H329" s="674">
        <v>0.21640815615196932</v>
      </c>
      <c r="I329" s="508" t="s">
        <v>922</v>
      </c>
      <c r="J329" s="153" t="s">
        <v>282</v>
      </c>
      <c r="K329" s="156">
        <v>0</v>
      </c>
      <c r="L329" s="153" t="s">
        <v>924</v>
      </c>
      <c r="M329" s="153" t="s">
        <v>104</v>
      </c>
      <c r="N329" s="156">
        <v>1</v>
      </c>
      <c r="P329" s="156">
        <v>0</v>
      </c>
      <c r="Q329" s="156" t="s">
        <v>139</v>
      </c>
      <c r="R329" s="156">
        <v>0</v>
      </c>
      <c r="S329" s="156">
        <v>1</v>
      </c>
      <c r="T329" s="958" t="s">
        <v>105</v>
      </c>
      <c r="U329" s="153" t="s">
        <v>104</v>
      </c>
      <c r="V329" s="149" t="s">
        <v>150</v>
      </c>
      <c r="Y329" s="149">
        <v>38412</v>
      </c>
      <c r="Z329" s="149">
        <v>38412</v>
      </c>
      <c r="AA329" s="149" t="s">
        <v>150</v>
      </c>
      <c r="AB329" s="763" t="s">
        <v>151</v>
      </c>
      <c r="AC329" s="594">
        <v>0</v>
      </c>
      <c r="AD329" s="153" t="s">
        <v>103</v>
      </c>
      <c r="AE329" s="149" t="s">
        <v>103</v>
      </c>
      <c r="AF329" s="596" t="s">
        <v>103</v>
      </c>
      <c r="AG329" s="596" t="s">
        <v>103</v>
      </c>
      <c r="AH329" s="595" t="s">
        <v>103</v>
      </c>
      <c r="AI329" s="614">
        <v>1.1174242424242424</v>
      </c>
      <c r="AJ329" s="607">
        <v>5900</v>
      </c>
      <c r="AK329" s="153" t="s">
        <v>120</v>
      </c>
      <c r="AL329" s="791" t="s">
        <v>104</v>
      </c>
      <c r="AO329" s="963"/>
      <c r="AP329" s="94">
        <v>3357000</v>
      </c>
      <c r="AQ329" s="574">
        <v>3584834</v>
      </c>
      <c r="AR329" s="153" t="s">
        <v>116</v>
      </c>
      <c r="AS329" s="153" t="s">
        <v>116</v>
      </c>
      <c r="AT329" s="156">
        <v>0</v>
      </c>
      <c r="AU329" s="777" t="s">
        <v>122</v>
      </c>
      <c r="AV329" s="777" t="s">
        <v>122</v>
      </c>
      <c r="AW329" s="777" t="s">
        <v>122</v>
      </c>
      <c r="AX329" s="155" t="s">
        <v>103</v>
      </c>
      <c r="AY329" s="155" t="s">
        <v>103</v>
      </c>
      <c r="AZ329" s="155" t="s">
        <v>103</v>
      </c>
      <c r="BA329" s="156">
        <v>0</v>
      </c>
      <c r="BB329" s="574">
        <f t="shared" ref="BB329" si="72">AQ329</f>
        <v>3584834</v>
      </c>
      <c r="BC329" s="780">
        <v>-227834</v>
      </c>
      <c r="BD329" s="1008" t="s">
        <v>151</v>
      </c>
      <c r="BE329" s="679">
        <v>0</v>
      </c>
      <c r="BF329" s="153" t="s">
        <v>103</v>
      </c>
      <c r="BG329" s="94">
        <v>3584834</v>
      </c>
      <c r="BH329" s="766" t="s">
        <v>123</v>
      </c>
      <c r="BI329" s="774">
        <v>0</v>
      </c>
      <c r="BJ329" s="774">
        <v>0</v>
      </c>
      <c r="BK329" s="153" t="s">
        <v>103</v>
      </c>
      <c r="BL329" s="153" t="s">
        <v>124</v>
      </c>
      <c r="BM329" s="94" t="s">
        <v>103</v>
      </c>
      <c r="BN329" s="155" t="s">
        <v>103</v>
      </c>
      <c r="BO329" s="153" t="s">
        <v>103</v>
      </c>
      <c r="BP329" s="153" t="s">
        <v>103</v>
      </c>
      <c r="BQ329" s="153" t="s">
        <v>103</v>
      </c>
      <c r="BR329" s="153" t="s">
        <v>110</v>
      </c>
      <c r="BS329" s="153" t="s">
        <v>110</v>
      </c>
      <c r="BT329" s="153" t="s">
        <v>110</v>
      </c>
      <c r="BU329" s="153" t="s">
        <v>110</v>
      </c>
      <c r="BV329" s="153" t="s">
        <v>110</v>
      </c>
      <c r="BW329" s="153" t="s">
        <v>104</v>
      </c>
      <c r="BX329" s="153" t="s">
        <v>110</v>
      </c>
      <c r="BY329" s="153" t="s">
        <v>925</v>
      </c>
      <c r="BZ329" s="153" t="s">
        <v>110</v>
      </c>
      <c r="CA329" s="616" t="s">
        <v>103</v>
      </c>
      <c r="CB329" s="153" t="s">
        <v>103</v>
      </c>
      <c r="CC329" s="153" t="s">
        <v>103</v>
      </c>
      <c r="CD329" s="153" t="s">
        <v>103</v>
      </c>
      <c r="CE329" s="153" t="s">
        <v>103</v>
      </c>
    </row>
    <row r="330" spans="1:83" s="968" customFormat="1" ht="14.1" customHeight="1">
      <c r="A330" s="1045"/>
      <c r="B330" s="1054"/>
      <c r="C330" s="1059"/>
      <c r="D330" s="1054"/>
      <c r="E330" s="1054"/>
      <c r="F330" s="1054"/>
      <c r="G330" s="1054"/>
      <c r="H330" s="1054"/>
      <c r="I330" s="1072"/>
      <c r="J330" s="1054"/>
      <c r="K330" s="1054"/>
      <c r="L330" s="1054"/>
      <c r="M330" s="1054"/>
      <c r="N330" s="1069"/>
      <c r="O330" s="1069"/>
      <c r="P330" s="1069"/>
      <c r="Q330" s="1069"/>
      <c r="R330" s="1069"/>
      <c r="S330" s="1069"/>
      <c r="T330" s="1054"/>
      <c r="U330" s="1054"/>
      <c r="V330" s="1073"/>
      <c r="W330" s="1073"/>
      <c r="X330" s="1073"/>
      <c r="Y330" s="1073"/>
      <c r="Z330" s="1073"/>
      <c r="AA330" s="1073"/>
      <c r="AB330" s="1054"/>
      <c r="AC330" s="1074"/>
      <c r="AD330" s="1054"/>
      <c r="AE330" s="1054"/>
      <c r="AF330" s="1054"/>
      <c r="AG330" s="1054"/>
      <c r="AH330" s="1064"/>
      <c r="AI330" s="1065"/>
      <c r="AJ330" s="1064"/>
      <c r="AK330" s="1054"/>
      <c r="AL330" s="1066"/>
      <c r="AM330" s="1054"/>
      <c r="AN330" s="1054"/>
      <c r="AO330" s="1067"/>
      <c r="AP330" s="1070"/>
      <c r="AQ330" s="1068"/>
      <c r="AR330" s="1054"/>
      <c r="AS330" s="1054"/>
      <c r="AT330" s="1054"/>
      <c r="AU330" s="1054"/>
      <c r="AV330" s="1054"/>
      <c r="AW330" s="1054"/>
      <c r="AX330" s="1054"/>
      <c r="AY330" s="1054"/>
      <c r="AZ330" s="1054"/>
      <c r="BA330" s="1054"/>
      <c r="BB330" s="1054"/>
      <c r="BC330" s="1054"/>
      <c r="BD330" s="1054"/>
      <c r="BE330" s="1069"/>
      <c r="BF330" s="1054"/>
      <c r="BG330" s="1070"/>
      <c r="BH330" s="1054"/>
      <c r="BI330" s="1071"/>
      <c r="BJ330" s="1054"/>
      <c r="BK330" s="1054"/>
      <c r="BL330" s="1054"/>
      <c r="BM330" s="1070"/>
      <c r="BN330" s="1059"/>
      <c r="BO330" s="1054"/>
      <c r="BP330" s="1054"/>
      <c r="BQ330" s="1054"/>
      <c r="BR330" s="1054"/>
      <c r="BS330" s="1054"/>
      <c r="BT330" s="1054"/>
      <c r="BU330" s="1054"/>
      <c r="BV330" s="1054"/>
      <c r="BW330" s="1054"/>
      <c r="BX330" s="1054"/>
      <c r="BY330" s="1054"/>
      <c r="BZ330" s="1054"/>
      <c r="CA330" s="1054"/>
      <c r="CB330" s="1054"/>
      <c r="CC330" s="1054"/>
      <c r="CD330" s="1054"/>
      <c r="CE330" s="1054"/>
    </row>
    <row r="331" spans="1:83" s="980" customFormat="1" ht="14.45" customHeight="1">
      <c r="A331" s="1009" t="s">
        <v>926</v>
      </c>
      <c r="C331" s="997"/>
      <c r="I331" s="1010"/>
      <c r="N331" s="1005"/>
      <c r="O331" s="1005"/>
      <c r="P331" s="1005"/>
      <c r="Q331" s="1005"/>
      <c r="R331" s="1005"/>
      <c r="S331" s="1005"/>
      <c r="V331" s="1000"/>
      <c r="W331" s="1000"/>
      <c r="X331" s="1000"/>
      <c r="Y331" s="1000"/>
      <c r="Z331" s="1000"/>
      <c r="AA331" s="1000"/>
      <c r="AC331" s="1002"/>
      <c r="AH331" s="1003"/>
      <c r="AI331" s="1004"/>
      <c r="AJ331" s="1003"/>
      <c r="AL331" s="797"/>
      <c r="AO331" s="798"/>
      <c r="AP331" s="163"/>
      <c r="AQ331" s="579"/>
      <c r="BE331" s="1005"/>
      <c r="BG331" s="163"/>
      <c r="BI331" s="1006"/>
      <c r="BM331" s="163"/>
      <c r="BN331" s="997"/>
    </row>
    <row r="332" spans="1:83" ht="14.1" customHeight="1">
      <c r="A332" s="505" t="s">
        <v>927</v>
      </c>
      <c r="B332" s="164" t="s">
        <v>103</v>
      </c>
      <c r="C332" s="155" t="s">
        <v>103</v>
      </c>
      <c r="D332" s="153" t="s">
        <v>103</v>
      </c>
      <c r="E332" s="153" t="s">
        <v>103</v>
      </c>
      <c r="F332" s="958" t="s">
        <v>103</v>
      </c>
      <c r="G332" s="153" t="s">
        <v>110</v>
      </c>
      <c r="H332" s="673">
        <v>0</v>
      </c>
      <c r="I332" s="508" t="s">
        <v>103</v>
      </c>
      <c r="J332" s="958" t="s">
        <v>103</v>
      </c>
      <c r="K332" s="958" t="s">
        <v>103</v>
      </c>
      <c r="L332" s="155" t="s">
        <v>103</v>
      </c>
      <c r="M332" s="155" t="s">
        <v>103</v>
      </c>
      <c r="N332" s="156">
        <v>0</v>
      </c>
      <c r="O332" s="156" t="s">
        <v>103</v>
      </c>
      <c r="P332" s="156">
        <v>0</v>
      </c>
      <c r="Q332" s="958" t="s">
        <v>103</v>
      </c>
      <c r="R332" s="156">
        <v>0</v>
      </c>
      <c r="S332" s="156">
        <v>0</v>
      </c>
      <c r="T332" s="958" t="s">
        <v>105</v>
      </c>
      <c r="U332" s="153" t="s">
        <v>110</v>
      </c>
      <c r="V332" s="518" t="s">
        <v>103</v>
      </c>
      <c r="W332" s="991" t="s">
        <v>103</v>
      </c>
      <c r="X332" s="991" t="s">
        <v>103</v>
      </c>
      <c r="Y332" s="991" t="s">
        <v>103</v>
      </c>
      <c r="Z332" s="518" t="s">
        <v>103</v>
      </c>
      <c r="AA332" s="991" t="s">
        <v>103</v>
      </c>
      <c r="AB332" s="155" t="s">
        <v>103</v>
      </c>
      <c r="AC332" s="959" t="s">
        <v>103</v>
      </c>
      <c r="AD332" s="155" t="s">
        <v>103</v>
      </c>
      <c r="AE332" s="155" t="s">
        <v>103</v>
      </c>
      <c r="AF332" s="155" t="s">
        <v>103</v>
      </c>
      <c r="AG332" s="155" t="s">
        <v>103</v>
      </c>
      <c r="AH332" s="992" t="s">
        <v>103</v>
      </c>
      <c r="AI332" s="960" t="s">
        <v>103</v>
      </c>
      <c r="AJ332" s="992" t="s">
        <v>103</v>
      </c>
      <c r="AK332" s="155" t="s">
        <v>103</v>
      </c>
      <c r="AL332" s="993" t="s">
        <v>103</v>
      </c>
      <c r="AM332" s="155"/>
      <c r="AN332" s="155"/>
      <c r="AO332" s="994"/>
      <c r="AP332" s="94">
        <v>0</v>
      </c>
      <c r="AQ332" s="578">
        <v>0</v>
      </c>
      <c r="AR332" s="155" t="s">
        <v>103</v>
      </c>
      <c r="AS332" s="155" t="s">
        <v>103</v>
      </c>
      <c r="AT332" s="155" t="s">
        <v>103</v>
      </c>
      <c r="AU332" s="155" t="s">
        <v>103</v>
      </c>
      <c r="AV332" s="155" t="s">
        <v>103</v>
      </c>
      <c r="AW332" s="155" t="s">
        <v>103</v>
      </c>
      <c r="AX332" s="155" t="s">
        <v>103</v>
      </c>
      <c r="AY332" s="155" t="s">
        <v>103</v>
      </c>
      <c r="AZ332" s="155" t="s">
        <v>103</v>
      </c>
      <c r="BA332" s="155" t="s">
        <v>103</v>
      </c>
      <c r="BB332" s="155" t="s">
        <v>103</v>
      </c>
      <c r="BC332" s="155" t="s">
        <v>103</v>
      </c>
      <c r="BD332" s="155" t="s">
        <v>103</v>
      </c>
      <c r="BE332" s="989" t="s">
        <v>103</v>
      </c>
      <c r="BF332" s="155" t="s">
        <v>103</v>
      </c>
      <c r="BG332" s="961">
        <v>0</v>
      </c>
      <c r="BH332" s="155" t="s">
        <v>103</v>
      </c>
      <c r="BI332" s="990" t="s">
        <v>103</v>
      </c>
      <c r="BJ332" s="155" t="s">
        <v>103</v>
      </c>
      <c r="BK332" s="155" t="s">
        <v>103</v>
      </c>
      <c r="BL332" s="155" t="s">
        <v>103</v>
      </c>
      <c r="BM332" s="155" t="s">
        <v>103</v>
      </c>
      <c r="BN332" s="155" t="s">
        <v>103</v>
      </c>
      <c r="BO332" s="155" t="s">
        <v>103</v>
      </c>
      <c r="BP332" s="155" t="s">
        <v>103</v>
      </c>
      <c r="BQ332" s="155" t="s">
        <v>103</v>
      </c>
      <c r="BR332" s="155" t="s">
        <v>103</v>
      </c>
      <c r="BS332" s="155" t="s">
        <v>103</v>
      </c>
      <c r="BT332" s="155" t="s">
        <v>103</v>
      </c>
      <c r="BU332" s="155" t="s">
        <v>103</v>
      </c>
      <c r="BV332" s="155" t="s">
        <v>103</v>
      </c>
      <c r="BW332" s="155" t="s">
        <v>103</v>
      </c>
      <c r="BX332" s="155" t="s">
        <v>103</v>
      </c>
      <c r="BY332" s="155" t="s">
        <v>103</v>
      </c>
      <c r="BZ332" s="155" t="s">
        <v>103</v>
      </c>
      <c r="CA332" s="155" t="s">
        <v>103</v>
      </c>
      <c r="CB332" s="155" t="s">
        <v>103</v>
      </c>
      <c r="CC332" s="155" t="s">
        <v>103</v>
      </c>
      <c r="CD332" s="155" t="s">
        <v>103</v>
      </c>
      <c r="CE332" s="155" t="s">
        <v>103</v>
      </c>
    </row>
    <row r="333" spans="1:83" s="968" customFormat="1" ht="14.1" customHeight="1">
      <c r="A333" s="1076"/>
      <c r="B333" s="1054"/>
      <c r="C333" s="1059"/>
      <c r="D333" s="1054"/>
      <c r="E333" s="1054"/>
      <c r="F333" s="1054"/>
      <c r="G333" s="1054"/>
      <c r="H333" s="1054"/>
      <c r="I333" s="1072"/>
      <c r="J333" s="1054"/>
      <c r="K333" s="1054"/>
      <c r="L333" s="1054"/>
      <c r="M333" s="1054"/>
      <c r="N333" s="1069"/>
      <c r="O333" s="1069"/>
      <c r="P333" s="1069"/>
      <c r="Q333" s="1069"/>
      <c r="R333" s="1069"/>
      <c r="S333" s="1069"/>
      <c r="T333" s="1054"/>
      <c r="U333" s="1054"/>
      <c r="V333" s="1073"/>
      <c r="W333" s="1073"/>
      <c r="X333" s="1073"/>
      <c r="Y333" s="1073"/>
      <c r="Z333" s="1073"/>
      <c r="AA333" s="1073"/>
      <c r="AB333" s="1054"/>
      <c r="AC333" s="1074"/>
      <c r="AD333" s="1054"/>
      <c r="AE333" s="1054"/>
      <c r="AF333" s="1054"/>
      <c r="AG333" s="1054"/>
      <c r="AH333" s="1064"/>
      <c r="AI333" s="1065"/>
      <c r="AJ333" s="1064"/>
      <c r="AK333" s="1054"/>
      <c r="AL333" s="1066"/>
      <c r="AM333" s="1054"/>
      <c r="AN333" s="1054"/>
      <c r="AO333" s="1067"/>
      <c r="AP333" s="1070"/>
      <c r="AQ333" s="1068"/>
      <c r="AR333" s="1054"/>
      <c r="AS333" s="1054"/>
      <c r="AT333" s="1054"/>
      <c r="AU333" s="1054"/>
      <c r="AV333" s="1054"/>
      <c r="AW333" s="1054"/>
      <c r="AX333" s="1054"/>
      <c r="AY333" s="1054"/>
      <c r="AZ333" s="1054"/>
      <c r="BA333" s="1054"/>
      <c r="BB333" s="1054"/>
      <c r="BC333" s="1054"/>
      <c r="BD333" s="1054"/>
      <c r="BE333" s="1069"/>
      <c r="BF333" s="1054"/>
      <c r="BG333" s="1070"/>
      <c r="BH333" s="1054"/>
      <c r="BI333" s="1071"/>
      <c r="BJ333" s="1054"/>
      <c r="BK333" s="1054"/>
      <c r="BL333" s="1054"/>
      <c r="BM333" s="1070"/>
      <c r="BN333" s="1059"/>
      <c r="BO333" s="1054"/>
      <c r="BP333" s="1054"/>
      <c r="BQ333" s="1054"/>
      <c r="BR333" s="1054"/>
      <c r="BS333" s="1054"/>
      <c r="BT333" s="1054"/>
      <c r="BU333" s="1054"/>
      <c r="BV333" s="1054"/>
      <c r="BW333" s="1054"/>
      <c r="BX333" s="1054"/>
      <c r="BY333" s="1054"/>
      <c r="BZ333" s="1054"/>
      <c r="CA333" s="1054"/>
      <c r="CB333" s="1054"/>
      <c r="CC333" s="1054"/>
      <c r="CD333" s="1054"/>
      <c r="CE333" s="1054"/>
    </row>
    <row r="334" spans="1:83" s="980" customFormat="1" ht="14.45" customHeight="1">
      <c r="A334" s="1009" t="s">
        <v>928</v>
      </c>
      <c r="C334" s="997"/>
      <c r="I334" s="1010"/>
      <c r="N334" s="1005"/>
      <c r="O334" s="1005"/>
      <c r="P334" s="1005"/>
      <c r="Q334" s="1005"/>
      <c r="R334" s="1005"/>
      <c r="S334" s="1005"/>
      <c r="V334" s="1000"/>
      <c r="W334" s="1000"/>
      <c r="X334" s="1000"/>
      <c r="Y334" s="1000"/>
      <c r="Z334" s="1000"/>
      <c r="AA334" s="1000"/>
      <c r="AC334" s="1002"/>
      <c r="AH334" s="1003"/>
      <c r="AI334" s="1004"/>
      <c r="AJ334" s="1003"/>
      <c r="AL334" s="797"/>
      <c r="AO334" s="798"/>
      <c r="AP334" s="163"/>
      <c r="AQ334" s="579"/>
      <c r="BE334" s="1005"/>
      <c r="BG334" s="163"/>
      <c r="BI334" s="1006"/>
      <c r="BM334" s="163"/>
      <c r="BN334" s="997"/>
    </row>
    <row r="335" spans="1:83" ht="16.350000000000001" customHeight="1">
      <c r="A335" s="503" t="s">
        <v>929</v>
      </c>
      <c r="B335" s="164" t="s">
        <v>930</v>
      </c>
      <c r="C335" s="155" t="s">
        <v>931</v>
      </c>
      <c r="D335" s="153" t="s">
        <v>932</v>
      </c>
      <c r="E335" s="153">
        <v>91763</v>
      </c>
      <c r="F335" s="153">
        <v>6111005600</v>
      </c>
      <c r="G335" s="153" t="s">
        <v>110</v>
      </c>
      <c r="H335" s="674">
        <v>8.9468587693300863E-2</v>
      </c>
      <c r="I335" s="508" t="s">
        <v>930</v>
      </c>
      <c r="J335" s="153" t="s">
        <v>117</v>
      </c>
      <c r="K335" s="572" t="s">
        <v>283</v>
      </c>
      <c r="L335" s="153" t="s">
        <v>932</v>
      </c>
      <c r="M335" s="153" t="s">
        <v>933</v>
      </c>
      <c r="N335" s="156">
        <v>2</v>
      </c>
      <c r="P335" s="156">
        <v>0</v>
      </c>
      <c r="Q335" s="156" t="s">
        <v>139</v>
      </c>
      <c r="R335" s="156">
        <v>0</v>
      </c>
      <c r="S335" s="156">
        <v>1</v>
      </c>
      <c r="T335" s="958" t="s">
        <v>105</v>
      </c>
      <c r="U335" s="153" t="s">
        <v>110</v>
      </c>
      <c r="V335" s="149">
        <v>42291</v>
      </c>
      <c r="W335" s="149">
        <v>42401</v>
      </c>
      <c r="X335" s="149">
        <v>43136</v>
      </c>
      <c r="Y335" s="149">
        <v>43266</v>
      </c>
      <c r="Z335" s="149">
        <v>43266</v>
      </c>
      <c r="AA335" s="149">
        <v>42291</v>
      </c>
      <c r="AB335" s="763" t="s">
        <v>121</v>
      </c>
      <c r="AC335" s="594">
        <v>78.571428571428569</v>
      </c>
      <c r="AD335" s="149">
        <v>43266</v>
      </c>
      <c r="AE335" s="149" t="s">
        <v>103</v>
      </c>
      <c r="AF335" s="153" t="s">
        <v>103</v>
      </c>
      <c r="AG335" s="153" t="s">
        <v>103</v>
      </c>
      <c r="AH335" s="596" t="s">
        <v>103</v>
      </c>
      <c r="AI335" s="960" t="s">
        <v>103</v>
      </c>
      <c r="AJ335" s="607">
        <v>470</v>
      </c>
      <c r="AK335" s="153" t="s">
        <v>152</v>
      </c>
      <c r="AL335" s="791" t="s">
        <v>104</v>
      </c>
      <c r="AO335" s="963"/>
      <c r="AP335" s="94">
        <v>400000</v>
      </c>
      <c r="AQ335" s="574">
        <v>130785</v>
      </c>
      <c r="AR335" s="153" t="s">
        <v>116</v>
      </c>
      <c r="AS335" s="153" t="s">
        <v>116</v>
      </c>
      <c r="AT335" s="156">
        <v>0</v>
      </c>
      <c r="AU335" s="777" t="s">
        <v>122</v>
      </c>
      <c r="AV335" s="777" t="s">
        <v>122</v>
      </c>
      <c r="AW335" s="777" t="s">
        <v>122</v>
      </c>
      <c r="AX335" s="155" t="s">
        <v>103</v>
      </c>
      <c r="AY335" s="155" t="s">
        <v>103</v>
      </c>
      <c r="AZ335" s="155" t="s">
        <v>103</v>
      </c>
      <c r="BA335" s="156">
        <v>0</v>
      </c>
      <c r="BB335" s="574">
        <f t="shared" ref="BB335" si="73">AQ335</f>
        <v>130785</v>
      </c>
      <c r="BC335" s="780">
        <f>AP335-AQ335</f>
        <v>269215</v>
      </c>
      <c r="BD335" s="508" t="s">
        <v>103</v>
      </c>
      <c r="BE335" s="679" t="s">
        <v>103</v>
      </c>
      <c r="BF335" s="156" t="s">
        <v>103</v>
      </c>
      <c r="BG335" s="94">
        <v>130785</v>
      </c>
      <c r="BH335" s="766">
        <v>1744166</v>
      </c>
      <c r="BI335" s="774">
        <v>0</v>
      </c>
      <c r="BJ335" s="774">
        <v>0</v>
      </c>
      <c r="BK335" s="153" t="s">
        <v>103</v>
      </c>
      <c r="BL335" s="153" t="s">
        <v>124</v>
      </c>
      <c r="BM335" s="94" t="s">
        <v>103</v>
      </c>
      <c r="BN335" s="155" t="s">
        <v>103</v>
      </c>
      <c r="BO335" s="153" t="s">
        <v>103</v>
      </c>
      <c r="BP335" s="153" t="s">
        <v>103</v>
      </c>
      <c r="BQ335" s="153" t="s">
        <v>103</v>
      </c>
      <c r="BR335" s="153" t="s">
        <v>110</v>
      </c>
      <c r="BS335" s="153" t="s">
        <v>110</v>
      </c>
      <c r="BT335" s="153" t="s">
        <v>104</v>
      </c>
      <c r="BU335" s="153" t="s">
        <v>110</v>
      </c>
      <c r="BV335" s="153" t="s">
        <v>110</v>
      </c>
      <c r="BW335" s="153" t="s">
        <v>103</v>
      </c>
      <c r="BX335" s="153" t="s">
        <v>103</v>
      </c>
      <c r="BY335" s="153" t="s">
        <v>934</v>
      </c>
      <c r="BZ335" s="153" t="s">
        <v>110</v>
      </c>
      <c r="CA335" s="616" t="s">
        <v>110</v>
      </c>
      <c r="CB335" s="153" t="s">
        <v>110</v>
      </c>
      <c r="CC335" s="153" t="s">
        <v>110</v>
      </c>
      <c r="CD335" s="153" t="s">
        <v>103</v>
      </c>
      <c r="CE335" s="153" t="s">
        <v>103</v>
      </c>
    </row>
    <row r="336" spans="1:83" ht="27.6" customHeight="1">
      <c r="A336" s="503"/>
      <c r="B336" s="164" t="s">
        <v>935</v>
      </c>
      <c r="C336" s="155" t="s">
        <v>936</v>
      </c>
      <c r="D336" s="153" t="s">
        <v>937</v>
      </c>
      <c r="E336" s="153">
        <v>91763</v>
      </c>
      <c r="F336" s="153">
        <v>6111005305</v>
      </c>
      <c r="G336" s="153" t="s">
        <v>110</v>
      </c>
      <c r="H336" s="153" t="s">
        <v>150</v>
      </c>
      <c r="I336" s="508" t="s">
        <v>935</v>
      </c>
      <c r="J336" s="153" t="s">
        <v>117</v>
      </c>
      <c r="K336" s="572" t="s">
        <v>178</v>
      </c>
      <c r="L336" s="153" t="s">
        <v>937</v>
      </c>
      <c r="M336" s="153" t="s">
        <v>110</v>
      </c>
      <c r="Q336" s="989" t="s">
        <v>131</v>
      </c>
      <c r="V336" s="149">
        <v>42291</v>
      </c>
      <c r="W336" s="149">
        <v>42371</v>
      </c>
      <c r="X336" s="149">
        <v>43371</v>
      </c>
      <c r="Y336" s="149">
        <v>43673</v>
      </c>
      <c r="Z336" s="149" t="s">
        <v>103</v>
      </c>
      <c r="AA336" s="149">
        <v>42291</v>
      </c>
      <c r="AB336" s="153" t="s">
        <v>103</v>
      </c>
      <c r="AC336" s="594">
        <f t="shared" ref="AC336" si="74">W336-V336</f>
        <v>80</v>
      </c>
      <c r="AD336" s="149">
        <v>43673</v>
      </c>
      <c r="AE336" s="149" t="s">
        <v>103</v>
      </c>
      <c r="AF336" s="153" t="s">
        <v>103</v>
      </c>
      <c r="AG336" s="153" t="s">
        <v>103</v>
      </c>
      <c r="AH336" s="596" t="s">
        <v>103</v>
      </c>
      <c r="AI336" s="960" t="s">
        <v>103</v>
      </c>
      <c r="AJ336" s="607">
        <v>2850</v>
      </c>
      <c r="AK336" s="153" t="s">
        <v>152</v>
      </c>
      <c r="AL336" s="791" t="s">
        <v>103</v>
      </c>
      <c r="AO336" s="963"/>
      <c r="AP336" s="94">
        <v>1700000</v>
      </c>
      <c r="AQ336" s="574">
        <v>0</v>
      </c>
      <c r="AR336" s="153" t="s">
        <v>116</v>
      </c>
      <c r="AS336" s="153" t="s">
        <v>116</v>
      </c>
      <c r="AT336" s="777" t="s">
        <v>122</v>
      </c>
      <c r="AU336" s="777" t="s">
        <v>122</v>
      </c>
      <c r="AV336" s="777" t="s">
        <v>122</v>
      </c>
      <c r="AW336" s="777" t="s">
        <v>122</v>
      </c>
      <c r="AX336" s="155" t="s">
        <v>103</v>
      </c>
      <c r="AY336" s="155" t="s">
        <v>103</v>
      </c>
      <c r="AZ336" s="155" t="s">
        <v>103</v>
      </c>
      <c r="BA336" s="156">
        <v>0</v>
      </c>
      <c r="BB336" s="153"/>
      <c r="BC336" s="780" t="s">
        <v>103</v>
      </c>
      <c r="BD336" s="153" t="s">
        <v>103</v>
      </c>
      <c r="BE336" s="679" t="s">
        <v>103</v>
      </c>
      <c r="BF336" s="156" t="s">
        <v>103</v>
      </c>
      <c r="BG336" s="94">
        <v>52935.37</v>
      </c>
      <c r="BH336" s="766">
        <v>1344166</v>
      </c>
      <c r="BI336" s="774">
        <v>355834</v>
      </c>
      <c r="BJ336" s="774">
        <v>0</v>
      </c>
      <c r="BK336" s="153" t="s">
        <v>103</v>
      </c>
      <c r="BL336" s="153" t="s">
        <v>124</v>
      </c>
      <c r="BM336" s="94" t="s">
        <v>103</v>
      </c>
      <c r="BN336" s="155" t="s">
        <v>103</v>
      </c>
      <c r="BO336" s="153" t="s">
        <v>103</v>
      </c>
      <c r="BP336" s="153" t="s">
        <v>103</v>
      </c>
      <c r="BQ336" s="153" t="s">
        <v>103</v>
      </c>
      <c r="BR336" s="153" t="s">
        <v>103</v>
      </c>
      <c r="BS336" s="153" t="s">
        <v>104</v>
      </c>
      <c r="BT336" s="153" t="s">
        <v>110</v>
      </c>
      <c r="BU336" s="153" t="s">
        <v>110</v>
      </c>
      <c r="BV336" s="153" t="s">
        <v>110</v>
      </c>
      <c r="BW336" s="153" t="s">
        <v>110</v>
      </c>
      <c r="BX336" s="153" t="s">
        <v>103</v>
      </c>
      <c r="BY336" s="153" t="s">
        <v>938</v>
      </c>
      <c r="BZ336" s="153" t="s">
        <v>103</v>
      </c>
      <c r="CA336" s="616" t="s">
        <v>110</v>
      </c>
      <c r="CB336" s="153" t="s">
        <v>110</v>
      </c>
      <c r="CC336" s="153" t="s">
        <v>110</v>
      </c>
      <c r="CD336" s="153" t="s">
        <v>103</v>
      </c>
      <c r="CE336" s="153" t="s">
        <v>103</v>
      </c>
    </row>
    <row r="337" spans="1:83" ht="14.1" customHeight="1">
      <c r="A337" s="503" t="s">
        <v>939</v>
      </c>
      <c r="B337" s="164" t="s">
        <v>103</v>
      </c>
      <c r="C337" s="155" t="s">
        <v>103</v>
      </c>
      <c r="D337" s="153" t="s">
        <v>103</v>
      </c>
      <c r="E337" s="153" t="s">
        <v>103</v>
      </c>
      <c r="F337" s="958" t="s">
        <v>103</v>
      </c>
      <c r="G337" s="153" t="s">
        <v>110</v>
      </c>
      <c r="H337" s="673">
        <v>0.23948060486522024</v>
      </c>
      <c r="I337" s="508" t="s">
        <v>103</v>
      </c>
      <c r="J337" s="958" t="s">
        <v>103</v>
      </c>
      <c r="K337" s="958" t="s">
        <v>103</v>
      </c>
      <c r="L337" s="155" t="s">
        <v>103</v>
      </c>
      <c r="M337" s="155" t="s">
        <v>103</v>
      </c>
      <c r="N337" s="156">
        <v>0</v>
      </c>
      <c r="O337" s="156" t="s">
        <v>103</v>
      </c>
      <c r="P337" s="156">
        <v>0</v>
      </c>
      <c r="Q337" s="958" t="s">
        <v>103</v>
      </c>
      <c r="R337" s="156">
        <v>0</v>
      </c>
      <c r="S337" s="156">
        <v>0</v>
      </c>
      <c r="T337" s="958" t="s">
        <v>105</v>
      </c>
      <c r="U337" s="153" t="s">
        <v>110</v>
      </c>
      <c r="V337" s="518" t="s">
        <v>103</v>
      </c>
      <c r="W337" s="991" t="s">
        <v>103</v>
      </c>
      <c r="X337" s="991" t="s">
        <v>103</v>
      </c>
      <c r="Y337" s="991" t="s">
        <v>103</v>
      </c>
      <c r="Z337" s="518" t="s">
        <v>103</v>
      </c>
      <c r="AA337" s="991" t="s">
        <v>103</v>
      </c>
      <c r="AB337" s="155" t="s">
        <v>103</v>
      </c>
      <c r="AC337" s="959" t="s">
        <v>103</v>
      </c>
      <c r="AD337" s="155" t="s">
        <v>103</v>
      </c>
      <c r="AE337" s="155" t="s">
        <v>103</v>
      </c>
      <c r="AF337" s="155" t="s">
        <v>103</v>
      </c>
      <c r="AG337" s="155" t="s">
        <v>103</v>
      </c>
      <c r="AH337" s="992" t="s">
        <v>103</v>
      </c>
      <c r="AI337" s="960" t="s">
        <v>103</v>
      </c>
      <c r="AJ337" s="992" t="s">
        <v>103</v>
      </c>
      <c r="AK337" s="155" t="s">
        <v>103</v>
      </c>
      <c r="AL337" s="993" t="s">
        <v>103</v>
      </c>
      <c r="AM337" s="155"/>
      <c r="AN337" s="155"/>
      <c r="AO337" s="994"/>
      <c r="AP337" s="94">
        <v>0</v>
      </c>
      <c r="AQ337" s="578">
        <v>0</v>
      </c>
      <c r="AR337" s="155" t="s">
        <v>103</v>
      </c>
      <c r="AS337" s="155" t="s">
        <v>103</v>
      </c>
      <c r="AT337" s="155" t="s">
        <v>103</v>
      </c>
      <c r="AU337" s="155" t="s">
        <v>103</v>
      </c>
      <c r="AV337" s="155" t="s">
        <v>103</v>
      </c>
      <c r="AW337" s="155" t="s">
        <v>103</v>
      </c>
      <c r="AX337" s="155" t="s">
        <v>103</v>
      </c>
      <c r="AY337" s="155" t="s">
        <v>103</v>
      </c>
      <c r="AZ337" s="155" t="s">
        <v>103</v>
      </c>
      <c r="BA337" s="155" t="s">
        <v>103</v>
      </c>
      <c r="BB337" s="155" t="s">
        <v>103</v>
      </c>
      <c r="BC337" s="155" t="s">
        <v>103</v>
      </c>
      <c r="BD337" s="155" t="s">
        <v>103</v>
      </c>
      <c r="BE337" s="989" t="s">
        <v>103</v>
      </c>
      <c r="BF337" s="155" t="s">
        <v>103</v>
      </c>
      <c r="BG337" s="961">
        <v>0</v>
      </c>
      <c r="BH337" s="155" t="s">
        <v>103</v>
      </c>
      <c r="BI337" s="990" t="s">
        <v>103</v>
      </c>
      <c r="BJ337" s="155" t="s">
        <v>103</v>
      </c>
      <c r="BK337" s="155" t="s">
        <v>103</v>
      </c>
      <c r="BL337" s="155" t="s">
        <v>103</v>
      </c>
      <c r="BM337" s="155" t="s">
        <v>103</v>
      </c>
      <c r="BN337" s="155" t="s">
        <v>103</v>
      </c>
      <c r="BO337" s="155" t="s">
        <v>103</v>
      </c>
      <c r="BP337" s="155" t="s">
        <v>103</v>
      </c>
      <c r="BQ337" s="155" t="s">
        <v>103</v>
      </c>
      <c r="BR337" s="155" t="s">
        <v>103</v>
      </c>
      <c r="BS337" s="155" t="s">
        <v>103</v>
      </c>
      <c r="BT337" s="155" t="s">
        <v>103</v>
      </c>
      <c r="BU337" s="155" t="s">
        <v>103</v>
      </c>
      <c r="BV337" s="155" t="s">
        <v>103</v>
      </c>
      <c r="BW337" s="155" t="s">
        <v>103</v>
      </c>
      <c r="BX337" s="155" t="s">
        <v>103</v>
      </c>
      <c r="BY337" s="155" t="s">
        <v>103</v>
      </c>
      <c r="BZ337" s="155" t="s">
        <v>103</v>
      </c>
      <c r="CA337" s="155" t="s">
        <v>103</v>
      </c>
      <c r="CB337" s="155" t="s">
        <v>103</v>
      </c>
      <c r="CC337" s="155" t="s">
        <v>103</v>
      </c>
      <c r="CD337" s="155" t="s">
        <v>103</v>
      </c>
      <c r="CE337" s="155" t="s">
        <v>103</v>
      </c>
    </row>
    <row r="338" spans="1:83" ht="14.1" customHeight="1">
      <c r="A338" s="503" t="s">
        <v>940</v>
      </c>
      <c r="B338" s="164" t="s">
        <v>103</v>
      </c>
      <c r="C338" s="155" t="s">
        <v>103</v>
      </c>
      <c r="D338" s="153" t="s">
        <v>103</v>
      </c>
      <c r="E338" s="153" t="s">
        <v>103</v>
      </c>
      <c r="F338" s="958" t="s">
        <v>103</v>
      </c>
      <c r="G338" s="153" t="s">
        <v>110</v>
      </c>
      <c r="H338" s="673">
        <v>9.5155348578577881E-2</v>
      </c>
      <c r="I338" s="508" t="s">
        <v>103</v>
      </c>
      <c r="J338" s="958" t="s">
        <v>103</v>
      </c>
      <c r="K338" s="958" t="s">
        <v>103</v>
      </c>
      <c r="L338" s="155" t="s">
        <v>103</v>
      </c>
      <c r="M338" s="155" t="s">
        <v>103</v>
      </c>
      <c r="N338" s="156">
        <v>0</v>
      </c>
      <c r="O338" s="156" t="s">
        <v>103</v>
      </c>
      <c r="P338" s="156">
        <v>0</v>
      </c>
      <c r="Q338" s="958" t="s">
        <v>103</v>
      </c>
      <c r="R338" s="156">
        <v>0</v>
      </c>
      <c r="S338" s="156">
        <v>0</v>
      </c>
      <c r="T338" s="958" t="s">
        <v>105</v>
      </c>
      <c r="U338" s="153" t="s">
        <v>110</v>
      </c>
      <c r="V338" s="518" t="s">
        <v>103</v>
      </c>
      <c r="W338" s="991" t="s">
        <v>103</v>
      </c>
      <c r="X338" s="991" t="s">
        <v>103</v>
      </c>
      <c r="Y338" s="991" t="s">
        <v>103</v>
      </c>
      <c r="Z338" s="518" t="s">
        <v>103</v>
      </c>
      <c r="AA338" s="991" t="s">
        <v>103</v>
      </c>
      <c r="AB338" s="155" t="s">
        <v>103</v>
      </c>
      <c r="AC338" s="959" t="s">
        <v>103</v>
      </c>
      <c r="AD338" s="155" t="s">
        <v>103</v>
      </c>
      <c r="AE338" s="155" t="s">
        <v>103</v>
      </c>
      <c r="AF338" s="155" t="s">
        <v>103</v>
      </c>
      <c r="AG338" s="155" t="s">
        <v>103</v>
      </c>
      <c r="AH338" s="992" t="s">
        <v>103</v>
      </c>
      <c r="AI338" s="960" t="s">
        <v>103</v>
      </c>
      <c r="AJ338" s="992" t="s">
        <v>103</v>
      </c>
      <c r="AK338" s="155" t="s">
        <v>103</v>
      </c>
      <c r="AL338" s="993" t="s">
        <v>103</v>
      </c>
      <c r="AM338" s="155"/>
      <c r="AN338" s="155"/>
      <c r="AO338" s="994"/>
      <c r="AP338" s="94">
        <v>0</v>
      </c>
      <c r="AQ338" s="578">
        <v>0</v>
      </c>
      <c r="AR338" s="155" t="s">
        <v>103</v>
      </c>
      <c r="AS338" s="155" t="s">
        <v>103</v>
      </c>
      <c r="AT338" s="155" t="s">
        <v>103</v>
      </c>
      <c r="AU338" s="155" t="s">
        <v>103</v>
      </c>
      <c r="AV338" s="155" t="s">
        <v>103</v>
      </c>
      <c r="AW338" s="155" t="s">
        <v>103</v>
      </c>
      <c r="AX338" s="155" t="s">
        <v>103</v>
      </c>
      <c r="AY338" s="155" t="s">
        <v>103</v>
      </c>
      <c r="AZ338" s="155" t="s">
        <v>103</v>
      </c>
      <c r="BA338" s="155" t="s">
        <v>103</v>
      </c>
      <c r="BB338" s="155" t="s">
        <v>103</v>
      </c>
      <c r="BC338" s="155" t="s">
        <v>103</v>
      </c>
      <c r="BD338" s="155" t="s">
        <v>103</v>
      </c>
      <c r="BE338" s="989" t="s">
        <v>103</v>
      </c>
      <c r="BF338" s="155" t="s">
        <v>103</v>
      </c>
      <c r="BG338" s="961">
        <v>0</v>
      </c>
      <c r="BH338" s="155" t="s">
        <v>103</v>
      </c>
      <c r="BI338" s="990" t="s">
        <v>103</v>
      </c>
      <c r="BJ338" s="155" t="s">
        <v>103</v>
      </c>
      <c r="BK338" s="155" t="s">
        <v>103</v>
      </c>
      <c r="BL338" s="155" t="s">
        <v>103</v>
      </c>
      <c r="BM338" s="155" t="s">
        <v>103</v>
      </c>
      <c r="BN338" s="155" t="s">
        <v>103</v>
      </c>
      <c r="BO338" s="155" t="s">
        <v>103</v>
      </c>
      <c r="BP338" s="155" t="s">
        <v>103</v>
      </c>
      <c r="BQ338" s="155" t="s">
        <v>103</v>
      </c>
      <c r="BR338" s="155" t="s">
        <v>103</v>
      </c>
      <c r="BS338" s="155" t="s">
        <v>103</v>
      </c>
      <c r="BT338" s="155" t="s">
        <v>103</v>
      </c>
      <c r="BU338" s="155" t="s">
        <v>103</v>
      </c>
      <c r="BV338" s="155" t="s">
        <v>103</v>
      </c>
      <c r="BW338" s="155" t="s">
        <v>103</v>
      </c>
      <c r="BX338" s="155" t="s">
        <v>103</v>
      </c>
      <c r="BY338" s="155" t="s">
        <v>103</v>
      </c>
      <c r="BZ338" s="155" t="s">
        <v>103</v>
      </c>
      <c r="CA338" s="155" t="s">
        <v>103</v>
      </c>
      <c r="CB338" s="155" t="s">
        <v>103</v>
      </c>
      <c r="CC338" s="155" t="s">
        <v>103</v>
      </c>
      <c r="CD338" s="155" t="s">
        <v>103</v>
      </c>
      <c r="CE338" s="155" t="s">
        <v>103</v>
      </c>
    </row>
    <row r="339" spans="1:83" ht="27.6" customHeight="1">
      <c r="A339" s="503" t="s">
        <v>941</v>
      </c>
      <c r="B339" s="164" t="s">
        <v>942</v>
      </c>
      <c r="C339" s="155" t="s">
        <v>943</v>
      </c>
      <c r="D339" s="153" t="s">
        <v>944</v>
      </c>
      <c r="E339" s="153">
        <v>93023</v>
      </c>
      <c r="F339" s="153">
        <v>6111000902</v>
      </c>
      <c r="G339" s="153" t="s">
        <v>110</v>
      </c>
      <c r="H339" s="674">
        <v>0.12614434745582287</v>
      </c>
      <c r="I339" s="508" t="s">
        <v>942</v>
      </c>
      <c r="J339" s="153" t="s">
        <v>484</v>
      </c>
      <c r="K339" s="572" t="s">
        <v>534</v>
      </c>
      <c r="L339" s="153" t="s">
        <v>944</v>
      </c>
      <c r="M339" s="153" t="s">
        <v>104</v>
      </c>
      <c r="N339" s="156">
        <v>1</v>
      </c>
      <c r="P339" s="156">
        <v>0</v>
      </c>
      <c r="Q339" s="156" t="s">
        <v>139</v>
      </c>
      <c r="R339" s="156">
        <v>0</v>
      </c>
      <c r="S339" s="156">
        <v>1</v>
      </c>
      <c r="T339" s="958" t="s">
        <v>105</v>
      </c>
      <c r="U339" s="153" t="s">
        <v>110</v>
      </c>
      <c r="V339" s="572">
        <v>2004</v>
      </c>
      <c r="Y339" s="149">
        <v>38504</v>
      </c>
      <c r="Z339" s="149">
        <v>38504</v>
      </c>
      <c r="AA339" s="149" t="s">
        <v>150</v>
      </c>
      <c r="AB339" s="763" t="s">
        <v>151</v>
      </c>
      <c r="AD339" s="153" t="s">
        <v>103</v>
      </c>
      <c r="AE339" s="149" t="s">
        <v>103</v>
      </c>
      <c r="AF339" s="596" t="s">
        <v>103</v>
      </c>
      <c r="AG339" s="596" t="s">
        <v>103</v>
      </c>
      <c r="AH339" s="595" t="s">
        <v>103</v>
      </c>
      <c r="AI339" s="614">
        <v>0.45795454545454545</v>
      </c>
      <c r="AJ339" s="607">
        <v>2418</v>
      </c>
      <c r="AK339" s="153" t="s">
        <v>120</v>
      </c>
      <c r="AL339" s="791" t="s">
        <v>116</v>
      </c>
      <c r="AO339" s="963"/>
      <c r="AP339" s="94">
        <v>625000</v>
      </c>
      <c r="AQ339" s="574">
        <v>1012090</v>
      </c>
      <c r="AR339" s="153" t="s">
        <v>116</v>
      </c>
      <c r="AS339" s="153" t="s">
        <v>116</v>
      </c>
      <c r="AT339" s="777" t="s">
        <v>122</v>
      </c>
      <c r="AU339" s="777" t="s">
        <v>122</v>
      </c>
      <c r="AV339" s="777" t="s">
        <v>122</v>
      </c>
      <c r="AW339" s="777" t="s">
        <v>122</v>
      </c>
      <c r="AX339" s="155" t="s">
        <v>103</v>
      </c>
      <c r="AY339" s="155" t="s">
        <v>103</v>
      </c>
      <c r="AZ339" s="155" t="s">
        <v>103</v>
      </c>
      <c r="BB339" s="574">
        <f t="shared" ref="BB339:BB347" si="75">AQ339</f>
        <v>1012090</v>
      </c>
      <c r="BC339" s="780">
        <v>-387090</v>
      </c>
      <c r="BD339" s="1012" t="s">
        <v>122</v>
      </c>
      <c r="BE339" s="679">
        <v>0</v>
      </c>
      <c r="BF339" s="153" t="s">
        <v>103</v>
      </c>
      <c r="BG339" s="94">
        <v>1012090</v>
      </c>
      <c r="BH339" s="766" t="s">
        <v>123</v>
      </c>
      <c r="BI339" s="774">
        <v>0</v>
      </c>
      <c r="BJ339" s="774">
        <v>0</v>
      </c>
      <c r="BK339" s="153" t="s">
        <v>103</v>
      </c>
      <c r="BL339" s="94" t="s">
        <v>124</v>
      </c>
      <c r="BM339" s="94" t="s">
        <v>124</v>
      </c>
      <c r="BN339" s="94" t="s">
        <v>124</v>
      </c>
      <c r="BO339" s="153" t="s">
        <v>116</v>
      </c>
      <c r="BP339" s="153" t="s">
        <v>124</v>
      </c>
      <c r="BQ339" s="153" t="s">
        <v>103</v>
      </c>
      <c r="BR339" s="153" t="s">
        <v>116</v>
      </c>
      <c r="BS339" s="153" t="s">
        <v>116</v>
      </c>
      <c r="BT339" s="153" t="s">
        <v>116</v>
      </c>
      <c r="BU339" s="153" t="s">
        <v>116</v>
      </c>
      <c r="BV339" s="153" t="s">
        <v>116</v>
      </c>
      <c r="BW339" s="153" t="s">
        <v>116</v>
      </c>
      <c r="BX339" s="153" t="s">
        <v>116</v>
      </c>
      <c r="BY339" s="153" t="s">
        <v>116</v>
      </c>
      <c r="BZ339" s="153" t="s">
        <v>116</v>
      </c>
      <c r="CA339" s="616" t="s">
        <v>116</v>
      </c>
      <c r="CB339" s="153" t="s">
        <v>116</v>
      </c>
      <c r="CC339" s="153" t="s">
        <v>116</v>
      </c>
      <c r="CD339" s="153" t="s">
        <v>116</v>
      </c>
      <c r="CE339" s="153" t="s">
        <v>116</v>
      </c>
    </row>
    <row r="340" spans="1:83" ht="20.100000000000001" customHeight="1">
      <c r="A340" s="503" t="s">
        <v>945</v>
      </c>
      <c r="B340" s="164" t="s">
        <v>946</v>
      </c>
      <c r="C340" s="155" t="s">
        <v>947</v>
      </c>
      <c r="D340" s="153">
        <v>13961</v>
      </c>
      <c r="E340" s="153">
        <v>93030</v>
      </c>
      <c r="F340" s="153">
        <v>6111008700</v>
      </c>
      <c r="G340" s="153" t="s">
        <v>110</v>
      </c>
      <c r="H340" s="674">
        <v>0.25246132208157523</v>
      </c>
      <c r="I340" s="508" t="s">
        <v>946</v>
      </c>
      <c r="J340" s="153" t="s">
        <v>117</v>
      </c>
      <c r="K340" s="572" t="s">
        <v>283</v>
      </c>
      <c r="L340" s="153">
        <v>13961</v>
      </c>
      <c r="M340" s="153" t="s">
        <v>104</v>
      </c>
      <c r="N340" s="156">
        <v>3</v>
      </c>
      <c r="P340" s="156">
        <v>0</v>
      </c>
      <c r="Q340" s="156" t="s">
        <v>139</v>
      </c>
      <c r="R340" s="156">
        <v>0</v>
      </c>
      <c r="S340" s="156">
        <v>3</v>
      </c>
      <c r="T340" s="958" t="s">
        <v>105</v>
      </c>
      <c r="U340" s="153" t="s">
        <v>104</v>
      </c>
      <c r="V340" s="149">
        <v>40652</v>
      </c>
      <c r="W340" s="149">
        <v>40694</v>
      </c>
      <c r="X340" s="149">
        <v>41738</v>
      </c>
      <c r="Y340" s="149">
        <v>42005</v>
      </c>
      <c r="Z340" s="149">
        <v>42005</v>
      </c>
      <c r="AA340" s="149">
        <v>40652</v>
      </c>
      <c r="AB340" s="763" t="s">
        <v>121</v>
      </c>
      <c r="AC340" s="594">
        <v>30</v>
      </c>
      <c r="AD340" s="153" t="s">
        <v>103</v>
      </c>
      <c r="AE340" s="149" t="s">
        <v>103</v>
      </c>
      <c r="AF340" s="596">
        <v>17</v>
      </c>
      <c r="AG340" s="596">
        <v>21</v>
      </c>
      <c r="AH340" s="595">
        <v>5642.666666666667</v>
      </c>
      <c r="AI340" s="614">
        <v>1.0686868686868687</v>
      </c>
      <c r="AJ340" s="607">
        <v>2900</v>
      </c>
      <c r="AK340" s="153" t="s">
        <v>152</v>
      </c>
      <c r="AL340" s="791" t="s">
        <v>104</v>
      </c>
      <c r="AO340" s="963"/>
      <c r="AP340" s="1017">
        <v>1200000</v>
      </c>
      <c r="AQ340" s="574">
        <v>1085701.95</v>
      </c>
      <c r="AR340" s="153" t="s">
        <v>116</v>
      </c>
      <c r="AS340" s="153" t="s">
        <v>116</v>
      </c>
      <c r="AT340" s="777" t="s">
        <v>122</v>
      </c>
      <c r="AU340" s="777" t="s">
        <v>122</v>
      </c>
      <c r="AV340" s="777" t="s">
        <v>122</v>
      </c>
      <c r="AW340" s="777" t="s">
        <v>122</v>
      </c>
      <c r="AX340" s="155" t="s">
        <v>103</v>
      </c>
      <c r="AY340" s="155" t="s">
        <v>103</v>
      </c>
      <c r="AZ340" s="155" t="s">
        <v>103</v>
      </c>
      <c r="BB340" s="574">
        <f t="shared" si="75"/>
        <v>1085701.95</v>
      </c>
      <c r="BC340" s="780">
        <v>114298.05000000005</v>
      </c>
      <c r="BD340" s="1008" t="s">
        <v>121</v>
      </c>
      <c r="BE340" s="679">
        <v>0</v>
      </c>
      <c r="BF340" s="153" t="s">
        <v>103</v>
      </c>
      <c r="BG340" s="94">
        <v>1085701.95</v>
      </c>
      <c r="BH340" s="766">
        <v>2801355</v>
      </c>
      <c r="BI340" s="774">
        <v>0</v>
      </c>
      <c r="BJ340" s="774">
        <v>0</v>
      </c>
      <c r="BK340" s="153" t="s">
        <v>103</v>
      </c>
      <c r="BL340" s="94" t="s">
        <v>124</v>
      </c>
      <c r="BM340" s="94" t="s">
        <v>124</v>
      </c>
      <c r="BN340" s="94" t="s">
        <v>124</v>
      </c>
      <c r="BO340" s="153" t="s">
        <v>116</v>
      </c>
      <c r="BP340" s="153" t="s">
        <v>124</v>
      </c>
      <c r="BQ340" s="153" t="s">
        <v>103</v>
      </c>
      <c r="BR340" s="153" t="s">
        <v>116</v>
      </c>
      <c r="BS340" s="153" t="s">
        <v>103</v>
      </c>
      <c r="BT340" s="153" t="s">
        <v>116</v>
      </c>
      <c r="BU340" s="153" t="s">
        <v>116</v>
      </c>
      <c r="BV340" s="153" t="s">
        <v>116</v>
      </c>
      <c r="BW340" s="153" t="s">
        <v>116</v>
      </c>
      <c r="BX340" s="153" t="s">
        <v>116</v>
      </c>
      <c r="BY340" s="153" t="s">
        <v>116</v>
      </c>
      <c r="BZ340" s="153" t="s">
        <v>116</v>
      </c>
      <c r="CA340" s="616" t="s">
        <v>116</v>
      </c>
      <c r="CB340" s="153" t="s">
        <v>116</v>
      </c>
      <c r="CC340" s="153" t="s">
        <v>116</v>
      </c>
      <c r="CD340" s="153" t="s">
        <v>116</v>
      </c>
      <c r="CE340" s="153" t="s">
        <v>116</v>
      </c>
    </row>
    <row r="341" spans="1:83" ht="19.350000000000001" customHeight="1">
      <c r="A341" s="503"/>
      <c r="B341" s="164" t="s">
        <v>948</v>
      </c>
      <c r="C341" s="155" t="s">
        <v>949</v>
      </c>
      <c r="D341" s="153">
        <v>13960</v>
      </c>
      <c r="E341" s="153">
        <v>93030</v>
      </c>
      <c r="F341" s="153">
        <v>6111003100</v>
      </c>
      <c r="G341" s="153" t="s">
        <v>110</v>
      </c>
      <c r="H341" s="153" t="s">
        <v>150</v>
      </c>
      <c r="I341" s="508" t="s">
        <v>948</v>
      </c>
      <c r="J341" s="153" t="s">
        <v>117</v>
      </c>
      <c r="K341" s="572" t="s">
        <v>283</v>
      </c>
      <c r="L341" s="153">
        <v>13960</v>
      </c>
      <c r="M341" s="153" t="s">
        <v>104</v>
      </c>
      <c r="Q341" s="156" t="s">
        <v>139</v>
      </c>
      <c r="V341" s="149">
        <v>40652</v>
      </c>
      <c r="W341" s="149">
        <v>40694</v>
      </c>
      <c r="X341" s="149">
        <v>41418</v>
      </c>
      <c r="Y341" s="149">
        <v>42011</v>
      </c>
      <c r="Z341" s="149">
        <v>42011</v>
      </c>
      <c r="AA341" s="149">
        <v>40652</v>
      </c>
      <c r="AB341" s="763" t="s">
        <v>121</v>
      </c>
      <c r="AC341" s="594">
        <v>30</v>
      </c>
      <c r="AD341" s="153" t="s">
        <v>103</v>
      </c>
      <c r="AE341" s="149" t="s">
        <v>103</v>
      </c>
      <c r="AF341" s="596">
        <v>6</v>
      </c>
      <c r="AG341" s="596">
        <v>0</v>
      </c>
      <c r="AH341" s="595">
        <v>1277.2222222222222</v>
      </c>
      <c r="AI341" s="614">
        <v>0.24189814814814814</v>
      </c>
      <c r="AJ341" s="607">
        <v>1500</v>
      </c>
      <c r="AK341" s="153" t="s">
        <v>120</v>
      </c>
      <c r="AL341" s="791" t="s">
        <v>104</v>
      </c>
      <c r="AO341" s="963"/>
      <c r="AP341" s="1017">
        <v>850000</v>
      </c>
      <c r="AQ341" s="574">
        <v>838920</v>
      </c>
      <c r="AR341" s="153" t="s">
        <v>116</v>
      </c>
      <c r="AS341" s="153" t="s">
        <v>116</v>
      </c>
      <c r="AT341" s="777" t="s">
        <v>122</v>
      </c>
      <c r="AU341" s="777" t="s">
        <v>122</v>
      </c>
      <c r="AV341" s="777" t="s">
        <v>122</v>
      </c>
      <c r="AW341" s="777" t="s">
        <v>122</v>
      </c>
      <c r="AX341" s="155" t="s">
        <v>103</v>
      </c>
      <c r="AY341" s="155" t="s">
        <v>103</v>
      </c>
      <c r="AZ341" s="155" t="s">
        <v>103</v>
      </c>
      <c r="BB341" s="574">
        <f t="shared" si="75"/>
        <v>838920</v>
      </c>
      <c r="BC341" s="780">
        <v>11080</v>
      </c>
      <c r="BD341" s="1008" t="s">
        <v>121</v>
      </c>
      <c r="BE341" s="679">
        <v>0</v>
      </c>
      <c r="BF341" s="153" t="s">
        <v>103</v>
      </c>
      <c r="BG341" s="94">
        <v>838920</v>
      </c>
      <c r="BH341" s="766">
        <v>2801355</v>
      </c>
      <c r="BI341" s="774">
        <v>0</v>
      </c>
      <c r="BJ341" s="774">
        <v>0</v>
      </c>
      <c r="BK341" s="153" t="s">
        <v>103</v>
      </c>
      <c r="BL341" s="153" t="s">
        <v>124</v>
      </c>
      <c r="BM341" s="94" t="s">
        <v>124</v>
      </c>
      <c r="BN341" s="155" t="s">
        <v>124</v>
      </c>
      <c r="BO341" s="153" t="s">
        <v>116</v>
      </c>
      <c r="BP341" s="153" t="s">
        <v>124</v>
      </c>
      <c r="BQ341" s="153" t="s">
        <v>103</v>
      </c>
      <c r="BR341" s="153" t="s">
        <v>116</v>
      </c>
      <c r="BS341" s="153" t="s">
        <v>103</v>
      </c>
      <c r="BT341" s="153" t="s">
        <v>116</v>
      </c>
      <c r="BU341" s="153" t="s">
        <v>116</v>
      </c>
      <c r="BV341" s="153" t="s">
        <v>116</v>
      </c>
      <c r="BW341" s="153" t="s">
        <v>116</v>
      </c>
      <c r="BX341" s="153" t="s">
        <v>116</v>
      </c>
      <c r="BY341" s="153" t="s">
        <v>116</v>
      </c>
      <c r="BZ341" s="153" t="s">
        <v>116</v>
      </c>
      <c r="CA341" s="616" t="s">
        <v>116</v>
      </c>
      <c r="CB341" s="153" t="s">
        <v>116</v>
      </c>
      <c r="CC341" s="153" t="s">
        <v>116</v>
      </c>
      <c r="CD341" s="153" t="s">
        <v>116</v>
      </c>
      <c r="CE341" s="153" t="s">
        <v>116</v>
      </c>
    </row>
    <row r="342" spans="1:83" ht="41.45" customHeight="1">
      <c r="A342" s="503"/>
      <c r="B342" s="164" t="s">
        <v>950</v>
      </c>
      <c r="C342" s="155" t="s">
        <v>951</v>
      </c>
      <c r="D342" s="153">
        <v>12401</v>
      </c>
      <c r="E342" s="153">
        <v>93035</v>
      </c>
      <c r="F342" s="153">
        <v>6111003612</v>
      </c>
      <c r="G342" s="153" t="s">
        <v>110</v>
      </c>
      <c r="H342" s="153" t="s">
        <v>150</v>
      </c>
      <c r="I342" s="508" t="s">
        <v>952</v>
      </c>
      <c r="J342" s="153" t="s">
        <v>117</v>
      </c>
      <c r="K342" s="156">
        <v>0</v>
      </c>
      <c r="L342" s="153">
        <v>12401</v>
      </c>
      <c r="M342" s="153" t="s">
        <v>104</v>
      </c>
      <c r="Q342" s="156" t="s">
        <v>139</v>
      </c>
      <c r="V342" s="149">
        <v>37782</v>
      </c>
      <c r="W342" s="149">
        <v>38751</v>
      </c>
      <c r="X342" s="149">
        <v>39353</v>
      </c>
      <c r="Y342" s="149">
        <v>39612</v>
      </c>
      <c r="Z342" s="149">
        <v>39612</v>
      </c>
      <c r="AA342" s="149">
        <v>37782</v>
      </c>
      <c r="AB342" s="763" t="s">
        <v>121</v>
      </c>
      <c r="AC342" s="594">
        <v>692.14285714285711</v>
      </c>
      <c r="AD342" s="153" t="s">
        <v>103</v>
      </c>
      <c r="AE342" s="149" t="s">
        <v>103</v>
      </c>
      <c r="AF342" s="596">
        <v>0</v>
      </c>
      <c r="AG342" s="596" t="s">
        <v>103</v>
      </c>
      <c r="AH342" s="595" t="s">
        <v>103</v>
      </c>
      <c r="AI342" s="614">
        <v>1.3265151515151514</v>
      </c>
      <c r="AJ342" s="607">
        <v>7004</v>
      </c>
      <c r="AK342" s="153" t="s">
        <v>152</v>
      </c>
      <c r="AL342" s="791" t="s">
        <v>104</v>
      </c>
      <c r="AO342" s="963"/>
      <c r="AP342" s="1024">
        <v>2047000</v>
      </c>
      <c r="AQ342" s="574">
        <v>1644152.4</v>
      </c>
      <c r="AR342" s="153" t="s">
        <v>116</v>
      </c>
      <c r="AS342" s="153" t="s">
        <v>116</v>
      </c>
      <c r="AT342" s="777" t="s">
        <v>122</v>
      </c>
      <c r="AU342" s="777" t="s">
        <v>122</v>
      </c>
      <c r="AV342" s="777" t="s">
        <v>122</v>
      </c>
      <c r="AW342" s="777" t="s">
        <v>122</v>
      </c>
      <c r="AX342" s="155" t="s">
        <v>103</v>
      </c>
      <c r="AY342" s="155" t="s">
        <v>103</v>
      </c>
      <c r="AZ342" s="155" t="s">
        <v>103</v>
      </c>
      <c r="BB342" s="574">
        <f t="shared" si="75"/>
        <v>1644152.4</v>
      </c>
      <c r="BC342" s="780">
        <v>402847.60000000009</v>
      </c>
      <c r="BD342" s="1008" t="s">
        <v>121</v>
      </c>
      <c r="BE342" s="679">
        <v>0</v>
      </c>
      <c r="BF342" s="153" t="s">
        <v>103</v>
      </c>
      <c r="BG342" s="94">
        <v>1644152.4</v>
      </c>
      <c r="BH342" s="766" t="s">
        <v>123</v>
      </c>
      <c r="BI342" s="774">
        <v>0</v>
      </c>
      <c r="BJ342" s="774">
        <v>0</v>
      </c>
      <c r="BK342" s="153" t="s">
        <v>103</v>
      </c>
      <c r="BL342" s="153" t="s">
        <v>124</v>
      </c>
      <c r="BM342" s="94" t="s">
        <v>124</v>
      </c>
      <c r="BN342" s="155" t="s">
        <v>124</v>
      </c>
      <c r="BO342" s="153" t="s">
        <v>116</v>
      </c>
      <c r="BP342" s="153" t="s">
        <v>124</v>
      </c>
      <c r="BQ342" s="153" t="s">
        <v>103</v>
      </c>
      <c r="BR342" s="153" t="s">
        <v>116</v>
      </c>
      <c r="BS342" s="153" t="s">
        <v>116</v>
      </c>
      <c r="BT342" s="153" t="s">
        <v>116</v>
      </c>
      <c r="BU342" s="153" t="s">
        <v>116</v>
      </c>
      <c r="BV342" s="153" t="s">
        <v>116</v>
      </c>
      <c r="BW342" s="153" t="s">
        <v>116</v>
      </c>
      <c r="BX342" s="153" t="s">
        <v>116</v>
      </c>
      <c r="BY342" s="153" t="s">
        <v>116</v>
      </c>
      <c r="BZ342" s="153" t="s">
        <v>116</v>
      </c>
      <c r="CA342" s="616" t="s">
        <v>116</v>
      </c>
      <c r="CB342" s="153" t="s">
        <v>116</v>
      </c>
      <c r="CC342" s="153" t="s">
        <v>116</v>
      </c>
      <c r="CD342" s="153" t="s">
        <v>116</v>
      </c>
      <c r="CE342" s="153" t="s">
        <v>116</v>
      </c>
    </row>
    <row r="343" spans="1:83" ht="27.6" customHeight="1">
      <c r="A343" s="503" t="s">
        <v>953</v>
      </c>
      <c r="B343" s="164" t="s">
        <v>954</v>
      </c>
      <c r="C343" s="155" t="s">
        <v>955</v>
      </c>
      <c r="D343" s="153">
        <v>3996</v>
      </c>
      <c r="E343" s="153">
        <v>93041</v>
      </c>
      <c r="F343" s="153">
        <v>6111004200</v>
      </c>
      <c r="G343" s="153" t="s">
        <v>110</v>
      </c>
      <c r="H343" s="674">
        <v>0.25948196114708605</v>
      </c>
      <c r="I343" s="508" t="s">
        <v>954</v>
      </c>
      <c r="J343" s="153" t="s">
        <v>117</v>
      </c>
      <c r="K343" s="572" t="s">
        <v>118</v>
      </c>
      <c r="L343" s="153">
        <v>3996</v>
      </c>
      <c r="M343" s="153" t="s">
        <v>104</v>
      </c>
      <c r="N343" s="156">
        <v>1</v>
      </c>
      <c r="P343" s="156">
        <v>0</v>
      </c>
      <c r="Q343" s="156" t="s">
        <v>139</v>
      </c>
      <c r="R343" s="156">
        <v>0</v>
      </c>
      <c r="S343" s="156">
        <v>1</v>
      </c>
      <c r="T343" s="958" t="s">
        <v>105</v>
      </c>
      <c r="U343" s="153" t="s">
        <v>110</v>
      </c>
      <c r="V343" s="149">
        <v>40770</v>
      </c>
      <c r="W343" s="149">
        <v>41002</v>
      </c>
      <c r="X343" s="149">
        <v>41918</v>
      </c>
      <c r="Y343" s="149">
        <v>42156</v>
      </c>
      <c r="Z343" s="149">
        <v>42156</v>
      </c>
      <c r="AA343" s="149">
        <v>40770</v>
      </c>
      <c r="AB343" s="763" t="s">
        <v>151</v>
      </c>
      <c r="AC343" s="594">
        <v>165.71428571428572</v>
      </c>
      <c r="AD343" s="153" t="s">
        <v>103</v>
      </c>
      <c r="AE343" s="149" t="s">
        <v>103</v>
      </c>
      <c r="AF343" s="596">
        <v>6</v>
      </c>
      <c r="AG343" s="596">
        <v>4</v>
      </c>
      <c r="AH343" s="595">
        <v>807</v>
      </c>
      <c r="AI343" s="614">
        <v>0.15284090909090908</v>
      </c>
      <c r="AJ343" s="607">
        <v>1200</v>
      </c>
      <c r="AK343" s="153" t="s">
        <v>152</v>
      </c>
      <c r="AL343" s="791" t="s">
        <v>104</v>
      </c>
      <c r="AO343" s="963"/>
      <c r="AP343" s="1017">
        <v>600000</v>
      </c>
      <c r="AQ343" s="574">
        <v>1093393</v>
      </c>
      <c r="AR343" s="153" t="s">
        <v>116</v>
      </c>
      <c r="AS343" s="153" t="s">
        <v>116</v>
      </c>
      <c r="AT343" s="777" t="s">
        <v>122</v>
      </c>
      <c r="AU343" s="777" t="s">
        <v>122</v>
      </c>
      <c r="AV343" s="777" t="s">
        <v>122</v>
      </c>
      <c r="AW343" s="777" t="s">
        <v>122</v>
      </c>
      <c r="AX343" s="155" t="s">
        <v>103</v>
      </c>
      <c r="AY343" s="155" t="s">
        <v>103</v>
      </c>
      <c r="AZ343" s="155" t="s">
        <v>103</v>
      </c>
      <c r="BB343" s="574">
        <f t="shared" si="75"/>
        <v>1093393</v>
      </c>
      <c r="BC343" s="780">
        <v>-493393</v>
      </c>
      <c r="BD343" s="508" t="s">
        <v>956</v>
      </c>
      <c r="BE343" s="679">
        <v>0</v>
      </c>
      <c r="BF343" s="153" t="s">
        <v>103</v>
      </c>
      <c r="BG343" s="94">
        <v>1093393</v>
      </c>
      <c r="BH343" s="766">
        <v>602644</v>
      </c>
      <c r="BI343" s="774">
        <v>0</v>
      </c>
      <c r="BJ343" s="774">
        <v>0</v>
      </c>
      <c r="BK343" s="153" t="s">
        <v>103</v>
      </c>
      <c r="BL343" s="153" t="s">
        <v>124</v>
      </c>
      <c r="BM343" s="94" t="s">
        <v>103</v>
      </c>
      <c r="BN343" s="155" t="s">
        <v>103</v>
      </c>
      <c r="BO343" s="153" t="s">
        <v>103</v>
      </c>
      <c r="BP343" s="153" t="s">
        <v>103</v>
      </c>
      <c r="BQ343" s="153" t="s">
        <v>103</v>
      </c>
      <c r="BR343" s="153" t="s">
        <v>110</v>
      </c>
      <c r="BS343" s="153" t="s">
        <v>110</v>
      </c>
      <c r="BT343" s="153" t="s">
        <v>110</v>
      </c>
      <c r="BU343" s="153" t="s">
        <v>110</v>
      </c>
      <c r="BV343" s="153" t="s">
        <v>110</v>
      </c>
      <c r="BW343" s="153" t="s">
        <v>104</v>
      </c>
      <c r="BX343" s="153" t="s">
        <v>110</v>
      </c>
      <c r="BY343" s="153" t="s">
        <v>957</v>
      </c>
      <c r="BZ343" s="153" t="s">
        <v>110</v>
      </c>
      <c r="CA343" s="616" t="s">
        <v>116</v>
      </c>
      <c r="CB343" s="153" t="s">
        <v>116</v>
      </c>
      <c r="CC343" s="153" t="s">
        <v>116</v>
      </c>
      <c r="CD343" s="153" t="s">
        <v>116</v>
      </c>
      <c r="CE343" s="153" t="s">
        <v>116</v>
      </c>
    </row>
    <row r="344" spans="1:83" ht="27.6" customHeight="1">
      <c r="A344" s="503" t="s">
        <v>958</v>
      </c>
      <c r="B344" s="164" t="s">
        <v>959</v>
      </c>
      <c r="C344" s="155" t="s">
        <v>960</v>
      </c>
      <c r="D344" s="153">
        <v>6772</v>
      </c>
      <c r="E344" s="153">
        <v>93060</v>
      </c>
      <c r="F344" s="153">
        <v>6111000702</v>
      </c>
      <c r="G344" s="153" t="s">
        <v>110</v>
      </c>
      <c r="H344" s="674">
        <v>0.26149122807017544</v>
      </c>
      <c r="I344" s="508" t="s">
        <v>959</v>
      </c>
      <c r="J344" s="153" t="s">
        <v>117</v>
      </c>
      <c r="K344" s="156">
        <v>0</v>
      </c>
      <c r="L344" s="153">
        <v>6772</v>
      </c>
      <c r="M344" s="153" t="s">
        <v>104</v>
      </c>
      <c r="N344" s="156">
        <v>1</v>
      </c>
      <c r="P344" s="156">
        <v>0</v>
      </c>
      <c r="Q344" s="156" t="s">
        <v>139</v>
      </c>
      <c r="R344" s="156">
        <v>0</v>
      </c>
      <c r="S344" s="156">
        <v>1</v>
      </c>
      <c r="T344" s="958" t="s">
        <v>105</v>
      </c>
      <c r="U344" s="153" t="s">
        <v>110</v>
      </c>
      <c r="V344" s="590">
        <v>40955</v>
      </c>
      <c r="W344" s="149">
        <v>39545</v>
      </c>
      <c r="X344" s="149">
        <v>41554</v>
      </c>
      <c r="Y344" s="149">
        <v>41730</v>
      </c>
      <c r="Z344" s="149">
        <v>41730</v>
      </c>
      <c r="AA344" s="149">
        <v>40955</v>
      </c>
      <c r="AB344" s="763" t="s">
        <v>121</v>
      </c>
      <c r="AC344" s="594">
        <v>-1007.1428571428571</v>
      </c>
      <c r="AD344" s="153" t="s">
        <v>103</v>
      </c>
      <c r="AE344" s="149" t="s">
        <v>103</v>
      </c>
      <c r="AF344" s="596">
        <v>8</v>
      </c>
      <c r="AG344" s="596">
        <v>6</v>
      </c>
      <c r="AH344" s="595">
        <v>2266.6666666666665</v>
      </c>
      <c r="AI344" s="614">
        <v>0.42929292929292928</v>
      </c>
      <c r="AJ344" s="607">
        <v>2257</v>
      </c>
      <c r="AK344" s="153" t="s">
        <v>120</v>
      </c>
      <c r="AL344" s="791" t="s">
        <v>104</v>
      </c>
      <c r="AO344" s="963"/>
      <c r="AP344" s="1017">
        <v>1550000</v>
      </c>
      <c r="AQ344" s="574">
        <v>1156796</v>
      </c>
      <c r="AR344" s="153" t="s">
        <v>116</v>
      </c>
      <c r="AS344" s="153" t="s">
        <v>116</v>
      </c>
      <c r="AT344" s="777" t="s">
        <v>122</v>
      </c>
      <c r="AU344" s="777" t="s">
        <v>122</v>
      </c>
      <c r="AV344" s="777" t="s">
        <v>122</v>
      </c>
      <c r="AW344" s="777" t="s">
        <v>122</v>
      </c>
      <c r="AX344" s="155" t="s">
        <v>103</v>
      </c>
      <c r="AY344" s="155" t="s">
        <v>103</v>
      </c>
      <c r="AZ344" s="155" t="s">
        <v>103</v>
      </c>
      <c r="BB344" s="574">
        <f t="shared" si="75"/>
        <v>1156796</v>
      </c>
      <c r="BC344" s="780">
        <v>393204</v>
      </c>
      <c r="BD344" s="1008" t="s">
        <v>121</v>
      </c>
      <c r="BE344" s="679">
        <v>0</v>
      </c>
      <c r="BF344" s="153" t="s">
        <v>103</v>
      </c>
      <c r="BG344" s="94">
        <v>1156796</v>
      </c>
      <c r="BH344" s="766">
        <v>1658190</v>
      </c>
      <c r="BI344" s="774">
        <v>0</v>
      </c>
      <c r="BJ344" s="774">
        <v>0</v>
      </c>
      <c r="BK344" s="153" t="s">
        <v>103</v>
      </c>
      <c r="BL344" s="94" t="s">
        <v>124</v>
      </c>
      <c r="BM344" s="94" t="s">
        <v>124</v>
      </c>
      <c r="BN344" s="94" t="s">
        <v>124</v>
      </c>
      <c r="BO344" s="153" t="s">
        <v>116</v>
      </c>
      <c r="BP344" s="153" t="s">
        <v>124</v>
      </c>
      <c r="BQ344" s="153" t="s">
        <v>103</v>
      </c>
      <c r="BR344" s="153" t="s">
        <v>116</v>
      </c>
      <c r="BS344" s="153" t="s">
        <v>116</v>
      </c>
      <c r="BT344" s="153" t="s">
        <v>116</v>
      </c>
      <c r="BU344" s="153" t="s">
        <v>116</v>
      </c>
      <c r="BV344" s="153" t="s">
        <v>116</v>
      </c>
      <c r="BW344" s="153" t="s">
        <v>116</v>
      </c>
      <c r="BX344" s="153" t="s">
        <v>116</v>
      </c>
      <c r="BY344" s="153" t="s">
        <v>116</v>
      </c>
      <c r="BZ344" s="153" t="s">
        <v>116</v>
      </c>
      <c r="CA344" s="616" t="s">
        <v>116</v>
      </c>
      <c r="CB344" s="153" t="s">
        <v>116</v>
      </c>
      <c r="CC344" s="153" t="s">
        <v>116</v>
      </c>
      <c r="CD344" s="153" t="s">
        <v>116</v>
      </c>
      <c r="CE344" s="153" t="s">
        <v>116</v>
      </c>
    </row>
    <row r="345" spans="1:83" ht="41.45" customHeight="1">
      <c r="A345" s="503" t="s">
        <v>961</v>
      </c>
      <c r="B345" s="164" t="s">
        <v>962</v>
      </c>
      <c r="C345" s="155" t="s">
        <v>963</v>
      </c>
      <c r="D345" s="153" t="s">
        <v>964</v>
      </c>
      <c r="E345" s="153">
        <v>93063</v>
      </c>
      <c r="F345" s="153">
        <v>6111008306</v>
      </c>
      <c r="G345" s="153" t="s">
        <v>110</v>
      </c>
      <c r="H345" s="674">
        <v>0.12145168557735633</v>
      </c>
      <c r="I345" s="508" t="s">
        <v>962</v>
      </c>
      <c r="J345" s="153" t="s">
        <v>484</v>
      </c>
      <c r="K345" s="572" t="s">
        <v>577</v>
      </c>
      <c r="L345" s="153" t="s">
        <v>964</v>
      </c>
      <c r="M345" s="153" t="s">
        <v>104</v>
      </c>
      <c r="N345" s="156">
        <v>2</v>
      </c>
      <c r="P345" s="156">
        <v>0</v>
      </c>
      <c r="Q345" s="156" t="s">
        <v>139</v>
      </c>
      <c r="R345" s="156">
        <v>0</v>
      </c>
      <c r="S345" s="156">
        <v>2</v>
      </c>
      <c r="T345" s="958" t="s">
        <v>105</v>
      </c>
      <c r="U345" s="153" t="s">
        <v>110</v>
      </c>
      <c r="V345" s="149">
        <v>38047</v>
      </c>
      <c r="W345" s="149">
        <v>38413</v>
      </c>
      <c r="X345" s="149">
        <v>38992</v>
      </c>
      <c r="Y345" s="149">
        <v>39255</v>
      </c>
      <c r="Z345" s="149">
        <v>39255</v>
      </c>
      <c r="AA345" s="149">
        <v>38047</v>
      </c>
      <c r="AB345" s="763" t="s">
        <v>121</v>
      </c>
      <c r="AC345" s="594">
        <v>261.42857142857144</v>
      </c>
      <c r="AD345" s="153" t="s">
        <v>103</v>
      </c>
      <c r="AE345" s="149" t="s">
        <v>103</v>
      </c>
      <c r="AF345" s="596" t="s">
        <v>103</v>
      </c>
      <c r="AG345" s="596" t="s">
        <v>103</v>
      </c>
      <c r="AH345" s="595" t="s">
        <v>103</v>
      </c>
      <c r="AI345" s="614">
        <v>0.66287878787878785</v>
      </c>
      <c r="AJ345" s="607">
        <v>3500</v>
      </c>
      <c r="AK345" s="153" t="s">
        <v>152</v>
      </c>
      <c r="AL345" s="791" t="s">
        <v>104</v>
      </c>
      <c r="AO345" s="963"/>
      <c r="AP345" s="1024">
        <v>1700000</v>
      </c>
      <c r="AQ345" s="574">
        <v>1082713</v>
      </c>
      <c r="AR345" s="153" t="s">
        <v>116</v>
      </c>
      <c r="AS345" s="153" t="s">
        <v>116</v>
      </c>
      <c r="AT345" s="777" t="s">
        <v>122</v>
      </c>
      <c r="AU345" s="777" t="s">
        <v>122</v>
      </c>
      <c r="AV345" s="777" t="s">
        <v>122</v>
      </c>
      <c r="AW345" s="777" t="s">
        <v>122</v>
      </c>
      <c r="AX345" s="155" t="s">
        <v>103</v>
      </c>
      <c r="AY345" s="155" t="s">
        <v>103</v>
      </c>
      <c r="AZ345" s="155" t="s">
        <v>103</v>
      </c>
      <c r="BB345" s="574">
        <f t="shared" si="75"/>
        <v>1082713</v>
      </c>
      <c r="BC345" s="780">
        <v>617287</v>
      </c>
      <c r="BD345" s="1008" t="s">
        <v>121</v>
      </c>
      <c r="BE345" s="679">
        <v>13111</v>
      </c>
      <c r="BF345" s="153">
        <v>2009</v>
      </c>
      <c r="BG345" s="94">
        <v>1082713</v>
      </c>
      <c r="BH345" s="766" t="s">
        <v>123</v>
      </c>
      <c r="BI345" s="774">
        <v>0</v>
      </c>
      <c r="BJ345" s="774">
        <v>0</v>
      </c>
      <c r="BK345" s="153" t="s">
        <v>103</v>
      </c>
      <c r="BL345" s="94" t="s">
        <v>124</v>
      </c>
      <c r="BM345" s="94" t="s">
        <v>124</v>
      </c>
      <c r="BN345" s="94" t="s">
        <v>124</v>
      </c>
      <c r="BO345" s="153" t="s">
        <v>116</v>
      </c>
      <c r="BP345" s="153" t="s">
        <v>124</v>
      </c>
      <c r="BQ345" s="153" t="s">
        <v>103</v>
      </c>
      <c r="BR345" s="153" t="s">
        <v>116</v>
      </c>
      <c r="BS345" s="153" t="s">
        <v>116</v>
      </c>
      <c r="BT345" s="153" t="s">
        <v>116</v>
      </c>
      <c r="BU345" s="153" t="s">
        <v>116</v>
      </c>
      <c r="BV345" s="153" t="s">
        <v>116</v>
      </c>
      <c r="BW345" s="153" t="s">
        <v>116</v>
      </c>
      <c r="BX345" s="153" t="s">
        <v>116</v>
      </c>
      <c r="BY345" s="153" t="s">
        <v>116</v>
      </c>
      <c r="BZ345" s="153" t="s">
        <v>116</v>
      </c>
      <c r="CA345" s="616" t="s">
        <v>116</v>
      </c>
      <c r="CB345" s="153" t="s">
        <v>116</v>
      </c>
      <c r="CC345" s="153" t="s">
        <v>116</v>
      </c>
      <c r="CD345" s="153" t="s">
        <v>116</v>
      </c>
      <c r="CE345" s="153" t="s">
        <v>116</v>
      </c>
    </row>
    <row r="346" spans="1:83" ht="41.45" customHeight="1">
      <c r="A346" s="503"/>
      <c r="B346" s="164" t="s">
        <v>965</v>
      </c>
      <c r="C346" s="155" t="s">
        <v>966</v>
      </c>
      <c r="D346" s="153" t="s">
        <v>967</v>
      </c>
      <c r="E346" s="153">
        <v>93063</v>
      </c>
      <c r="F346" s="153">
        <v>6111008401</v>
      </c>
      <c r="G346" s="153" t="s">
        <v>110</v>
      </c>
      <c r="H346" s="153" t="s">
        <v>150</v>
      </c>
      <c r="I346" s="508" t="s">
        <v>965</v>
      </c>
      <c r="J346" s="153" t="s">
        <v>484</v>
      </c>
      <c r="K346" s="572" t="s">
        <v>577</v>
      </c>
      <c r="L346" s="153" t="s">
        <v>967</v>
      </c>
      <c r="M346" s="153" t="s">
        <v>104</v>
      </c>
      <c r="Q346" s="156" t="s">
        <v>139</v>
      </c>
      <c r="V346" s="590">
        <v>38047</v>
      </c>
      <c r="W346" s="149">
        <v>37928</v>
      </c>
      <c r="X346" s="149">
        <v>38274</v>
      </c>
      <c r="Y346" s="149">
        <v>38687</v>
      </c>
      <c r="Z346" s="149">
        <v>38687</v>
      </c>
      <c r="AA346" s="149">
        <v>38047</v>
      </c>
      <c r="AB346" s="763" t="s">
        <v>121</v>
      </c>
      <c r="AC346" s="594">
        <v>-85</v>
      </c>
      <c r="AD346" s="153" t="s">
        <v>103</v>
      </c>
      <c r="AE346" s="149" t="s">
        <v>103</v>
      </c>
      <c r="AF346" s="596" t="s">
        <v>103</v>
      </c>
      <c r="AG346" s="596" t="s">
        <v>103</v>
      </c>
      <c r="AH346" s="595" t="s">
        <v>103</v>
      </c>
      <c r="AI346" s="614">
        <v>0.59053030303030307</v>
      </c>
      <c r="AJ346" s="607">
        <v>3118</v>
      </c>
      <c r="AK346" s="153" t="s">
        <v>120</v>
      </c>
      <c r="AL346" s="791" t="s">
        <v>104</v>
      </c>
      <c r="AO346" s="963"/>
      <c r="AP346" s="1017">
        <v>1388566</v>
      </c>
      <c r="AQ346" s="574">
        <v>1248941</v>
      </c>
      <c r="AR346" s="153" t="s">
        <v>116</v>
      </c>
      <c r="AS346" s="153" t="s">
        <v>116</v>
      </c>
      <c r="AT346" s="777" t="s">
        <v>122</v>
      </c>
      <c r="AU346" s="777" t="s">
        <v>122</v>
      </c>
      <c r="AV346" s="777" t="s">
        <v>122</v>
      </c>
      <c r="AW346" s="777" t="s">
        <v>122</v>
      </c>
      <c r="AX346" s="155" t="s">
        <v>103</v>
      </c>
      <c r="AY346" s="155" t="s">
        <v>103</v>
      </c>
      <c r="AZ346" s="155" t="s">
        <v>103</v>
      </c>
      <c r="BB346" s="574">
        <f t="shared" si="75"/>
        <v>1248941</v>
      </c>
      <c r="BC346" s="780">
        <v>139625</v>
      </c>
      <c r="BD346" s="1008" t="s">
        <v>121</v>
      </c>
      <c r="BE346" s="679">
        <v>-3776</v>
      </c>
      <c r="BF346" s="153">
        <v>2012</v>
      </c>
      <c r="BG346" s="94">
        <v>1248941</v>
      </c>
      <c r="BH346" s="766" t="s">
        <v>123</v>
      </c>
      <c r="BI346" s="774">
        <v>0</v>
      </c>
      <c r="BJ346" s="774">
        <v>0</v>
      </c>
      <c r="BK346" s="153" t="s">
        <v>103</v>
      </c>
      <c r="BL346" s="153" t="s">
        <v>124</v>
      </c>
      <c r="BM346" s="94" t="s">
        <v>124</v>
      </c>
      <c r="BN346" s="155" t="s">
        <v>124</v>
      </c>
      <c r="BO346" s="153" t="s">
        <v>116</v>
      </c>
      <c r="BP346" s="153" t="s">
        <v>124</v>
      </c>
      <c r="BQ346" s="153" t="s">
        <v>103</v>
      </c>
      <c r="BR346" s="153" t="s">
        <v>116</v>
      </c>
      <c r="BS346" s="153" t="s">
        <v>116</v>
      </c>
      <c r="BT346" s="153" t="s">
        <v>116</v>
      </c>
      <c r="BU346" s="153" t="s">
        <v>116</v>
      </c>
      <c r="BV346" s="153" t="s">
        <v>116</v>
      </c>
      <c r="BW346" s="153" t="s">
        <v>116</v>
      </c>
      <c r="BX346" s="153" t="s">
        <v>116</v>
      </c>
      <c r="BY346" s="153" t="s">
        <v>116</v>
      </c>
      <c r="BZ346" s="153" t="s">
        <v>116</v>
      </c>
      <c r="CA346" s="616" t="s">
        <v>116</v>
      </c>
      <c r="CB346" s="153" t="s">
        <v>116</v>
      </c>
      <c r="CC346" s="153" t="s">
        <v>116</v>
      </c>
      <c r="CD346" s="153" t="s">
        <v>116</v>
      </c>
      <c r="CE346" s="153" t="s">
        <v>116</v>
      </c>
    </row>
    <row r="347" spans="1:83" ht="27.6" customHeight="1">
      <c r="A347" s="503" t="s">
        <v>968</v>
      </c>
      <c r="B347" s="164" t="s">
        <v>969</v>
      </c>
      <c r="C347" s="155" t="s">
        <v>970</v>
      </c>
      <c r="D347" s="153" t="s">
        <v>971</v>
      </c>
      <c r="E347" s="153">
        <v>91362</v>
      </c>
      <c r="F347" s="153">
        <v>6111006900</v>
      </c>
      <c r="G347" s="153" t="s">
        <v>110</v>
      </c>
      <c r="H347" s="674">
        <v>0.10155270517889864</v>
      </c>
      <c r="I347" s="508" t="s">
        <v>969</v>
      </c>
      <c r="J347" s="153" t="s">
        <v>484</v>
      </c>
      <c r="K347" s="156">
        <v>0</v>
      </c>
      <c r="L347" s="153" t="s">
        <v>971</v>
      </c>
      <c r="M347" s="153" t="s">
        <v>104</v>
      </c>
      <c r="N347" s="156">
        <v>1</v>
      </c>
      <c r="P347" s="156">
        <v>0</v>
      </c>
      <c r="Q347" s="156" t="s">
        <v>139</v>
      </c>
      <c r="R347" s="156">
        <v>0</v>
      </c>
      <c r="S347" s="156">
        <v>1</v>
      </c>
      <c r="T347" s="958" t="s">
        <v>105</v>
      </c>
      <c r="U347" s="153" t="s">
        <v>110</v>
      </c>
      <c r="V347" s="149" t="s">
        <v>150</v>
      </c>
      <c r="Y347" s="149">
        <v>38504</v>
      </c>
      <c r="Z347" s="149">
        <v>38504</v>
      </c>
      <c r="AA347" s="149" t="s">
        <v>150</v>
      </c>
      <c r="AB347" s="763" t="s">
        <v>121</v>
      </c>
      <c r="AC347" s="594">
        <v>0</v>
      </c>
      <c r="AD347" s="153" t="s">
        <v>103</v>
      </c>
      <c r="AE347" s="149" t="s">
        <v>103</v>
      </c>
      <c r="AF347" s="596" t="s">
        <v>103</v>
      </c>
      <c r="AG347" s="596" t="s">
        <v>103</v>
      </c>
      <c r="AH347" s="595" t="s">
        <v>103</v>
      </c>
      <c r="AI347" s="614">
        <v>0.6886363636363636</v>
      </c>
      <c r="AJ347" s="607">
        <v>3636</v>
      </c>
      <c r="AK347" s="153" t="s">
        <v>152</v>
      </c>
      <c r="AL347" s="791" t="s">
        <v>104</v>
      </c>
      <c r="AO347" s="963"/>
      <c r="AP347" s="519">
        <v>0</v>
      </c>
      <c r="AQ347" s="574">
        <v>5138153</v>
      </c>
      <c r="AR347" s="153" t="s">
        <v>116</v>
      </c>
      <c r="AS347" s="153" t="s">
        <v>116</v>
      </c>
      <c r="AT347" s="777" t="s">
        <v>122</v>
      </c>
      <c r="AU347" s="777" t="s">
        <v>122</v>
      </c>
      <c r="AV347" s="777" t="s">
        <v>122</v>
      </c>
      <c r="AW347" s="777" t="s">
        <v>122</v>
      </c>
      <c r="AX347" s="155" t="s">
        <v>103</v>
      </c>
      <c r="AY347" s="155" t="s">
        <v>103</v>
      </c>
      <c r="AZ347" s="155" t="s">
        <v>103</v>
      </c>
      <c r="BA347" s="153" t="s">
        <v>103</v>
      </c>
      <c r="BB347" s="574">
        <f t="shared" si="75"/>
        <v>5138153</v>
      </c>
      <c r="BC347" s="780" t="s">
        <v>103</v>
      </c>
      <c r="BD347" s="508" t="s">
        <v>103</v>
      </c>
      <c r="BE347" s="679">
        <v>0</v>
      </c>
      <c r="BF347" s="153" t="s">
        <v>103</v>
      </c>
      <c r="BG347" s="94">
        <v>5138153</v>
      </c>
      <c r="BH347" s="766" t="s">
        <v>123</v>
      </c>
      <c r="BI347" s="774">
        <v>0</v>
      </c>
      <c r="BJ347" s="774">
        <v>0</v>
      </c>
      <c r="BK347" s="153" t="s">
        <v>103</v>
      </c>
      <c r="BL347" s="153" t="s">
        <v>124</v>
      </c>
      <c r="BM347" s="94" t="s">
        <v>103</v>
      </c>
      <c r="BN347" s="155" t="s">
        <v>103</v>
      </c>
      <c r="BO347" s="153" t="s">
        <v>103</v>
      </c>
      <c r="BP347" s="153" t="s">
        <v>103</v>
      </c>
      <c r="BQ347" s="153" t="s">
        <v>103</v>
      </c>
      <c r="BR347" s="153" t="s">
        <v>116</v>
      </c>
      <c r="BS347" s="153" t="s">
        <v>116</v>
      </c>
      <c r="BT347" s="153" t="s">
        <v>116</v>
      </c>
      <c r="BU347" s="153" t="s">
        <v>116</v>
      </c>
      <c r="BV347" s="153" t="s">
        <v>116</v>
      </c>
      <c r="BW347" s="153" t="s">
        <v>116</v>
      </c>
      <c r="BX347" s="153" t="s">
        <v>116</v>
      </c>
      <c r="BY347" s="153" t="s">
        <v>116</v>
      </c>
      <c r="BZ347" s="153" t="s">
        <v>116</v>
      </c>
      <c r="CA347" s="616" t="s">
        <v>116</v>
      </c>
      <c r="CB347" s="153" t="s">
        <v>116</v>
      </c>
      <c r="CC347" s="153" t="s">
        <v>116</v>
      </c>
      <c r="CD347" s="153" t="s">
        <v>116</v>
      </c>
      <c r="CE347" s="153" t="s">
        <v>116</v>
      </c>
    </row>
    <row r="348" spans="1:83" ht="14.1" customHeight="1">
      <c r="A348" s="503" t="s">
        <v>972</v>
      </c>
      <c r="B348" s="164" t="s">
        <v>103</v>
      </c>
      <c r="C348" s="958" t="s">
        <v>103</v>
      </c>
      <c r="D348" s="958" t="s">
        <v>103</v>
      </c>
      <c r="E348" s="958" t="s">
        <v>103</v>
      </c>
      <c r="F348" s="958" t="s">
        <v>103</v>
      </c>
      <c r="G348" s="153" t="s">
        <v>104</v>
      </c>
      <c r="H348" s="673">
        <v>0</v>
      </c>
      <c r="I348" s="508" t="s">
        <v>103</v>
      </c>
      <c r="J348" s="958" t="s">
        <v>103</v>
      </c>
      <c r="K348" s="958" t="s">
        <v>103</v>
      </c>
      <c r="M348" s="153" t="s">
        <v>104</v>
      </c>
      <c r="N348" s="156">
        <v>0</v>
      </c>
      <c r="Q348" s="958" t="s">
        <v>103</v>
      </c>
      <c r="S348" s="156">
        <v>0</v>
      </c>
      <c r="T348" s="958" t="s">
        <v>105</v>
      </c>
      <c r="U348" s="153" t="s">
        <v>104</v>
      </c>
      <c r="V348" s="149"/>
      <c r="AC348" s="594" t="s">
        <v>103</v>
      </c>
      <c r="AD348" s="153"/>
      <c r="AE348" s="153"/>
      <c r="AF348" s="596"/>
      <c r="AG348" s="596"/>
      <c r="AH348" s="596"/>
      <c r="AI348" s="682"/>
      <c r="AJ348" s="607"/>
      <c r="AL348" s="791"/>
      <c r="AO348" s="1025"/>
      <c r="AQ348" s="581"/>
      <c r="AR348" s="153" t="s">
        <v>116</v>
      </c>
      <c r="AS348" s="153" t="s">
        <v>116</v>
      </c>
      <c r="AU348" s="153" t="s">
        <v>124</v>
      </c>
      <c r="BB348" s="153"/>
      <c r="BC348" s="153" t="s">
        <v>103</v>
      </c>
      <c r="BD348" s="153" t="s">
        <v>103</v>
      </c>
      <c r="BE348" s="679"/>
      <c r="BG348" s="519"/>
      <c r="BH348" s="153" t="s">
        <v>123</v>
      </c>
      <c r="BI348" s="774">
        <v>0</v>
      </c>
      <c r="BJ348" s="153">
        <v>0</v>
      </c>
      <c r="BK348" s="153" t="s">
        <v>103</v>
      </c>
      <c r="BL348" s="153" t="s">
        <v>124</v>
      </c>
      <c r="BM348" s="519" t="s">
        <v>103</v>
      </c>
      <c r="BN348" s="155" t="s">
        <v>103</v>
      </c>
      <c r="BO348" s="153" t="s">
        <v>103</v>
      </c>
      <c r="BP348" s="153" t="s">
        <v>103</v>
      </c>
      <c r="BQ348" s="153" t="s">
        <v>103</v>
      </c>
      <c r="CA348" s="153"/>
    </row>
    <row r="349" spans="1:83" ht="20.100000000000001" customHeight="1">
      <c r="A349" s="503" t="s">
        <v>973</v>
      </c>
      <c r="B349" s="164" t="s">
        <v>974</v>
      </c>
      <c r="C349" s="155" t="s">
        <v>975</v>
      </c>
      <c r="D349" s="153">
        <v>2063</v>
      </c>
      <c r="E349" s="153">
        <v>93035</v>
      </c>
      <c r="F349" s="153">
        <v>6111003612</v>
      </c>
      <c r="G349" s="153" t="s">
        <v>110</v>
      </c>
      <c r="H349" s="674">
        <v>8.2767225842229314E-2</v>
      </c>
      <c r="I349" s="508" t="s">
        <v>976</v>
      </c>
      <c r="J349" s="153" t="s">
        <v>117</v>
      </c>
      <c r="K349" s="572" t="s">
        <v>156</v>
      </c>
      <c r="L349" s="153">
        <v>2063</v>
      </c>
      <c r="M349" s="153" t="s">
        <v>104</v>
      </c>
      <c r="N349" s="156">
        <v>3</v>
      </c>
      <c r="P349" s="156">
        <v>0</v>
      </c>
      <c r="Q349" s="156" t="s">
        <v>139</v>
      </c>
      <c r="R349" s="156">
        <v>0</v>
      </c>
      <c r="S349" s="156">
        <v>3</v>
      </c>
      <c r="T349" s="958" t="s">
        <v>105</v>
      </c>
      <c r="U349" s="153" t="s">
        <v>104</v>
      </c>
      <c r="V349" s="149">
        <v>37516</v>
      </c>
      <c r="W349" s="149">
        <v>38306</v>
      </c>
      <c r="X349" s="149">
        <v>40099</v>
      </c>
      <c r="Y349" s="149">
        <v>40536</v>
      </c>
      <c r="Z349" s="149">
        <v>40536</v>
      </c>
      <c r="AA349" s="149">
        <v>37516</v>
      </c>
      <c r="AB349" s="763" t="s">
        <v>121</v>
      </c>
      <c r="AC349" s="594">
        <v>564.28571428571433</v>
      </c>
      <c r="AD349" s="153" t="s">
        <v>103</v>
      </c>
      <c r="AE349" s="149" t="s">
        <v>103</v>
      </c>
      <c r="AF349" s="596">
        <v>27</v>
      </c>
      <c r="AG349" s="596">
        <v>30</v>
      </c>
      <c r="AH349" s="595">
        <v>4574.666666666667</v>
      </c>
      <c r="AI349" s="614">
        <v>0.86641414141414153</v>
      </c>
      <c r="AJ349" s="607">
        <v>6612</v>
      </c>
      <c r="AK349" s="153" t="s">
        <v>152</v>
      </c>
      <c r="AL349" s="791" t="s">
        <v>104</v>
      </c>
      <c r="AO349" s="963"/>
      <c r="AP349" s="519">
        <v>2300000</v>
      </c>
      <c r="AQ349" s="574">
        <v>1612662</v>
      </c>
      <c r="AR349" s="153" t="s">
        <v>116</v>
      </c>
      <c r="AS349" s="153" t="s">
        <v>116</v>
      </c>
      <c r="AT349" s="777" t="s">
        <v>122</v>
      </c>
      <c r="AU349" s="777" t="s">
        <v>122</v>
      </c>
      <c r="AV349" s="777" t="s">
        <v>122</v>
      </c>
      <c r="AW349" s="777" t="s">
        <v>122</v>
      </c>
      <c r="AX349" s="155" t="s">
        <v>103</v>
      </c>
      <c r="AY349" s="155" t="s">
        <v>103</v>
      </c>
      <c r="AZ349" s="155" t="s">
        <v>103</v>
      </c>
      <c r="BB349" s="574">
        <f t="shared" ref="BB349:BB351" si="76">AQ349</f>
        <v>1612662</v>
      </c>
      <c r="BC349" s="780">
        <v>687338</v>
      </c>
      <c r="BD349" s="1008" t="s">
        <v>121</v>
      </c>
      <c r="BE349" s="679">
        <v>1416</v>
      </c>
      <c r="BF349" s="153">
        <v>2016</v>
      </c>
      <c r="BG349" s="94">
        <v>1612662</v>
      </c>
      <c r="BH349" s="766" t="s">
        <v>123</v>
      </c>
      <c r="BI349" s="774">
        <v>0</v>
      </c>
      <c r="BJ349" s="774">
        <v>0</v>
      </c>
      <c r="BK349" s="153" t="s">
        <v>103</v>
      </c>
      <c r="BL349" s="153" t="s">
        <v>124</v>
      </c>
      <c r="BM349" s="94" t="s">
        <v>103</v>
      </c>
      <c r="BN349" s="155" t="s">
        <v>103</v>
      </c>
      <c r="BO349" s="153" t="s">
        <v>103</v>
      </c>
      <c r="BP349" s="153" t="s">
        <v>103</v>
      </c>
      <c r="BQ349" s="153" t="s">
        <v>103</v>
      </c>
      <c r="BR349" s="153" t="s">
        <v>116</v>
      </c>
      <c r="BS349" s="153" t="s">
        <v>116</v>
      </c>
      <c r="BT349" s="153" t="s">
        <v>116</v>
      </c>
      <c r="BU349" s="153" t="s">
        <v>116</v>
      </c>
      <c r="BV349" s="153" t="s">
        <v>116</v>
      </c>
      <c r="BW349" s="153" t="s">
        <v>116</v>
      </c>
      <c r="BX349" s="153" t="s">
        <v>116</v>
      </c>
      <c r="BY349" s="153" t="s">
        <v>116</v>
      </c>
      <c r="BZ349" s="153" t="s">
        <v>116</v>
      </c>
      <c r="CA349" s="616" t="s">
        <v>116</v>
      </c>
      <c r="CB349" s="153" t="s">
        <v>116</v>
      </c>
      <c r="CC349" s="153" t="s">
        <v>116</v>
      </c>
      <c r="CD349" s="153" t="s">
        <v>116</v>
      </c>
      <c r="CE349" s="153" t="s">
        <v>116</v>
      </c>
    </row>
    <row r="350" spans="1:83" ht="14.1" customHeight="1">
      <c r="A350" s="503"/>
      <c r="B350" s="164" t="s">
        <v>977</v>
      </c>
      <c r="C350" s="155" t="s">
        <v>978</v>
      </c>
      <c r="D350" s="153" t="s">
        <v>979</v>
      </c>
      <c r="E350" s="153">
        <v>93001</v>
      </c>
      <c r="F350" s="153">
        <v>6111002300</v>
      </c>
      <c r="G350" s="153" t="s">
        <v>104</v>
      </c>
      <c r="H350" s="153" t="s">
        <v>150</v>
      </c>
      <c r="I350" s="508" t="s">
        <v>977</v>
      </c>
      <c r="J350" s="153" t="s">
        <v>117</v>
      </c>
      <c r="K350" s="156">
        <v>0</v>
      </c>
      <c r="L350" s="153" t="s">
        <v>979</v>
      </c>
      <c r="M350" s="153" t="s">
        <v>104</v>
      </c>
      <c r="Q350" s="156" t="s">
        <v>139</v>
      </c>
      <c r="V350" s="149" t="s">
        <v>150</v>
      </c>
      <c r="Y350" s="149">
        <v>38384</v>
      </c>
      <c r="Z350" s="149">
        <v>38384</v>
      </c>
      <c r="AA350" s="149" t="s">
        <v>150</v>
      </c>
      <c r="AB350" s="763" t="s">
        <v>121</v>
      </c>
      <c r="AC350" s="594">
        <v>0</v>
      </c>
      <c r="AD350" s="153" t="s">
        <v>103</v>
      </c>
      <c r="AE350" s="149" t="s">
        <v>103</v>
      </c>
      <c r="AF350" s="596" t="s">
        <v>103</v>
      </c>
      <c r="AG350" s="596" t="s">
        <v>103</v>
      </c>
      <c r="AH350" s="597" t="s">
        <v>103</v>
      </c>
      <c r="AI350" s="614">
        <v>1.0227272727272727</v>
      </c>
      <c r="AJ350" s="607">
        <v>5400</v>
      </c>
      <c r="AK350" s="153" t="s">
        <v>200</v>
      </c>
      <c r="AL350" s="791" t="s">
        <v>116</v>
      </c>
      <c r="AO350" s="963"/>
      <c r="AP350" s="1017">
        <v>2300000</v>
      </c>
      <c r="AQ350" s="580">
        <v>892333</v>
      </c>
      <c r="AR350" s="153" t="s">
        <v>116</v>
      </c>
      <c r="AS350" s="153" t="s">
        <v>116</v>
      </c>
      <c r="AT350" s="777" t="s">
        <v>122</v>
      </c>
      <c r="AU350" s="777" t="s">
        <v>122</v>
      </c>
      <c r="AV350" s="777" t="s">
        <v>122</v>
      </c>
      <c r="AW350" s="777" t="s">
        <v>122</v>
      </c>
      <c r="AX350" s="155" t="s">
        <v>103</v>
      </c>
      <c r="AY350" s="155" t="s">
        <v>103</v>
      </c>
      <c r="AZ350" s="155" t="s">
        <v>103</v>
      </c>
      <c r="BB350" s="574">
        <f t="shared" si="76"/>
        <v>892333</v>
      </c>
      <c r="BC350" s="780">
        <v>1407667</v>
      </c>
      <c r="BD350" s="1008" t="s">
        <v>121</v>
      </c>
      <c r="BE350" s="679">
        <v>0</v>
      </c>
      <c r="BF350" s="153" t="s">
        <v>103</v>
      </c>
      <c r="BG350" s="519">
        <v>892333</v>
      </c>
      <c r="BH350" s="769" t="s">
        <v>123</v>
      </c>
      <c r="BI350" s="774">
        <v>0</v>
      </c>
      <c r="BJ350" s="774">
        <v>0</v>
      </c>
      <c r="BK350" s="153" t="s">
        <v>103</v>
      </c>
      <c r="BL350" s="153" t="s">
        <v>124</v>
      </c>
      <c r="BM350" s="519" t="s">
        <v>103</v>
      </c>
      <c r="BN350" s="155" t="s">
        <v>103</v>
      </c>
      <c r="BO350" s="153" t="s">
        <v>103</v>
      </c>
      <c r="BP350" s="153" t="s">
        <v>103</v>
      </c>
      <c r="BQ350" s="153" t="s">
        <v>103</v>
      </c>
      <c r="BR350" s="153" t="s">
        <v>116</v>
      </c>
      <c r="BS350" s="153" t="s">
        <v>116</v>
      </c>
      <c r="BT350" s="153" t="s">
        <v>116</v>
      </c>
      <c r="BU350" s="153" t="s">
        <v>116</v>
      </c>
      <c r="BV350" s="153" t="s">
        <v>116</v>
      </c>
      <c r="BW350" s="153" t="s">
        <v>116</v>
      </c>
      <c r="BX350" s="153" t="s">
        <v>116</v>
      </c>
      <c r="BY350" s="153" t="s">
        <v>116</v>
      </c>
      <c r="BZ350" s="153" t="s">
        <v>116</v>
      </c>
      <c r="CA350" s="616" t="s">
        <v>116</v>
      </c>
      <c r="CB350" s="153" t="s">
        <v>116</v>
      </c>
      <c r="CC350" s="153" t="s">
        <v>116</v>
      </c>
      <c r="CD350" s="153" t="s">
        <v>116</v>
      </c>
      <c r="CE350" s="153" t="s">
        <v>116</v>
      </c>
    </row>
    <row r="351" spans="1:83" ht="27.6" customHeight="1">
      <c r="A351" s="503"/>
      <c r="B351" s="164" t="s">
        <v>980</v>
      </c>
      <c r="C351" s="155" t="s">
        <v>981</v>
      </c>
      <c r="D351" s="153">
        <v>2063</v>
      </c>
      <c r="E351" s="153">
        <v>93035</v>
      </c>
      <c r="F351" s="153">
        <v>6111003612</v>
      </c>
      <c r="G351" s="153" t="s">
        <v>110</v>
      </c>
      <c r="H351" s="153" t="s">
        <v>150</v>
      </c>
      <c r="I351" s="508" t="s">
        <v>980</v>
      </c>
      <c r="J351" s="153" t="s">
        <v>117</v>
      </c>
      <c r="K351" s="572" t="s">
        <v>156</v>
      </c>
      <c r="L351" s="153">
        <v>2063</v>
      </c>
      <c r="M351" s="153" t="s">
        <v>104</v>
      </c>
      <c r="Q351" s="156" t="s">
        <v>139</v>
      </c>
      <c r="V351" s="149">
        <v>37516</v>
      </c>
      <c r="W351" s="149">
        <v>38306</v>
      </c>
      <c r="X351" s="149">
        <v>40099</v>
      </c>
      <c r="Y351" s="149">
        <v>40487</v>
      </c>
      <c r="Z351" s="149">
        <v>40487</v>
      </c>
      <c r="AA351" s="149">
        <v>37516</v>
      </c>
      <c r="AB351" s="763" t="s">
        <v>151</v>
      </c>
      <c r="AC351" s="594">
        <v>564.28571428571433</v>
      </c>
      <c r="AD351" s="153" t="s">
        <v>103</v>
      </c>
      <c r="AE351" s="149" t="s">
        <v>103</v>
      </c>
      <c r="AF351" s="596">
        <v>31</v>
      </c>
      <c r="AG351" s="596">
        <v>54</v>
      </c>
      <c r="AH351" s="595">
        <v>6129.666666666667</v>
      </c>
      <c r="AI351" s="614">
        <v>1.1609217171717172</v>
      </c>
      <c r="AJ351" s="607">
        <v>4612</v>
      </c>
      <c r="AK351" s="153" t="s">
        <v>152</v>
      </c>
      <c r="AL351" s="791" t="s">
        <v>104</v>
      </c>
      <c r="AO351" s="963"/>
      <c r="AP351" s="1017">
        <v>1700000</v>
      </c>
      <c r="AQ351" s="574">
        <v>2890354</v>
      </c>
      <c r="AR351" s="153" t="s">
        <v>116</v>
      </c>
      <c r="AS351" s="153" t="s">
        <v>116</v>
      </c>
      <c r="AT351" s="777" t="s">
        <v>122</v>
      </c>
      <c r="AU351" s="777" t="s">
        <v>122</v>
      </c>
      <c r="AV351" s="777" t="s">
        <v>122</v>
      </c>
      <c r="AW351" s="777" t="s">
        <v>122</v>
      </c>
      <c r="AX351" s="155" t="s">
        <v>103</v>
      </c>
      <c r="AY351" s="155" t="s">
        <v>103</v>
      </c>
      <c r="AZ351" s="155" t="s">
        <v>103</v>
      </c>
      <c r="BB351" s="574">
        <f t="shared" si="76"/>
        <v>2890354</v>
      </c>
      <c r="BC351" s="780">
        <v>-1190354</v>
      </c>
      <c r="BD351" s="508" t="s">
        <v>193</v>
      </c>
      <c r="BE351" s="679">
        <v>0</v>
      </c>
      <c r="BF351" s="153" t="s">
        <v>103</v>
      </c>
      <c r="BG351" s="94">
        <v>2890354</v>
      </c>
      <c r="BH351" s="766" t="s">
        <v>123</v>
      </c>
      <c r="BI351" s="774">
        <v>0</v>
      </c>
      <c r="BJ351" s="774">
        <v>0</v>
      </c>
      <c r="BK351" s="153" t="s">
        <v>103</v>
      </c>
      <c r="BL351" s="153" t="s">
        <v>124</v>
      </c>
      <c r="BM351" s="94" t="s">
        <v>103</v>
      </c>
      <c r="BN351" s="155" t="s">
        <v>103</v>
      </c>
      <c r="BO351" s="153" t="s">
        <v>103</v>
      </c>
      <c r="BP351" s="153" t="s">
        <v>103</v>
      </c>
      <c r="BQ351" s="153" t="s">
        <v>103</v>
      </c>
      <c r="BR351" s="153" t="s">
        <v>116</v>
      </c>
      <c r="BS351" s="153" t="s">
        <v>116</v>
      </c>
      <c r="BT351" s="153" t="s">
        <v>116</v>
      </c>
      <c r="BU351" s="153" t="s">
        <v>116</v>
      </c>
      <c r="BV351" s="153" t="s">
        <v>116</v>
      </c>
      <c r="BW351" s="153" t="s">
        <v>116</v>
      </c>
      <c r="BX351" s="153" t="s">
        <v>116</v>
      </c>
      <c r="BY351" s="153" t="s">
        <v>116</v>
      </c>
      <c r="BZ351" s="153" t="s">
        <v>116</v>
      </c>
      <c r="CA351" s="616" t="s">
        <v>116</v>
      </c>
      <c r="CB351" s="153" t="s">
        <v>116</v>
      </c>
      <c r="CC351" s="153" t="s">
        <v>116</v>
      </c>
      <c r="CD351" s="153" t="s">
        <v>116</v>
      </c>
      <c r="CE351" s="153" t="s">
        <v>116</v>
      </c>
    </row>
    <row r="352" spans="1:83" s="968" customFormat="1" ht="14.1" customHeight="1" thickBot="1">
      <c r="A352" s="1076"/>
      <c r="B352" s="1054"/>
      <c r="C352" s="1059"/>
      <c r="D352" s="1054"/>
      <c r="E352" s="1054"/>
      <c r="F352" s="1054"/>
      <c r="G352" s="1054"/>
      <c r="H352" s="1054"/>
      <c r="I352" s="1072"/>
      <c r="J352" s="1054"/>
      <c r="K352" s="1054"/>
      <c r="L352" s="1054"/>
      <c r="M352" s="1054"/>
      <c r="N352" s="1069"/>
      <c r="O352" s="1069"/>
      <c r="P352" s="1069"/>
      <c r="Q352" s="1069"/>
      <c r="R352" s="1069"/>
      <c r="S352" s="1069"/>
      <c r="T352" s="1054"/>
      <c r="U352" s="1054"/>
      <c r="V352" s="1073"/>
      <c r="W352" s="1073"/>
      <c r="X352" s="1073"/>
      <c r="Y352" s="1073"/>
      <c r="Z352" s="1073"/>
      <c r="AA352" s="1073"/>
      <c r="AB352" s="1054"/>
      <c r="AC352" s="1074"/>
      <c r="AD352" s="1054"/>
      <c r="AE352" s="1054"/>
      <c r="AF352" s="1054"/>
      <c r="AG352" s="1054"/>
      <c r="AH352" s="1064"/>
      <c r="AI352" s="1065"/>
      <c r="AJ352" s="1064"/>
      <c r="AK352" s="1054"/>
      <c r="AL352" s="1077"/>
      <c r="AM352" s="1078"/>
      <c r="AN352" s="1078"/>
      <c r="AO352" s="1079"/>
      <c r="AP352" s="1070"/>
      <c r="AQ352" s="1068"/>
      <c r="AR352" s="1054"/>
      <c r="AS352" s="1054"/>
      <c r="AT352" s="1054"/>
      <c r="AU352" s="1054"/>
      <c r="AV352" s="1054"/>
      <c r="AW352" s="1054"/>
      <c r="AX352" s="1054"/>
      <c r="AY352" s="1054"/>
      <c r="AZ352" s="1054"/>
      <c r="BA352" s="1054"/>
      <c r="BB352" s="1054"/>
      <c r="BC352" s="1054"/>
      <c r="BD352" s="1054"/>
      <c r="BE352" s="1069"/>
      <c r="BF352" s="1054"/>
      <c r="BG352" s="1070"/>
      <c r="BH352" s="1054"/>
      <c r="BI352" s="1071"/>
      <c r="BJ352" s="1054"/>
      <c r="BK352" s="1054"/>
      <c r="BL352" s="1054"/>
      <c r="BM352" s="1070"/>
      <c r="BN352" s="1059"/>
      <c r="BO352" s="1054"/>
      <c r="BP352" s="1054"/>
      <c r="BQ352" s="1054"/>
      <c r="BR352" s="1054"/>
      <c r="BS352" s="1054"/>
      <c r="BT352" s="1054"/>
      <c r="BU352" s="1054"/>
      <c r="BV352" s="1054"/>
      <c r="BW352" s="1054"/>
      <c r="BX352" s="1054"/>
      <c r="BY352" s="1054"/>
      <c r="BZ352" s="1054"/>
      <c r="CA352" s="1054"/>
      <c r="CB352" s="1054"/>
      <c r="CC352" s="1054"/>
      <c r="CD352" s="1054"/>
      <c r="CE352" s="1054"/>
    </row>
    <row r="353" spans="1:83" ht="14.1" customHeight="1" thickTop="1">
      <c r="H353" s="153"/>
      <c r="K353" s="153"/>
      <c r="Q353" s="156"/>
      <c r="V353" s="149"/>
      <c r="AH353" s="596"/>
      <c r="AI353" s="682"/>
      <c r="AP353" s="94"/>
      <c r="AQ353" s="574">
        <v>0</v>
      </c>
      <c r="BB353" s="153"/>
      <c r="BC353" s="153"/>
      <c r="BD353" s="153"/>
      <c r="BE353" s="156"/>
      <c r="BG353" s="961"/>
      <c r="BH353" s="153"/>
      <c r="BI353" s="774"/>
      <c r="BJ353" s="153"/>
      <c r="CA353" s="153"/>
    </row>
    <row r="354" spans="1:83" ht="14.1" customHeight="1">
      <c r="H354" s="153"/>
      <c r="K354" s="153"/>
      <c r="Q354" s="156"/>
      <c r="V354" s="149"/>
      <c r="AH354" s="596"/>
      <c r="AI354" s="682"/>
      <c r="AJ354" s="609"/>
      <c r="AQ354" s="580">
        <v>0</v>
      </c>
      <c r="BB354" s="153"/>
      <c r="BC354" s="153"/>
      <c r="BD354" s="153"/>
      <c r="BE354" s="156"/>
      <c r="BG354" s="519"/>
      <c r="BH354" s="153"/>
      <c r="BI354" s="774"/>
      <c r="BJ354" s="153"/>
      <c r="BM354" s="519"/>
      <c r="CA354" s="153"/>
    </row>
    <row r="355" spans="1:83" s="968" customFormat="1" ht="9.6" customHeight="1">
      <c r="A355" s="1045"/>
      <c r="B355" s="1080"/>
      <c r="C355" s="1054"/>
      <c r="D355" s="1054"/>
      <c r="E355" s="1054"/>
      <c r="F355" s="1054"/>
      <c r="G355" s="1054"/>
      <c r="H355" s="1081"/>
      <c r="I355" s="1072"/>
      <c r="J355" s="1054"/>
      <c r="K355" s="1054"/>
      <c r="L355" s="1054"/>
      <c r="M355" s="1054"/>
      <c r="N355" s="1069"/>
      <c r="O355" s="1069"/>
      <c r="P355" s="1069"/>
      <c r="Q355" s="1069"/>
      <c r="R355" s="1069"/>
      <c r="S355" s="1069"/>
      <c r="T355" s="1054"/>
      <c r="U355" s="1054"/>
      <c r="V355" s="1073"/>
      <c r="W355" s="1073"/>
      <c r="X355" s="1073"/>
      <c r="Y355" s="1073"/>
      <c r="Z355" s="1073"/>
      <c r="AA355" s="1073"/>
      <c r="AB355" s="1054"/>
      <c r="AC355" s="1074"/>
      <c r="AD355" s="1073"/>
      <c r="AE355" s="1073"/>
      <c r="AF355" s="1054"/>
      <c r="AG355" s="1054"/>
      <c r="AH355" s="1064"/>
      <c r="AI355" s="1082"/>
      <c r="AJ355" s="1083"/>
      <c r="AK355" s="1084"/>
      <c r="AL355" s="1054"/>
      <c r="AM355" s="1054"/>
      <c r="AN355" s="1054"/>
      <c r="AO355" s="1054"/>
      <c r="AP355" s="1070"/>
      <c r="AQ355" s="1085"/>
      <c r="AR355" s="1054"/>
      <c r="AS355" s="1054"/>
      <c r="AT355" s="1054"/>
      <c r="AU355" s="1054"/>
      <c r="AV355" s="1054"/>
      <c r="AW355" s="1054"/>
      <c r="AX355" s="1054"/>
      <c r="AY355" s="1054"/>
      <c r="AZ355" s="1054"/>
      <c r="BA355" s="1054"/>
      <c r="BB355" s="1054"/>
      <c r="BC355" s="1054"/>
      <c r="BD355" s="1054"/>
      <c r="BE355" s="1069"/>
      <c r="BF355" s="1054"/>
      <c r="BG355" s="1070"/>
      <c r="BH355" s="1054"/>
      <c r="BI355" s="1071"/>
      <c r="BJ355" s="1054"/>
      <c r="BK355" s="1054"/>
      <c r="BL355" s="1054"/>
      <c r="BM355" s="1070"/>
      <c r="BN355" s="1059"/>
      <c r="BO355" s="1054"/>
      <c r="BP355" s="1054"/>
      <c r="BQ355" s="1054"/>
      <c r="BR355" s="1054"/>
      <c r="BS355" s="1054"/>
      <c r="BT355" s="1054"/>
      <c r="BU355" s="1054"/>
      <c r="BV355" s="1054"/>
      <c r="BW355" s="1054"/>
      <c r="BX355" s="1054"/>
      <c r="BY355" s="1054"/>
      <c r="BZ355" s="1054"/>
      <c r="CA355" s="1054"/>
      <c r="CB355" s="1054"/>
      <c r="CC355" s="1054"/>
      <c r="CD355" s="1054"/>
      <c r="CE355" s="1054"/>
    </row>
    <row r="356" spans="1:83" s="968" customFormat="1" ht="9.6" customHeight="1">
      <c r="A356" s="1026"/>
      <c r="B356" s="966"/>
      <c r="H356" s="676"/>
      <c r="I356" s="965"/>
      <c r="N356" s="970"/>
      <c r="O356" s="970"/>
      <c r="P356" s="970"/>
      <c r="Q356" s="970"/>
      <c r="R356" s="970"/>
      <c r="S356" s="970"/>
      <c r="V356" s="971"/>
      <c r="W356" s="971"/>
      <c r="X356" s="971"/>
      <c r="Y356" s="971"/>
      <c r="Z356" s="971"/>
      <c r="AA356" s="971"/>
      <c r="AC356" s="1027"/>
      <c r="AD356" s="971"/>
      <c r="AE356" s="971"/>
      <c r="AH356" s="1028"/>
      <c r="AI356" s="1029"/>
      <c r="AJ356" s="1030"/>
      <c r="AP356" s="137"/>
      <c r="AQ356" s="1031"/>
      <c r="BB356" s="1032"/>
      <c r="BC356" s="972"/>
      <c r="BD356" s="965"/>
      <c r="BE356" s="1033"/>
      <c r="BG356" s="137"/>
      <c r="BH356" s="1034"/>
      <c r="BI356" s="1035"/>
      <c r="BJ356" s="1035"/>
      <c r="BM356" s="137"/>
      <c r="BN356" s="967"/>
      <c r="CA356" s="1036"/>
    </row>
    <row r="357" spans="1:83">
      <c r="AI357" s="1114" t="s">
        <v>982</v>
      </c>
      <c r="AJ357" s="1115"/>
      <c r="AK357" s="1115"/>
      <c r="BD357" s="1037" t="s">
        <v>983</v>
      </c>
    </row>
    <row r="358" spans="1:83" ht="14.1" customHeight="1">
      <c r="AB358" s="1038" t="s">
        <v>984</v>
      </c>
      <c r="AH358" s="1039"/>
      <c r="AI358" s="1114"/>
      <c r="AJ358" s="1115"/>
      <c r="AK358" s="1115"/>
      <c r="AL358" s="1039"/>
      <c r="AT358" s="777" t="s">
        <v>985</v>
      </c>
      <c r="BD358" s="1037" t="s">
        <v>986</v>
      </c>
    </row>
    <row r="359" spans="1:83">
      <c r="K359" s="1040" t="s">
        <v>987</v>
      </c>
      <c r="AB359" s="1038" t="s">
        <v>988</v>
      </c>
      <c r="AH359" s="1039"/>
      <c r="AI359" s="1119" t="s">
        <v>989</v>
      </c>
      <c r="AJ359" s="1120"/>
      <c r="AK359" s="1120"/>
      <c r="AL359" s="1039"/>
      <c r="BD359" s="1121" t="s">
        <v>990</v>
      </c>
      <c r="BE359" s="1122"/>
      <c r="BF359" s="1122"/>
      <c r="BG359" s="1122"/>
    </row>
    <row r="360" spans="1:83" ht="14.45" customHeight="1">
      <c r="K360" s="1104" t="s">
        <v>991</v>
      </c>
      <c r="L360" s="1104"/>
      <c r="M360" s="1104"/>
      <c r="AI360" s="1119"/>
      <c r="AJ360" s="1120"/>
      <c r="AK360" s="1120"/>
      <c r="BH360" s="787" t="s">
        <v>992</v>
      </c>
    </row>
    <row r="361" spans="1:83">
      <c r="K361" s="1104" t="s">
        <v>993</v>
      </c>
      <c r="L361" s="1104"/>
      <c r="M361" s="1104"/>
    </row>
    <row r="362" spans="1:83" ht="33" customHeight="1">
      <c r="K362" s="1104" t="s">
        <v>994</v>
      </c>
      <c r="L362" s="1104"/>
      <c r="M362" s="1104"/>
      <c r="AH362" s="1041"/>
      <c r="AI362" s="1042"/>
      <c r="AJ362" s="1041"/>
      <c r="AK362" s="1039"/>
    </row>
    <row r="363" spans="1:83">
      <c r="K363" s="1104" t="s">
        <v>995</v>
      </c>
      <c r="L363" s="1104"/>
      <c r="M363" s="1104"/>
    </row>
    <row r="364" spans="1:83" ht="30" customHeight="1">
      <c r="K364" s="1104" t="s">
        <v>996</v>
      </c>
      <c r="L364" s="1104"/>
      <c r="M364" s="1104"/>
      <c r="AD364" s="1043"/>
    </row>
    <row r="365" spans="1:83" ht="15" customHeight="1"/>
  </sheetData>
  <autoFilter ref="A6:CE355" xr:uid="{00000000-0009-0000-0000-000000000000}"/>
  <mergeCells count="18">
    <mergeCell ref="K360:M360"/>
    <mergeCell ref="K361:M361"/>
    <mergeCell ref="K362:M362"/>
    <mergeCell ref="K363:M363"/>
    <mergeCell ref="K364:M364"/>
    <mergeCell ref="BZ4:CE4"/>
    <mergeCell ref="AL5:AO5"/>
    <mergeCell ref="BL5:BN5"/>
    <mergeCell ref="BR5:BX5"/>
    <mergeCell ref="AI357:AK358"/>
    <mergeCell ref="BR4:BY4"/>
    <mergeCell ref="AI359:AK360"/>
    <mergeCell ref="BD359:BG359"/>
    <mergeCell ref="B4:M4"/>
    <mergeCell ref="N4:U4"/>
    <mergeCell ref="AF4:AK4"/>
    <mergeCell ref="AL4:AO4"/>
    <mergeCell ref="AP4:BD4"/>
  </mergeCells>
  <dataValidations count="6">
    <dataValidation type="list" allowBlank="1" showInputMessage="1" showErrorMessage="1" sqref="AL13 BL13 BR10:BX10 U13 M10 BR13:BX13 AL8:AL10 U10 M13 M8 U8 BR8:BX8 BL8 BL10" xr:uid="{CF3C8416-5528-49A7-89C8-D7051CFCA5BC}">
      <formula1>Yes_No_Unsure</formula1>
    </dataValidation>
    <dataValidation type="list" allowBlank="1" showInputMessage="1" showErrorMessage="1" sqref="AK13 AK8 AK10" xr:uid="{423B70A7-83F8-4E05-BCBC-535460952775}">
      <formula1>Res_Comm_Ind_etc</formula1>
    </dataValidation>
    <dataValidation type="list" allowBlank="1" showInputMessage="1" showErrorMessage="1" sqref="K13:L13 K8:L8 K10:L10" xr:uid="{543255D0-A40C-4F5B-B829-3625B4CF91D8}">
      <formula1>Num1through5</formula1>
    </dataValidation>
    <dataValidation type="list" allowBlank="1" showInputMessage="1" showErrorMessage="1" sqref="T8:T10 T13 T15:T16 T19:T24 T27:T28 T31:T32 T34:T39 T41:T46 T49:T55 T58:T59 T62:T65 T68:T69 T71:T72 T74:T76 T78:T86 T88 T90:T92 T95:T100 T102 T105:T111 T113 T115 T117 T119:T124 T126:T129 T132:T135 T139 T141:T142 T144:T146 T148:T149 T153 T166 T169:T170 T173:T180 T183 T186 T188:T189 T192:T193 T195:T201 T203:T206 T214 T217:T220 T222:T223 T228:T232 T234:T242 T244:T247 T249 T251:T256 T264:T265 T267:T269 T271:T273 T279:T280 T282:T284 T287 T289 T291 T293:T294 T298 T300:T301 T303:T305 T310 T313:T316 T320:T325 T328:T329 T332 T335 T337:T340 T343:T345 T347:T349" xr:uid="{727E0CE5-6B5A-4C01-B95F-D66565F23EBA}">
      <formula1>Urbanetc.</formula1>
    </dataValidation>
    <dataValidation type="list" showDropDown="1" showInputMessage="1" showErrorMessage="1" sqref="U9" xr:uid="{8E49FB87-9C70-476F-852A-BD5FB102E3A3}">
      <formula1>Yes_No_Unsure</formula1>
    </dataValidation>
    <dataValidation type="list" allowBlank="1" showInputMessage="1" sqref="AT144 AT151 AT153:AT163" xr:uid="{76ECA369-FE91-4F16-830E-94AC716914E5}">
      <formula1>"$$ amount, Unknown, N/A"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DA07-41D8-4E48-B80B-4A185D78AE65}">
  <sheetPr codeName="Sheet13"/>
  <dimension ref="B1:Q277"/>
  <sheetViews>
    <sheetView topLeftCell="B1" zoomScale="80" zoomScaleNormal="80" workbookViewId="0">
      <pane xSplit="1" ySplit="3" topLeftCell="C4" activePane="bottomRight" state="frozen"/>
      <selection pane="bottomRight" activeCell="B1" sqref="B1"/>
      <selection pane="bottomLeft" activeCell="B4" sqref="B4"/>
      <selection pane="topRight" activeCell="C1" sqref="C1"/>
    </sheetView>
  </sheetViews>
  <sheetFormatPr defaultRowHeight="14.45"/>
  <cols>
    <col min="2" max="2" width="36" style="537" customWidth="1"/>
    <col min="3" max="5" width="14.5703125" style="103" customWidth="1"/>
    <col min="6" max="6" width="17.42578125" style="141" bestFit="1" customWidth="1"/>
    <col min="7" max="7" width="16.5703125" bestFit="1" customWidth="1"/>
    <col min="8" max="8" width="16.5703125" style="366" customWidth="1"/>
    <col min="9" max="9" width="16.5703125" style="119" customWidth="1"/>
    <col min="10" max="10" width="16.5703125" style="117" customWidth="1"/>
    <col min="11" max="11" width="16.5703125" style="124" customWidth="1"/>
    <col min="12" max="12" width="16.5703125" style="117" customWidth="1"/>
    <col min="13" max="13" width="16.5703125" style="124" customWidth="1"/>
    <col min="14" max="14" width="16.5703125" customWidth="1"/>
    <col min="15" max="15" width="24.140625" style="362" customWidth="1"/>
    <col min="16" max="16" width="25.42578125" style="115" customWidth="1"/>
    <col min="17" max="17" width="25.85546875" style="115" customWidth="1"/>
  </cols>
  <sheetData>
    <row r="1" spans="2:17" ht="15" thickBot="1">
      <c r="B1" s="846"/>
    </row>
    <row r="2" spans="2:17" ht="15" thickBot="1">
      <c r="C2" s="1163" t="s">
        <v>1576</v>
      </c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5"/>
    </row>
    <row r="3" spans="2:17" s="520" customFormat="1" ht="72.599999999999994">
      <c r="B3" s="528" t="s">
        <v>3</v>
      </c>
      <c r="C3" s="529" t="s">
        <v>1577</v>
      </c>
      <c r="D3" s="530" t="s">
        <v>1578</v>
      </c>
      <c r="E3" s="530" t="s">
        <v>1579</v>
      </c>
      <c r="F3" s="142" t="s">
        <v>1580</v>
      </c>
      <c r="G3" s="531" t="s">
        <v>1581</v>
      </c>
      <c r="H3" s="532" t="s">
        <v>1577</v>
      </c>
      <c r="I3" s="121" t="s">
        <v>1578</v>
      </c>
      <c r="J3" s="122" t="s">
        <v>1582</v>
      </c>
      <c r="K3" s="533" t="s">
        <v>1579</v>
      </c>
      <c r="L3" s="122" t="s">
        <v>1583</v>
      </c>
      <c r="M3" s="76" t="s">
        <v>1584</v>
      </c>
      <c r="N3" s="536" t="s">
        <v>1585</v>
      </c>
      <c r="O3" s="361" t="s">
        <v>1586</v>
      </c>
      <c r="P3" s="534" t="s">
        <v>1587</v>
      </c>
      <c r="Q3" s="535" t="s">
        <v>1588</v>
      </c>
    </row>
    <row r="4" spans="2:17" ht="15">
      <c r="B4" s="538"/>
      <c r="C4" s="368" t="s">
        <v>87</v>
      </c>
      <c r="D4" s="369" t="s">
        <v>87</v>
      </c>
      <c r="E4" s="369" t="s">
        <v>87</v>
      </c>
      <c r="F4" s="370" t="s">
        <v>1589</v>
      </c>
      <c r="G4" s="370" t="s">
        <v>92</v>
      </c>
      <c r="H4" s="371" t="s">
        <v>87</v>
      </c>
      <c r="I4" s="372" t="s">
        <v>87</v>
      </c>
      <c r="J4" s="373" t="s">
        <v>98</v>
      </c>
      <c r="K4" s="374" t="s">
        <v>87</v>
      </c>
      <c r="L4" s="373" t="s">
        <v>98</v>
      </c>
      <c r="M4" s="374"/>
      <c r="N4" s="370" t="s">
        <v>92</v>
      </c>
      <c r="O4" s="375" t="s">
        <v>92</v>
      </c>
      <c r="P4" s="376" t="s">
        <v>98</v>
      </c>
      <c r="Q4" s="377" t="s">
        <v>98</v>
      </c>
    </row>
    <row r="5" spans="2:17">
      <c r="B5" s="378" t="s">
        <v>101</v>
      </c>
      <c r="C5" s="379"/>
      <c r="D5" s="379"/>
      <c r="E5" s="379"/>
      <c r="F5" s="143"/>
      <c r="G5" s="125"/>
      <c r="H5" s="380"/>
      <c r="I5" s="125"/>
      <c r="J5" s="125"/>
      <c r="K5" s="125"/>
      <c r="L5" s="125"/>
      <c r="M5" s="125"/>
      <c r="N5" s="125" t="s">
        <v>1005</v>
      </c>
      <c r="O5" s="125" t="s">
        <v>103</v>
      </c>
      <c r="P5" s="363"/>
      <c r="Q5" s="363"/>
    </row>
    <row r="6" spans="2:17">
      <c r="B6" s="539" t="s">
        <v>102</v>
      </c>
      <c r="C6" s="381">
        <f>VLOOKUP(B6,'[5]Allocation Factor &amp;Meter Totals'!$A$8:$F$249,6,FALSE)</f>
        <v>3080</v>
      </c>
      <c r="D6" s="381">
        <f>VLOOKUP(B6,'[5]Allocation Factor &amp;Meter Totals'!$A$8:$F$249,5,FALSE)</f>
        <v>1749</v>
      </c>
      <c r="E6" s="381">
        <f>VLOOKUP(B6,'[5]Allocation Factor &amp;Meter Totals'!$A$8:$F$249,6,FALSE)</f>
        <v>3080</v>
      </c>
      <c r="F6" s="382" t="s">
        <v>1589</v>
      </c>
      <c r="G6" s="1103" t="s">
        <v>103</v>
      </c>
      <c r="H6" s="383">
        <f>VLOOKUP(B6,'[5]Allocation Factor &amp;Meter Totals'!$A$8:$F$249,6,FALSE)</f>
        <v>3080</v>
      </c>
      <c r="I6" s="384">
        <f>VLOOKUP(B6,'[5]Allocation Factor &amp;Meter Totals'!$A$8:$F$249,5,FALSE)</f>
        <v>1749</v>
      </c>
      <c r="J6" s="385">
        <f>VLOOKUP(B6,'[5]Allocation Factor &amp;Meter Totals'!$A$8:$F$249,3,FALSE)</f>
        <v>7.8398114500692758E-4</v>
      </c>
      <c r="K6" s="386">
        <f>VLOOKUP(B6,'[5]Allocation Factor &amp;Meter Totals'!$A$8:$F$249,6,FALSE)</f>
        <v>3080</v>
      </c>
      <c r="L6" s="385">
        <f>VLOOKUP(B6,'[5]Allocation Factor &amp;Meter Totals'!$A$8:$F$249,4,FALSE)</f>
        <v>5.9516252671226613E-4</v>
      </c>
      <c r="M6" s="386" t="s">
        <v>104</v>
      </c>
      <c r="N6" s="17"/>
      <c r="O6" s="1103" t="s">
        <v>103</v>
      </c>
      <c r="P6" s="387">
        <v>0</v>
      </c>
      <c r="Q6" s="387">
        <v>0</v>
      </c>
    </row>
    <row r="7" spans="2:17" ht="14.45" customHeight="1">
      <c r="B7" s="540" t="s">
        <v>1471</v>
      </c>
      <c r="C7" s="388">
        <f>SUM(C6)</f>
        <v>3080</v>
      </c>
      <c r="D7" s="388">
        <f>SUM(D6)</f>
        <v>1749</v>
      </c>
      <c r="E7" s="388">
        <f>SUM(E6)</f>
        <v>3080</v>
      </c>
      <c r="F7" s="144"/>
      <c r="G7" s="112"/>
      <c r="H7" s="367">
        <f t="shared" ref="H7:L7" si="0">SUM(H6)</f>
        <v>3080</v>
      </c>
      <c r="I7" s="120">
        <f t="shared" si="0"/>
        <v>1749</v>
      </c>
      <c r="J7" s="118">
        <f t="shared" si="0"/>
        <v>7.8398114500692758E-4</v>
      </c>
      <c r="K7" s="123">
        <f t="shared" si="0"/>
        <v>3080</v>
      </c>
      <c r="L7" s="118">
        <f t="shared" si="0"/>
        <v>5.9516252671226613E-4</v>
      </c>
      <c r="M7" s="123"/>
      <c r="N7" s="111"/>
      <c r="O7" s="112"/>
      <c r="P7" s="364">
        <v>0</v>
      </c>
      <c r="Q7" s="364">
        <v>0</v>
      </c>
    </row>
    <row r="8" spans="2:17" ht="56.25" customHeight="1">
      <c r="B8" s="541" t="s">
        <v>1590</v>
      </c>
      <c r="C8" s="1166" t="s">
        <v>1591</v>
      </c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167"/>
      <c r="O8" s="1167"/>
      <c r="P8" s="1167"/>
      <c r="Q8" s="1168"/>
    </row>
    <row r="9" spans="2:17" ht="43.35" customHeight="1">
      <c r="B9" s="541" t="s">
        <v>1592</v>
      </c>
      <c r="C9" s="1162" t="s">
        <v>1591</v>
      </c>
      <c r="D9" s="1162"/>
      <c r="E9" s="1162"/>
      <c r="F9" s="1162"/>
      <c r="G9" s="1162"/>
      <c r="H9" s="1162"/>
      <c r="I9" s="1162"/>
      <c r="J9" s="1162"/>
      <c r="K9" s="1162"/>
      <c r="L9" s="1162"/>
      <c r="M9" s="1162"/>
      <c r="N9" s="1162"/>
      <c r="O9" s="1162"/>
      <c r="P9" s="1162"/>
      <c r="Q9" s="1162"/>
    </row>
    <row r="10" spans="2:17">
      <c r="B10" s="378" t="s">
        <v>106</v>
      </c>
      <c r="C10" s="389"/>
      <c r="D10" s="389"/>
      <c r="E10" s="389"/>
      <c r="F10" s="390"/>
      <c r="G10" s="391"/>
      <c r="H10" s="392"/>
      <c r="I10" s="391"/>
      <c r="J10" s="391"/>
      <c r="K10" s="391"/>
      <c r="L10" s="391"/>
      <c r="M10" s="391"/>
      <c r="N10" s="391"/>
      <c r="O10" s="391"/>
      <c r="P10" s="393"/>
      <c r="Q10" s="393"/>
    </row>
    <row r="11" spans="2:17" s="525" customFormat="1" ht="43.5">
      <c r="B11" s="539" t="s">
        <v>107</v>
      </c>
      <c r="C11" s="526">
        <f>VLOOKUP(B11,'[5]Allocation Factor &amp;Meter Totals'!$A$8:$F$249,6,FALSE)</f>
        <v>430</v>
      </c>
      <c r="D11" s="526">
        <f>VLOOKUP(B11,'[5]Allocation Factor &amp;Meter Totals'!$A$8:$F$249,5,FALSE)</f>
        <v>265</v>
      </c>
      <c r="E11" s="526">
        <f>VLOOKUP(B11,'[5]Allocation Factor &amp;Meter Totals'!$A$8:$F$249,6,FALSE)</f>
        <v>430</v>
      </c>
      <c r="F11" s="523" t="s">
        <v>1589</v>
      </c>
      <c r="G11" s="523" t="s">
        <v>103</v>
      </c>
      <c r="H11" s="524">
        <f>VLOOKUP(B11,'[5]Allocation Factor &amp;Meter Totals'!$A$8:$F$249,6,FALSE)</f>
        <v>430</v>
      </c>
      <c r="I11" s="394">
        <f>VLOOKUP(B11,'[5]Allocation Factor &amp;Meter Totals'!$A$8:$F$249,5,FALSE)</f>
        <v>265</v>
      </c>
      <c r="J11" s="395">
        <f>VLOOKUP(B11,'[5]Allocation Factor &amp;Meter Totals'!$A$8:$F$249,3,FALSE)</f>
        <v>1.1878502197074661E-4</v>
      </c>
      <c r="K11" s="396">
        <f>VLOOKUP(B11,'[5]Allocation Factor &amp;Meter Totals'!$A$8:$F$249,6,FALSE)</f>
        <v>430</v>
      </c>
      <c r="L11" s="395">
        <f>VLOOKUP(B11,'[5]Allocation Factor &amp;Meter Totals'!$A$8:$F$249,4,FALSE)</f>
        <v>8.3090872235803392E-5</v>
      </c>
      <c r="M11" s="396" t="s">
        <v>104</v>
      </c>
      <c r="N11" s="523"/>
      <c r="O11" s="523" t="s">
        <v>1593</v>
      </c>
      <c r="P11" s="527">
        <v>0</v>
      </c>
      <c r="Q11" s="527">
        <v>0</v>
      </c>
    </row>
    <row r="12" spans="2:17" ht="14.45" customHeight="1">
      <c r="B12" s="540" t="s">
        <v>1594</v>
      </c>
      <c r="C12" s="388">
        <f>SUM(C11)</f>
        <v>430</v>
      </c>
      <c r="D12" s="388">
        <f t="shared" ref="D12:E12" si="1">SUM(D11)</f>
        <v>265</v>
      </c>
      <c r="E12" s="388">
        <f t="shared" si="1"/>
        <v>430</v>
      </c>
      <c r="F12" s="113"/>
      <c r="G12" s="111"/>
      <c r="H12" s="397">
        <f t="shared" ref="H12:L12" si="2">SUM(H11)</f>
        <v>430</v>
      </c>
      <c r="I12" s="398">
        <f t="shared" si="2"/>
        <v>265</v>
      </c>
      <c r="J12" s="399">
        <f t="shared" si="2"/>
        <v>1.1878502197074661E-4</v>
      </c>
      <c r="K12" s="400">
        <f t="shared" si="2"/>
        <v>430</v>
      </c>
      <c r="L12" s="399">
        <f t="shared" si="2"/>
        <v>8.3090872235803392E-5</v>
      </c>
      <c r="M12" s="400"/>
      <c r="N12" s="111"/>
      <c r="O12" s="111"/>
      <c r="P12" s="365">
        <v>0</v>
      </c>
      <c r="Q12" s="365">
        <v>0</v>
      </c>
    </row>
    <row r="13" spans="2:17" ht="58.5" customHeight="1">
      <c r="B13" s="541" t="s">
        <v>1595</v>
      </c>
      <c r="C13" s="1162" t="s">
        <v>1596</v>
      </c>
      <c r="D13" s="1162"/>
      <c r="E13" s="1162"/>
      <c r="F13" s="1162"/>
      <c r="G13" s="1162"/>
      <c r="H13" s="1162"/>
      <c r="I13" s="1162"/>
      <c r="J13" s="1162"/>
      <c r="K13" s="1162"/>
      <c r="L13" s="1162"/>
      <c r="M13" s="1162"/>
      <c r="N13" s="1162"/>
      <c r="O13" s="1162"/>
      <c r="P13" s="1162"/>
      <c r="Q13" s="1162"/>
    </row>
    <row r="14" spans="2:17" ht="43.35" customHeight="1">
      <c r="B14" s="541" t="s">
        <v>1597</v>
      </c>
      <c r="C14" s="1162" t="s">
        <v>1596</v>
      </c>
      <c r="D14" s="1162"/>
      <c r="E14" s="1162"/>
      <c r="F14" s="1162"/>
      <c r="G14" s="1162"/>
      <c r="H14" s="1162"/>
      <c r="I14" s="1162"/>
      <c r="J14" s="1162"/>
      <c r="K14" s="1162"/>
      <c r="L14" s="1162"/>
      <c r="M14" s="1162"/>
      <c r="N14" s="1162"/>
      <c r="O14" s="1162"/>
      <c r="P14" s="1162"/>
      <c r="Q14" s="1162"/>
    </row>
    <row r="15" spans="2:17">
      <c r="B15" s="378" t="s">
        <v>108</v>
      </c>
      <c r="C15" s="379"/>
      <c r="D15" s="379"/>
      <c r="E15" s="379"/>
      <c r="F15" s="401"/>
      <c r="G15" s="401"/>
      <c r="H15" s="402"/>
      <c r="I15" s="401"/>
      <c r="J15" s="401"/>
      <c r="K15" s="401"/>
      <c r="L15" s="401"/>
      <c r="M15" s="401"/>
      <c r="N15" s="401"/>
      <c r="O15" s="401"/>
      <c r="P15" s="403"/>
      <c r="Q15" s="403"/>
    </row>
    <row r="16" spans="2:17">
      <c r="B16" s="539" t="s">
        <v>109</v>
      </c>
      <c r="C16" s="381">
        <f>VLOOKUP(B16,'[5]Allocation Factor &amp;Meter Totals'!$A$8:$F$249,6,FALSE)</f>
        <v>579</v>
      </c>
      <c r="D16" s="381">
        <f>VLOOKUP(B16,'[5]Allocation Factor &amp;Meter Totals'!$A$8:$F$249,5,FALSE)</f>
        <v>201</v>
      </c>
      <c r="E16" s="381">
        <f>VLOOKUP(B16,'[5]Allocation Factor &amp;Meter Totals'!$A$8:$F$249,6,FALSE)</f>
        <v>579</v>
      </c>
      <c r="F16" s="21" t="s">
        <v>1589</v>
      </c>
      <c r="G16" s="21" t="s">
        <v>103</v>
      </c>
      <c r="H16" s="404">
        <f>VLOOKUP(B16,'[5]Allocation Factor &amp;Meter Totals'!$A$8:$F$249,6,FALSE)</f>
        <v>579</v>
      </c>
      <c r="I16" s="405">
        <f>VLOOKUP(B16,'[5]Allocation Factor &amp;Meter Totals'!$A$8:$F$249,5,FALSE)</f>
        <v>201</v>
      </c>
      <c r="J16" s="406">
        <f>VLOOKUP(B16,'[5]Allocation Factor &amp;Meter Totals'!$A$8:$F$249,3,FALSE)</f>
        <v>9.0097318551396485E-5</v>
      </c>
      <c r="K16" s="407">
        <f>VLOOKUP(B16,'[5]Allocation Factor &amp;Meter Totals'!$A$8:$F$249,6,FALSE)</f>
        <v>579</v>
      </c>
      <c r="L16" s="406">
        <f>VLOOKUP(B16,'[5]Allocation Factor &amp;Meter Totals'!$A$8:$F$249,4,FALSE)</f>
        <v>1.1188282563844224E-4</v>
      </c>
      <c r="M16" s="407" t="s">
        <v>110</v>
      </c>
      <c r="N16" s="21"/>
      <c r="O16" s="21" t="s">
        <v>103</v>
      </c>
      <c r="P16" s="387">
        <v>0</v>
      </c>
      <c r="Q16" s="387">
        <v>0</v>
      </c>
    </row>
    <row r="17" spans="2:17">
      <c r="B17" s="539" t="s">
        <v>111</v>
      </c>
      <c r="C17" s="381">
        <f>VLOOKUP(B17,'[5]Allocation Factor &amp;Meter Totals'!$A$8:$F$249,6,FALSE)</f>
        <v>5406</v>
      </c>
      <c r="D17" s="381">
        <f>VLOOKUP(B17,'[5]Allocation Factor &amp;Meter Totals'!$A$8:$F$249,5,FALSE)</f>
        <v>2267</v>
      </c>
      <c r="E17" s="381">
        <f>VLOOKUP(B17,'[5]Allocation Factor &amp;Meter Totals'!$A$8:$F$249,6,FALSE)</f>
        <v>5406</v>
      </c>
      <c r="F17" s="21" t="s">
        <v>1589</v>
      </c>
      <c r="G17" s="21" t="s">
        <v>103</v>
      </c>
      <c r="H17" s="404">
        <f>VLOOKUP(B17,'[5]Allocation Factor &amp;Meter Totals'!$A$8:$F$249,6,FALSE)</f>
        <v>5406</v>
      </c>
      <c r="I17" s="405">
        <f>VLOOKUP(B17,'[5]Allocation Factor &amp;Meter Totals'!$A$8:$F$249,5,FALSE)</f>
        <v>2267</v>
      </c>
      <c r="J17" s="406">
        <f>VLOOKUP(B17,'[5]Allocation Factor &amp;Meter Totals'!$A$8:$F$249,3,FALSE)</f>
        <v>1.0161722445572927E-3</v>
      </c>
      <c r="K17" s="407">
        <f>VLOOKUP(B17,'[5]Allocation Factor &amp;Meter Totals'!$A$8:$F$249,6,FALSE)</f>
        <v>5406</v>
      </c>
      <c r="L17" s="406">
        <f>VLOOKUP(B17,'[5]Allocation Factor &amp;Meter Totals'!$A$8:$F$249,4,FALSE)</f>
        <v>1.0446261751319841E-3</v>
      </c>
      <c r="M17" s="408" t="s">
        <v>110</v>
      </c>
      <c r="N17" s="21"/>
      <c r="O17" s="21" t="s">
        <v>103</v>
      </c>
      <c r="P17" s="387">
        <v>0</v>
      </c>
      <c r="Q17" s="387">
        <v>0</v>
      </c>
    </row>
    <row r="18" spans="2:17" ht="14.45" customHeight="1">
      <c r="B18" s="540" t="s">
        <v>1234</v>
      </c>
      <c r="C18" s="388">
        <f>SUM(C16:C17)</f>
        <v>5985</v>
      </c>
      <c r="D18" s="388">
        <f>SUM(D16:D17)</f>
        <v>2468</v>
      </c>
      <c r="E18" s="388">
        <f>SUM(E16:E17)</f>
        <v>5985</v>
      </c>
      <c r="F18" s="1100"/>
      <c r="G18" s="1100"/>
      <c r="H18" s="409">
        <f t="shared" ref="H18:L18" si="3">SUM(H16:H17)</f>
        <v>5985</v>
      </c>
      <c r="I18" s="410">
        <f t="shared" si="3"/>
        <v>2468</v>
      </c>
      <c r="J18" s="411">
        <f t="shared" si="3"/>
        <v>1.1062695631086892E-3</v>
      </c>
      <c r="K18" s="412">
        <f t="shared" si="3"/>
        <v>5985</v>
      </c>
      <c r="L18" s="411">
        <f t="shared" si="3"/>
        <v>1.1565090007704263E-3</v>
      </c>
      <c r="M18" s="412"/>
      <c r="N18" s="1100"/>
      <c r="O18" s="1100"/>
      <c r="P18" s="413">
        <v>0</v>
      </c>
      <c r="Q18" s="413">
        <v>0</v>
      </c>
    </row>
    <row r="19" spans="2:17" ht="58.5" customHeight="1">
      <c r="B19" s="541" t="s">
        <v>1598</v>
      </c>
      <c r="C19" s="1162" t="s">
        <v>1599</v>
      </c>
      <c r="D19" s="1162"/>
      <c r="E19" s="1162"/>
      <c r="F19" s="1162"/>
      <c r="G19" s="1162"/>
      <c r="H19" s="1162"/>
      <c r="I19" s="1162"/>
      <c r="J19" s="1162"/>
      <c r="K19" s="1162"/>
      <c r="L19" s="1162"/>
      <c r="M19" s="1162"/>
      <c r="N19" s="1162"/>
      <c r="O19" s="1162"/>
      <c r="P19" s="1162"/>
      <c r="Q19" s="1162"/>
    </row>
    <row r="20" spans="2:17" ht="29.1" customHeight="1">
      <c r="B20" s="541" t="s">
        <v>1600</v>
      </c>
      <c r="C20" s="1162" t="s">
        <v>1601</v>
      </c>
      <c r="D20" s="1162"/>
      <c r="E20" s="1162"/>
      <c r="F20" s="1162"/>
      <c r="G20" s="1162"/>
      <c r="H20" s="1162"/>
      <c r="I20" s="1162"/>
      <c r="J20" s="1162"/>
      <c r="K20" s="1162"/>
      <c r="L20" s="1162"/>
      <c r="M20" s="1162"/>
      <c r="N20" s="1162"/>
      <c r="O20" s="1162"/>
      <c r="P20" s="1162"/>
      <c r="Q20" s="1162"/>
    </row>
    <row r="21" spans="2:17">
      <c r="B21" s="542" t="s">
        <v>112</v>
      </c>
      <c r="C21" s="379"/>
      <c r="D21" s="379"/>
      <c r="E21" s="379"/>
      <c r="F21" s="401"/>
      <c r="G21" s="401"/>
      <c r="H21" s="402"/>
      <c r="I21" s="401"/>
      <c r="J21" s="401"/>
      <c r="K21" s="401"/>
      <c r="L21" s="401"/>
      <c r="M21" s="401"/>
      <c r="N21" s="401"/>
      <c r="O21" s="401"/>
      <c r="P21" s="403"/>
      <c r="Q21" s="403"/>
    </row>
    <row r="22" spans="2:17">
      <c r="B22" s="541" t="s">
        <v>113</v>
      </c>
      <c r="C22" s="381">
        <f>VLOOKUP(B22,'[5]Allocation Factor &amp;Meter Totals'!$A$8:$F$249,6,FALSE)</f>
        <v>5536</v>
      </c>
      <c r="D22" s="381">
        <f>VLOOKUP(B22,'[5]Allocation Factor &amp;Meter Totals'!$A$8:$F$249,5,FALSE)</f>
        <v>1811</v>
      </c>
      <c r="E22" s="381">
        <f>VLOOKUP(B22,'[5]Allocation Factor &amp;Meter Totals'!$A$8:$F$249,6,FALSE)</f>
        <v>5536</v>
      </c>
      <c r="F22" s="21" t="s">
        <v>1589</v>
      </c>
      <c r="G22" s="21" t="s">
        <v>103</v>
      </c>
      <c r="H22" s="404">
        <f>VLOOKUP(B22,'[5]Allocation Factor &amp;Meter Totals'!$A$8:$F$249,6,FALSE)</f>
        <v>5536</v>
      </c>
      <c r="I22" s="405">
        <f>VLOOKUP(B22,'[5]Allocation Factor &amp;Meter Totals'!$A$8:$F$249,5,FALSE)</f>
        <v>1811</v>
      </c>
      <c r="J22" s="406">
        <f>VLOOKUP(B22,'[5]Allocation Factor &amp;Meter Totals'!$A$8:$F$249,3,FALSE)</f>
        <v>8.1177235769442312E-4</v>
      </c>
      <c r="K22" s="407">
        <f>VLOOKUP(B22,'[5]Allocation Factor &amp;Meter Totals'!$A$8:$F$249,6,FALSE)</f>
        <v>5536</v>
      </c>
      <c r="L22" s="406">
        <f>VLOOKUP(B22,'[5]Allocation Factor &amp;Meter Totals'!$A$8:$F$249,4,FALSE)</f>
        <v>1.0697466713893199E-3</v>
      </c>
      <c r="M22" s="407" t="s">
        <v>104</v>
      </c>
      <c r="N22" s="21"/>
      <c r="O22" s="21" t="s">
        <v>103</v>
      </c>
      <c r="P22" s="387">
        <v>0</v>
      </c>
      <c r="Q22" s="387">
        <v>0</v>
      </c>
    </row>
    <row r="23" spans="2:17">
      <c r="B23" s="541" t="s">
        <v>126</v>
      </c>
      <c r="C23" s="381">
        <f>VLOOKUP(B23,'[5]Allocation Factor &amp;Meter Totals'!$A$8:$F$249,6,FALSE)</f>
        <v>12245</v>
      </c>
      <c r="D23" s="381">
        <f>VLOOKUP(B23,'[5]Allocation Factor &amp;Meter Totals'!$A$8:$F$249,5,FALSE)</f>
        <v>4776</v>
      </c>
      <c r="E23" s="381">
        <f>VLOOKUP(B23,'[5]Allocation Factor &amp;Meter Totals'!$A$8:$F$249,6,FALSE)</f>
        <v>12245</v>
      </c>
      <c r="F23" s="21" t="s">
        <v>1589</v>
      </c>
      <c r="G23" s="21" t="s">
        <v>103</v>
      </c>
      <c r="H23" s="404">
        <f>VLOOKUP(B23,'[5]Allocation Factor &amp;Meter Totals'!$A$8:$F$249,6,FALSE)</f>
        <v>12245</v>
      </c>
      <c r="I23" s="405">
        <f>VLOOKUP(B23,'[5]Allocation Factor &amp;Meter Totals'!$A$8:$F$249,5,FALSE)</f>
        <v>4776</v>
      </c>
      <c r="J23" s="406">
        <f>VLOOKUP(B23,'[5]Allocation Factor &amp;Meter Totals'!$A$8:$F$249,3,FALSE)</f>
        <v>2.140819867669003E-3</v>
      </c>
      <c r="K23" s="407">
        <f>VLOOKUP(B23,'[5]Allocation Factor &amp;Meter Totals'!$A$8:$F$249,6,FALSE)</f>
        <v>12245</v>
      </c>
      <c r="L23" s="406">
        <f>VLOOKUP(B23,'[5]Allocation Factor &amp;Meter Totals'!$A$8:$F$249,4,FALSE)</f>
        <v>2.366157512854448E-3</v>
      </c>
      <c r="M23" s="407" t="s">
        <v>104</v>
      </c>
      <c r="N23" s="21"/>
      <c r="O23" s="21" t="s">
        <v>103</v>
      </c>
      <c r="P23" s="387">
        <v>0</v>
      </c>
      <c r="Q23" s="387">
        <v>0</v>
      </c>
    </row>
    <row r="24" spans="2:17">
      <c r="B24" s="541" t="s">
        <v>132</v>
      </c>
      <c r="C24" s="381">
        <f>VLOOKUP(B24,'[5]Allocation Factor &amp;Meter Totals'!$A$8:$F$249,6,FALSE)</f>
        <v>972</v>
      </c>
      <c r="D24" s="381">
        <f>VLOOKUP(B24,'[5]Allocation Factor &amp;Meter Totals'!$A$8:$F$249,5,FALSE)</f>
        <v>699</v>
      </c>
      <c r="E24" s="381">
        <f>VLOOKUP(B24,'[5]Allocation Factor &amp;Meter Totals'!$A$8:$F$249,6,FALSE)</f>
        <v>972</v>
      </c>
      <c r="F24" s="21" t="s">
        <v>1589</v>
      </c>
      <c r="G24" s="21" t="s">
        <v>103</v>
      </c>
      <c r="H24" s="404">
        <f>VLOOKUP(B24,'[5]Allocation Factor &amp;Meter Totals'!$A$8:$F$249,6,FALSE)</f>
        <v>972</v>
      </c>
      <c r="I24" s="405">
        <f>VLOOKUP(B24,'[5]Allocation Factor &amp;Meter Totals'!$A$8:$F$249,5,FALSE)</f>
        <v>699</v>
      </c>
      <c r="J24" s="406">
        <f>VLOOKUP(B24,'[5]Allocation Factor &amp;Meter Totals'!$A$8:$F$249,3,FALSE)</f>
        <v>3.1332351078321467E-4</v>
      </c>
      <c r="K24" s="407">
        <f>VLOOKUP(B24,'[5]Allocation Factor &amp;Meter Totals'!$A$8:$F$249,6,FALSE)</f>
        <v>972</v>
      </c>
      <c r="L24" s="406">
        <f>VLOOKUP(B24,'[5]Allocation Factor &amp;Meter Totals'!$A$8:$F$249,4,FALSE)</f>
        <v>1.8782401817023464E-4</v>
      </c>
      <c r="M24" s="407" t="s">
        <v>104</v>
      </c>
      <c r="N24" s="21"/>
      <c r="O24" s="21" t="s">
        <v>103</v>
      </c>
      <c r="P24" s="387">
        <v>0</v>
      </c>
      <c r="Q24" s="387">
        <v>0</v>
      </c>
    </row>
    <row r="25" spans="2:17">
      <c r="B25" s="541" t="s">
        <v>133</v>
      </c>
      <c r="C25" s="381">
        <f>VLOOKUP(B25,'[5]Allocation Factor &amp;Meter Totals'!$A$8:$F$249,6,FALSE)</f>
        <v>13435</v>
      </c>
      <c r="D25" s="381">
        <f>VLOOKUP(B25,'[5]Allocation Factor &amp;Meter Totals'!$A$8:$F$249,5,FALSE)</f>
        <v>3877</v>
      </c>
      <c r="E25" s="381">
        <f>VLOOKUP(B25,'[5]Allocation Factor &amp;Meter Totals'!$A$8:$F$249,6,FALSE)</f>
        <v>13435</v>
      </c>
      <c r="F25" s="21" t="s">
        <v>1589</v>
      </c>
      <c r="G25" s="21" t="s">
        <v>103</v>
      </c>
      <c r="H25" s="404">
        <f>VLOOKUP(B25,'[5]Allocation Factor &amp;Meter Totals'!$A$8:$F$249,6,FALSE)</f>
        <v>13435</v>
      </c>
      <c r="I25" s="405">
        <f>VLOOKUP(B25,'[5]Allocation Factor &amp;Meter Totals'!$A$8:$F$249,5,FALSE)</f>
        <v>3877</v>
      </c>
      <c r="J25" s="406">
        <f>VLOOKUP(B25,'[5]Allocation Factor &amp;Meter Totals'!$A$8:$F$249,3,FALSE)</f>
        <v>1.7378472837003194E-3</v>
      </c>
      <c r="K25" s="407">
        <f>VLOOKUP(B25,'[5]Allocation Factor &amp;Meter Totals'!$A$8:$F$249,6,FALSE)</f>
        <v>13435</v>
      </c>
      <c r="L25" s="406">
        <f>VLOOKUP(B25,'[5]Allocation Factor &amp;Meter Totals'!$A$8:$F$249,4,FALSE)</f>
        <v>2.5961066709023688E-3</v>
      </c>
      <c r="M25" s="407" t="s">
        <v>110</v>
      </c>
      <c r="N25" s="21"/>
      <c r="O25" s="21" t="s">
        <v>103</v>
      </c>
      <c r="P25" s="387">
        <v>0</v>
      </c>
      <c r="Q25" s="387">
        <v>0</v>
      </c>
    </row>
    <row r="26" spans="2:17">
      <c r="B26" s="541" t="s">
        <v>134</v>
      </c>
      <c r="C26" s="381">
        <f>VLOOKUP(B26,'[5]Allocation Factor &amp;Meter Totals'!$A$8:$F$249,6,FALSE)</f>
        <v>4583</v>
      </c>
      <c r="D26" s="381">
        <f>VLOOKUP(B26,'[5]Allocation Factor &amp;Meter Totals'!$A$8:$F$249,5,FALSE)</f>
        <v>1553</v>
      </c>
      <c r="E26" s="381">
        <f>VLOOKUP(B26,'[5]Allocation Factor &amp;Meter Totals'!$A$8:$F$249,6,FALSE)</f>
        <v>4583</v>
      </c>
      <c r="F26" s="21" t="s">
        <v>1589</v>
      </c>
      <c r="G26" s="21" t="s">
        <v>103</v>
      </c>
      <c r="H26" s="404">
        <f>VLOOKUP(B26,'[5]Allocation Factor &amp;Meter Totals'!$A$8:$F$249,6,FALSE)</f>
        <v>4583</v>
      </c>
      <c r="I26" s="405">
        <f>VLOOKUP(B26,'[5]Allocation Factor &amp;Meter Totals'!$A$8:$F$249,5,FALSE)</f>
        <v>1553</v>
      </c>
      <c r="J26" s="406">
        <f>VLOOKUP(B26,'[5]Allocation Factor &amp;Meter Totals'!$A$8:$F$249,3,FALSE)</f>
        <v>6.9612505328516786E-4</v>
      </c>
      <c r="K26" s="407">
        <f>VLOOKUP(B26,'[5]Allocation Factor &amp;Meter Totals'!$A$8:$F$249,6,FALSE)</f>
        <v>4583</v>
      </c>
      <c r="L26" s="406">
        <f>VLOOKUP(B26,'[5]Allocation Factor &amp;Meter Totals'!$A$8:$F$249,4,FALSE)</f>
        <v>8.8559411036438827E-4</v>
      </c>
      <c r="M26" s="407" t="s">
        <v>110</v>
      </c>
      <c r="N26" s="21"/>
      <c r="O26" s="21" t="s">
        <v>103</v>
      </c>
      <c r="P26" s="387">
        <v>0</v>
      </c>
      <c r="Q26" s="387">
        <v>0</v>
      </c>
    </row>
    <row r="27" spans="2:17">
      <c r="B27" s="541" t="s">
        <v>135</v>
      </c>
      <c r="C27" s="381">
        <f>VLOOKUP(B27,'[5]Allocation Factor &amp;Meter Totals'!$A$8:$F$249,6,FALSE)</f>
        <v>47244</v>
      </c>
      <c r="D27" s="381">
        <f>VLOOKUP(B27,'[5]Allocation Factor &amp;Meter Totals'!$A$8:$F$249,5,FALSE)</f>
        <v>27027</v>
      </c>
      <c r="E27" s="381">
        <f>VLOOKUP(B27,'[5]Allocation Factor &amp;Meter Totals'!$A$8:$F$249,6,FALSE)</f>
        <v>47244</v>
      </c>
      <c r="F27" s="21" t="s">
        <v>1589</v>
      </c>
      <c r="G27" s="21" t="s">
        <v>103</v>
      </c>
      <c r="H27" s="404">
        <f>VLOOKUP(B27,'[5]Allocation Factor &amp;Meter Totals'!$A$8:$F$249,6,FALSE)</f>
        <v>47244</v>
      </c>
      <c r="I27" s="405">
        <f>VLOOKUP(B27,'[5]Allocation Factor &amp;Meter Totals'!$A$8:$F$249,5,FALSE)</f>
        <v>27027</v>
      </c>
      <c r="J27" s="406">
        <f>VLOOKUP(B27,'[5]Allocation Factor &amp;Meter Totals'!$A$8:$F$249,3,FALSE)</f>
        <v>1.2114727504918371E-2</v>
      </c>
      <c r="K27" s="407">
        <f>VLOOKUP(B27,'[5]Allocation Factor &amp;Meter Totals'!$A$8:$F$249,6,FALSE)</f>
        <v>47244</v>
      </c>
      <c r="L27" s="406">
        <f>VLOOKUP(B27,'[5]Allocation Factor &amp;Meter Totals'!$A$8:$F$249,4,FALSE)</f>
        <v>9.12917480908906E-3</v>
      </c>
      <c r="M27" s="407" t="s">
        <v>104</v>
      </c>
      <c r="N27" s="21"/>
      <c r="O27" s="21" t="s">
        <v>103</v>
      </c>
      <c r="P27" s="387">
        <v>0</v>
      </c>
      <c r="Q27" s="387">
        <v>0</v>
      </c>
    </row>
    <row r="28" spans="2:17" ht="14.45" customHeight="1">
      <c r="B28" s="543" t="s">
        <v>1242</v>
      </c>
      <c r="C28" s="388">
        <f>SUM(C22:C27)</f>
        <v>84015</v>
      </c>
      <c r="D28" s="388">
        <f t="shared" ref="D28:E28" si="4">SUM(D22:D27)</f>
        <v>39743</v>
      </c>
      <c r="E28" s="388">
        <f t="shared" si="4"/>
        <v>84015</v>
      </c>
      <c r="F28" s="1100"/>
      <c r="G28" s="1100"/>
      <c r="H28" s="409">
        <f t="shared" ref="H28:L28" si="5">SUM(H22:H27)</f>
        <v>84015</v>
      </c>
      <c r="I28" s="410">
        <f t="shared" si="5"/>
        <v>39743</v>
      </c>
      <c r="J28" s="411">
        <f t="shared" si="5"/>
        <v>1.7814615578050499E-2</v>
      </c>
      <c r="K28" s="412">
        <f t="shared" si="5"/>
        <v>84015</v>
      </c>
      <c r="L28" s="411">
        <f t="shared" si="5"/>
        <v>1.6234603792769819E-2</v>
      </c>
      <c r="M28" s="412"/>
      <c r="N28" s="1100"/>
      <c r="O28" s="1100"/>
      <c r="P28" s="413">
        <v>0</v>
      </c>
      <c r="Q28" s="413">
        <v>0</v>
      </c>
    </row>
    <row r="29" spans="2:17" ht="58.5" customHeight="1">
      <c r="B29" s="541" t="s">
        <v>1602</v>
      </c>
      <c r="C29" s="1162" t="s">
        <v>1603</v>
      </c>
      <c r="D29" s="1162"/>
      <c r="E29" s="1162"/>
      <c r="F29" s="1162"/>
      <c r="G29" s="1162"/>
      <c r="H29" s="1162"/>
      <c r="I29" s="1162"/>
      <c r="J29" s="1162"/>
      <c r="K29" s="1162"/>
      <c r="L29" s="1162"/>
      <c r="M29" s="1162"/>
      <c r="N29" s="1162"/>
      <c r="O29" s="1162"/>
      <c r="P29" s="1162"/>
      <c r="Q29" s="1162"/>
    </row>
    <row r="30" spans="2:17" ht="29.1" customHeight="1">
      <c r="B30" s="541" t="s">
        <v>1604</v>
      </c>
      <c r="C30" s="1162" t="s">
        <v>1605</v>
      </c>
      <c r="D30" s="1162"/>
      <c r="E30" s="1162"/>
      <c r="F30" s="1162"/>
      <c r="G30" s="1162"/>
      <c r="H30" s="1162"/>
      <c r="I30" s="1162"/>
      <c r="J30" s="1162"/>
      <c r="K30" s="1162"/>
      <c r="L30" s="1162"/>
      <c r="M30" s="1162"/>
      <c r="N30" s="1162"/>
      <c r="O30" s="1162"/>
      <c r="P30" s="1162"/>
      <c r="Q30" s="1162"/>
    </row>
    <row r="31" spans="2:17">
      <c r="B31" s="542" t="s">
        <v>140</v>
      </c>
      <c r="C31" s="379"/>
      <c r="D31" s="379"/>
      <c r="E31" s="379"/>
      <c r="F31" s="401"/>
      <c r="G31" s="401"/>
      <c r="H31" s="402"/>
      <c r="I31" s="401"/>
      <c r="J31" s="401"/>
      <c r="K31" s="401"/>
      <c r="L31" s="401"/>
      <c r="M31" s="401"/>
      <c r="N31" s="401"/>
      <c r="O31" s="401"/>
      <c r="P31" s="403"/>
      <c r="Q31" s="403"/>
    </row>
    <row r="32" spans="2:17">
      <c r="B32" s="541" t="s">
        <v>141</v>
      </c>
      <c r="C32" s="381">
        <f>VLOOKUP(B32,'[5]Allocation Factor &amp;Meter Totals'!$A$8:$F$249,6,FALSE)</f>
        <v>22217</v>
      </c>
      <c r="D32" s="381">
        <f>VLOOKUP(B32,'[5]Allocation Factor &amp;Meter Totals'!$A$8:$F$249,5,FALSE)</f>
        <v>7733</v>
      </c>
      <c r="E32" s="414">
        <f>VLOOKUP(B32,'[5]Allocation Factor &amp;Meter Totals'!$A$8:$F$249,6,FALSE)</f>
        <v>22217</v>
      </c>
      <c r="F32" s="21" t="s">
        <v>1589</v>
      </c>
      <c r="G32" s="21" t="s">
        <v>103</v>
      </c>
      <c r="H32" s="404">
        <f>VLOOKUP(B32,'[5]Allocation Factor &amp;Meter Totals'!$A$8:$F$249,6,FALSE)</f>
        <v>22217</v>
      </c>
      <c r="I32" s="405">
        <f>VLOOKUP(B32,'[5]Allocation Factor &amp;Meter Totals'!$A$8:$F$249,5,FALSE)</f>
        <v>7733</v>
      </c>
      <c r="J32" s="406">
        <f>VLOOKUP(B32,'[5]Allocation Factor &amp;Meter Totals'!$A$8:$F$249,3,FALSE)</f>
        <v>3.4662814147161645E-3</v>
      </c>
      <c r="K32" s="407">
        <f>VLOOKUP(B32,'[5]Allocation Factor &amp;Meter Totals'!$A$8:$F$249,6,FALSE)</f>
        <v>22217</v>
      </c>
      <c r="L32" s="406">
        <f>VLOOKUP(B32,'[5]Allocation Factor &amp;Meter Totals'!$A$8:$F$249,4,FALSE)</f>
        <v>4.2930928103787069E-3</v>
      </c>
      <c r="M32" s="407" t="s">
        <v>104</v>
      </c>
      <c r="N32" s="21"/>
      <c r="O32" s="21" t="s">
        <v>103</v>
      </c>
      <c r="P32" s="387">
        <v>0</v>
      </c>
      <c r="Q32" s="387">
        <v>0</v>
      </c>
    </row>
    <row r="33" spans="2:17">
      <c r="B33" s="541" t="s">
        <v>142</v>
      </c>
      <c r="C33" s="381">
        <f>VLOOKUP(B33,'[5]Allocation Factor &amp;Meter Totals'!$A$8:$F$249,6,FALSE)</f>
        <v>5572</v>
      </c>
      <c r="D33" s="381">
        <f>VLOOKUP(B33,'[5]Allocation Factor &amp;Meter Totals'!$A$8:$F$249,5,FALSE)</f>
        <v>3886</v>
      </c>
      <c r="E33" s="415">
        <f>VLOOKUP(B33,'[5]Allocation Factor &amp;Meter Totals'!$A$8:$F$249,6,FALSE)</f>
        <v>5572</v>
      </c>
      <c r="F33" s="21" t="s">
        <v>1589</v>
      </c>
      <c r="G33" s="21" t="s">
        <v>103</v>
      </c>
      <c r="H33" s="404">
        <f>VLOOKUP(B33,'[5]Allocation Factor &amp;Meter Totals'!$A$8:$F$249,6,FALSE)</f>
        <v>5572</v>
      </c>
      <c r="I33" s="405">
        <f>VLOOKUP(B33,'[5]Allocation Factor &amp;Meter Totals'!$A$8:$F$249,5,FALSE)</f>
        <v>3886</v>
      </c>
      <c r="J33" s="406">
        <f>VLOOKUP(B33,'[5]Allocation Factor &amp;Meter Totals'!$A$8:$F$249,3,FALSE)</f>
        <v>1.7418814919936655E-3</v>
      </c>
      <c r="K33" s="407">
        <f>VLOOKUP(B33,'[5]Allocation Factor &amp;Meter Totals'!$A$8:$F$249,6,FALSE)</f>
        <v>5572</v>
      </c>
      <c r="L33" s="406">
        <f>VLOOKUP(B33,'[5]Allocation Factor &amp;Meter Totals'!$A$8:$F$249,4,FALSE)</f>
        <v>1.0767031165067362E-3</v>
      </c>
      <c r="M33" s="407" t="s">
        <v>104</v>
      </c>
      <c r="N33" s="21"/>
      <c r="O33" s="21" t="s">
        <v>103</v>
      </c>
      <c r="P33" s="387">
        <v>0</v>
      </c>
      <c r="Q33" s="387">
        <v>0</v>
      </c>
    </row>
    <row r="34" spans="2:17" ht="14.45" customHeight="1">
      <c r="B34" s="543" t="s">
        <v>1246</v>
      </c>
      <c r="C34" s="388">
        <f>SUM(C32:C33)</f>
        <v>27789</v>
      </c>
      <c r="D34" s="388">
        <f t="shared" ref="D34:E34" si="6">SUM(D32:D33)</f>
        <v>11619</v>
      </c>
      <c r="E34" s="416">
        <f t="shared" si="6"/>
        <v>27789</v>
      </c>
      <c r="F34" s="1100"/>
      <c r="G34" s="1100"/>
      <c r="H34" s="409">
        <f t="shared" ref="H34:L34" si="7">SUM(H32:H33)</f>
        <v>27789</v>
      </c>
      <c r="I34" s="410">
        <f t="shared" si="7"/>
        <v>11619</v>
      </c>
      <c r="J34" s="411">
        <f t="shared" si="7"/>
        <v>5.2081629067098302E-3</v>
      </c>
      <c r="K34" s="412">
        <f t="shared" si="7"/>
        <v>27789</v>
      </c>
      <c r="L34" s="411">
        <f t="shared" si="7"/>
        <v>5.3697959268854435E-3</v>
      </c>
      <c r="M34" s="412"/>
      <c r="N34" s="1100"/>
      <c r="O34" s="1100"/>
      <c r="P34" s="413">
        <v>0</v>
      </c>
      <c r="Q34" s="413">
        <v>0</v>
      </c>
    </row>
    <row r="35" spans="2:17" ht="58.5" customHeight="1">
      <c r="B35" s="541" t="s">
        <v>1606</v>
      </c>
      <c r="C35" s="1162" t="s">
        <v>1599</v>
      </c>
      <c r="D35" s="1162"/>
      <c r="E35" s="1162"/>
      <c r="F35" s="1162"/>
      <c r="G35" s="1162"/>
      <c r="H35" s="1162"/>
      <c r="I35" s="1162"/>
      <c r="J35" s="1162"/>
      <c r="K35" s="1162"/>
      <c r="L35" s="1162"/>
      <c r="M35" s="1162"/>
      <c r="N35" s="1162"/>
      <c r="O35" s="1162"/>
      <c r="P35" s="1162"/>
      <c r="Q35" s="1162"/>
    </row>
    <row r="36" spans="2:17" ht="43.35" customHeight="1">
      <c r="B36" s="541" t="s">
        <v>1607</v>
      </c>
      <c r="C36" s="1162" t="s">
        <v>1608</v>
      </c>
      <c r="D36" s="1162"/>
      <c r="E36" s="1162"/>
      <c r="F36" s="1162"/>
      <c r="G36" s="1162"/>
      <c r="H36" s="1162"/>
      <c r="I36" s="1162"/>
      <c r="J36" s="1162"/>
      <c r="K36" s="1162"/>
      <c r="L36" s="1162"/>
      <c r="M36" s="1162"/>
      <c r="N36" s="1162"/>
      <c r="O36" s="1162"/>
      <c r="P36" s="1162"/>
      <c r="Q36" s="1162"/>
    </row>
    <row r="37" spans="2:17">
      <c r="B37" s="542" t="s">
        <v>143</v>
      </c>
      <c r="C37" s="379"/>
      <c r="D37" s="379"/>
      <c r="E37" s="379"/>
      <c r="F37" s="401"/>
      <c r="G37" s="401"/>
      <c r="H37" s="402"/>
      <c r="I37" s="401"/>
      <c r="J37" s="401"/>
      <c r="K37" s="401"/>
      <c r="L37" s="401"/>
      <c r="M37" s="401"/>
      <c r="N37" s="401"/>
      <c r="O37" s="401"/>
      <c r="P37" s="403"/>
      <c r="Q37" s="403"/>
    </row>
    <row r="38" spans="2:17">
      <c r="B38" s="541" t="s">
        <v>144</v>
      </c>
      <c r="C38" s="381">
        <f>VLOOKUP(B38,'[5]Allocation Factor &amp;Meter Totals'!$A$8:$F$249,6,FALSE)</f>
        <v>9106</v>
      </c>
      <c r="D38" s="381">
        <f>VLOOKUP(B38,'[5]Allocation Factor &amp;Meter Totals'!$A$8:$F$249,5,FALSE)</f>
        <v>471</v>
      </c>
      <c r="E38" s="381">
        <f>VLOOKUP(B38,'[5]Allocation Factor &amp;Meter Totals'!$A$8:$F$249,6,FALSE)</f>
        <v>9106</v>
      </c>
      <c r="F38" s="21" t="s">
        <v>1589</v>
      </c>
      <c r="G38" s="21" t="s">
        <v>103</v>
      </c>
      <c r="H38" s="404">
        <f>VLOOKUP(B38,'[5]Allocation Factor &amp;Meter Totals'!$A$8:$F$249,6,FALSE)</f>
        <v>9106</v>
      </c>
      <c r="I38" s="405">
        <f>VLOOKUP(B38,'[5]Allocation Factor &amp;Meter Totals'!$A$8:$F$249,5,FALSE)</f>
        <v>471</v>
      </c>
      <c r="J38" s="406">
        <f>VLOOKUP(B38,'[5]Allocation Factor &amp;Meter Totals'!$A$8:$F$249,3,FALSE)</f>
        <v>2.1112356735177983E-4</v>
      </c>
      <c r="K38" s="407">
        <f>VLOOKUP(B38,'[5]Allocation Factor &amp;Meter Totals'!$A$8:$F$249,6,FALSE)</f>
        <v>9106</v>
      </c>
      <c r="L38" s="406">
        <f>VLOOKUP(B38,'[5]Allocation Factor &amp;Meter Totals'!$A$8:$F$249,4,FALSE)</f>
        <v>1.7595941455330829E-3</v>
      </c>
      <c r="M38" s="407" t="s">
        <v>110</v>
      </c>
      <c r="N38" s="21"/>
      <c r="O38" s="21" t="s">
        <v>103</v>
      </c>
      <c r="P38" s="387">
        <v>0</v>
      </c>
      <c r="Q38" s="387">
        <v>0</v>
      </c>
    </row>
    <row r="39" spans="2:17">
      <c r="B39" s="541" t="s">
        <v>145</v>
      </c>
      <c r="C39" s="381">
        <f>VLOOKUP(B39,'[5]Allocation Factor &amp;Meter Totals'!$A$8:$F$249,6,FALSE)</f>
        <v>35998</v>
      </c>
      <c r="D39" s="381">
        <f>VLOOKUP(B39,'[5]Allocation Factor &amp;Meter Totals'!$A$8:$F$249,5,FALSE)</f>
        <v>26165</v>
      </c>
      <c r="E39" s="381">
        <f>VLOOKUP(B39,'[5]Allocation Factor &amp;Meter Totals'!$A$8:$F$249,6,FALSE)</f>
        <v>35998</v>
      </c>
      <c r="F39" s="21" t="s">
        <v>1589</v>
      </c>
      <c r="G39" s="21" t="s">
        <v>103</v>
      </c>
      <c r="H39" s="404">
        <f>VLOOKUP(B39,'[5]Allocation Factor &amp;Meter Totals'!$A$8:$F$249,6,FALSE)</f>
        <v>35998</v>
      </c>
      <c r="I39" s="405">
        <f>VLOOKUP(B39,'[5]Allocation Factor &amp;Meter Totals'!$A$8:$F$249,5,FALSE)</f>
        <v>26165</v>
      </c>
      <c r="J39" s="406">
        <f>VLOOKUP(B39,'[5]Allocation Factor &amp;Meter Totals'!$A$8:$F$249,3,FALSE)</f>
        <v>1.1728339999489001E-2</v>
      </c>
      <c r="K39" s="407">
        <f>VLOOKUP(B39,'[5]Allocation Factor &amp;Meter Totals'!$A$8:$F$249,6,FALSE)</f>
        <v>35998</v>
      </c>
      <c r="L39" s="406">
        <f>VLOOKUP(B39,'[5]Allocation Factor &amp;Meter Totals'!$A$8:$F$249,4,FALSE)</f>
        <v>6.9560586482429083E-3</v>
      </c>
      <c r="M39" s="407" t="s">
        <v>104</v>
      </c>
      <c r="N39" s="21"/>
      <c r="O39" s="21" t="s">
        <v>103</v>
      </c>
      <c r="P39" s="387">
        <v>0</v>
      </c>
      <c r="Q39" s="387">
        <v>0</v>
      </c>
    </row>
    <row r="40" spans="2:17">
      <c r="B40" s="541" t="s">
        <v>157</v>
      </c>
      <c r="C40" s="381">
        <f>VLOOKUP(B40,'[5]Allocation Factor &amp;Meter Totals'!$A$8:$F$249,6,FALSE)</f>
        <v>23762</v>
      </c>
      <c r="D40" s="381">
        <f>VLOOKUP(B40,'[5]Allocation Factor &amp;Meter Totals'!$A$8:$F$249,5,FALSE)</f>
        <v>15425</v>
      </c>
      <c r="E40" s="381">
        <f>VLOOKUP(B40,'[5]Allocation Factor &amp;Meter Totals'!$A$8:$F$249,6,FALSE)</f>
        <v>23762</v>
      </c>
      <c r="F40" s="21" t="s">
        <v>1589</v>
      </c>
      <c r="G40" s="21" t="s">
        <v>103</v>
      </c>
      <c r="H40" s="404">
        <f>VLOOKUP(B40,'[5]Allocation Factor &amp;Meter Totals'!$A$8:$F$249,6,FALSE)</f>
        <v>23762</v>
      </c>
      <c r="I40" s="405">
        <f>VLOOKUP(B40,'[5]Allocation Factor &amp;Meter Totals'!$A$8:$F$249,5,FALSE)</f>
        <v>15425</v>
      </c>
      <c r="J40" s="406">
        <f>VLOOKUP(B40,'[5]Allocation Factor &amp;Meter Totals'!$A$8:$F$249,3,FALSE)</f>
        <v>6.914184769429307E-3</v>
      </c>
      <c r="K40" s="407">
        <f>VLOOKUP(B40,'[5]Allocation Factor &amp;Meter Totals'!$A$8:$F$249,6,FALSE)</f>
        <v>23762</v>
      </c>
      <c r="L40" s="406">
        <f>VLOOKUP(B40,'[5]Allocation Factor &amp;Meter Totals'!$A$8:$F$249,4,FALSE)</f>
        <v>4.5916402466678148E-3</v>
      </c>
      <c r="M40" s="407" t="s">
        <v>110</v>
      </c>
      <c r="N40" s="21"/>
      <c r="O40" s="21" t="s">
        <v>103</v>
      </c>
      <c r="P40" s="387">
        <v>0</v>
      </c>
      <c r="Q40" s="387">
        <v>0</v>
      </c>
    </row>
    <row r="41" spans="2:17">
      <c r="B41" s="541" t="s">
        <v>160</v>
      </c>
      <c r="C41" s="381">
        <f>VLOOKUP(B41,'[5]Allocation Factor &amp;Meter Totals'!$A$8:$F$249,6,FALSE)</f>
        <v>5662</v>
      </c>
      <c r="D41" s="381">
        <f>VLOOKUP(B41,'[5]Allocation Factor &amp;Meter Totals'!$A$8:$F$249,5,FALSE)</f>
        <v>4034</v>
      </c>
      <c r="E41" s="381">
        <f>VLOOKUP(B41,'[5]Allocation Factor &amp;Meter Totals'!$A$8:$F$249,6,FALSE)</f>
        <v>5662</v>
      </c>
      <c r="F41" s="21" t="s">
        <v>1589</v>
      </c>
      <c r="G41" s="21" t="s">
        <v>103</v>
      </c>
      <c r="H41" s="404">
        <f>VLOOKUP(B41,'[5]Allocation Factor &amp;Meter Totals'!$A$8:$F$249,6,FALSE)</f>
        <v>5662</v>
      </c>
      <c r="I41" s="405">
        <f>VLOOKUP(B41,'[5]Allocation Factor &amp;Meter Totals'!$A$8:$F$249,5,FALSE)</f>
        <v>4034</v>
      </c>
      <c r="J41" s="406">
        <f>VLOOKUP(B41,'[5]Allocation Factor &amp;Meter Totals'!$A$8:$F$249,3,FALSE)</f>
        <v>1.8082218061509126E-3</v>
      </c>
      <c r="K41" s="407">
        <f>VLOOKUP(B41,'[5]Allocation Factor &amp;Meter Totals'!$A$8:$F$249,6,FALSE)</f>
        <v>5662</v>
      </c>
      <c r="L41" s="406">
        <f>VLOOKUP(B41,'[5]Allocation Factor &amp;Meter Totals'!$A$8:$F$249,4,FALSE)</f>
        <v>1.0940942293002763E-3</v>
      </c>
      <c r="M41" s="407" t="s">
        <v>104</v>
      </c>
      <c r="N41" s="21"/>
      <c r="O41" s="21" t="s">
        <v>103</v>
      </c>
      <c r="P41" s="387">
        <v>0</v>
      </c>
      <c r="Q41" s="387">
        <v>0</v>
      </c>
    </row>
    <row r="42" spans="2:17">
      <c r="B42" s="541" t="s">
        <v>161</v>
      </c>
      <c r="C42" s="381">
        <f>VLOOKUP(B42,'[5]Allocation Factor &amp;Meter Totals'!$A$8:$F$249,6,FALSE)</f>
        <v>2415</v>
      </c>
      <c r="D42" s="381">
        <f>VLOOKUP(B42,'[5]Allocation Factor &amp;Meter Totals'!$A$8:$F$249,5,FALSE)</f>
        <v>1319</v>
      </c>
      <c r="E42" s="381">
        <f>VLOOKUP(B42,'[5]Allocation Factor &amp;Meter Totals'!$A$8:$F$249,6,FALSE)</f>
        <v>2415</v>
      </c>
      <c r="F42" s="21" t="s">
        <v>1589</v>
      </c>
      <c r="G42" s="21" t="s">
        <v>103</v>
      </c>
      <c r="H42" s="404">
        <f>VLOOKUP(B42,'[5]Allocation Factor &amp;Meter Totals'!$A$8:$F$249,6,FALSE)</f>
        <v>2415</v>
      </c>
      <c r="I42" s="405">
        <f>VLOOKUP(B42,'[5]Allocation Factor &amp;Meter Totals'!$A$8:$F$249,5,FALSE)</f>
        <v>1319</v>
      </c>
      <c r="J42" s="406">
        <f>VLOOKUP(B42,'[5]Allocation Factor &amp;Meter Totals'!$A$8:$F$249,3,FALSE)</f>
        <v>5.9123563765816896E-4</v>
      </c>
      <c r="K42" s="407">
        <f>VLOOKUP(B42,'[5]Allocation Factor &amp;Meter Totals'!$A$8:$F$249,6,FALSE)</f>
        <v>2415</v>
      </c>
      <c r="L42" s="406">
        <f>VLOOKUP(B42,'[5]Allocation Factor &amp;Meter Totals'!$A$8:$F$249,4,FALSE)</f>
        <v>4.6666152662666323E-4</v>
      </c>
      <c r="M42" s="407" t="s">
        <v>110</v>
      </c>
      <c r="N42" s="21"/>
      <c r="O42" s="21" t="s">
        <v>103</v>
      </c>
      <c r="P42" s="387">
        <v>0</v>
      </c>
      <c r="Q42" s="387">
        <v>0</v>
      </c>
    </row>
    <row r="43" spans="2:17">
      <c r="B43" s="541" t="s">
        <v>162</v>
      </c>
      <c r="C43" s="381">
        <f>VLOOKUP(B43,'[5]Allocation Factor &amp;Meter Totals'!$A$8:$F$249,6,FALSE)</f>
        <v>410</v>
      </c>
      <c r="D43" s="381">
        <f>VLOOKUP(B43,'[5]Allocation Factor &amp;Meter Totals'!$A$8:$F$249,5,FALSE)</f>
        <v>329</v>
      </c>
      <c r="E43" s="381">
        <f>VLOOKUP(B43,'[5]Allocation Factor &amp;Meter Totals'!$A$8:$F$249,6,FALSE)</f>
        <v>410</v>
      </c>
      <c r="F43" s="21" t="s">
        <v>1589</v>
      </c>
      <c r="G43" s="21" t="s">
        <v>103</v>
      </c>
      <c r="H43" s="404">
        <f>VLOOKUP(B43,'[5]Allocation Factor &amp;Meter Totals'!$A$8:$F$249,6,FALSE)</f>
        <v>410</v>
      </c>
      <c r="I43" s="405">
        <f>VLOOKUP(B43,'[5]Allocation Factor &amp;Meter Totals'!$A$8:$F$249,5,FALSE)</f>
        <v>329</v>
      </c>
      <c r="J43" s="406">
        <f>VLOOKUP(B43,'[5]Allocation Factor &amp;Meter Totals'!$A$8:$F$249,3,FALSE)</f>
        <v>1.4747272539009673E-4</v>
      </c>
      <c r="K43" s="407">
        <f>VLOOKUP(B43,'[5]Allocation Factor &amp;Meter Totals'!$A$8:$F$249,6,FALSE)</f>
        <v>410</v>
      </c>
      <c r="L43" s="406">
        <f>VLOOKUP(B43,'[5]Allocation Factor &amp;Meter Totals'!$A$8:$F$249,4,FALSE)</f>
        <v>7.9226180503905554E-5</v>
      </c>
      <c r="M43" s="407" t="s">
        <v>104</v>
      </c>
      <c r="N43" s="21"/>
      <c r="O43" s="21" t="s">
        <v>103</v>
      </c>
      <c r="P43" s="387">
        <v>0</v>
      </c>
      <c r="Q43" s="387">
        <v>0</v>
      </c>
    </row>
    <row r="44" spans="2:17">
      <c r="B44" s="541" t="s">
        <v>163</v>
      </c>
      <c r="C44" s="381">
        <f>VLOOKUP(B44,'[5]Allocation Factor &amp;Meter Totals'!$A$8:$F$249,6,FALSE)</f>
        <v>20254</v>
      </c>
      <c r="D44" s="381">
        <f>VLOOKUP(B44,'[5]Allocation Factor &amp;Meter Totals'!$A$8:$F$249,5,FALSE)</f>
        <v>13633</v>
      </c>
      <c r="E44" s="381">
        <f>VLOOKUP(B44,'[5]Allocation Factor &amp;Meter Totals'!$A$8:$F$249,6,FALSE)</f>
        <v>20254</v>
      </c>
      <c r="F44" s="21" t="s">
        <v>1589</v>
      </c>
      <c r="G44" s="21" t="s">
        <v>103</v>
      </c>
      <c r="H44" s="404">
        <f>VLOOKUP(B44,'[5]Allocation Factor &amp;Meter Totals'!$A$8:$F$249,6,FALSE)</f>
        <v>20254</v>
      </c>
      <c r="I44" s="405">
        <f>VLOOKUP(B44,'[5]Allocation Factor &amp;Meter Totals'!$A$8:$F$249,5,FALSE)</f>
        <v>13633</v>
      </c>
      <c r="J44" s="406">
        <f>VLOOKUP(B44,'[5]Allocation Factor &amp;Meter Totals'!$A$8:$F$249,3,FALSE)</f>
        <v>6.1109290736875042E-3</v>
      </c>
      <c r="K44" s="407">
        <f>VLOOKUP(B44,'[5]Allocation Factor &amp;Meter Totals'!$A$8:$F$249,6,FALSE)</f>
        <v>20254</v>
      </c>
      <c r="L44" s="406">
        <f>VLOOKUP(B44,'[5]Allocation Factor &amp;Meter Totals'!$A$8:$F$249,4,FALSE)</f>
        <v>3.9137733168929344E-3</v>
      </c>
      <c r="M44" s="407" t="s">
        <v>104</v>
      </c>
      <c r="N44" s="21"/>
      <c r="O44" s="21" t="s">
        <v>103</v>
      </c>
      <c r="P44" s="387">
        <v>0</v>
      </c>
      <c r="Q44" s="387">
        <v>0</v>
      </c>
    </row>
    <row r="45" spans="2:17">
      <c r="B45" s="541" t="s">
        <v>168</v>
      </c>
      <c r="C45" s="381">
        <f>VLOOKUP(B45,'[5]Allocation Factor &amp;Meter Totals'!$A$8:$F$249,6,FALSE)</f>
        <v>9798</v>
      </c>
      <c r="D45" s="381">
        <f>VLOOKUP(B45,'[5]Allocation Factor &amp;Meter Totals'!$A$8:$F$249,5,FALSE)</f>
        <v>8632</v>
      </c>
      <c r="E45" s="381">
        <f>VLOOKUP(B45,'[5]Allocation Factor &amp;Meter Totals'!$A$8:$F$249,6,FALSE)</f>
        <v>9798</v>
      </c>
      <c r="F45" s="21" t="s">
        <v>1589</v>
      </c>
      <c r="G45" s="21" t="s">
        <v>103</v>
      </c>
      <c r="H45" s="404">
        <f>VLOOKUP(B45,'[5]Allocation Factor &amp;Meter Totals'!$A$8:$F$249,6,FALSE)</f>
        <v>9798</v>
      </c>
      <c r="I45" s="405">
        <f>VLOOKUP(B45,'[5]Allocation Factor &amp;Meter Totals'!$A$8:$F$249,5,FALSE)</f>
        <v>8632</v>
      </c>
      <c r="J45" s="406">
        <f>VLOOKUP(B45,'[5]Allocation Factor &amp;Meter Totals'!$A$8:$F$249,3,FALSE)</f>
        <v>3.8692539986848479E-3</v>
      </c>
      <c r="K45" s="407">
        <f>VLOOKUP(B45,'[5]Allocation Factor &amp;Meter Totals'!$A$8:$F$249,6,FALSE)</f>
        <v>9798</v>
      </c>
      <c r="L45" s="406">
        <f>VLOOKUP(B45,'[5]Allocation Factor &amp;Meter Totals'!$A$8:$F$249,4,FALSE)</f>
        <v>1.893312479456748E-3</v>
      </c>
      <c r="M45" s="407" t="s">
        <v>104</v>
      </c>
      <c r="N45" s="21"/>
      <c r="O45" s="21" t="s">
        <v>103</v>
      </c>
      <c r="P45" s="387">
        <v>0</v>
      </c>
      <c r="Q45" s="387">
        <v>0</v>
      </c>
    </row>
    <row r="46" spans="2:17">
      <c r="B46" s="541" t="s">
        <v>174</v>
      </c>
      <c r="C46" s="381">
        <f>VLOOKUP(B46,'[5]Allocation Factor &amp;Meter Totals'!$A$8:$F$249,6,FALSE)</f>
        <v>11062</v>
      </c>
      <c r="D46" s="381">
        <f>VLOOKUP(B46,'[5]Allocation Factor &amp;Meter Totals'!$A$8:$F$249,5,FALSE)</f>
        <v>9768</v>
      </c>
      <c r="E46" s="381">
        <f>VLOOKUP(B46,'[5]Allocation Factor &amp;Meter Totals'!$A$8:$F$249,6,FALSE)</f>
        <v>11062</v>
      </c>
      <c r="F46" s="21" t="s">
        <v>1589</v>
      </c>
      <c r="G46" s="21" t="s">
        <v>103</v>
      </c>
      <c r="H46" s="404">
        <f>VLOOKUP(B46,'[5]Allocation Factor &amp;Meter Totals'!$A$8:$F$249,6,FALSE)</f>
        <v>11062</v>
      </c>
      <c r="I46" s="405">
        <f>VLOOKUP(B46,'[5]Allocation Factor &amp;Meter Totals'!$A$8:$F$249,5,FALSE)</f>
        <v>9768</v>
      </c>
      <c r="J46" s="406">
        <f>VLOOKUP(B46,'[5]Allocation Factor &amp;Meter Totals'!$A$8:$F$249,3,FALSE)</f>
        <v>4.3784607343783132E-3</v>
      </c>
      <c r="K46" s="407">
        <f>VLOOKUP(B46,'[5]Allocation Factor &amp;Meter Totals'!$A$8:$F$249,6,FALSE)</f>
        <v>11062</v>
      </c>
      <c r="L46" s="406">
        <f>VLOOKUP(B46,'[5]Allocation Factor &amp;Meter Totals'!$A$8:$F$249,4,FALSE)</f>
        <v>2.137560996912691E-3</v>
      </c>
      <c r="M46" s="407" t="s">
        <v>104</v>
      </c>
      <c r="N46" s="21"/>
      <c r="O46" s="21" t="s">
        <v>103</v>
      </c>
      <c r="P46" s="387">
        <v>0</v>
      </c>
      <c r="Q46" s="387">
        <v>0</v>
      </c>
    </row>
    <row r="47" spans="2:17">
      <c r="B47" s="541" t="s">
        <v>179</v>
      </c>
      <c r="C47" s="381">
        <f>VLOOKUP(B47,'[5]Allocation Factor &amp;Meter Totals'!$A$8:$F$249,6,FALSE)</f>
        <v>26780</v>
      </c>
      <c r="D47" s="381">
        <f>VLOOKUP(B47,'[5]Allocation Factor &amp;Meter Totals'!$A$8:$F$249,5,FALSE)</f>
        <v>17975</v>
      </c>
      <c r="E47" s="381">
        <f>VLOOKUP(B47,'[5]Allocation Factor &amp;Meter Totals'!$A$8:$F$249,6,FALSE)</f>
        <v>26780</v>
      </c>
      <c r="F47" s="21" t="s">
        <v>1589</v>
      </c>
      <c r="G47" s="21" t="s">
        <v>103</v>
      </c>
      <c r="H47" s="404">
        <f>VLOOKUP(B47,'[5]Allocation Factor &amp;Meter Totals'!$A$8:$F$249,6,FALSE)</f>
        <v>26780</v>
      </c>
      <c r="I47" s="405">
        <f>VLOOKUP(B47,'[5]Allocation Factor &amp;Meter Totals'!$A$8:$F$249,5,FALSE)</f>
        <v>17975</v>
      </c>
      <c r="J47" s="406">
        <f>VLOOKUP(B47,'[5]Allocation Factor &amp;Meter Totals'!$A$8:$F$249,3,FALSE)</f>
        <v>8.0572104525440391E-3</v>
      </c>
      <c r="K47" s="407">
        <f>VLOOKUP(B47,'[5]Allocation Factor &amp;Meter Totals'!$A$8:$F$249,6,FALSE)</f>
        <v>26780</v>
      </c>
      <c r="L47" s="406">
        <f>VLOOKUP(B47,'[5]Allocation Factor &amp;Meter Totals'!$A$8:$F$249,4,FALSE)</f>
        <v>5.1748222290111971E-3</v>
      </c>
      <c r="M47" s="407" t="s">
        <v>104</v>
      </c>
      <c r="N47" s="21"/>
      <c r="O47" s="21" t="s">
        <v>103</v>
      </c>
      <c r="P47" s="387">
        <v>0</v>
      </c>
      <c r="Q47" s="387">
        <v>0</v>
      </c>
    </row>
    <row r="48" spans="2:17">
      <c r="B48" s="541" t="s">
        <v>184</v>
      </c>
      <c r="C48" s="381">
        <f>VLOOKUP(B48,'[5]Allocation Factor &amp;Meter Totals'!$A$8:$F$249,6,FALSE)</f>
        <v>19951</v>
      </c>
      <c r="D48" s="381">
        <f>VLOOKUP(B48,'[5]Allocation Factor &amp;Meter Totals'!$A$8:$F$249,5,FALSE)</f>
        <v>10898</v>
      </c>
      <c r="E48" s="381">
        <f>VLOOKUP(B48,'[5]Allocation Factor &amp;Meter Totals'!$A$8:$F$249,6,FALSE)</f>
        <v>19951</v>
      </c>
      <c r="F48" s="21" t="s">
        <v>1589</v>
      </c>
      <c r="G48" s="21" t="s">
        <v>103</v>
      </c>
      <c r="H48" s="404">
        <f>VLOOKUP(B48,'[5]Allocation Factor &amp;Meter Totals'!$A$8:$F$249,6,FALSE)</f>
        <v>19951</v>
      </c>
      <c r="I48" s="405">
        <f>VLOOKUP(B48,'[5]Allocation Factor &amp;Meter Totals'!$A$8:$F$249,5,FALSE)</f>
        <v>10898</v>
      </c>
      <c r="J48" s="406">
        <f>VLOOKUP(B48,'[5]Allocation Factor &amp;Meter Totals'!$A$8:$F$249,3,FALSE)</f>
        <v>4.8849779978762135E-3</v>
      </c>
      <c r="K48" s="407">
        <f>VLOOKUP(B48,'[5]Allocation Factor &amp;Meter Totals'!$A$8:$F$249,6,FALSE)</f>
        <v>19951</v>
      </c>
      <c r="L48" s="406">
        <f>VLOOKUP(B48,'[5]Allocation Factor &amp;Meter Totals'!$A$8:$F$249,4,FALSE)</f>
        <v>3.8552232371546827E-3</v>
      </c>
      <c r="M48" s="407" t="s">
        <v>110</v>
      </c>
      <c r="N48" s="21"/>
      <c r="O48" s="21" t="s">
        <v>103</v>
      </c>
      <c r="P48" s="387">
        <v>0</v>
      </c>
      <c r="Q48" s="387">
        <v>0</v>
      </c>
    </row>
    <row r="49" spans="2:17">
      <c r="B49" s="541" t="s">
        <v>188</v>
      </c>
      <c r="C49" s="381">
        <f>VLOOKUP(B49,'[5]Allocation Factor &amp;Meter Totals'!$A$8:$F$249,6,FALSE)</f>
        <v>409</v>
      </c>
      <c r="D49" s="381">
        <f>VLOOKUP(B49,'[5]Allocation Factor &amp;Meter Totals'!$A$8:$F$249,5,FALSE)</f>
        <v>226</v>
      </c>
      <c r="E49" s="381">
        <f>VLOOKUP(B49,'[5]Allocation Factor &amp;Meter Totals'!$A$8:$F$249,6,FALSE)</f>
        <v>409</v>
      </c>
      <c r="F49" s="21" t="s">
        <v>1589</v>
      </c>
      <c r="G49" s="21" t="s">
        <v>103</v>
      </c>
      <c r="H49" s="404">
        <f>VLOOKUP(B49,'[5]Allocation Factor &amp;Meter Totals'!$A$8:$F$249,6,FALSE)</f>
        <v>409</v>
      </c>
      <c r="I49" s="405">
        <f>VLOOKUP(B49,'[5]Allocation Factor &amp;Meter Totals'!$A$8:$F$249,5,FALSE)</f>
        <v>226</v>
      </c>
      <c r="J49" s="406">
        <f>VLOOKUP(B49,'[5]Allocation Factor &amp;Meter Totals'!$A$8:$F$249,3,FALSE)</f>
        <v>1.0130345269958012E-4</v>
      </c>
      <c r="K49" s="407">
        <f>VLOOKUP(B49,'[5]Allocation Factor &amp;Meter Totals'!$A$8:$F$249,6,FALSE)</f>
        <v>409</v>
      </c>
      <c r="L49" s="406">
        <f>VLOOKUP(B49,'[5]Allocation Factor &amp;Meter Totals'!$A$8:$F$249,4,FALSE)</f>
        <v>7.9032945917310664E-5</v>
      </c>
      <c r="M49" s="407" t="s">
        <v>110</v>
      </c>
      <c r="N49" s="21"/>
      <c r="O49" s="21" t="s">
        <v>103</v>
      </c>
      <c r="P49" s="387">
        <v>0</v>
      </c>
      <c r="Q49" s="387">
        <v>0</v>
      </c>
    </row>
    <row r="50" spans="2:17">
      <c r="B50" s="541" t="s">
        <v>189</v>
      </c>
      <c r="C50" s="440">
        <f>VLOOKUP(B50,'[5]Allocation Factor &amp;Meter Totals'!$A$8:$F$249,6,FALSE)</f>
        <v>10439</v>
      </c>
      <c r="D50" s="440">
        <f>VLOOKUP(B50,'[5]Allocation Factor &amp;Meter Totals'!$A$8:$F$249,5,FALSE)</f>
        <v>1189</v>
      </c>
      <c r="E50" s="440">
        <f>VLOOKUP(B50,'[5]Allocation Factor &amp;Meter Totals'!$A$8:$F$249,6,FALSE)</f>
        <v>10439</v>
      </c>
      <c r="F50" s="441" t="s">
        <v>1589</v>
      </c>
      <c r="G50" s="441" t="s">
        <v>103</v>
      </c>
      <c r="H50" s="442">
        <f>VLOOKUP(B50,'[5]Allocation Factor &amp;Meter Totals'!$A$8:$F$249,6,FALSE)</f>
        <v>10439</v>
      </c>
      <c r="I50" s="443">
        <f>VLOOKUP(B50,'[5]Allocation Factor &amp;Meter Totals'!$A$8:$F$249,5,FALSE)</f>
        <v>1189</v>
      </c>
      <c r="J50" s="444">
        <f>VLOOKUP(B50,'[5]Allocation Factor &amp;Meter Totals'!$A$8:$F$249,3,FALSE)</f>
        <v>5.3296374008761404E-4</v>
      </c>
      <c r="K50" s="445">
        <f>VLOOKUP(B50,'[5]Allocation Factor &amp;Meter Totals'!$A$8:$F$249,6,FALSE)</f>
        <v>10439</v>
      </c>
      <c r="L50" s="444">
        <f>VLOOKUP(B50,'[5]Allocation Factor &amp;Meter Totals'!$A$8:$F$249,4,FALSE)</f>
        <v>2.0171758494640737E-3</v>
      </c>
      <c r="M50" s="445" t="s">
        <v>110</v>
      </c>
      <c r="N50" s="441"/>
      <c r="O50" s="446" t="s">
        <v>1609</v>
      </c>
      <c r="P50" s="447">
        <v>0</v>
      </c>
      <c r="Q50" s="447">
        <v>0</v>
      </c>
    </row>
    <row r="51" spans="2:17">
      <c r="B51" s="541" t="s">
        <v>190</v>
      </c>
      <c r="C51" s="381">
        <f>VLOOKUP(B51,'[5]Allocation Factor &amp;Meter Totals'!$A$8:$F$249,6,FALSE)</f>
        <v>30431</v>
      </c>
      <c r="D51" s="381">
        <f>VLOOKUP(B51,'[5]Allocation Factor &amp;Meter Totals'!$A$8:$F$249,5,FALSE)</f>
        <v>19374</v>
      </c>
      <c r="E51" s="381">
        <f>VLOOKUP(B51,'[5]Allocation Factor &amp;Meter Totals'!$A$8:$F$249,6,FALSE)</f>
        <v>30431</v>
      </c>
      <c r="F51" s="21" t="s">
        <v>1589</v>
      </c>
      <c r="G51" s="21" t="s">
        <v>103</v>
      </c>
      <c r="H51" s="404">
        <f>VLOOKUP(B51,'[5]Allocation Factor &amp;Meter Totals'!$A$8:$F$249,6,FALSE)</f>
        <v>30431</v>
      </c>
      <c r="I51" s="405">
        <f>VLOOKUP(B51,'[5]Allocation Factor &amp;Meter Totals'!$A$8:$F$249,5,FALSE)</f>
        <v>19374</v>
      </c>
      <c r="J51" s="406">
        <f>VLOOKUP(B51,'[5]Allocation Factor &amp;Meter Totals'!$A$8:$F$249,3,FALSE)</f>
        <v>8.6843057194763949E-3</v>
      </c>
      <c r="K51" s="407">
        <f>VLOOKUP(B51,'[5]Allocation Factor &amp;Meter Totals'!$A$8:$F$249,6,FALSE)</f>
        <v>30431</v>
      </c>
      <c r="L51" s="406">
        <f>VLOOKUP(B51,'[5]Allocation Factor &amp;Meter Totals'!$A$8:$F$249,4,FALSE)</f>
        <v>5.8803217046691468E-3</v>
      </c>
      <c r="M51" s="407" t="s">
        <v>104</v>
      </c>
      <c r="N51" s="21"/>
      <c r="O51" s="21" t="s">
        <v>103</v>
      </c>
      <c r="P51" s="387">
        <v>0</v>
      </c>
      <c r="Q51" s="387">
        <v>0</v>
      </c>
    </row>
    <row r="52" spans="2:17">
      <c r="B52" s="541" t="s">
        <v>201</v>
      </c>
      <c r="C52" s="381">
        <f>VLOOKUP(B52,'[5]Allocation Factor &amp;Meter Totals'!$A$8:$F$249,6,FALSE)</f>
        <v>18713</v>
      </c>
      <c r="D52" s="381">
        <f>VLOOKUP(B52,'[5]Allocation Factor &amp;Meter Totals'!$A$8:$F$249,5,FALSE)</f>
        <v>1672</v>
      </c>
      <c r="E52" s="381">
        <f>VLOOKUP(B52,'[5]Allocation Factor &amp;Meter Totals'!$A$8:$F$249,6,FALSE)</f>
        <v>18713</v>
      </c>
      <c r="F52" s="21" t="s">
        <v>1589</v>
      </c>
      <c r="G52" s="21" t="s">
        <v>103</v>
      </c>
      <c r="H52" s="404">
        <f>VLOOKUP(B52,'[5]Allocation Factor &amp;Meter Totals'!$A$8:$F$249,6,FALSE)</f>
        <v>18713</v>
      </c>
      <c r="I52" s="405">
        <f>VLOOKUP(B52,'[5]Allocation Factor &amp;Meter Totals'!$A$8:$F$249,5,FALSE)</f>
        <v>1672</v>
      </c>
      <c r="J52" s="406">
        <f>VLOOKUP(B52,'[5]Allocation Factor &amp;Meter Totals'!$A$8:$F$249,3,FALSE)</f>
        <v>7.4946625183052199E-4</v>
      </c>
      <c r="K52" s="407">
        <f>VLOOKUP(B52,'[5]Allocation Factor &amp;Meter Totals'!$A$8:$F$249,6,FALSE)</f>
        <v>18713</v>
      </c>
      <c r="L52" s="406">
        <f>VLOOKUP(B52,'[5]Allocation Factor &amp;Meter Totals'!$A$8:$F$249,4,FALSE)</f>
        <v>3.6159988189502067E-3</v>
      </c>
      <c r="M52" s="407" t="s">
        <v>110</v>
      </c>
      <c r="N52" s="21"/>
      <c r="O52" s="21" t="s">
        <v>103</v>
      </c>
      <c r="P52" s="387">
        <v>0</v>
      </c>
      <c r="Q52" s="387">
        <v>0</v>
      </c>
    </row>
    <row r="53" spans="2:17">
      <c r="B53" s="541" t="s">
        <v>206</v>
      </c>
      <c r="C53" s="381">
        <f>VLOOKUP(B53,'[5]Allocation Factor &amp;Meter Totals'!$A$8:$F$249,6,FALSE)</f>
        <v>13510</v>
      </c>
      <c r="D53" s="381">
        <f>VLOOKUP(B53,'[5]Allocation Factor &amp;Meter Totals'!$A$8:$F$249,5,FALSE)</f>
        <v>6774</v>
      </c>
      <c r="E53" s="381">
        <f>VLOOKUP(B53,'[5]Allocation Factor &amp;Meter Totals'!$A$8:$F$249,6,FALSE)</f>
        <v>13510</v>
      </c>
      <c r="F53" s="21" t="s">
        <v>1589</v>
      </c>
      <c r="G53" s="21" t="s">
        <v>103</v>
      </c>
      <c r="H53" s="404">
        <f>VLOOKUP(B53,'[5]Allocation Factor &amp;Meter Totals'!$A$8:$F$249,6,FALSE)</f>
        <v>13510</v>
      </c>
      <c r="I53" s="405">
        <f>VLOOKUP(B53,'[5]Allocation Factor &amp;Meter Totals'!$A$8:$F$249,5,FALSE)</f>
        <v>6774</v>
      </c>
      <c r="J53" s="406">
        <f>VLOOKUP(B53,'[5]Allocation Factor &amp;Meter Totals'!$A$8:$F$249,3,FALSE)</f>
        <v>3.03641410879184E-3</v>
      </c>
      <c r="K53" s="407">
        <f>VLOOKUP(B53,'[5]Allocation Factor &amp;Meter Totals'!$A$8:$F$249,6,FALSE)</f>
        <v>13510</v>
      </c>
      <c r="L53" s="406">
        <f>VLOOKUP(B53,'[5]Allocation Factor &amp;Meter Totals'!$A$8:$F$249,4,FALSE)</f>
        <v>2.6105992648969858E-3</v>
      </c>
      <c r="M53" s="407" t="s">
        <v>110</v>
      </c>
      <c r="N53" s="21"/>
      <c r="O53" s="21" t="s">
        <v>103</v>
      </c>
      <c r="P53" s="387">
        <v>0</v>
      </c>
      <c r="Q53" s="387">
        <v>0</v>
      </c>
    </row>
    <row r="54" spans="2:17">
      <c r="B54" s="541" t="s">
        <v>207</v>
      </c>
      <c r="C54" s="381">
        <f>VLOOKUP(B54,'[5]Allocation Factor &amp;Meter Totals'!$A$8:$F$249,6,FALSE)</f>
        <v>6337</v>
      </c>
      <c r="D54" s="381">
        <f>VLOOKUP(B54,'[5]Allocation Factor &amp;Meter Totals'!$A$8:$F$249,5,FALSE)</f>
        <v>4197</v>
      </c>
      <c r="E54" s="381">
        <f>VLOOKUP(B54,'[5]Allocation Factor &amp;Meter Totals'!$A$8:$F$249,6,FALSE)</f>
        <v>6337</v>
      </c>
      <c r="F54" s="21" t="s">
        <v>1589</v>
      </c>
      <c r="G54" s="21" t="s">
        <v>103</v>
      </c>
      <c r="H54" s="404">
        <f>VLOOKUP(B54,'[5]Allocation Factor &amp;Meter Totals'!$A$8:$F$249,6,FALSE)</f>
        <v>6337</v>
      </c>
      <c r="I54" s="405">
        <f>VLOOKUP(B54,'[5]Allocation Factor &amp;Meter Totals'!$A$8:$F$249,5,FALSE)</f>
        <v>4197</v>
      </c>
      <c r="J54" s="406">
        <f>VLOOKUP(B54,'[5]Allocation Factor &amp;Meter Totals'!$A$8:$F$249,3,FALSE)</f>
        <v>1.8812858007970698E-3</v>
      </c>
      <c r="K54" s="407">
        <f>VLOOKUP(B54,'[5]Allocation Factor &amp;Meter Totals'!$A$8:$F$249,6,FALSE)</f>
        <v>6337</v>
      </c>
      <c r="L54" s="406">
        <f>VLOOKUP(B54,'[5]Allocation Factor &amp;Meter Totals'!$A$8:$F$249,4,FALSE)</f>
        <v>1.2245275752518282E-3</v>
      </c>
      <c r="M54" s="407" t="s">
        <v>104</v>
      </c>
      <c r="N54" s="21"/>
      <c r="O54" s="21" t="s">
        <v>103</v>
      </c>
      <c r="P54" s="387">
        <v>0</v>
      </c>
      <c r="Q54" s="387">
        <v>0</v>
      </c>
    </row>
    <row r="55" spans="2:17">
      <c r="B55" s="541" t="s">
        <v>208</v>
      </c>
      <c r="C55" s="381">
        <f>VLOOKUP(B55,'[5]Allocation Factor &amp;Meter Totals'!$A$8:$F$249,6,FALSE)</f>
        <v>27502</v>
      </c>
      <c r="D55" s="381">
        <f>VLOOKUP(B55,'[5]Allocation Factor &amp;Meter Totals'!$A$8:$F$249,5,FALSE)</f>
        <v>22601</v>
      </c>
      <c r="E55" s="381">
        <f>VLOOKUP(B55,'[5]Allocation Factor &amp;Meter Totals'!$A$8:$F$249,6,FALSE)</f>
        <v>27502</v>
      </c>
      <c r="F55" s="21" t="s">
        <v>1589</v>
      </c>
      <c r="G55" s="21" t="s">
        <v>103</v>
      </c>
      <c r="H55" s="404">
        <f>VLOOKUP(B55,'[5]Allocation Factor &amp;Meter Totals'!$A$8:$F$249,6,FALSE)</f>
        <v>27502</v>
      </c>
      <c r="I55" s="405">
        <f>VLOOKUP(B55,'[5]Allocation Factor &amp;Meter Totals'!$A$8:$F$249,5,FALSE)</f>
        <v>22601</v>
      </c>
      <c r="J55" s="406">
        <f>VLOOKUP(B55,'[5]Allocation Factor &amp;Meter Totals'!$A$8:$F$249,3,FALSE)</f>
        <v>1.0130793515323941E-2</v>
      </c>
      <c r="K55" s="407">
        <f>VLOOKUP(B55,'[5]Allocation Factor &amp;Meter Totals'!$A$8:$F$249,6,FALSE)</f>
        <v>27502</v>
      </c>
      <c r="L55" s="406">
        <f>VLOOKUP(B55,'[5]Allocation Factor &amp;Meter Totals'!$A$8:$F$249,4,FALSE)</f>
        <v>5.3143376005327092E-3</v>
      </c>
      <c r="M55" s="407" t="s">
        <v>104</v>
      </c>
      <c r="N55" s="21"/>
      <c r="O55" s="21" t="s">
        <v>103</v>
      </c>
      <c r="P55" s="387">
        <v>0</v>
      </c>
      <c r="Q55" s="387">
        <v>0</v>
      </c>
    </row>
    <row r="56" spans="2:17">
      <c r="B56" s="541" t="s">
        <v>211</v>
      </c>
      <c r="C56" s="381">
        <f>VLOOKUP(B56,'[5]Allocation Factor &amp;Meter Totals'!$A$8:$F$249,6,FALSE)</f>
        <v>19818</v>
      </c>
      <c r="D56" s="381">
        <f>VLOOKUP(B56,'[5]Allocation Factor &amp;Meter Totals'!$A$8:$F$249,5,FALSE)</f>
        <v>12991</v>
      </c>
      <c r="E56" s="381">
        <f>VLOOKUP(B56,'[5]Allocation Factor &amp;Meter Totals'!$A$8:$F$249,6,FALSE)</f>
        <v>19818</v>
      </c>
      <c r="F56" s="21" t="s">
        <v>1589</v>
      </c>
      <c r="G56" s="21" t="s">
        <v>103</v>
      </c>
      <c r="H56" s="404">
        <f>VLOOKUP(B56,'[5]Allocation Factor &amp;Meter Totals'!$A$8:$F$249,6,FALSE)</f>
        <v>19818</v>
      </c>
      <c r="I56" s="405">
        <f>VLOOKUP(B56,'[5]Allocation Factor &amp;Meter Totals'!$A$8:$F$249,5,FALSE)</f>
        <v>12991</v>
      </c>
      <c r="J56" s="406">
        <f>VLOOKUP(B56,'[5]Allocation Factor &amp;Meter Totals'!$A$8:$F$249,3,FALSE)</f>
        <v>5.8231555487621477E-3</v>
      </c>
      <c r="K56" s="407">
        <f>VLOOKUP(B56,'[5]Allocation Factor &amp;Meter Totals'!$A$8:$F$249,6,FALSE)</f>
        <v>19818</v>
      </c>
      <c r="L56" s="406">
        <f>VLOOKUP(B56,'[5]Allocation Factor &amp;Meter Totals'!$A$8:$F$249,4,FALSE)</f>
        <v>3.8295230371375622E-3</v>
      </c>
      <c r="M56" s="407" t="s">
        <v>104</v>
      </c>
      <c r="N56" s="21"/>
      <c r="O56" s="21" t="s">
        <v>103</v>
      </c>
      <c r="P56" s="387">
        <v>0</v>
      </c>
      <c r="Q56" s="387">
        <v>0</v>
      </c>
    </row>
    <row r="57" spans="2:17">
      <c r="B57" s="541" t="s">
        <v>212</v>
      </c>
      <c r="C57" s="381">
        <f>VLOOKUP(B57,'[5]Allocation Factor &amp;Meter Totals'!$A$8:$F$249,6,FALSE)</f>
        <v>6090</v>
      </c>
      <c r="D57" s="381">
        <f>VLOOKUP(B57,'[5]Allocation Factor &amp;Meter Totals'!$A$8:$F$249,5,FALSE)</f>
        <v>4808</v>
      </c>
      <c r="E57" s="381">
        <f>VLOOKUP(B57,'[5]Allocation Factor &amp;Meter Totals'!$A$8:$F$249,6,FALSE)</f>
        <v>6090</v>
      </c>
      <c r="F57" s="21" t="s">
        <v>1589</v>
      </c>
      <c r="G57" s="21" t="s">
        <v>103</v>
      </c>
      <c r="H57" s="404">
        <f>VLOOKUP(B57,'[5]Allocation Factor &amp;Meter Totals'!$A$8:$F$249,6,FALSE)</f>
        <v>6090</v>
      </c>
      <c r="I57" s="405">
        <f>VLOOKUP(B57,'[5]Allocation Factor &amp;Meter Totals'!$A$8:$F$249,5,FALSE)</f>
        <v>4808</v>
      </c>
      <c r="J57" s="406">
        <f>VLOOKUP(B57,'[5]Allocation Factor &amp;Meter Totals'!$A$8:$F$249,3,FALSE)</f>
        <v>2.155163719378678E-3</v>
      </c>
      <c r="K57" s="407">
        <f>VLOOKUP(B57,'[5]Allocation Factor &amp;Meter Totals'!$A$8:$F$249,6,FALSE)</f>
        <v>6090</v>
      </c>
      <c r="L57" s="406">
        <f>VLOOKUP(B57,'[5]Allocation Factor &amp;Meter Totals'!$A$8:$F$249,4,FALSE)</f>
        <v>1.1767986323628899E-3</v>
      </c>
      <c r="M57" s="407" t="s">
        <v>104</v>
      </c>
      <c r="N57" s="21"/>
      <c r="O57" s="21" t="s">
        <v>103</v>
      </c>
      <c r="P57" s="387">
        <v>0</v>
      </c>
      <c r="Q57" s="387">
        <v>0</v>
      </c>
    </row>
    <row r="58" spans="2:17">
      <c r="B58" s="541" t="s">
        <v>218</v>
      </c>
      <c r="C58" s="381">
        <f>VLOOKUP(B58,'[5]Allocation Factor &amp;Meter Totals'!$A$8:$F$249,6,FALSE)</f>
        <v>20181</v>
      </c>
      <c r="D58" s="381">
        <f>VLOOKUP(B58,'[5]Allocation Factor &amp;Meter Totals'!$A$8:$F$249,5,FALSE)</f>
        <v>11324</v>
      </c>
      <c r="E58" s="381">
        <f>VLOOKUP(B58,'[5]Allocation Factor &amp;Meter Totals'!$A$8:$F$249,6,FALSE)</f>
        <v>20181</v>
      </c>
      <c r="F58" s="21" t="s">
        <v>1589</v>
      </c>
      <c r="G58" s="21" t="s">
        <v>103</v>
      </c>
      <c r="H58" s="404">
        <f>VLOOKUP(B58,'[5]Allocation Factor &amp;Meter Totals'!$A$8:$F$249,6,FALSE)</f>
        <v>20181</v>
      </c>
      <c r="I58" s="405">
        <f>VLOOKUP(B58,'[5]Allocation Factor &amp;Meter Totals'!$A$8:$F$249,5,FALSE)</f>
        <v>11324</v>
      </c>
      <c r="J58" s="406">
        <f>VLOOKUP(B58,'[5]Allocation Factor &amp;Meter Totals'!$A$8:$F$249,3,FALSE)</f>
        <v>5.0759305237612629E-3</v>
      </c>
      <c r="K58" s="407">
        <f>VLOOKUP(B58,'[5]Allocation Factor &amp;Meter Totals'!$A$8:$F$249,6,FALSE)</f>
        <v>20181</v>
      </c>
      <c r="L58" s="406">
        <f>VLOOKUP(B58,'[5]Allocation Factor &amp;Meter Totals'!$A$8:$F$249,4,FALSE)</f>
        <v>3.8996671920715075E-3</v>
      </c>
      <c r="M58" s="407" t="s">
        <v>110</v>
      </c>
      <c r="N58" s="21"/>
      <c r="O58" s="21" t="s">
        <v>103</v>
      </c>
      <c r="P58" s="387">
        <v>0</v>
      </c>
      <c r="Q58" s="387">
        <v>0</v>
      </c>
    </row>
    <row r="59" spans="2:17">
      <c r="B59" s="541" t="s">
        <v>226</v>
      </c>
      <c r="C59" s="381">
        <f>VLOOKUP(B59,'[5]Allocation Factor &amp;Meter Totals'!$A$8:$F$249,6,FALSE)</f>
        <v>21314</v>
      </c>
      <c r="D59" s="381">
        <f>VLOOKUP(B59,'[5]Allocation Factor &amp;Meter Totals'!$A$8:$F$249,5,FALSE)</f>
        <v>3204</v>
      </c>
      <c r="E59" s="381">
        <f>VLOOKUP(B59,'[5]Allocation Factor &amp;Meter Totals'!$A$8:$F$249,6,FALSE)</f>
        <v>21314</v>
      </c>
      <c r="F59" s="21" t="s">
        <v>1589</v>
      </c>
      <c r="G59" s="21" t="s">
        <v>103</v>
      </c>
      <c r="H59" s="404">
        <f>VLOOKUP(B59,'[5]Allocation Factor &amp;Meter Totals'!$A$8:$F$249,6,FALSE)</f>
        <v>21314</v>
      </c>
      <c r="I59" s="405">
        <f>VLOOKUP(B59,'[5]Allocation Factor &amp;Meter Totals'!$A$8:$F$249,5,FALSE)</f>
        <v>3204</v>
      </c>
      <c r="J59" s="406">
        <f>VLOOKUP(B59,'[5]Allocation Factor &amp;Meter Totals'!$A$8:$F$249,3,FALSE)</f>
        <v>1.4361781524312156E-3</v>
      </c>
      <c r="K59" s="407">
        <f>VLOOKUP(B59,'[5]Allocation Factor &amp;Meter Totals'!$A$8:$F$249,6,FALSE)</f>
        <v>21314</v>
      </c>
      <c r="L59" s="406">
        <f>VLOOKUP(B59,'[5]Allocation Factor &amp;Meter Totals'!$A$8:$F$249,4,FALSE)</f>
        <v>4.11860197868352E-3</v>
      </c>
      <c r="M59" s="407" t="s">
        <v>110</v>
      </c>
      <c r="N59" s="21"/>
      <c r="O59" s="21" t="s">
        <v>103</v>
      </c>
      <c r="P59" s="387">
        <v>0</v>
      </c>
      <c r="Q59" s="387">
        <v>0</v>
      </c>
    </row>
    <row r="60" spans="2:17">
      <c r="B60" s="541" t="s">
        <v>227</v>
      </c>
      <c r="C60" s="381">
        <f>VLOOKUP(B60,'[5]Allocation Factor &amp;Meter Totals'!$A$8:$F$249,6,FALSE)</f>
        <v>39061</v>
      </c>
      <c r="D60" s="381">
        <f>VLOOKUP(B60,'[5]Allocation Factor &amp;Meter Totals'!$A$8:$F$249,5,FALSE)</f>
        <v>30482</v>
      </c>
      <c r="E60" s="381">
        <f>VLOOKUP(B60,'[5]Allocation Factor &amp;Meter Totals'!$A$8:$F$249,6,FALSE)</f>
        <v>39061</v>
      </c>
      <c r="F60" s="21" t="s">
        <v>1589</v>
      </c>
      <c r="G60" s="21" t="s">
        <v>103</v>
      </c>
      <c r="H60" s="404">
        <f>VLOOKUP(B60,'[5]Allocation Factor &amp;Meter Totals'!$A$8:$F$249,6,FALSE)</f>
        <v>39061</v>
      </c>
      <c r="I60" s="405">
        <f>VLOOKUP(B60,'[5]Allocation Factor &amp;Meter Totals'!$A$8:$F$249,5,FALSE)</f>
        <v>30482</v>
      </c>
      <c r="J60" s="406">
        <f>VLOOKUP(B60,'[5]Allocation Factor &amp;Meter Totals'!$A$8:$F$249,3,FALSE)</f>
        <v>1.3663415244197352E-2</v>
      </c>
      <c r="K60" s="407">
        <f>VLOOKUP(B60,'[5]Allocation Factor &amp;Meter Totals'!$A$8:$F$249,6,FALSE)</f>
        <v>39061</v>
      </c>
      <c r="L60" s="406">
        <f>VLOOKUP(B60,'[5]Allocation Factor &amp;Meter Totals'!$A$8:$F$249,4,FALSE)</f>
        <v>7.5479361869830609E-3</v>
      </c>
      <c r="M60" s="407" t="s">
        <v>104</v>
      </c>
      <c r="N60" s="21"/>
      <c r="O60" s="21" t="s">
        <v>103</v>
      </c>
      <c r="P60" s="387">
        <v>0</v>
      </c>
      <c r="Q60" s="387">
        <v>0</v>
      </c>
    </row>
    <row r="61" spans="2:17">
      <c r="B61" s="541" t="s">
        <v>235</v>
      </c>
      <c r="C61" s="381">
        <f>VLOOKUP(B61,'[5]Allocation Factor &amp;Meter Totals'!$A$8:$F$249,6,FALSE)</f>
        <v>7830</v>
      </c>
      <c r="D61" s="381">
        <f>VLOOKUP(B61,'[5]Allocation Factor &amp;Meter Totals'!$A$8:$F$249,5,FALSE)</f>
        <v>4007</v>
      </c>
      <c r="E61" s="381">
        <f>VLOOKUP(B61,'[5]Allocation Factor &amp;Meter Totals'!$A$8:$F$249,6,FALSE)</f>
        <v>7830</v>
      </c>
      <c r="F61" s="21" t="s">
        <v>1589</v>
      </c>
      <c r="G61" s="21" t="s">
        <v>103</v>
      </c>
      <c r="H61" s="404">
        <f>VLOOKUP(B61,'[5]Allocation Factor &amp;Meter Totals'!$A$8:$F$249,6,FALSE)</f>
        <v>7830</v>
      </c>
      <c r="I61" s="405">
        <f>VLOOKUP(B61,'[5]Allocation Factor &amp;Meter Totals'!$A$8:$F$249,5,FALSE)</f>
        <v>4007</v>
      </c>
      <c r="J61" s="406">
        <f>VLOOKUP(B61,'[5]Allocation Factor &amp;Meter Totals'!$A$8:$F$249,3,FALSE)</f>
        <v>1.7961191812708743E-3</v>
      </c>
      <c r="K61" s="407">
        <f>VLOOKUP(B61,'[5]Allocation Factor &amp;Meter Totals'!$A$8:$F$249,6,FALSE)</f>
        <v>7830</v>
      </c>
      <c r="L61" s="406">
        <f>VLOOKUP(B61,'[5]Allocation Factor &amp;Meter Totals'!$A$8:$F$249,4,FALSE)</f>
        <v>1.5130268130380013E-3</v>
      </c>
      <c r="M61" s="407" t="s">
        <v>104</v>
      </c>
      <c r="N61" s="21"/>
      <c r="O61" s="21" t="s">
        <v>103</v>
      </c>
      <c r="P61" s="387">
        <v>0</v>
      </c>
      <c r="Q61" s="387">
        <v>0</v>
      </c>
    </row>
    <row r="62" spans="2:17">
      <c r="B62" s="541" t="s">
        <v>236</v>
      </c>
      <c r="C62" s="381">
        <f>VLOOKUP(B62,'[5]Allocation Factor &amp;Meter Totals'!$A$8:$F$249,6,FALSE)</f>
        <v>32757</v>
      </c>
      <c r="D62" s="381">
        <f>VLOOKUP(B62,'[5]Allocation Factor &amp;Meter Totals'!$A$8:$F$249,5,FALSE)</f>
        <v>24065</v>
      </c>
      <c r="E62" s="381">
        <f>VLOOKUP(B62,'[5]Allocation Factor &amp;Meter Totals'!$A$8:$F$249,6,FALSE)</f>
        <v>32757</v>
      </c>
      <c r="F62" s="21" t="s">
        <v>1589</v>
      </c>
      <c r="G62" s="21" t="s">
        <v>103</v>
      </c>
      <c r="H62" s="404">
        <f>VLOOKUP(B62,'[5]Allocation Factor &amp;Meter Totals'!$A$8:$F$249,6,FALSE)</f>
        <v>32757</v>
      </c>
      <c r="I62" s="405">
        <f>VLOOKUP(B62,'[5]Allocation Factor &amp;Meter Totals'!$A$8:$F$249,5,FALSE)</f>
        <v>24065</v>
      </c>
      <c r="J62" s="406">
        <f>VLOOKUP(B62,'[5]Allocation Factor &amp;Meter Totals'!$A$8:$F$249,3,FALSE)</f>
        <v>1.0787024731041574E-2</v>
      </c>
      <c r="K62" s="407">
        <f>VLOOKUP(B62,'[5]Allocation Factor &amp;Meter Totals'!$A$8:$F$249,6,FALSE)</f>
        <v>32757</v>
      </c>
      <c r="L62" s="406">
        <f>VLOOKUP(B62,'[5]Allocation Factor &amp;Meter Totals'!$A$8:$F$249,4,FALSE)</f>
        <v>6.3297853530888647E-3</v>
      </c>
      <c r="M62" s="407" t="s">
        <v>104</v>
      </c>
      <c r="N62" s="21"/>
      <c r="O62" s="21" t="s">
        <v>103</v>
      </c>
      <c r="P62" s="387">
        <v>0</v>
      </c>
      <c r="Q62" s="387">
        <v>0</v>
      </c>
    </row>
    <row r="63" spans="2:17">
      <c r="B63" s="541" t="s">
        <v>237</v>
      </c>
      <c r="C63" s="381">
        <f>VLOOKUP(B63,'[5]Allocation Factor &amp;Meter Totals'!$A$8:$F$249,6,FALSE)</f>
        <v>9427</v>
      </c>
      <c r="D63" s="381">
        <f>VLOOKUP(B63,'[5]Allocation Factor &amp;Meter Totals'!$A$8:$F$249,5,FALSE)</f>
        <v>6275</v>
      </c>
      <c r="E63" s="381">
        <f>VLOOKUP(B63,'[5]Allocation Factor &amp;Meter Totals'!$A$8:$F$249,6,FALSE)</f>
        <v>9427</v>
      </c>
      <c r="F63" s="21" t="s">
        <v>1589</v>
      </c>
      <c r="G63" s="21" t="s">
        <v>103</v>
      </c>
      <c r="H63" s="404">
        <f>VLOOKUP(B63,'[5]Allocation Factor &amp;Meter Totals'!$A$8:$F$249,6,FALSE)</f>
        <v>9427</v>
      </c>
      <c r="I63" s="405">
        <f>VLOOKUP(B63,'[5]Allocation Factor &amp;Meter Totals'!$A$8:$F$249,5,FALSE)</f>
        <v>6275</v>
      </c>
      <c r="J63" s="406">
        <f>VLOOKUP(B63,'[5]Allocation Factor &amp;Meter Totals'!$A$8:$F$249,3,FALSE)</f>
        <v>2.8127396711940941E-3</v>
      </c>
      <c r="K63" s="407">
        <f>VLOOKUP(B63,'[5]Allocation Factor &amp;Meter Totals'!$A$8:$F$249,6,FALSE)</f>
        <v>9427</v>
      </c>
      <c r="L63" s="406">
        <f>VLOOKUP(B63,'[5]Allocation Factor &amp;Meter Totals'!$A$8:$F$249,4,FALSE)</f>
        <v>1.8216224478300432E-3</v>
      </c>
      <c r="M63" s="407" t="s">
        <v>110</v>
      </c>
      <c r="N63" s="21"/>
      <c r="O63" s="21" t="s">
        <v>103</v>
      </c>
      <c r="P63" s="387">
        <v>0</v>
      </c>
      <c r="Q63" s="387">
        <v>0</v>
      </c>
    </row>
    <row r="64" spans="2:17">
      <c r="B64" s="541" t="s">
        <v>238</v>
      </c>
      <c r="C64" s="381">
        <f>VLOOKUP(B64,'[5]Allocation Factor &amp;Meter Totals'!$A$8:$F$249,6,FALSE)</f>
        <v>25293</v>
      </c>
      <c r="D64" s="381">
        <f>VLOOKUP(B64,'[5]Allocation Factor &amp;Meter Totals'!$A$8:$F$249,5,FALSE)</f>
        <v>19878</v>
      </c>
      <c r="E64" s="381">
        <f>VLOOKUP(B64,'[5]Allocation Factor &amp;Meter Totals'!$A$8:$F$249,6,FALSE)</f>
        <v>25293</v>
      </c>
      <c r="F64" s="21" t="s">
        <v>1589</v>
      </c>
      <c r="G64" s="21" t="s">
        <v>103</v>
      </c>
      <c r="H64" s="404">
        <f>VLOOKUP(B64,'[5]Allocation Factor &amp;Meter Totals'!$A$8:$F$249,6,FALSE)</f>
        <v>25293</v>
      </c>
      <c r="I64" s="405">
        <f>VLOOKUP(B64,'[5]Allocation Factor &amp;Meter Totals'!$A$8:$F$249,5,FALSE)</f>
        <v>19878</v>
      </c>
      <c r="J64" s="406">
        <f>VLOOKUP(B64,'[5]Allocation Factor &amp;Meter Totals'!$A$8:$F$249,3,FALSE)</f>
        <v>8.910221383903778E-3</v>
      </c>
      <c r="K64" s="407">
        <f>VLOOKUP(B64,'[5]Allocation Factor &amp;Meter Totals'!$A$8:$F$249,6,FALSE)</f>
        <v>25293</v>
      </c>
      <c r="L64" s="406">
        <f>VLOOKUP(B64,'[5]Allocation Factor &amp;Meter Totals'!$A$8:$F$249,4,FALSE)</f>
        <v>4.8874823987445932E-3</v>
      </c>
      <c r="M64" s="407" t="s">
        <v>104</v>
      </c>
      <c r="N64" s="21"/>
      <c r="O64" s="21" t="s">
        <v>103</v>
      </c>
      <c r="P64" s="387">
        <v>0</v>
      </c>
      <c r="Q64" s="387">
        <v>0</v>
      </c>
    </row>
    <row r="65" spans="2:17" ht="43.5">
      <c r="B65" s="541" t="s">
        <v>247</v>
      </c>
      <c r="C65" s="381">
        <f>VLOOKUP(B65,'[5]Allocation Factor &amp;Meter Totals'!$A$8:$F$249,6,FALSE)</f>
        <v>495</v>
      </c>
      <c r="D65" s="381">
        <f>VLOOKUP(B65,'[5]Allocation Factor &amp;Meter Totals'!$A$8:$F$249,5,FALSE)</f>
        <v>471</v>
      </c>
      <c r="E65" s="381">
        <f>VLOOKUP(B65,'[5]Allocation Factor &amp;Meter Totals'!$A$8:$F$249,6,FALSE)</f>
        <v>495</v>
      </c>
      <c r="F65" s="21" t="s">
        <v>1589</v>
      </c>
      <c r="G65" s="21" t="s">
        <v>103</v>
      </c>
      <c r="H65" s="404">
        <f>VLOOKUP(B65,'[5]Allocation Factor &amp;Meter Totals'!$A$8:$F$249,6,FALSE)</f>
        <v>495</v>
      </c>
      <c r="I65" s="405">
        <f>VLOOKUP(B65,'[5]Allocation Factor &amp;Meter Totals'!$A$8:$F$249,5,FALSE)</f>
        <v>471</v>
      </c>
      <c r="J65" s="406">
        <f>VLOOKUP(B65,'[5]Allocation Factor &amp;Meter Totals'!$A$8:$F$249,3,FALSE)</f>
        <v>2.1112356735177983E-4</v>
      </c>
      <c r="K65" s="407">
        <f>VLOOKUP(B65,'[5]Allocation Factor &amp;Meter Totals'!$A$8:$F$249,6,FALSE)</f>
        <v>495</v>
      </c>
      <c r="L65" s="406">
        <f>VLOOKUP(B65,'[5]Allocation Factor &amp;Meter Totals'!$A$8:$F$249,4,FALSE)</f>
        <v>9.5651120364471343E-5</v>
      </c>
      <c r="M65" s="407" t="s">
        <v>104</v>
      </c>
      <c r="N65" s="21"/>
      <c r="O65" s="15" t="s">
        <v>1593</v>
      </c>
      <c r="P65" s="387">
        <v>0</v>
      </c>
      <c r="Q65" s="387">
        <v>0</v>
      </c>
    </row>
    <row r="66" spans="2:17">
      <c r="B66" s="541" t="s">
        <v>248</v>
      </c>
      <c r="C66" s="381">
        <f>VLOOKUP(B66,'[5]Allocation Factor &amp;Meter Totals'!$A$8:$F$249,6,FALSE)</f>
        <v>20377</v>
      </c>
      <c r="D66" s="381">
        <f>VLOOKUP(B66,'[5]Allocation Factor &amp;Meter Totals'!$A$8:$F$249,5,FALSE)</f>
        <v>12207</v>
      </c>
      <c r="E66" s="381">
        <f>VLOOKUP(B66,'[5]Allocation Factor &amp;Meter Totals'!$A$8:$F$249,6,FALSE)</f>
        <v>20377</v>
      </c>
      <c r="F66" s="21" t="s">
        <v>1589</v>
      </c>
      <c r="G66" s="21" t="s">
        <v>103</v>
      </c>
      <c r="H66" s="404">
        <f>VLOOKUP(B66,'[5]Allocation Factor &amp;Meter Totals'!$A$8:$F$249,6,FALSE)</f>
        <v>20377</v>
      </c>
      <c r="I66" s="405">
        <f>VLOOKUP(B66,'[5]Allocation Factor &amp;Meter Totals'!$A$8:$F$249,5,FALSE)</f>
        <v>12207</v>
      </c>
      <c r="J66" s="406">
        <f>VLOOKUP(B66,'[5]Allocation Factor &amp;Meter Totals'!$A$8:$F$249,3,FALSE)</f>
        <v>5.4717311818751092E-3</v>
      </c>
      <c r="K66" s="407">
        <f>VLOOKUP(B66,'[5]Allocation Factor &amp;Meter Totals'!$A$8:$F$249,6,FALSE)</f>
        <v>20377</v>
      </c>
      <c r="L66" s="406">
        <f>VLOOKUP(B66,'[5]Allocation Factor &amp;Meter Totals'!$A$8:$F$249,4,FALSE)</f>
        <v>3.9375411710441061E-3</v>
      </c>
      <c r="M66" s="407" t="s">
        <v>110</v>
      </c>
      <c r="N66" s="21"/>
      <c r="O66" s="21" t="s">
        <v>103</v>
      </c>
      <c r="P66" s="387">
        <v>0</v>
      </c>
      <c r="Q66" s="387">
        <v>0</v>
      </c>
    </row>
    <row r="67" spans="2:17">
      <c r="B67" s="541" t="s">
        <v>259</v>
      </c>
      <c r="C67" s="381">
        <f>VLOOKUP(B67,'[5]Allocation Factor &amp;Meter Totals'!$A$8:$F$249,6,FALSE)</f>
        <v>3892</v>
      </c>
      <c r="D67" s="381">
        <f>VLOOKUP(B67,'[5]Allocation Factor &amp;Meter Totals'!$A$8:$F$249,5,FALSE)</f>
        <v>2541</v>
      </c>
      <c r="E67" s="381">
        <f>VLOOKUP(B67,'[5]Allocation Factor &amp;Meter Totals'!$A$8:$F$249,6,FALSE)</f>
        <v>3892</v>
      </c>
      <c r="F67" s="21" t="s">
        <v>1589</v>
      </c>
      <c r="G67" s="21" t="s">
        <v>103</v>
      </c>
      <c r="H67" s="404">
        <f>VLOOKUP(B67,'[5]Allocation Factor &amp;Meter Totals'!$A$8:$F$249,6,FALSE)</f>
        <v>3892</v>
      </c>
      <c r="I67" s="405">
        <f>VLOOKUP(B67,'[5]Allocation Factor &amp;Meter Totals'!$A$8:$F$249,5,FALSE)</f>
        <v>2541</v>
      </c>
      <c r="J67" s="406">
        <f>VLOOKUP(B67,'[5]Allocation Factor &amp;Meter Totals'!$A$8:$F$249,3,FALSE)</f>
        <v>1.1389914748213853E-3</v>
      </c>
      <c r="K67" s="407">
        <f>VLOOKUP(B67,'[5]Allocation Factor &amp;Meter Totals'!$A$8:$F$249,6,FALSE)</f>
        <v>3892</v>
      </c>
      <c r="L67" s="406">
        <f>VLOOKUP(B67,'[5]Allocation Factor &amp;Meter Totals'!$A$8:$F$249,4,FALSE)</f>
        <v>7.5206901102731812E-4</v>
      </c>
      <c r="M67" s="407" t="s">
        <v>104</v>
      </c>
      <c r="N67" s="21"/>
      <c r="O67" s="21" t="s">
        <v>103</v>
      </c>
      <c r="P67" s="387">
        <v>0</v>
      </c>
      <c r="Q67" s="387">
        <v>0</v>
      </c>
    </row>
    <row r="68" spans="2:17">
      <c r="B68" s="541" t="s">
        <v>260</v>
      </c>
      <c r="C68" s="381">
        <f>VLOOKUP(B68,'[5]Allocation Factor &amp;Meter Totals'!$A$8:$F$249,6,FALSE)</f>
        <v>29595</v>
      </c>
      <c r="D68" s="381">
        <f>VLOOKUP(B68,'[5]Allocation Factor &amp;Meter Totals'!$A$8:$F$249,5,FALSE)</f>
        <v>21524</v>
      </c>
      <c r="E68" s="381">
        <f>VLOOKUP(B68,'[5]Allocation Factor &amp;Meter Totals'!$A$8:$F$249,6,FALSE)</f>
        <v>29595</v>
      </c>
      <c r="F68" s="21" t="s">
        <v>1589</v>
      </c>
      <c r="G68" s="21" t="s">
        <v>103</v>
      </c>
      <c r="H68" s="404">
        <f>VLOOKUP(B68,'[5]Allocation Factor &amp;Meter Totals'!$A$8:$F$249,6,FALSE)</f>
        <v>29595</v>
      </c>
      <c r="I68" s="405">
        <f>VLOOKUP(B68,'[5]Allocation Factor &amp;Meter Totals'!$A$8:$F$249,5,FALSE)</f>
        <v>21524</v>
      </c>
      <c r="J68" s="406">
        <f>VLOOKUP(B68,'[5]Allocation Factor &amp;Meter Totals'!$A$8:$F$249,3,FALSE)</f>
        <v>9.6480332562201895E-3</v>
      </c>
      <c r="K68" s="407">
        <f>VLOOKUP(B68,'[5]Allocation Factor &amp;Meter Totals'!$A$8:$F$249,6,FALSE)</f>
        <v>29595</v>
      </c>
      <c r="L68" s="406">
        <f>VLOOKUP(B68,'[5]Allocation Factor &amp;Meter Totals'!$A$8:$F$249,4,FALSE)</f>
        <v>5.7187775902758173E-3</v>
      </c>
      <c r="M68" s="407" t="s">
        <v>104</v>
      </c>
      <c r="N68" s="21"/>
      <c r="O68" s="21" t="s">
        <v>103</v>
      </c>
      <c r="P68" s="387">
        <v>0</v>
      </c>
      <c r="Q68" s="387">
        <v>0</v>
      </c>
    </row>
    <row r="69" spans="2:17">
      <c r="B69" s="541" t="s">
        <v>264</v>
      </c>
      <c r="C69" s="381">
        <f>VLOOKUP(B69,'[5]Allocation Factor &amp;Meter Totals'!$A$8:$F$249,6,FALSE)</f>
        <v>11042</v>
      </c>
      <c r="D69" s="381">
        <f>VLOOKUP(B69,'[5]Allocation Factor &amp;Meter Totals'!$A$8:$F$249,5,FALSE)</f>
        <v>5814</v>
      </c>
      <c r="E69" s="381">
        <f>VLOOKUP(B69,'[5]Allocation Factor &amp;Meter Totals'!$A$8:$F$249,6,FALSE)</f>
        <v>11042</v>
      </c>
      <c r="F69" s="21" t="s">
        <v>1589</v>
      </c>
      <c r="G69" s="21" t="s">
        <v>103</v>
      </c>
      <c r="H69" s="404">
        <f>VLOOKUP(B69,'[5]Allocation Factor &amp;Meter Totals'!$A$8:$F$249,6,FALSE)</f>
        <v>11042</v>
      </c>
      <c r="I69" s="405">
        <f>VLOOKUP(B69,'[5]Allocation Factor &amp;Meter Totals'!$A$8:$F$249,5,FALSE)</f>
        <v>5814</v>
      </c>
      <c r="J69" s="406">
        <f>VLOOKUP(B69,'[5]Allocation Factor &amp;Meter Totals'!$A$8:$F$249,3,FALSE)</f>
        <v>2.6060985575015877E-3</v>
      </c>
      <c r="K69" s="407">
        <f>VLOOKUP(B69,'[5]Allocation Factor &amp;Meter Totals'!$A$8:$F$249,6,FALSE)</f>
        <v>11042</v>
      </c>
      <c r="L69" s="406">
        <f>VLOOKUP(B69,'[5]Allocation Factor &amp;Meter Totals'!$A$8:$F$249,4,FALSE)</f>
        <v>2.133696305180793E-3</v>
      </c>
      <c r="M69" s="407" t="s">
        <v>110</v>
      </c>
      <c r="N69" s="21"/>
      <c r="O69" s="21" t="s">
        <v>103</v>
      </c>
      <c r="P69" s="387">
        <v>0</v>
      </c>
      <c r="Q69" s="387">
        <v>0</v>
      </c>
    </row>
    <row r="70" spans="2:17">
      <c r="B70" s="541" t="s">
        <v>265</v>
      </c>
      <c r="C70" s="381">
        <f>VLOOKUP(B70,'[5]Allocation Factor &amp;Meter Totals'!$A$8:$F$249,6,FALSE)</f>
        <v>693</v>
      </c>
      <c r="D70" s="381">
        <f>VLOOKUP(B70,'[5]Allocation Factor &amp;Meter Totals'!$A$8:$F$249,5,FALSE)</f>
        <v>243</v>
      </c>
      <c r="E70" s="381">
        <f>VLOOKUP(B70,'[5]Allocation Factor &amp;Meter Totals'!$A$8:$F$249,6,FALSE)</f>
        <v>693</v>
      </c>
      <c r="F70" s="21" t="s">
        <v>1589</v>
      </c>
      <c r="G70" s="21" t="s">
        <v>103</v>
      </c>
      <c r="H70" s="404">
        <f>VLOOKUP(B70,'[5]Allocation Factor &amp;Meter Totals'!$A$8:$F$249,6,FALSE)</f>
        <v>693</v>
      </c>
      <c r="I70" s="405">
        <f>VLOOKUP(B70,'[5]Allocation Factor &amp;Meter Totals'!$A$8:$F$249,5,FALSE)</f>
        <v>243</v>
      </c>
      <c r="J70" s="406">
        <f>VLOOKUP(B70,'[5]Allocation Factor &amp;Meter Totals'!$A$8:$F$249,3,FALSE)</f>
        <v>1.0892362392034501E-4</v>
      </c>
      <c r="K70" s="407">
        <f>VLOOKUP(B70,'[5]Allocation Factor &amp;Meter Totals'!$A$8:$F$249,6,FALSE)</f>
        <v>693</v>
      </c>
      <c r="L70" s="406">
        <f>VLOOKUP(B70,'[5]Allocation Factor &amp;Meter Totals'!$A$8:$F$249,4,FALSE)</f>
        <v>1.3391156851025988E-4</v>
      </c>
      <c r="M70" s="407" t="s">
        <v>110</v>
      </c>
      <c r="N70" s="21"/>
      <c r="O70" s="21" t="s">
        <v>103</v>
      </c>
      <c r="P70" s="387">
        <v>0</v>
      </c>
      <c r="Q70" s="387">
        <v>0</v>
      </c>
    </row>
    <row r="71" spans="2:17">
      <c r="B71" s="541" t="s">
        <v>266</v>
      </c>
      <c r="C71" s="381">
        <f>VLOOKUP(B71,'[5]Allocation Factor &amp;Meter Totals'!$A$8:$F$249,6,FALSE)</f>
        <v>17522</v>
      </c>
      <c r="D71" s="381">
        <f>VLOOKUP(B71,'[5]Allocation Factor &amp;Meter Totals'!$A$8:$F$249,5,FALSE)</f>
        <v>13910</v>
      </c>
      <c r="E71" s="381">
        <f>VLOOKUP(B71,'[5]Allocation Factor &amp;Meter Totals'!$A$8:$F$249,6,FALSE)</f>
        <v>17522</v>
      </c>
      <c r="F71" s="21" t="s">
        <v>1589</v>
      </c>
      <c r="G71" s="21" t="s">
        <v>103</v>
      </c>
      <c r="H71" s="404">
        <f>VLOOKUP(B71,'[5]Allocation Factor &amp;Meter Totals'!$A$8:$F$249,6,FALSE)</f>
        <v>17522</v>
      </c>
      <c r="I71" s="405">
        <f>VLOOKUP(B71,'[5]Allocation Factor &amp;Meter Totals'!$A$8:$F$249,5,FALSE)</f>
        <v>13910</v>
      </c>
      <c r="J71" s="406">
        <f>VLOOKUP(B71,'[5]Allocation Factor &amp;Meter Totals'!$A$8:$F$249,3,FALSE)</f>
        <v>6.2350930400493785E-3</v>
      </c>
      <c r="K71" s="407">
        <f>VLOOKUP(B71,'[5]Allocation Factor &amp;Meter Totals'!$A$8:$F$249,6,FALSE)</f>
        <v>17522</v>
      </c>
      <c r="L71" s="406">
        <f>VLOOKUP(B71,'[5]Allocation Factor &amp;Meter Totals'!$A$8:$F$249,4,FALSE)</f>
        <v>3.3858564263156907E-3</v>
      </c>
      <c r="M71" s="407" t="s">
        <v>104</v>
      </c>
      <c r="N71" s="21"/>
      <c r="O71" s="21" t="s">
        <v>103</v>
      </c>
      <c r="P71" s="387">
        <v>0</v>
      </c>
      <c r="Q71" s="387">
        <v>0</v>
      </c>
    </row>
    <row r="72" spans="2:17">
      <c r="B72" s="541" t="s">
        <v>271</v>
      </c>
      <c r="C72" s="381">
        <f>VLOOKUP(B72,'[5]Allocation Factor &amp;Meter Totals'!$A$8:$F$249,6,FALSE)</f>
        <v>3292</v>
      </c>
      <c r="D72" s="381">
        <f>VLOOKUP(B72,'[5]Allocation Factor &amp;Meter Totals'!$A$8:$F$249,5,FALSE)</f>
        <v>739</v>
      </c>
      <c r="E72" s="381">
        <f>VLOOKUP(B72,'[5]Allocation Factor &amp;Meter Totals'!$A$8:$F$249,6,FALSE)</f>
        <v>3292</v>
      </c>
      <c r="F72" s="21" t="s">
        <v>1589</v>
      </c>
      <c r="G72" s="21" t="s">
        <v>103</v>
      </c>
      <c r="H72" s="404">
        <f>VLOOKUP(B72,'[5]Allocation Factor &amp;Meter Totals'!$A$8:$F$249,6,FALSE)</f>
        <v>3292</v>
      </c>
      <c r="I72" s="405">
        <f>VLOOKUP(B72,'[5]Allocation Factor &amp;Meter Totals'!$A$8:$F$249,5,FALSE)</f>
        <v>739</v>
      </c>
      <c r="J72" s="406">
        <f>VLOOKUP(B72,'[5]Allocation Factor &amp;Meter Totals'!$A$8:$F$249,3,FALSE)</f>
        <v>3.3125332542030848E-4</v>
      </c>
      <c r="K72" s="407">
        <f>VLOOKUP(B72,'[5]Allocation Factor &amp;Meter Totals'!$A$8:$F$249,6,FALSE)</f>
        <v>3292</v>
      </c>
      <c r="L72" s="406">
        <f>VLOOKUP(B72,'[5]Allocation Factor &amp;Meter Totals'!$A$8:$F$249,4,FALSE)</f>
        <v>6.3612825907038322E-4</v>
      </c>
      <c r="M72" s="407" t="s">
        <v>104</v>
      </c>
      <c r="N72" s="21"/>
      <c r="O72" s="21" t="s">
        <v>103</v>
      </c>
      <c r="P72" s="387">
        <v>0</v>
      </c>
      <c r="Q72" s="387">
        <v>0</v>
      </c>
    </row>
    <row r="73" spans="2:17">
      <c r="B73" s="541" t="s">
        <v>272</v>
      </c>
      <c r="C73" s="381">
        <f>VLOOKUP(B73,'[5]Allocation Factor &amp;Meter Totals'!$A$8:$F$249,6,FALSE)</f>
        <v>43591</v>
      </c>
      <c r="D73" s="381">
        <f>VLOOKUP(B73,'[5]Allocation Factor &amp;Meter Totals'!$A$8:$F$249,5,FALSE)</f>
        <v>34728</v>
      </c>
      <c r="E73" s="381">
        <f>VLOOKUP(B73,'[5]Allocation Factor &amp;Meter Totals'!$A$8:$F$249,6,FALSE)</f>
        <v>43591</v>
      </c>
      <c r="F73" s="21" t="s">
        <v>1589</v>
      </c>
      <c r="G73" s="21" t="s">
        <v>103</v>
      </c>
      <c r="H73" s="404">
        <f>VLOOKUP(B73,'[5]Allocation Factor &amp;Meter Totals'!$A$8:$F$249,6,FALSE)</f>
        <v>43591</v>
      </c>
      <c r="I73" s="405">
        <f>VLOOKUP(B73,'[5]Allocation Factor &amp;Meter Totals'!$A$8:$F$249,5,FALSE)</f>
        <v>34728</v>
      </c>
      <c r="J73" s="406">
        <f>VLOOKUP(B73,'[5]Allocation Factor &amp;Meter Totals'!$A$8:$F$249,3,FALSE)</f>
        <v>1.5566665067924862E-2</v>
      </c>
      <c r="K73" s="407">
        <f>VLOOKUP(B73,'[5]Allocation Factor &amp;Meter Totals'!$A$8:$F$249,6,FALSE)</f>
        <v>43591</v>
      </c>
      <c r="L73" s="406">
        <f>VLOOKUP(B73,'[5]Allocation Factor &amp;Meter Totals'!$A$8:$F$249,4,FALSE)</f>
        <v>8.4232888642579197E-3</v>
      </c>
      <c r="M73" s="407" t="s">
        <v>104</v>
      </c>
      <c r="N73" s="21"/>
      <c r="O73" s="21" t="s">
        <v>103</v>
      </c>
      <c r="P73" s="387">
        <v>0</v>
      </c>
      <c r="Q73" s="387">
        <v>0</v>
      </c>
    </row>
    <row r="74" spans="2:17">
      <c r="B74" s="541" t="s">
        <v>276</v>
      </c>
      <c r="C74" s="381">
        <f>VLOOKUP(B74,'[5]Allocation Factor &amp;Meter Totals'!$A$8:$F$249,6,FALSE)</f>
        <v>1818</v>
      </c>
      <c r="D74" s="381">
        <f>VLOOKUP(B74,'[5]Allocation Factor &amp;Meter Totals'!$A$8:$F$249,5,FALSE)</f>
        <v>623</v>
      </c>
      <c r="E74" s="381">
        <f>VLOOKUP(B74,'[5]Allocation Factor &amp;Meter Totals'!$A$8:$F$249,6,FALSE)</f>
        <v>1818</v>
      </c>
      <c r="F74" s="21" t="s">
        <v>1589</v>
      </c>
      <c r="G74" s="21" t="s">
        <v>103</v>
      </c>
      <c r="H74" s="404">
        <f>VLOOKUP(B74,'[5]Allocation Factor &amp;Meter Totals'!$A$8:$F$249,6,FALSE)</f>
        <v>1818</v>
      </c>
      <c r="I74" s="405">
        <f>VLOOKUP(B74,'[5]Allocation Factor &amp;Meter Totals'!$A$8:$F$249,5,FALSE)</f>
        <v>623</v>
      </c>
      <c r="J74" s="406">
        <f>VLOOKUP(B74,'[5]Allocation Factor &amp;Meter Totals'!$A$8:$F$249,3,FALSE)</f>
        <v>2.7925686297273637E-4</v>
      </c>
      <c r="K74" s="407">
        <f>VLOOKUP(B74,'[5]Allocation Factor &amp;Meter Totals'!$A$8:$F$249,6,FALSE)</f>
        <v>1818</v>
      </c>
      <c r="L74" s="406">
        <f>VLOOKUP(B74,'[5]Allocation Factor &amp;Meter Totals'!$A$8:$F$249,4,FALSE)</f>
        <v>3.5130047842951294E-4</v>
      </c>
      <c r="M74" s="407" t="s">
        <v>104</v>
      </c>
      <c r="N74" s="21"/>
      <c r="O74" s="21" t="s">
        <v>103</v>
      </c>
      <c r="P74" s="387">
        <v>0</v>
      </c>
      <c r="Q74" s="387">
        <v>0</v>
      </c>
    </row>
    <row r="75" spans="2:17">
      <c r="B75" s="541" t="s">
        <v>277</v>
      </c>
      <c r="C75" s="381">
        <f>VLOOKUP(B75,'[5]Allocation Factor &amp;Meter Totals'!$A$8:$F$249,6,FALSE)</f>
        <v>7927</v>
      </c>
      <c r="D75" s="381">
        <f>VLOOKUP(B75,'[5]Allocation Factor &amp;Meter Totals'!$A$8:$F$249,5,FALSE)</f>
        <v>5775</v>
      </c>
      <c r="E75" s="381">
        <f>VLOOKUP(B75,'[5]Allocation Factor &amp;Meter Totals'!$A$8:$F$249,6,FALSE)</f>
        <v>7927</v>
      </c>
      <c r="F75" s="21" t="s">
        <v>1589</v>
      </c>
      <c r="G75" s="21" t="s">
        <v>103</v>
      </c>
      <c r="H75" s="404">
        <f>VLOOKUP(B75,'[5]Allocation Factor &amp;Meter Totals'!$A$8:$F$249,6,FALSE)</f>
        <v>7927</v>
      </c>
      <c r="I75" s="405">
        <f>VLOOKUP(B75,'[5]Allocation Factor &amp;Meter Totals'!$A$8:$F$249,5,FALSE)</f>
        <v>5775</v>
      </c>
      <c r="J75" s="406">
        <f>VLOOKUP(B75,'[5]Allocation Factor &amp;Meter Totals'!$A$8:$F$249,3,FALSE)</f>
        <v>2.5886169882304213E-3</v>
      </c>
      <c r="K75" s="407">
        <f>VLOOKUP(B75,'[5]Allocation Factor &amp;Meter Totals'!$A$8:$F$249,6,FALSE)</f>
        <v>7927</v>
      </c>
      <c r="L75" s="406">
        <f>VLOOKUP(B75,'[5]Allocation Factor &amp;Meter Totals'!$A$8:$F$249,4,FALSE)</f>
        <v>1.5317705679377058E-3</v>
      </c>
      <c r="M75" s="407" t="s">
        <v>110</v>
      </c>
      <c r="N75" s="21"/>
      <c r="O75" s="21" t="s">
        <v>103</v>
      </c>
      <c r="P75" s="387">
        <v>0</v>
      </c>
      <c r="Q75" s="387">
        <v>0</v>
      </c>
    </row>
    <row r="76" spans="2:17">
      <c r="B76" s="541" t="s">
        <v>278</v>
      </c>
      <c r="C76" s="381">
        <f>VLOOKUP(B76,'[5]Allocation Factor &amp;Meter Totals'!$A$8:$F$249,6,FALSE)</f>
        <v>1995</v>
      </c>
      <c r="D76" s="381">
        <f>VLOOKUP(B76,'[5]Allocation Factor &amp;Meter Totals'!$A$8:$F$249,5,FALSE)</f>
        <v>1405</v>
      </c>
      <c r="E76" s="381">
        <f>VLOOKUP(B76,'[5]Allocation Factor &amp;Meter Totals'!$A$8:$F$249,6,FALSE)</f>
        <v>1995</v>
      </c>
      <c r="F76" s="21" t="s">
        <v>1589</v>
      </c>
      <c r="G76" s="21" t="s">
        <v>103</v>
      </c>
      <c r="H76" s="404">
        <f>VLOOKUP(B76,'[5]Allocation Factor &amp;Meter Totals'!$A$8:$F$249,6,FALSE)</f>
        <v>1995</v>
      </c>
      <c r="I76" s="405">
        <f>VLOOKUP(B76,'[5]Allocation Factor &amp;Meter Totals'!$A$8:$F$249,5,FALSE)</f>
        <v>1405</v>
      </c>
      <c r="J76" s="406">
        <f>VLOOKUP(B76,'[5]Allocation Factor &amp;Meter Totals'!$A$8:$F$249,3,FALSE)</f>
        <v>6.2978473912792075E-4</v>
      </c>
      <c r="K76" s="407">
        <f>VLOOKUP(B76,'[5]Allocation Factor &amp;Meter Totals'!$A$8:$F$249,6,FALSE)</f>
        <v>1995</v>
      </c>
      <c r="L76" s="406">
        <f>VLOOKUP(B76,'[5]Allocation Factor &amp;Meter Totals'!$A$8:$F$249,4,FALSE)</f>
        <v>3.8550300025680877E-4</v>
      </c>
      <c r="M76" s="407" t="s">
        <v>110</v>
      </c>
      <c r="N76" s="21"/>
      <c r="O76" s="21" t="s">
        <v>103</v>
      </c>
      <c r="P76" s="387">
        <v>0</v>
      </c>
      <c r="Q76" s="387">
        <v>0</v>
      </c>
    </row>
    <row r="77" spans="2:17">
      <c r="B77" s="541" t="s">
        <v>284</v>
      </c>
      <c r="C77" s="381">
        <f>VLOOKUP(B77,'[5]Allocation Factor &amp;Meter Totals'!$A$8:$F$249,6,FALSE)</f>
        <v>16409</v>
      </c>
      <c r="D77" s="381">
        <f>VLOOKUP(B77,'[5]Allocation Factor &amp;Meter Totals'!$A$8:$F$249,5,FALSE)</f>
        <v>10987</v>
      </c>
      <c r="E77" s="381">
        <f>VLOOKUP(B77,'[5]Allocation Factor &amp;Meter Totals'!$A$8:$F$249,6,FALSE)</f>
        <v>16409</v>
      </c>
      <c r="F77" s="21" t="s">
        <v>1589</v>
      </c>
      <c r="G77" s="21" t="s">
        <v>103</v>
      </c>
      <c r="H77" s="404">
        <f>VLOOKUP(B77,'[5]Allocation Factor &amp;Meter Totals'!$A$8:$F$249,6,FALSE)</f>
        <v>16409</v>
      </c>
      <c r="I77" s="405">
        <f>VLOOKUP(B77,'[5]Allocation Factor &amp;Meter Totals'!$A$8:$F$249,5,FALSE)</f>
        <v>10987</v>
      </c>
      <c r="J77" s="406">
        <f>VLOOKUP(B77,'[5]Allocation Factor &amp;Meter Totals'!$A$8:$F$249,3,FALSE)</f>
        <v>4.9248718354437471E-3</v>
      </c>
      <c r="K77" s="407">
        <f>VLOOKUP(B77,'[5]Allocation Factor &amp;Meter Totals'!$A$8:$F$249,6,FALSE)</f>
        <v>16409</v>
      </c>
      <c r="L77" s="406">
        <f>VLOOKUP(B77,'[5]Allocation Factor &amp;Meter Totals'!$A$8:$F$249,4,FALSE)</f>
        <v>3.1707863314355766E-3</v>
      </c>
      <c r="M77" s="407" t="s">
        <v>104</v>
      </c>
      <c r="N77" s="21"/>
      <c r="O77" s="21" t="s">
        <v>103</v>
      </c>
      <c r="P77" s="387">
        <v>0</v>
      </c>
      <c r="Q77" s="387">
        <v>0</v>
      </c>
    </row>
    <row r="78" spans="2:17">
      <c r="B78" s="541" t="s">
        <v>285</v>
      </c>
      <c r="C78" s="381">
        <f>VLOOKUP(B78,'[5]Allocation Factor &amp;Meter Totals'!$A$8:$F$249,6,FALSE)</f>
        <v>11074</v>
      </c>
      <c r="D78" s="381">
        <f>VLOOKUP(B78,'[5]Allocation Factor &amp;Meter Totals'!$A$8:$F$249,5,FALSE)</f>
        <v>7985</v>
      </c>
      <c r="E78" s="381">
        <f>VLOOKUP(B78,'[5]Allocation Factor &amp;Meter Totals'!$A$8:$F$249,6,FALSE)</f>
        <v>11074</v>
      </c>
      <c r="F78" s="21" t="s">
        <v>1589</v>
      </c>
      <c r="G78" s="21" t="s">
        <v>103</v>
      </c>
      <c r="H78" s="404">
        <f>VLOOKUP(B78,'[5]Allocation Factor &amp;Meter Totals'!$A$8:$F$249,6,FALSE)</f>
        <v>11074</v>
      </c>
      <c r="I78" s="405">
        <f>VLOOKUP(B78,'[5]Allocation Factor &amp;Meter Totals'!$A$8:$F$249,5,FALSE)</f>
        <v>7985</v>
      </c>
      <c r="J78" s="406">
        <f>VLOOKUP(B78,'[5]Allocation Factor &amp;Meter Totals'!$A$8:$F$249,3,FALSE)</f>
        <v>3.5792392469298556E-3</v>
      </c>
      <c r="K78" s="407">
        <f>VLOOKUP(B78,'[5]Allocation Factor &amp;Meter Totals'!$A$8:$F$249,6,FALSE)</f>
        <v>11074</v>
      </c>
      <c r="L78" s="406">
        <f>VLOOKUP(B78,'[5]Allocation Factor &amp;Meter Totals'!$A$8:$F$249,4,FALSE)</f>
        <v>2.1398798119518299E-3</v>
      </c>
      <c r="M78" s="407" t="s">
        <v>104</v>
      </c>
      <c r="N78" s="21"/>
      <c r="O78" s="21" t="s">
        <v>103</v>
      </c>
      <c r="P78" s="387">
        <v>0</v>
      </c>
      <c r="Q78" s="387">
        <v>0</v>
      </c>
    </row>
    <row r="79" spans="2:17">
      <c r="B79" s="541" t="s">
        <v>289</v>
      </c>
      <c r="C79" s="381">
        <f>VLOOKUP(B79,'[5]Allocation Factor &amp;Meter Totals'!$A$8:$F$249,6,FALSE)</f>
        <v>12309</v>
      </c>
      <c r="D79" s="381">
        <f>VLOOKUP(B79,'[5]Allocation Factor &amp;Meter Totals'!$A$8:$F$249,5,FALSE)</f>
        <v>3609</v>
      </c>
      <c r="E79" s="381">
        <f>VLOOKUP(B79,'[5]Allocation Factor &amp;Meter Totals'!$A$8:$F$249,6,FALSE)</f>
        <v>12309</v>
      </c>
      <c r="F79" s="21" t="s">
        <v>1589</v>
      </c>
      <c r="G79" s="21" t="s">
        <v>103</v>
      </c>
      <c r="H79" s="404">
        <f>VLOOKUP(B79,'[5]Allocation Factor &amp;Meter Totals'!$A$8:$F$249,6,FALSE)</f>
        <v>12309</v>
      </c>
      <c r="I79" s="405">
        <f>VLOOKUP(B79,'[5]Allocation Factor &amp;Meter Totals'!$A$8:$F$249,5,FALSE)</f>
        <v>3609</v>
      </c>
      <c r="J79" s="406">
        <f>VLOOKUP(B79,'[5]Allocation Factor &amp;Meter Totals'!$A$8:$F$249,3,FALSE)</f>
        <v>1.6177175256317906E-3</v>
      </c>
      <c r="K79" s="407">
        <f>VLOOKUP(B79,'[5]Allocation Factor &amp;Meter Totals'!$A$8:$F$249,6,FALSE)</f>
        <v>12309</v>
      </c>
      <c r="L79" s="406">
        <f>VLOOKUP(B79,'[5]Allocation Factor &amp;Meter Totals'!$A$8:$F$249,4,FALSE)</f>
        <v>2.3785245263965209E-3</v>
      </c>
      <c r="M79" s="407" t="s">
        <v>110</v>
      </c>
      <c r="N79" s="21"/>
      <c r="O79" s="21" t="s">
        <v>103</v>
      </c>
      <c r="P79" s="387">
        <v>0</v>
      </c>
      <c r="Q79" s="387">
        <v>0</v>
      </c>
    </row>
    <row r="80" spans="2:17">
      <c r="B80" s="541" t="s">
        <v>295</v>
      </c>
      <c r="C80" s="381">
        <f>VLOOKUP(B80,'[5]Allocation Factor &amp;Meter Totals'!$A$8:$F$249,6,FALSE)</f>
        <v>29676</v>
      </c>
      <c r="D80" s="381">
        <f>VLOOKUP(B80,'[5]Allocation Factor &amp;Meter Totals'!$A$8:$F$249,5,FALSE)</f>
        <v>24054</v>
      </c>
      <c r="E80" s="381">
        <f>VLOOKUP(B80,'[5]Allocation Factor &amp;Meter Totals'!$A$8:$F$249,6,FALSE)</f>
        <v>29676</v>
      </c>
      <c r="F80" s="21" t="s">
        <v>1589</v>
      </c>
      <c r="G80" s="21" t="s">
        <v>103</v>
      </c>
      <c r="H80" s="404">
        <f>VLOOKUP(B80,'[5]Allocation Factor &amp;Meter Totals'!$A$8:$F$249,6,FALSE)</f>
        <v>29676</v>
      </c>
      <c r="I80" s="405">
        <f>VLOOKUP(B80,'[5]Allocation Factor &amp;Meter Totals'!$A$8:$F$249,5,FALSE)</f>
        <v>24054</v>
      </c>
      <c r="J80" s="406">
        <f>VLOOKUP(B80,'[5]Allocation Factor &amp;Meter Totals'!$A$8:$F$249,3,FALSE)</f>
        <v>1.0782094032016373E-2</v>
      </c>
      <c r="K80" s="407">
        <f>VLOOKUP(B80,'[5]Allocation Factor &amp;Meter Totals'!$A$8:$F$249,6,FALSE)</f>
        <v>29676</v>
      </c>
      <c r="L80" s="406">
        <f>VLOOKUP(B80,'[5]Allocation Factor &amp;Meter Totals'!$A$8:$F$249,4,FALSE)</f>
        <v>5.7344295917900034E-3</v>
      </c>
      <c r="M80" s="407" t="s">
        <v>104</v>
      </c>
      <c r="N80" s="21"/>
      <c r="O80" s="21" t="s">
        <v>103</v>
      </c>
      <c r="P80" s="387">
        <v>0</v>
      </c>
      <c r="Q80" s="387">
        <v>0</v>
      </c>
    </row>
    <row r="81" spans="2:17">
      <c r="B81" s="541" t="s">
        <v>303</v>
      </c>
      <c r="C81" s="381">
        <f>VLOOKUP(B81,'[5]Allocation Factor &amp;Meter Totals'!$A$8:$F$249,6,FALSE)</f>
        <v>57011</v>
      </c>
      <c r="D81" s="381">
        <f>VLOOKUP(B81,'[5]Allocation Factor &amp;Meter Totals'!$A$8:$F$249,5,FALSE)</f>
        <v>11528</v>
      </c>
      <c r="E81" s="381">
        <f>VLOOKUP(B81,'[5]Allocation Factor &amp;Meter Totals'!$A$8:$F$249,6,FALSE)</f>
        <v>57011</v>
      </c>
      <c r="F81" s="21" t="s">
        <v>1589</v>
      </c>
      <c r="G81" s="21" t="s">
        <v>103</v>
      </c>
      <c r="H81" s="404">
        <f>VLOOKUP(B81,'[5]Allocation Factor &amp;Meter Totals'!$A$8:$F$249,6,FALSE)</f>
        <v>57011</v>
      </c>
      <c r="I81" s="405">
        <f>VLOOKUP(B81,'[5]Allocation Factor &amp;Meter Totals'!$A$8:$F$249,5,FALSE)</f>
        <v>11528</v>
      </c>
      <c r="J81" s="406">
        <f>VLOOKUP(B81,'[5]Allocation Factor &amp;Meter Totals'!$A$8:$F$249,3,FALSE)</f>
        <v>5.167372578410441E-3</v>
      </c>
      <c r="K81" s="407">
        <f>VLOOKUP(B81,'[5]Allocation Factor &amp;Meter Totals'!$A$8:$F$249,6,FALSE)</f>
        <v>57011</v>
      </c>
      <c r="L81" s="406">
        <f>VLOOKUP(B81,'[5]Allocation Factor &amp;Meter Totals'!$A$8:$F$249,4,FALSE)</f>
        <v>1.1016497016361365E-2</v>
      </c>
      <c r="M81" s="407" t="s">
        <v>104</v>
      </c>
      <c r="N81" s="21"/>
      <c r="O81" s="21" t="s">
        <v>103</v>
      </c>
      <c r="P81" s="387">
        <v>0</v>
      </c>
      <c r="Q81" s="387">
        <v>0</v>
      </c>
    </row>
    <row r="82" spans="2:17">
      <c r="B82" s="541" t="s">
        <v>309</v>
      </c>
      <c r="C82" s="381">
        <f>VLOOKUP(B82,'[5]Allocation Factor &amp;Meter Totals'!$A$8:$F$249,6,FALSE)</f>
        <v>10790</v>
      </c>
      <c r="D82" s="381">
        <f>VLOOKUP(B82,'[5]Allocation Factor &amp;Meter Totals'!$A$8:$F$249,5,FALSE)</f>
        <v>7815</v>
      </c>
      <c r="E82" s="381">
        <f>VLOOKUP(B82,'[5]Allocation Factor &amp;Meter Totals'!$A$8:$F$249,6,FALSE)</f>
        <v>10790</v>
      </c>
      <c r="F82" s="21" t="s">
        <v>1589</v>
      </c>
      <c r="G82" s="21" t="s">
        <v>103</v>
      </c>
      <c r="H82" s="404">
        <f>VLOOKUP(B82,'[5]Allocation Factor &amp;Meter Totals'!$A$8:$F$249,6,FALSE)</f>
        <v>10790</v>
      </c>
      <c r="I82" s="405">
        <f>VLOOKUP(B82,'[5]Allocation Factor &amp;Meter Totals'!$A$8:$F$249,5,FALSE)</f>
        <v>7815</v>
      </c>
      <c r="J82" s="406">
        <f>VLOOKUP(B82,'[5]Allocation Factor &amp;Meter Totals'!$A$8:$F$249,3,FALSE)</f>
        <v>3.5030375347222067E-3</v>
      </c>
      <c r="K82" s="407">
        <f>VLOOKUP(B82,'[5]Allocation Factor &amp;Meter Totals'!$A$8:$F$249,6,FALSE)</f>
        <v>10790</v>
      </c>
      <c r="L82" s="406">
        <f>VLOOKUP(B82,'[5]Allocation Factor &amp;Meter Totals'!$A$8:$F$249,4,FALSE)</f>
        <v>2.0850011893588805E-3</v>
      </c>
      <c r="M82" s="407" t="s">
        <v>104</v>
      </c>
      <c r="N82" s="21"/>
      <c r="O82" s="21" t="s">
        <v>103</v>
      </c>
      <c r="P82" s="387">
        <v>0</v>
      </c>
      <c r="Q82" s="387">
        <v>0</v>
      </c>
    </row>
    <row r="83" spans="2:17">
      <c r="B83" s="541" t="s">
        <v>313</v>
      </c>
      <c r="C83" s="381">
        <f>VLOOKUP(B83,'[5]Allocation Factor &amp;Meter Totals'!$A$8:$F$249,6,FALSE)</f>
        <v>9328</v>
      </c>
      <c r="D83" s="381">
        <f>VLOOKUP(B83,'[5]Allocation Factor &amp;Meter Totals'!$A$8:$F$249,5,FALSE)</f>
        <v>6166</v>
      </c>
      <c r="E83" s="381">
        <f>VLOOKUP(B83,'[5]Allocation Factor &amp;Meter Totals'!$A$8:$F$249,6,FALSE)</f>
        <v>9328</v>
      </c>
      <c r="F83" s="21" t="s">
        <v>1589</v>
      </c>
      <c r="G83" s="21" t="s">
        <v>103</v>
      </c>
      <c r="H83" s="404">
        <f>VLOOKUP(B83,'[5]Allocation Factor &amp;Meter Totals'!$A$8:$F$249,6,FALSE)</f>
        <v>9328</v>
      </c>
      <c r="I83" s="405">
        <f>VLOOKUP(B83,'[5]Allocation Factor &amp;Meter Totals'!$A$8:$F$249,5,FALSE)</f>
        <v>6166</v>
      </c>
      <c r="J83" s="406">
        <f>VLOOKUP(B83,'[5]Allocation Factor &amp;Meter Totals'!$A$8:$F$249,3,FALSE)</f>
        <v>2.7638809263080136E-3</v>
      </c>
      <c r="K83" s="407">
        <f>VLOOKUP(B83,'[5]Allocation Factor &amp;Meter Totals'!$A$8:$F$249,6,FALSE)</f>
        <v>9328</v>
      </c>
      <c r="L83" s="406">
        <f>VLOOKUP(B83,'[5]Allocation Factor &amp;Meter Totals'!$A$8:$F$249,4,FALSE)</f>
        <v>1.802492223757149E-3</v>
      </c>
      <c r="M83" s="407" t="s">
        <v>110</v>
      </c>
      <c r="N83" s="21"/>
      <c r="O83" s="21" t="s">
        <v>103</v>
      </c>
      <c r="P83" s="387">
        <v>0</v>
      </c>
      <c r="Q83" s="387">
        <v>0</v>
      </c>
    </row>
    <row r="84" spans="2:17">
      <c r="B84" s="541" t="s">
        <v>314</v>
      </c>
      <c r="C84" s="381">
        <f>VLOOKUP(B84,'[5]Allocation Factor &amp;Meter Totals'!$A$8:$F$249,6,FALSE)</f>
        <v>191437</v>
      </c>
      <c r="D84" s="381">
        <f>VLOOKUP(B84,'[5]Allocation Factor &amp;Meter Totals'!$A$8:$F$249,5,FALSE)</f>
        <v>146926</v>
      </c>
      <c r="E84" s="381">
        <f>VLOOKUP(B84,'[5]Allocation Factor &amp;Meter Totals'!$A$8:$F$249,6,FALSE)</f>
        <v>191437</v>
      </c>
      <c r="F84" s="21" t="s">
        <v>1589</v>
      </c>
      <c r="G84" s="21" t="s">
        <v>103</v>
      </c>
      <c r="H84" s="404">
        <f>VLOOKUP(B84,'[5]Allocation Factor &amp;Meter Totals'!$A$8:$F$249,6,FALSE)</f>
        <v>191437</v>
      </c>
      <c r="I84" s="405">
        <f>VLOOKUP(B84,'[5]Allocation Factor &amp;Meter Totals'!$A$8:$F$249,5,FALSE)</f>
        <v>146926</v>
      </c>
      <c r="J84" s="406">
        <f>VLOOKUP(B84,'[5]Allocation Factor &amp;Meter Totals'!$A$8:$F$249,3,FALSE)</f>
        <v>6.58588986342412E-2</v>
      </c>
      <c r="K84" s="407">
        <f>VLOOKUP(B84,'[5]Allocation Factor &amp;Meter Totals'!$A$8:$F$249,6,FALSE)</f>
        <v>191437</v>
      </c>
      <c r="L84" s="406">
        <f>VLOOKUP(B84,'[5]Allocation Factor &amp;Meter Totals'!$A$8:$F$249,4,FALSE)</f>
        <v>3.6992249553966267E-2</v>
      </c>
      <c r="M84" s="407" t="s">
        <v>104</v>
      </c>
      <c r="N84" s="21"/>
      <c r="O84" s="21" t="s">
        <v>103</v>
      </c>
      <c r="P84" s="387">
        <v>0</v>
      </c>
      <c r="Q84" s="387">
        <v>0</v>
      </c>
    </row>
    <row r="85" spans="2:17" ht="43.5">
      <c r="B85" s="541" t="s">
        <v>324</v>
      </c>
      <c r="C85" s="381">
        <f>VLOOKUP(B85,'[5]Allocation Factor &amp;Meter Totals'!$A$8:$F$249,6,FALSE)</f>
        <v>1550</v>
      </c>
      <c r="D85" s="381">
        <f>VLOOKUP(B85,'[5]Allocation Factor &amp;Meter Totals'!$A$8:$F$249,5,FALSE)</f>
        <v>739</v>
      </c>
      <c r="E85" s="381">
        <f>VLOOKUP(B85,'[5]Allocation Factor &amp;Meter Totals'!$A$8:$F$249,6,FALSE)</f>
        <v>1550</v>
      </c>
      <c r="F85" s="21" t="s">
        <v>1589</v>
      </c>
      <c r="G85" s="21" t="s">
        <v>103</v>
      </c>
      <c r="H85" s="404">
        <f>VLOOKUP(B85,'[5]Allocation Factor &amp;Meter Totals'!$A$8:$F$249,6,FALSE)</f>
        <v>1550</v>
      </c>
      <c r="I85" s="405">
        <f>VLOOKUP(B85,'[5]Allocation Factor &amp;Meter Totals'!$A$8:$F$249,5,FALSE)</f>
        <v>739</v>
      </c>
      <c r="J85" s="406">
        <f>VLOOKUP(B85,'[5]Allocation Factor &amp;Meter Totals'!$A$8:$F$249,3,FALSE)</f>
        <v>3.3125332542030848E-4</v>
      </c>
      <c r="K85" s="407">
        <f>VLOOKUP(B85,'[5]Allocation Factor &amp;Meter Totals'!$A$8:$F$249,6,FALSE)</f>
        <v>1550</v>
      </c>
      <c r="L85" s="406">
        <f>VLOOKUP(B85,'[5]Allocation Factor &amp;Meter Totals'!$A$8:$F$249,4,FALSE)</f>
        <v>2.9951360922208202E-4</v>
      </c>
      <c r="M85" s="407" t="s">
        <v>104</v>
      </c>
      <c r="N85" s="21"/>
      <c r="O85" s="15" t="s">
        <v>1593</v>
      </c>
      <c r="P85" s="387">
        <v>0</v>
      </c>
      <c r="Q85" s="387">
        <v>0</v>
      </c>
    </row>
    <row r="86" spans="2:17">
      <c r="B86" s="541" t="s">
        <v>325</v>
      </c>
      <c r="C86" s="381">
        <f>VLOOKUP(B86,'[5]Allocation Factor &amp;Meter Totals'!$A$8:$F$249,6,FALSE)</f>
        <v>17134</v>
      </c>
      <c r="D86" s="381">
        <f>VLOOKUP(B86,'[5]Allocation Factor &amp;Meter Totals'!$A$8:$F$249,5,FALSE)</f>
        <v>14440</v>
      </c>
      <c r="E86" s="381">
        <f>VLOOKUP(B86,'[5]Allocation Factor &amp;Meter Totals'!$A$8:$F$249,6,FALSE)</f>
        <v>17134</v>
      </c>
      <c r="F86" s="21" t="s">
        <v>1589</v>
      </c>
      <c r="G86" s="21" t="s">
        <v>103</v>
      </c>
      <c r="H86" s="404">
        <f>VLOOKUP(B86,'[5]Allocation Factor &amp;Meter Totals'!$A$8:$F$249,6,FALSE)</f>
        <v>17134</v>
      </c>
      <c r="I86" s="405">
        <f>VLOOKUP(B86,'[5]Allocation Factor &amp;Meter Totals'!$A$8:$F$249,5,FALSE)</f>
        <v>14440</v>
      </c>
      <c r="J86" s="406">
        <f>VLOOKUP(B86,'[5]Allocation Factor &amp;Meter Totals'!$A$8:$F$249,3,FALSE)</f>
        <v>6.4726630839908716E-3</v>
      </c>
      <c r="K86" s="407">
        <f>VLOOKUP(B86,'[5]Allocation Factor &amp;Meter Totals'!$A$8:$F$249,6,FALSE)</f>
        <v>17134</v>
      </c>
      <c r="L86" s="406">
        <f>VLOOKUP(B86,'[5]Allocation Factor &amp;Meter Totals'!$A$8:$F$249,4,FALSE)</f>
        <v>3.3108814067168727E-3</v>
      </c>
      <c r="M86" s="407" t="s">
        <v>104</v>
      </c>
      <c r="N86" s="21"/>
      <c r="O86" s="21" t="s">
        <v>103</v>
      </c>
      <c r="P86" s="387">
        <v>0</v>
      </c>
      <c r="Q86" s="387">
        <v>0</v>
      </c>
    </row>
    <row r="87" spans="2:17">
      <c r="B87" s="541" t="s">
        <v>330</v>
      </c>
      <c r="C87" s="381">
        <f>VLOOKUP(B87,'[5]Allocation Factor &amp;Meter Totals'!$A$8:$F$249,6,FALSE)</f>
        <v>7528</v>
      </c>
      <c r="D87" s="381">
        <f>VLOOKUP(B87,'[5]Allocation Factor &amp;Meter Totals'!$A$8:$F$249,5,FALSE)</f>
        <v>2612</v>
      </c>
      <c r="E87" s="381">
        <f>VLOOKUP(B87,'[5]Allocation Factor &amp;Meter Totals'!$A$8:$F$249,6,FALSE)</f>
        <v>7528</v>
      </c>
      <c r="F87" s="21" t="s">
        <v>1589</v>
      </c>
      <c r="G87" s="21" t="s">
        <v>103</v>
      </c>
      <c r="H87" s="404">
        <f>VLOOKUP(B87,'[5]Allocation Factor &amp;Meter Totals'!$A$8:$F$249,6,FALSE)</f>
        <v>7528</v>
      </c>
      <c r="I87" s="405">
        <f>VLOOKUP(B87,'[5]Allocation Factor &amp;Meter Totals'!$A$8:$F$249,5,FALSE)</f>
        <v>2612</v>
      </c>
      <c r="J87" s="406">
        <f>VLOOKUP(B87,'[5]Allocation Factor &amp;Meter Totals'!$A$8:$F$249,3,FALSE)</f>
        <v>1.170816895802227E-3</v>
      </c>
      <c r="K87" s="407">
        <f>VLOOKUP(B87,'[5]Allocation Factor &amp;Meter Totals'!$A$8:$F$249,6,FALSE)</f>
        <v>7528</v>
      </c>
      <c r="L87" s="406">
        <f>VLOOKUP(B87,'[5]Allocation Factor &amp;Meter Totals'!$A$8:$F$249,4,FALSE)</f>
        <v>1.454669967886344E-3</v>
      </c>
      <c r="M87" s="407" t="s">
        <v>110</v>
      </c>
      <c r="N87" s="21"/>
      <c r="O87" s="21" t="s">
        <v>103</v>
      </c>
      <c r="P87" s="387">
        <v>0</v>
      </c>
      <c r="Q87" s="387">
        <v>0</v>
      </c>
    </row>
    <row r="88" spans="2:17">
      <c r="B88" s="541" t="s">
        <v>331</v>
      </c>
      <c r="C88" s="381">
        <f>VLOOKUP(B88,'[5]Allocation Factor &amp;Meter Totals'!$A$8:$F$249,6,FALSE)</f>
        <v>16455</v>
      </c>
      <c r="D88" s="381">
        <f>VLOOKUP(B88,'[5]Allocation Factor &amp;Meter Totals'!$A$8:$F$249,5,FALSE)</f>
        <v>10123</v>
      </c>
      <c r="E88" s="381">
        <f>VLOOKUP(B88,'[5]Allocation Factor &amp;Meter Totals'!$A$8:$F$249,6,FALSE)</f>
        <v>16455</v>
      </c>
      <c r="F88" s="21" t="s">
        <v>1589</v>
      </c>
      <c r="G88" s="21" t="s">
        <v>103</v>
      </c>
      <c r="H88" s="404">
        <f>VLOOKUP(B88,'[5]Allocation Factor &amp;Meter Totals'!$A$8:$F$249,6,FALSE)</f>
        <v>16455</v>
      </c>
      <c r="I88" s="405">
        <f>VLOOKUP(B88,'[5]Allocation Factor &amp;Meter Totals'!$A$8:$F$249,5,FALSE)</f>
        <v>10123</v>
      </c>
      <c r="J88" s="406">
        <f>VLOOKUP(B88,'[5]Allocation Factor &amp;Meter Totals'!$A$8:$F$249,3,FALSE)</f>
        <v>4.5375878392825203E-3</v>
      </c>
      <c r="K88" s="407">
        <f>VLOOKUP(B88,'[5]Allocation Factor &amp;Meter Totals'!$A$8:$F$249,6,FALSE)</f>
        <v>16455</v>
      </c>
      <c r="L88" s="406">
        <f>VLOOKUP(B88,'[5]Allocation Factor &amp;Meter Totals'!$A$8:$F$249,4,FALSE)</f>
        <v>3.1796751224189416E-3</v>
      </c>
      <c r="M88" s="407" t="s">
        <v>110</v>
      </c>
      <c r="N88" s="21"/>
      <c r="O88" s="21" t="s">
        <v>103</v>
      </c>
      <c r="P88" s="387">
        <v>0</v>
      </c>
      <c r="Q88" s="387">
        <v>0</v>
      </c>
    </row>
    <row r="89" spans="2:17">
      <c r="B89" s="541" t="s">
        <v>335</v>
      </c>
      <c r="C89" s="381">
        <f>VLOOKUP(B89,'[5]Allocation Factor &amp;Meter Totals'!$A$8:$F$249,6,FALSE)</f>
        <v>7118</v>
      </c>
      <c r="D89" s="381">
        <f>VLOOKUP(B89,'[5]Allocation Factor &amp;Meter Totals'!$A$8:$F$249,5,FALSE)</f>
        <v>6478</v>
      </c>
      <c r="E89" s="381">
        <f>VLOOKUP(B89,'[5]Allocation Factor &amp;Meter Totals'!$A$8:$F$249,6,FALSE)</f>
        <v>7118</v>
      </c>
      <c r="F89" s="21" t="s">
        <v>1589</v>
      </c>
      <c r="G89" s="21" t="s">
        <v>103</v>
      </c>
      <c r="H89" s="404">
        <f>VLOOKUP(B89,'[5]Allocation Factor &amp;Meter Totals'!$A$8:$F$249,6,FALSE)</f>
        <v>7118</v>
      </c>
      <c r="I89" s="405">
        <f>VLOOKUP(B89,'[5]Allocation Factor &amp;Meter Totals'!$A$8:$F$249,5,FALSE)</f>
        <v>6478</v>
      </c>
      <c r="J89" s="406">
        <f>VLOOKUP(B89,'[5]Allocation Factor &amp;Meter Totals'!$A$8:$F$249,3,FALSE)</f>
        <v>2.9037334804773453E-3</v>
      </c>
      <c r="K89" s="407">
        <f>VLOOKUP(B89,'[5]Allocation Factor &amp;Meter Totals'!$A$8:$F$249,6,FALSE)</f>
        <v>7118</v>
      </c>
      <c r="L89" s="406">
        <f>VLOOKUP(B89,'[5]Allocation Factor &amp;Meter Totals'!$A$8:$F$249,4,FALSE)</f>
        <v>1.3754437873824384E-3</v>
      </c>
      <c r="M89" s="407" t="s">
        <v>104</v>
      </c>
      <c r="N89" s="21"/>
      <c r="O89" s="21" t="s">
        <v>103</v>
      </c>
      <c r="P89" s="387">
        <v>0</v>
      </c>
      <c r="Q89" s="387">
        <v>0</v>
      </c>
    </row>
    <row r="90" spans="2:17">
      <c r="B90" s="541" t="s">
        <v>336</v>
      </c>
      <c r="C90" s="381">
        <f>VLOOKUP(B90,'[5]Allocation Factor &amp;Meter Totals'!$A$8:$F$249,6,FALSE)</f>
        <v>17279</v>
      </c>
      <c r="D90" s="381">
        <f>VLOOKUP(B90,'[5]Allocation Factor &amp;Meter Totals'!$A$8:$F$249,5,FALSE)</f>
        <v>11441</v>
      </c>
      <c r="E90" s="381">
        <f>VLOOKUP(B90,'[5]Allocation Factor &amp;Meter Totals'!$A$8:$F$249,6,FALSE)</f>
        <v>17279</v>
      </c>
      <c r="F90" s="21" t="s">
        <v>1589</v>
      </c>
      <c r="G90" s="21" t="s">
        <v>103</v>
      </c>
      <c r="H90" s="404">
        <f>VLOOKUP(B90,'[5]Allocation Factor &amp;Meter Totals'!$A$8:$F$249,6,FALSE)</f>
        <v>17279</v>
      </c>
      <c r="I90" s="405">
        <f>VLOOKUP(B90,'[5]Allocation Factor &amp;Meter Totals'!$A$8:$F$249,5,FALSE)</f>
        <v>11441</v>
      </c>
      <c r="J90" s="406">
        <f>VLOOKUP(B90,'[5]Allocation Factor &amp;Meter Totals'!$A$8:$F$249,3,FALSE)</f>
        <v>5.1283752315747621E-3</v>
      </c>
      <c r="K90" s="407">
        <f>VLOOKUP(B90,'[5]Allocation Factor &amp;Meter Totals'!$A$8:$F$249,6,FALSE)</f>
        <v>17279</v>
      </c>
      <c r="L90" s="406">
        <f>VLOOKUP(B90,'[5]Allocation Factor &amp;Meter Totals'!$A$8:$F$249,4,FALSE)</f>
        <v>3.3389004217731322E-3</v>
      </c>
      <c r="M90" s="407" t="s">
        <v>104</v>
      </c>
      <c r="N90" s="21"/>
      <c r="O90" s="21" t="s">
        <v>103</v>
      </c>
      <c r="P90" s="387">
        <v>0</v>
      </c>
      <c r="Q90" s="387">
        <v>0</v>
      </c>
    </row>
    <row r="91" spans="2:17">
      <c r="B91" s="541" t="s">
        <v>341</v>
      </c>
      <c r="C91" s="381">
        <f>VLOOKUP(B91,'[5]Allocation Factor &amp;Meter Totals'!$A$8:$F$249,6,FALSE)</f>
        <v>23488</v>
      </c>
      <c r="D91" s="381">
        <f>VLOOKUP(B91,'[5]Allocation Factor &amp;Meter Totals'!$A$8:$F$249,5,FALSE)</f>
        <v>16495</v>
      </c>
      <c r="E91" s="381">
        <f>VLOOKUP(B91,'[5]Allocation Factor &amp;Meter Totals'!$A$8:$F$249,6,FALSE)</f>
        <v>23488</v>
      </c>
      <c r="F91" s="21" t="s">
        <v>1589</v>
      </c>
      <c r="G91" s="21" t="s">
        <v>103</v>
      </c>
      <c r="H91" s="404">
        <f>VLOOKUP(B91,'[5]Allocation Factor &amp;Meter Totals'!$A$8:$F$249,6,FALSE)</f>
        <v>23488</v>
      </c>
      <c r="I91" s="405">
        <f>VLOOKUP(B91,'[5]Allocation Factor &amp;Meter Totals'!$A$8:$F$249,5,FALSE)</f>
        <v>16495</v>
      </c>
      <c r="J91" s="406">
        <f>VLOOKUP(B91,'[5]Allocation Factor &amp;Meter Totals'!$A$8:$F$249,3,FALSE)</f>
        <v>7.3938073109715676E-3</v>
      </c>
      <c r="K91" s="407">
        <f>VLOOKUP(B91,'[5]Allocation Factor &amp;Meter Totals'!$A$8:$F$249,6,FALSE)</f>
        <v>23488</v>
      </c>
      <c r="L91" s="406">
        <f>VLOOKUP(B91,'[5]Allocation Factor &amp;Meter Totals'!$A$8:$F$249,4,FALSE)</f>
        <v>4.5386939699408142E-3</v>
      </c>
      <c r="M91" s="407" t="s">
        <v>104</v>
      </c>
      <c r="N91" s="21"/>
      <c r="O91" s="21" t="s">
        <v>103</v>
      </c>
      <c r="P91" s="387">
        <v>0</v>
      </c>
      <c r="Q91" s="387">
        <v>0</v>
      </c>
    </row>
    <row r="92" spans="2:17">
      <c r="B92" s="541" t="s">
        <v>352</v>
      </c>
      <c r="C92" s="381">
        <f>VLOOKUP(B92,'[5]Allocation Factor &amp;Meter Totals'!$A$8:$F$249,6,FALSE)</f>
        <v>24114</v>
      </c>
      <c r="D92" s="381">
        <f>VLOOKUP(B92,'[5]Allocation Factor &amp;Meter Totals'!$A$8:$F$249,5,FALSE)</f>
        <v>16565</v>
      </c>
      <c r="E92" s="381">
        <f>VLOOKUP(B92,'[5]Allocation Factor &amp;Meter Totals'!$A$8:$F$249,6,FALSE)</f>
        <v>24114</v>
      </c>
      <c r="F92" s="21" t="s">
        <v>1589</v>
      </c>
      <c r="G92" s="21" t="s">
        <v>103</v>
      </c>
      <c r="H92" s="404">
        <f>VLOOKUP(B92,'[5]Allocation Factor &amp;Meter Totals'!$A$8:$F$249,6,FALSE)</f>
        <v>24114</v>
      </c>
      <c r="I92" s="405">
        <f>VLOOKUP(B92,'[5]Allocation Factor &amp;Meter Totals'!$A$8:$F$249,5,FALSE)</f>
        <v>16565</v>
      </c>
      <c r="J92" s="406">
        <f>VLOOKUP(B92,'[5]Allocation Factor &amp;Meter Totals'!$A$8:$F$249,3,FALSE)</f>
        <v>7.4251844865864816E-3</v>
      </c>
      <c r="K92" s="407">
        <f>VLOOKUP(B92,'[5]Allocation Factor &amp;Meter Totals'!$A$8:$F$249,6,FALSE)</f>
        <v>24114</v>
      </c>
      <c r="L92" s="406">
        <f>VLOOKUP(B92,'[5]Allocation Factor &amp;Meter Totals'!$A$8:$F$249,4,FALSE)</f>
        <v>4.659658821149216E-3</v>
      </c>
      <c r="M92" s="407" t="s">
        <v>104</v>
      </c>
      <c r="N92" s="21"/>
      <c r="O92" s="21" t="s">
        <v>103</v>
      </c>
      <c r="P92" s="387">
        <v>0</v>
      </c>
      <c r="Q92" s="387">
        <v>0</v>
      </c>
    </row>
    <row r="93" spans="2:17">
      <c r="B93" s="541" t="s">
        <v>356</v>
      </c>
      <c r="C93" s="381">
        <f>VLOOKUP(B93,'[5]Allocation Factor &amp;Meter Totals'!$A$8:$F$249,6,FALSE)</f>
        <v>29547</v>
      </c>
      <c r="D93" s="381">
        <f>VLOOKUP(B93,'[5]Allocation Factor &amp;Meter Totals'!$A$8:$F$249,5,FALSE)</f>
        <v>23147</v>
      </c>
      <c r="E93" s="381">
        <f>VLOOKUP(B93,'[5]Allocation Factor &amp;Meter Totals'!$A$8:$F$249,6,FALSE)</f>
        <v>29547</v>
      </c>
      <c r="F93" s="21" t="s">
        <v>1589</v>
      </c>
      <c r="G93" s="21" t="s">
        <v>103</v>
      </c>
      <c r="H93" s="404">
        <f>VLOOKUP(B93,'[5]Allocation Factor &amp;Meter Totals'!$A$8:$F$249,6,FALSE)</f>
        <v>29547</v>
      </c>
      <c r="I93" s="405">
        <f>VLOOKUP(B93,'[5]Allocation Factor &amp;Meter Totals'!$A$8:$F$249,5,FALSE)</f>
        <v>23147</v>
      </c>
      <c r="J93" s="406">
        <f>VLOOKUP(B93,'[5]Allocation Factor &amp;Meter Totals'!$A$8:$F$249,3,FALSE)</f>
        <v>1.037553548512027E-2</v>
      </c>
      <c r="K93" s="407">
        <f>VLOOKUP(B93,'[5]Allocation Factor &amp;Meter Totals'!$A$8:$F$249,6,FALSE)</f>
        <v>29547</v>
      </c>
      <c r="L93" s="406">
        <f>VLOOKUP(B93,'[5]Allocation Factor &amp;Meter Totals'!$A$8:$F$249,4,FALSE)</f>
        <v>5.7095023301192626E-3</v>
      </c>
      <c r="M93" s="407" t="s">
        <v>104</v>
      </c>
      <c r="N93" s="21"/>
      <c r="O93" s="21" t="s">
        <v>103</v>
      </c>
      <c r="P93" s="387">
        <v>0</v>
      </c>
      <c r="Q93" s="387">
        <v>0</v>
      </c>
    </row>
    <row r="94" spans="2:17">
      <c r="B94" s="541" t="s">
        <v>362</v>
      </c>
      <c r="C94" s="381">
        <f>VLOOKUP(B94,'[5]Allocation Factor &amp;Meter Totals'!$A$8:$F$249,6,FALSE)</f>
        <v>51977</v>
      </c>
      <c r="D94" s="381">
        <f>VLOOKUP(B94,'[5]Allocation Factor &amp;Meter Totals'!$A$8:$F$249,5,FALSE)</f>
        <v>6224</v>
      </c>
      <c r="E94" s="381">
        <f>VLOOKUP(B94,'[5]Allocation Factor &amp;Meter Totals'!$A$8:$F$249,6,FALSE)</f>
        <v>51977</v>
      </c>
      <c r="F94" s="21" t="s">
        <v>1589</v>
      </c>
      <c r="G94" s="21" t="s">
        <v>103</v>
      </c>
      <c r="H94" s="404">
        <f>VLOOKUP(B94,'[5]Allocation Factor &amp;Meter Totals'!$A$8:$F$249,6,FALSE)</f>
        <v>51977</v>
      </c>
      <c r="I94" s="405">
        <f>VLOOKUP(B94,'[5]Allocation Factor &amp;Meter Totals'!$A$8:$F$249,5,FALSE)</f>
        <v>6224</v>
      </c>
      <c r="J94" s="406">
        <f>VLOOKUP(B94,'[5]Allocation Factor &amp;Meter Totals'!$A$8:$F$249,3,FALSE)</f>
        <v>2.7898791575317996E-3</v>
      </c>
      <c r="K94" s="407">
        <f>VLOOKUP(B94,'[5]Allocation Factor &amp;Meter Totals'!$A$8:$F$249,6,FALSE)</f>
        <v>51977</v>
      </c>
      <c r="L94" s="406">
        <f>VLOOKUP(B94,'[5]Allocation Factor &amp;Meter Totals'!$A$8:$F$249,4,FALSE)</f>
        <v>1.0043754107442682E-2</v>
      </c>
      <c r="M94" s="407" t="s">
        <v>110</v>
      </c>
      <c r="N94" s="21"/>
      <c r="O94" s="21" t="s">
        <v>103</v>
      </c>
      <c r="P94" s="387">
        <v>0</v>
      </c>
      <c r="Q94" s="387">
        <v>0</v>
      </c>
    </row>
    <row r="95" spans="2:17">
      <c r="B95" s="541" t="s">
        <v>363</v>
      </c>
      <c r="C95" s="381">
        <f>VLOOKUP(B95,'[5]Allocation Factor &amp;Meter Totals'!$A$8:$F$249,6,FALSE)</f>
        <v>5742</v>
      </c>
      <c r="D95" s="381">
        <f>VLOOKUP(B95,'[5]Allocation Factor &amp;Meter Totals'!$A$8:$F$249,5,FALSE)</f>
        <v>2108</v>
      </c>
      <c r="E95" s="381">
        <f>VLOOKUP(B95,'[5]Allocation Factor &amp;Meter Totals'!$A$8:$F$249,6,FALSE)</f>
        <v>5742</v>
      </c>
      <c r="F95" s="21" t="s">
        <v>1589</v>
      </c>
      <c r="G95" s="21" t="s">
        <v>103</v>
      </c>
      <c r="H95" s="404">
        <f>VLOOKUP(B95,'[5]Allocation Factor &amp;Meter Totals'!$A$8:$F$249,6,FALSE)</f>
        <v>5742</v>
      </c>
      <c r="I95" s="405">
        <f>VLOOKUP(B95,'[5]Allocation Factor &amp;Meter Totals'!$A$8:$F$249,5,FALSE)</f>
        <v>2108</v>
      </c>
      <c r="J95" s="406">
        <f>VLOOKUP(B95,'[5]Allocation Factor &amp;Meter Totals'!$A$8:$F$249,3,FALSE)</f>
        <v>9.4490123137484479E-4</v>
      </c>
      <c r="K95" s="407">
        <f>VLOOKUP(B95,'[5]Allocation Factor &amp;Meter Totals'!$A$8:$F$249,6,FALSE)</f>
        <v>5742</v>
      </c>
      <c r="L95" s="406">
        <f>VLOOKUP(B95,'[5]Allocation Factor &amp;Meter Totals'!$A$8:$F$249,4,FALSE)</f>
        <v>1.1095529962278675E-3</v>
      </c>
      <c r="M95" s="407" t="s">
        <v>110</v>
      </c>
      <c r="N95" s="21"/>
      <c r="O95" s="21" t="s">
        <v>103</v>
      </c>
      <c r="P95" s="387">
        <v>0</v>
      </c>
      <c r="Q95" s="387">
        <v>0</v>
      </c>
    </row>
    <row r="96" spans="2:17">
      <c r="B96" s="541" t="s">
        <v>364</v>
      </c>
      <c r="C96" s="381">
        <f>VLOOKUP(B96,'[5]Allocation Factor &amp;Meter Totals'!$A$8:$F$249,6,FALSE)</f>
        <v>16202</v>
      </c>
      <c r="D96" s="381">
        <f>VLOOKUP(B96,'[5]Allocation Factor &amp;Meter Totals'!$A$8:$F$249,5,FALSE)</f>
        <v>10466</v>
      </c>
      <c r="E96" s="381">
        <f>VLOOKUP(B96,'[5]Allocation Factor &amp;Meter Totals'!$A$8:$F$249,6,FALSE)</f>
        <v>16202</v>
      </c>
      <c r="F96" s="21" t="s">
        <v>1589</v>
      </c>
      <c r="G96" s="21" t="s">
        <v>103</v>
      </c>
      <c r="H96" s="404">
        <f>VLOOKUP(B96,'[5]Allocation Factor &amp;Meter Totals'!$A$8:$F$249,6,FALSE)</f>
        <v>16202</v>
      </c>
      <c r="I96" s="405">
        <f>VLOOKUP(B96,'[5]Allocation Factor &amp;Meter Totals'!$A$8:$F$249,5,FALSE)</f>
        <v>10466</v>
      </c>
      <c r="J96" s="406">
        <f>VLOOKUP(B96,'[5]Allocation Factor &amp;Meter Totals'!$A$8:$F$249,3,FALSE)</f>
        <v>4.6913359997956001E-3</v>
      </c>
      <c r="K96" s="407">
        <f>VLOOKUP(B96,'[5]Allocation Factor &amp;Meter Totals'!$A$8:$F$249,6,FALSE)</f>
        <v>16202</v>
      </c>
      <c r="L96" s="406">
        <f>VLOOKUP(B96,'[5]Allocation Factor &amp;Meter Totals'!$A$8:$F$249,4,FALSE)</f>
        <v>3.1307867720104339E-3</v>
      </c>
      <c r="M96" s="407" t="s">
        <v>104</v>
      </c>
      <c r="N96" s="21"/>
      <c r="O96" s="21" t="s">
        <v>103</v>
      </c>
      <c r="P96" s="387">
        <v>0</v>
      </c>
      <c r="Q96" s="387">
        <v>0</v>
      </c>
    </row>
    <row r="97" spans="2:17" ht="43.5">
      <c r="B97" s="541" t="s">
        <v>365</v>
      </c>
      <c r="C97" s="381">
        <f>VLOOKUP(B97,'[5]Allocation Factor &amp;Meter Totals'!$A$8:$F$249,6,FALSE)</f>
        <v>130</v>
      </c>
      <c r="D97" s="381">
        <f>VLOOKUP(B97,'[5]Allocation Factor &amp;Meter Totals'!$A$8:$F$249,5,FALSE)</f>
        <v>73</v>
      </c>
      <c r="E97" s="381">
        <f>VLOOKUP(B97,'[5]Allocation Factor &amp;Meter Totals'!$A$8:$F$249,6,FALSE)</f>
        <v>130</v>
      </c>
      <c r="F97" s="21" t="s">
        <v>1589</v>
      </c>
      <c r="G97" s="21" t="s">
        <v>103</v>
      </c>
      <c r="H97" s="404">
        <f>VLOOKUP(B97,'[5]Allocation Factor &amp;Meter Totals'!$A$8:$F$249,6,FALSE)</f>
        <v>130</v>
      </c>
      <c r="I97" s="405">
        <f>VLOOKUP(B97,'[5]Allocation Factor &amp;Meter Totals'!$A$8:$F$249,5,FALSE)</f>
        <v>73</v>
      </c>
      <c r="J97" s="406">
        <f>VLOOKUP(B97,'[5]Allocation Factor &amp;Meter Totals'!$A$8:$F$249,3,FALSE)</f>
        <v>3.2721911712696238E-5</v>
      </c>
      <c r="K97" s="407">
        <f>VLOOKUP(B97,'[5]Allocation Factor &amp;Meter Totals'!$A$8:$F$249,6,FALSE)</f>
        <v>130</v>
      </c>
      <c r="L97" s="406">
        <f>VLOOKUP(B97,'[5]Allocation Factor &amp;Meter Totals'!$A$8:$F$249,4,FALSE)</f>
        <v>2.5120496257335911E-5</v>
      </c>
      <c r="M97" s="407" t="s">
        <v>104</v>
      </c>
      <c r="N97" s="21"/>
      <c r="O97" s="15" t="s">
        <v>1593</v>
      </c>
      <c r="P97" s="387">
        <v>0</v>
      </c>
      <c r="Q97" s="387">
        <v>0</v>
      </c>
    </row>
    <row r="98" spans="2:17">
      <c r="B98" s="541" t="s">
        <v>366</v>
      </c>
      <c r="C98" s="381">
        <f>VLOOKUP(B98,'[5]Allocation Factor &amp;Meter Totals'!$A$8:$F$249,6,FALSE)</f>
        <v>18261</v>
      </c>
      <c r="D98" s="381">
        <f>VLOOKUP(B98,'[5]Allocation Factor &amp;Meter Totals'!$A$8:$F$249,5,FALSE)</f>
        <v>13992</v>
      </c>
      <c r="E98" s="381">
        <f>VLOOKUP(B98,'[5]Allocation Factor &amp;Meter Totals'!$A$8:$F$249,6,FALSE)</f>
        <v>18261</v>
      </c>
      <c r="F98" s="21" t="s">
        <v>1589</v>
      </c>
      <c r="G98" s="21" t="s">
        <v>103</v>
      </c>
      <c r="H98" s="404">
        <f>VLOOKUP(B98,'[5]Allocation Factor &amp;Meter Totals'!$A$8:$F$249,6,FALSE)</f>
        <v>18261</v>
      </c>
      <c r="I98" s="405">
        <f>VLOOKUP(B98,'[5]Allocation Factor &amp;Meter Totals'!$A$8:$F$249,5,FALSE)</f>
        <v>13992</v>
      </c>
      <c r="J98" s="406">
        <f>VLOOKUP(B98,'[5]Allocation Factor &amp;Meter Totals'!$A$8:$F$249,3,FALSE)</f>
        <v>6.2718491600554207E-3</v>
      </c>
      <c r="K98" s="407">
        <f>VLOOKUP(B98,'[5]Allocation Factor &amp;Meter Totals'!$A$8:$F$249,6,FALSE)</f>
        <v>18261</v>
      </c>
      <c r="L98" s="406">
        <f>VLOOKUP(B98,'[5]Allocation Factor &amp;Meter Totals'!$A$8:$F$249,4,FALSE)</f>
        <v>3.5286567858093159E-3</v>
      </c>
      <c r="M98" s="407" t="s">
        <v>104</v>
      </c>
      <c r="N98" s="21"/>
      <c r="O98" s="21" t="s">
        <v>103</v>
      </c>
      <c r="P98" s="387">
        <v>0</v>
      </c>
      <c r="Q98" s="387">
        <v>0</v>
      </c>
    </row>
    <row r="99" spans="2:17">
      <c r="B99" s="541" t="s">
        <v>371</v>
      </c>
      <c r="C99" s="381">
        <f>VLOOKUP(B99,'[5]Allocation Factor &amp;Meter Totals'!$A$8:$F$249,6,FALSE)</f>
        <v>46914</v>
      </c>
      <c r="D99" s="381">
        <f>VLOOKUP(B99,'[5]Allocation Factor &amp;Meter Totals'!$A$8:$F$249,5,FALSE)</f>
        <v>28748</v>
      </c>
      <c r="E99" s="381">
        <f>VLOOKUP(B99,'[5]Allocation Factor &amp;Meter Totals'!$A$8:$F$249,6,FALSE)</f>
        <v>46914</v>
      </c>
      <c r="F99" s="21" t="s">
        <v>1589</v>
      </c>
      <c r="G99" s="21" t="s">
        <v>103</v>
      </c>
      <c r="H99" s="404">
        <f>VLOOKUP(B99,'[5]Allocation Factor &amp;Meter Totals'!$A$8:$F$249,6,FALSE)</f>
        <v>46914</v>
      </c>
      <c r="I99" s="405">
        <f>VLOOKUP(B99,'[5]Allocation Factor &amp;Meter Totals'!$A$8:$F$249,5,FALSE)</f>
        <v>28748</v>
      </c>
      <c r="J99" s="406">
        <f>VLOOKUP(B99,'[5]Allocation Factor &amp;Meter Totals'!$A$8:$F$249,3,FALSE)</f>
        <v>1.2886157779679334E-2</v>
      </c>
      <c r="K99" s="407">
        <f>VLOOKUP(B99,'[5]Allocation Factor &amp;Meter Totals'!$A$8:$F$249,6,FALSE)</f>
        <v>46914</v>
      </c>
      <c r="L99" s="406">
        <f>VLOOKUP(B99,'[5]Allocation Factor &amp;Meter Totals'!$A$8:$F$249,4,FALSE)</f>
        <v>9.0654073955127451E-3</v>
      </c>
      <c r="M99" s="407" t="s">
        <v>104</v>
      </c>
      <c r="N99" s="21"/>
      <c r="O99" s="21" t="s">
        <v>103</v>
      </c>
      <c r="P99" s="387">
        <v>0</v>
      </c>
      <c r="Q99" s="387">
        <v>0</v>
      </c>
    </row>
    <row r="100" spans="2:17">
      <c r="B100" s="541" t="s">
        <v>378</v>
      </c>
      <c r="C100" s="381">
        <f>VLOOKUP(B100,'[5]Allocation Factor &amp;Meter Totals'!$A$8:$F$249,6,FALSE)</f>
        <v>17298</v>
      </c>
      <c r="D100" s="381">
        <f>VLOOKUP(B100,'[5]Allocation Factor &amp;Meter Totals'!$A$8:$F$249,5,FALSE)</f>
        <v>7015</v>
      </c>
      <c r="E100" s="381">
        <f>VLOOKUP(B100,'[5]Allocation Factor &amp;Meter Totals'!$A$8:$F$249,6,FALSE)</f>
        <v>17298</v>
      </c>
      <c r="F100" s="21" t="s">
        <v>1589</v>
      </c>
      <c r="G100" s="21" t="s">
        <v>103</v>
      </c>
      <c r="H100" s="404">
        <f>VLOOKUP(B100,'[5]Allocation Factor &amp;Meter Totals'!$A$8:$F$249,6,FALSE)</f>
        <v>17298</v>
      </c>
      <c r="I100" s="405">
        <f>VLOOKUP(B100,'[5]Allocation Factor &amp;Meter Totals'!$A$8:$F$249,5,FALSE)</f>
        <v>7015</v>
      </c>
      <c r="J100" s="406">
        <f>VLOOKUP(B100,'[5]Allocation Factor &amp;Meter Totals'!$A$8:$F$249,3,FALSE)</f>
        <v>3.1444412419803303E-3</v>
      </c>
      <c r="K100" s="407">
        <f>VLOOKUP(B100,'[5]Allocation Factor &amp;Meter Totals'!$A$8:$F$249,6,FALSE)</f>
        <v>17298</v>
      </c>
      <c r="L100" s="406">
        <f>VLOOKUP(B100,'[5]Allocation Factor &amp;Meter Totals'!$A$8:$F$249,4,FALSE)</f>
        <v>3.3425718789184349E-3</v>
      </c>
      <c r="M100" s="407" t="s">
        <v>110</v>
      </c>
      <c r="N100" s="21"/>
      <c r="O100" s="21" t="s">
        <v>103</v>
      </c>
      <c r="P100" s="387">
        <v>0</v>
      </c>
      <c r="Q100" s="387">
        <v>0</v>
      </c>
    </row>
    <row r="101" spans="2:17">
      <c r="B101" s="541" t="s">
        <v>384</v>
      </c>
      <c r="C101" s="381">
        <f>VLOOKUP(B101,'[5]Allocation Factor &amp;Meter Totals'!$A$8:$F$249,6,FALSE)</f>
        <v>35155</v>
      </c>
      <c r="D101" s="381">
        <f>VLOOKUP(B101,'[5]Allocation Factor &amp;Meter Totals'!$A$8:$F$249,5,FALSE)</f>
        <v>22873</v>
      </c>
      <c r="E101" s="381">
        <f>VLOOKUP(B101,'[5]Allocation Factor &amp;Meter Totals'!$A$8:$F$249,6,FALSE)</f>
        <v>35155</v>
      </c>
      <c r="F101" s="21" t="s">
        <v>1589</v>
      </c>
      <c r="G101" s="21" t="s">
        <v>103</v>
      </c>
      <c r="H101" s="404">
        <f>VLOOKUP(B101,'[5]Allocation Factor &amp;Meter Totals'!$A$8:$F$249,6,FALSE)</f>
        <v>35155</v>
      </c>
      <c r="I101" s="405">
        <f>VLOOKUP(B101,'[5]Allocation Factor &amp;Meter Totals'!$A$8:$F$249,5,FALSE)</f>
        <v>22873</v>
      </c>
      <c r="J101" s="406">
        <f>VLOOKUP(B101,'[5]Allocation Factor &amp;Meter Totals'!$A$8:$F$249,3,FALSE)</f>
        <v>1.0252716254856178E-2</v>
      </c>
      <c r="K101" s="407">
        <f>VLOOKUP(B101,'[5]Allocation Factor &amp;Meter Totals'!$A$8:$F$249,6,FALSE)</f>
        <v>35155</v>
      </c>
      <c r="L101" s="406">
        <f>VLOOKUP(B101,'[5]Allocation Factor &amp;Meter Totals'!$A$8:$F$249,4,FALSE)</f>
        <v>6.793161891743415E-3</v>
      </c>
      <c r="M101" s="407" t="s">
        <v>110</v>
      </c>
      <c r="N101" s="21"/>
      <c r="O101" s="21" t="s">
        <v>103</v>
      </c>
      <c r="P101" s="387">
        <v>0</v>
      </c>
      <c r="Q101" s="387">
        <v>0</v>
      </c>
    </row>
    <row r="102" spans="2:17">
      <c r="B102" s="541" t="s">
        <v>388</v>
      </c>
      <c r="C102" s="381">
        <f>VLOOKUP(B102,'[5]Allocation Factor &amp;Meter Totals'!$A$8:$F$249,6,FALSE)</f>
        <v>937</v>
      </c>
      <c r="D102" s="381">
        <f>VLOOKUP(B102,'[5]Allocation Factor &amp;Meter Totals'!$A$8:$F$249,5,FALSE)</f>
        <v>370</v>
      </c>
      <c r="E102" s="381">
        <f>VLOOKUP(B102,'[5]Allocation Factor &amp;Meter Totals'!$A$8:$F$249,6,FALSE)</f>
        <v>937</v>
      </c>
      <c r="F102" s="21" t="s">
        <v>1589</v>
      </c>
      <c r="G102" s="21" t="s">
        <v>103</v>
      </c>
      <c r="H102" s="404">
        <f>VLOOKUP(B102,'[5]Allocation Factor &amp;Meter Totals'!$A$8:$F$249,6,FALSE)</f>
        <v>937</v>
      </c>
      <c r="I102" s="405">
        <f>VLOOKUP(B102,'[5]Allocation Factor &amp;Meter Totals'!$A$8:$F$249,5,FALSE)</f>
        <v>370</v>
      </c>
      <c r="J102" s="406">
        <f>VLOOKUP(B102,'[5]Allocation Factor &amp;Meter Totals'!$A$8:$F$249,3,FALSE)</f>
        <v>1.6585078539311791E-4</v>
      </c>
      <c r="K102" s="407">
        <f>VLOOKUP(B102,'[5]Allocation Factor &amp;Meter Totals'!$A$8:$F$249,6,FALSE)</f>
        <v>937</v>
      </c>
      <c r="L102" s="406">
        <f>VLOOKUP(B102,'[5]Allocation Factor &amp;Meter Totals'!$A$8:$F$249,4,FALSE)</f>
        <v>1.8106080763941344E-4</v>
      </c>
      <c r="M102" s="407" t="s">
        <v>110</v>
      </c>
      <c r="N102" s="21"/>
      <c r="O102" s="21" t="s">
        <v>103</v>
      </c>
      <c r="P102" s="387">
        <v>0</v>
      </c>
      <c r="Q102" s="387">
        <v>0</v>
      </c>
    </row>
    <row r="103" spans="2:17">
      <c r="B103" s="541" t="s">
        <v>389</v>
      </c>
      <c r="C103" s="381">
        <f>VLOOKUP(B103,'[5]Allocation Factor &amp;Meter Totals'!$A$8:$F$249,6,FALSE)</f>
        <v>3600</v>
      </c>
      <c r="D103" s="381">
        <f>VLOOKUP(B103,'[5]Allocation Factor &amp;Meter Totals'!$A$8:$F$249,5,FALSE)</f>
        <v>1471</v>
      </c>
      <c r="E103" s="381">
        <f>VLOOKUP(B103,'[5]Allocation Factor &amp;Meter Totals'!$A$8:$F$249,6,FALSE)</f>
        <v>3600</v>
      </c>
      <c r="F103" s="21" t="s">
        <v>1589</v>
      </c>
      <c r="G103" s="21" t="s">
        <v>103</v>
      </c>
      <c r="H103" s="404">
        <f>VLOOKUP(B103,'[5]Allocation Factor &amp;Meter Totals'!$A$8:$F$249,6,FALSE)</f>
        <v>3600</v>
      </c>
      <c r="I103" s="405">
        <f>VLOOKUP(B103,'[5]Allocation Factor &amp;Meter Totals'!$A$8:$F$249,5,FALSE)</f>
        <v>1471</v>
      </c>
      <c r="J103" s="406">
        <f>VLOOKUP(B103,'[5]Allocation Factor &amp;Meter Totals'!$A$8:$F$249,3,FALSE)</f>
        <v>6.5936893327912555E-4</v>
      </c>
      <c r="K103" s="407">
        <f>VLOOKUP(B103,'[5]Allocation Factor &amp;Meter Totals'!$A$8:$F$249,6,FALSE)</f>
        <v>3600</v>
      </c>
      <c r="L103" s="406">
        <f>VLOOKUP(B103,'[5]Allocation Factor &amp;Meter Totals'!$A$8:$F$249,4,FALSE)</f>
        <v>6.9564451174160984E-4</v>
      </c>
      <c r="M103" s="407" t="s">
        <v>110</v>
      </c>
      <c r="N103" s="21"/>
      <c r="O103" s="21" t="s">
        <v>103</v>
      </c>
      <c r="P103" s="387">
        <v>0</v>
      </c>
      <c r="Q103" s="387">
        <v>0</v>
      </c>
    </row>
    <row r="104" spans="2:17">
      <c r="B104" s="541" t="s">
        <v>392</v>
      </c>
      <c r="C104" s="381">
        <f>VLOOKUP(B104,'[5]Allocation Factor &amp;Meter Totals'!$A$8:$F$249,6,FALSE)</f>
        <v>16437</v>
      </c>
      <c r="D104" s="381">
        <f>VLOOKUP(B104,'[5]Allocation Factor &amp;Meter Totals'!$A$8:$F$249,5,FALSE)</f>
        <v>12521</v>
      </c>
      <c r="E104" s="381">
        <f>VLOOKUP(B104,'[5]Allocation Factor &amp;Meter Totals'!$A$8:$F$249,6,FALSE)</f>
        <v>16437</v>
      </c>
      <c r="F104" s="21" t="s">
        <v>1589</v>
      </c>
      <c r="G104" s="21" t="s">
        <v>103</v>
      </c>
      <c r="H104" s="404">
        <f>VLOOKUP(B104,'[5]Allocation Factor &amp;Meter Totals'!$A$8:$F$249,6,FALSE)</f>
        <v>16437</v>
      </c>
      <c r="I104" s="405">
        <f>VLOOKUP(B104,'[5]Allocation Factor &amp;Meter Totals'!$A$8:$F$249,5,FALSE)</f>
        <v>12521</v>
      </c>
      <c r="J104" s="406">
        <f>VLOOKUP(B104,'[5]Allocation Factor &amp;Meter Totals'!$A$8:$F$249,3,FALSE)</f>
        <v>5.6124802267762952E-3</v>
      </c>
      <c r="K104" s="407">
        <f>VLOOKUP(B104,'[5]Allocation Factor &amp;Meter Totals'!$A$8:$F$249,6,FALSE)</f>
        <v>16437</v>
      </c>
      <c r="L104" s="406">
        <f>VLOOKUP(B104,'[5]Allocation Factor &amp;Meter Totals'!$A$8:$F$249,4,FALSE)</f>
        <v>3.1761968998602333E-3</v>
      </c>
      <c r="M104" s="407" t="s">
        <v>104</v>
      </c>
      <c r="N104" s="21"/>
      <c r="O104" s="21" t="s">
        <v>103</v>
      </c>
      <c r="P104" s="387">
        <v>0</v>
      </c>
      <c r="Q104" s="387">
        <v>0</v>
      </c>
    </row>
    <row r="105" spans="2:17">
      <c r="B105" s="541" t="s">
        <v>396</v>
      </c>
      <c r="C105" s="381">
        <f>VLOOKUP(B105,'[5]Allocation Factor &amp;Meter Totals'!$A$8:$F$249,6,FALSE)</f>
        <v>13780</v>
      </c>
      <c r="D105" s="381">
        <f>VLOOKUP(B105,'[5]Allocation Factor &amp;Meter Totals'!$A$8:$F$249,5,FALSE)</f>
        <v>3657</v>
      </c>
      <c r="E105" s="381">
        <f>VLOOKUP(B105,'[5]Allocation Factor &amp;Meter Totals'!$A$8:$F$249,6,FALSE)</f>
        <v>13780</v>
      </c>
      <c r="F105" s="21" t="s">
        <v>1589</v>
      </c>
      <c r="G105" s="21" t="s">
        <v>103</v>
      </c>
      <c r="H105" s="404">
        <f>VLOOKUP(B105,'[5]Allocation Factor &amp;Meter Totals'!$A$8:$F$249,6,FALSE)</f>
        <v>13780</v>
      </c>
      <c r="I105" s="405">
        <f>VLOOKUP(B105,'[5]Allocation Factor &amp;Meter Totals'!$A$8:$F$249,5,FALSE)</f>
        <v>3657</v>
      </c>
      <c r="J105" s="406">
        <f>VLOOKUP(B105,'[5]Allocation Factor &amp;Meter Totals'!$A$8:$F$249,3,FALSE)</f>
        <v>1.6392333031963033E-3</v>
      </c>
      <c r="K105" s="407">
        <f>VLOOKUP(B105,'[5]Allocation Factor &amp;Meter Totals'!$A$8:$F$249,6,FALSE)</f>
        <v>13780</v>
      </c>
      <c r="L105" s="406">
        <f>VLOOKUP(B105,'[5]Allocation Factor &amp;Meter Totals'!$A$8:$F$249,4,FALSE)</f>
        <v>2.6627726032776066E-3</v>
      </c>
      <c r="M105" s="407" t="s">
        <v>110</v>
      </c>
      <c r="N105" s="21"/>
      <c r="O105" s="21" t="s">
        <v>103</v>
      </c>
      <c r="P105" s="387">
        <v>0</v>
      </c>
      <c r="Q105" s="387">
        <v>0</v>
      </c>
    </row>
    <row r="106" spans="2:17">
      <c r="B106" s="541" t="s">
        <v>397</v>
      </c>
      <c r="C106" s="381">
        <f>VLOOKUP(B106,'[5]Allocation Factor &amp;Meter Totals'!$A$8:$F$249,6,FALSE)</f>
        <v>7710</v>
      </c>
      <c r="D106" s="381">
        <f>VLOOKUP(B106,'[5]Allocation Factor &amp;Meter Totals'!$A$8:$F$249,5,FALSE)</f>
        <v>6053</v>
      </c>
      <c r="E106" s="381">
        <f>VLOOKUP(B106,'[5]Allocation Factor &amp;Meter Totals'!$A$8:$F$249,6,FALSE)</f>
        <v>7710</v>
      </c>
      <c r="F106" s="21" t="s">
        <v>1589</v>
      </c>
      <c r="G106" s="21" t="s">
        <v>103</v>
      </c>
      <c r="H106" s="404">
        <f>VLOOKUP(B106,'[5]Allocation Factor &amp;Meter Totals'!$A$8:$F$249,6,FALSE)</f>
        <v>7710</v>
      </c>
      <c r="I106" s="405">
        <f>VLOOKUP(B106,'[5]Allocation Factor &amp;Meter Totals'!$A$8:$F$249,5,FALSE)</f>
        <v>6053</v>
      </c>
      <c r="J106" s="406">
        <f>VLOOKUP(B106,'[5]Allocation Factor &amp;Meter Totals'!$A$8:$F$249,3,FALSE)</f>
        <v>2.7132291999582233E-3</v>
      </c>
      <c r="K106" s="407">
        <f>VLOOKUP(B106,'[5]Allocation Factor &amp;Meter Totals'!$A$8:$F$249,6,FALSE)</f>
        <v>7710</v>
      </c>
      <c r="L106" s="406">
        <f>VLOOKUP(B106,'[5]Allocation Factor &amp;Meter Totals'!$A$8:$F$249,4,FALSE)</f>
        <v>1.4898386626466143E-3</v>
      </c>
      <c r="M106" s="407" t="s">
        <v>104</v>
      </c>
      <c r="N106" s="21"/>
      <c r="O106" s="21" t="s">
        <v>103</v>
      </c>
      <c r="P106" s="387">
        <v>0</v>
      </c>
      <c r="Q106" s="387">
        <v>0</v>
      </c>
    </row>
    <row r="107" spans="2:17">
      <c r="B107" s="541" t="s">
        <v>398</v>
      </c>
      <c r="C107" s="381">
        <f>VLOOKUP(B107,'[5]Allocation Factor &amp;Meter Totals'!$A$8:$F$249,6,FALSE)</f>
        <v>15961</v>
      </c>
      <c r="D107" s="381">
        <f>VLOOKUP(B107,'[5]Allocation Factor &amp;Meter Totals'!$A$8:$F$249,5,FALSE)</f>
        <v>11860</v>
      </c>
      <c r="E107" s="381">
        <f>VLOOKUP(B107,'[5]Allocation Factor &amp;Meter Totals'!$A$8:$F$249,6,FALSE)</f>
        <v>15961</v>
      </c>
      <c r="F107" s="21" t="s">
        <v>1589</v>
      </c>
      <c r="G107" s="21" t="s">
        <v>103</v>
      </c>
      <c r="H107" s="404">
        <f>VLOOKUP(B107,'[5]Allocation Factor &amp;Meter Totals'!$A$8:$F$249,6,FALSE)</f>
        <v>15961</v>
      </c>
      <c r="I107" s="405">
        <f>VLOOKUP(B107,'[5]Allocation Factor &amp;Meter Totals'!$A$8:$F$249,5,FALSE)</f>
        <v>11860</v>
      </c>
      <c r="J107" s="406">
        <f>VLOOKUP(B107,'[5]Allocation Factor &amp;Meter Totals'!$A$8:$F$249,3,FALSE)</f>
        <v>5.31619003989832E-3</v>
      </c>
      <c r="K107" s="407">
        <f>VLOOKUP(B107,'[5]Allocation Factor &amp;Meter Totals'!$A$8:$F$249,6,FALSE)</f>
        <v>15961</v>
      </c>
      <c r="L107" s="406">
        <f>VLOOKUP(B107,'[5]Allocation Factor &amp;Meter Totals'!$A$8:$F$249,4,FALSE)</f>
        <v>3.084217236641065E-3</v>
      </c>
      <c r="M107" s="407" t="s">
        <v>104</v>
      </c>
      <c r="N107" s="21"/>
      <c r="O107" s="21" t="s">
        <v>103</v>
      </c>
      <c r="P107" s="387">
        <v>0</v>
      </c>
      <c r="Q107" s="387">
        <v>0</v>
      </c>
    </row>
    <row r="108" spans="2:17">
      <c r="B108" s="541" t="s">
        <v>405</v>
      </c>
      <c r="C108" s="381">
        <f>VLOOKUP(B108,'[5]Allocation Factor &amp;Meter Totals'!$A$8:$F$249,6,FALSE)</f>
        <v>5070</v>
      </c>
      <c r="D108" s="381">
        <f>VLOOKUP(B108,'[5]Allocation Factor &amp;Meter Totals'!$A$8:$F$249,5,FALSE)</f>
        <v>3808</v>
      </c>
      <c r="E108" s="381">
        <f>VLOOKUP(B108,'[5]Allocation Factor &amp;Meter Totals'!$A$8:$F$249,6,FALSE)</f>
        <v>5070</v>
      </c>
      <c r="F108" s="21" t="s">
        <v>1589</v>
      </c>
      <c r="G108" s="21" t="s">
        <v>103</v>
      </c>
      <c r="H108" s="404">
        <f>VLOOKUP(B108,'[5]Allocation Factor &amp;Meter Totals'!$A$8:$F$249,6,FALSE)</f>
        <v>5070</v>
      </c>
      <c r="I108" s="405">
        <f>VLOOKUP(B108,'[5]Allocation Factor &amp;Meter Totals'!$A$8:$F$249,5,FALSE)</f>
        <v>3808</v>
      </c>
      <c r="J108" s="406">
        <f>VLOOKUP(B108,'[5]Allocation Factor &amp;Meter Totals'!$A$8:$F$249,3,FALSE)</f>
        <v>1.7069183534513324E-3</v>
      </c>
      <c r="K108" s="407">
        <f>VLOOKUP(B108,'[5]Allocation Factor &amp;Meter Totals'!$A$8:$F$249,6,FALSE)</f>
        <v>5070</v>
      </c>
      <c r="L108" s="406">
        <f>VLOOKUP(B108,'[5]Allocation Factor &amp;Meter Totals'!$A$8:$F$249,4,FALSE)</f>
        <v>9.7969935403610046E-4</v>
      </c>
      <c r="M108" s="407" t="s">
        <v>110</v>
      </c>
      <c r="N108" s="21"/>
      <c r="O108" s="21" t="s">
        <v>103</v>
      </c>
      <c r="P108" s="387">
        <v>0</v>
      </c>
      <c r="Q108" s="387">
        <v>0</v>
      </c>
    </row>
    <row r="109" spans="2:17">
      <c r="B109" s="541" t="s">
        <v>409</v>
      </c>
      <c r="C109" s="381">
        <f>VLOOKUP(B109,'[5]Allocation Factor &amp;Meter Totals'!$A$8:$F$249,6,FALSE)</f>
        <v>82371</v>
      </c>
      <c r="D109" s="381">
        <f>VLOOKUP(B109,'[5]Allocation Factor &amp;Meter Totals'!$A$8:$F$249,5,FALSE)</f>
        <v>8760</v>
      </c>
      <c r="E109" s="381">
        <f>VLOOKUP(B109,'[5]Allocation Factor &amp;Meter Totals'!$A$8:$F$249,6,FALSE)</f>
        <v>82371</v>
      </c>
      <c r="F109" s="21" t="s">
        <v>1589</v>
      </c>
      <c r="G109" s="21" t="s">
        <v>103</v>
      </c>
      <c r="H109" s="404">
        <f>VLOOKUP(B109,'[5]Allocation Factor &amp;Meter Totals'!$A$8:$F$249,6,FALSE)</f>
        <v>82371</v>
      </c>
      <c r="I109" s="405">
        <f>VLOOKUP(B109,'[5]Allocation Factor &amp;Meter Totals'!$A$8:$F$249,5,FALSE)</f>
        <v>8760</v>
      </c>
      <c r="J109" s="406">
        <f>VLOOKUP(B109,'[5]Allocation Factor &amp;Meter Totals'!$A$8:$F$249,3,FALSE)</f>
        <v>3.926629405523548E-3</v>
      </c>
      <c r="K109" s="407">
        <f>VLOOKUP(B109,'[5]Allocation Factor &amp;Meter Totals'!$A$8:$F$249,6,FALSE)</f>
        <v>82371</v>
      </c>
      <c r="L109" s="406">
        <f>VLOOKUP(B109,'[5]Allocation Factor &amp;Meter Totals'!$A$8:$F$249,4,FALSE)</f>
        <v>1.5916926132407815E-2</v>
      </c>
      <c r="M109" s="407" t="s">
        <v>110</v>
      </c>
      <c r="N109" s="21"/>
      <c r="O109" s="21" t="s">
        <v>103</v>
      </c>
      <c r="P109" s="387">
        <v>0</v>
      </c>
      <c r="Q109" s="387">
        <v>0</v>
      </c>
    </row>
    <row r="110" spans="2:17">
      <c r="B110" s="541" t="s">
        <v>410</v>
      </c>
      <c r="C110" s="381">
        <f>VLOOKUP(B110,'[5]Allocation Factor &amp;Meter Totals'!$A$8:$F$249,6,FALSE)</f>
        <v>10742</v>
      </c>
      <c r="D110" s="381">
        <f>VLOOKUP(B110,'[5]Allocation Factor &amp;Meter Totals'!$A$8:$F$249,5,FALSE)</f>
        <v>5033</v>
      </c>
      <c r="E110" s="381">
        <f>VLOOKUP(B110,'[5]Allocation Factor &amp;Meter Totals'!$A$8:$F$249,6,FALSE)</f>
        <v>10742</v>
      </c>
      <c r="F110" s="21" t="s">
        <v>1589</v>
      </c>
      <c r="G110" s="21" t="s">
        <v>103</v>
      </c>
      <c r="H110" s="404">
        <f>VLOOKUP(B110,'[5]Allocation Factor &amp;Meter Totals'!$A$8:$F$249,6,FALSE)</f>
        <v>10742</v>
      </c>
      <c r="I110" s="405">
        <f>VLOOKUP(B110,'[5]Allocation Factor &amp;Meter Totals'!$A$8:$F$249,5,FALSE)</f>
        <v>5033</v>
      </c>
      <c r="J110" s="406">
        <f>VLOOKUP(B110,'[5]Allocation Factor &amp;Meter Totals'!$A$8:$F$249,3,FALSE)</f>
        <v>2.2560189267123308E-3</v>
      </c>
      <c r="K110" s="407">
        <f>VLOOKUP(B110,'[5]Allocation Factor &amp;Meter Totals'!$A$8:$F$249,6,FALSE)</f>
        <v>10742</v>
      </c>
      <c r="L110" s="406">
        <f>VLOOKUP(B110,'[5]Allocation Factor &amp;Meter Totals'!$A$8:$F$249,4,FALSE)</f>
        <v>2.0757259292023258E-3</v>
      </c>
      <c r="M110" s="407" t="s">
        <v>104</v>
      </c>
      <c r="N110" s="21"/>
      <c r="O110" s="21" t="s">
        <v>103</v>
      </c>
      <c r="P110" s="387">
        <v>0</v>
      </c>
      <c r="Q110" s="387">
        <v>0</v>
      </c>
    </row>
    <row r="111" spans="2:17">
      <c r="B111" s="541" t="s">
        <v>411</v>
      </c>
      <c r="C111" s="381">
        <f>VLOOKUP(B111,'[5]Allocation Factor &amp;Meter Totals'!$A$8:$F$249,6,FALSE)</f>
        <v>58674</v>
      </c>
      <c r="D111" s="381">
        <f>VLOOKUP(B111,'[5]Allocation Factor &amp;Meter Totals'!$A$8:$F$249,5,FALSE)</f>
        <v>35774</v>
      </c>
      <c r="E111" s="381">
        <f>VLOOKUP(B111,'[5]Allocation Factor &amp;Meter Totals'!$A$8:$F$249,6,FALSE)</f>
        <v>58674</v>
      </c>
      <c r="F111" s="21" t="s">
        <v>1589</v>
      </c>
      <c r="G111" s="21" t="s">
        <v>103</v>
      </c>
      <c r="H111" s="404">
        <f>VLOOKUP(B111,'[5]Allocation Factor &amp;Meter Totals'!$A$8:$F$249,6,FALSE)</f>
        <v>58674</v>
      </c>
      <c r="I111" s="405">
        <f>VLOOKUP(B111,'[5]Allocation Factor &amp;Meter Totals'!$A$8:$F$249,5,FALSE)</f>
        <v>35774</v>
      </c>
      <c r="J111" s="406">
        <f>VLOOKUP(B111,'[5]Allocation Factor &amp;Meter Totals'!$A$8:$F$249,3,FALSE)</f>
        <v>1.6035529720684866E-2</v>
      </c>
      <c r="K111" s="407">
        <f>VLOOKUP(B111,'[5]Allocation Factor &amp;Meter Totals'!$A$8:$F$249,6,FALSE)</f>
        <v>58674</v>
      </c>
      <c r="L111" s="406">
        <f>VLOOKUP(B111,'[5]Allocation Factor &amp;Meter Totals'!$A$8:$F$249,4,FALSE)</f>
        <v>1.133784613386867E-2</v>
      </c>
      <c r="M111" s="407" t="s">
        <v>104</v>
      </c>
      <c r="N111" s="21"/>
      <c r="O111" s="21" t="s">
        <v>103</v>
      </c>
      <c r="P111" s="387">
        <v>0</v>
      </c>
      <c r="Q111" s="387">
        <v>0</v>
      </c>
    </row>
    <row r="112" spans="2:17">
      <c r="B112" s="541" t="s">
        <v>417</v>
      </c>
      <c r="C112" s="381">
        <f>VLOOKUP(B112,'[5]Allocation Factor &amp;Meter Totals'!$A$8:$F$249,6,FALSE)</f>
        <v>5440</v>
      </c>
      <c r="D112" s="381">
        <f>VLOOKUP(B112,'[5]Allocation Factor &amp;Meter Totals'!$A$8:$F$249,5,FALSE)</f>
        <v>4467</v>
      </c>
      <c r="E112" s="381">
        <f>VLOOKUP(B112,'[5]Allocation Factor &amp;Meter Totals'!$A$8:$F$249,6,FALSE)</f>
        <v>5440</v>
      </c>
      <c r="F112" s="21" t="s">
        <v>1589</v>
      </c>
      <c r="G112" s="21" t="s">
        <v>103</v>
      </c>
      <c r="H112" s="404">
        <f>VLOOKUP(B112,'[5]Allocation Factor &amp;Meter Totals'!$A$8:$F$249,6,FALSE)</f>
        <v>5440</v>
      </c>
      <c r="I112" s="405">
        <f>VLOOKUP(B112,'[5]Allocation Factor &amp;Meter Totals'!$A$8:$F$249,5,FALSE)</f>
        <v>4467</v>
      </c>
      <c r="J112" s="406">
        <f>VLOOKUP(B112,'[5]Allocation Factor &amp;Meter Totals'!$A$8:$F$249,3,FALSE)</f>
        <v>2.0023120495974533E-3</v>
      </c>
      <c r="K112" s="407">
        <f>VLOOKUP(B112,'[5]Allocation Factor &amp;Meter Totals'!$A$8:$F$249,6,FALSE)</f>
        <v>5440</v>
      </c>
      <c r="L112" s="406">
        <f>VLOOKUP(B112,'[5]Allocation Factor &amp;Meter Totals'!$A$8:$F$249,4,FALSE)</f>
        <v>1.0511961510762105E-3</v>
      </c>
      <c r="M112" s="407" t="s">
        <v>110</v>
      </c>
      <c r="N112" s="21"/>
      <c r="O112" s="21" t="s">
        <v>103</v>
      </c>
      <c r="P112" s="387">
        <v>0</v>
      </c>
      <c r="Q112" s="387">
        <v>0</v>
      </c>
    </row>
    <row r="113" spans="2:17">
      <c r="B113" s="541" t="s">
        <v>418</v>
      </c>
      <c r="C113" s="381">
        <f>VLOOKUP(B113,'[5]Allocation Factor &amp;Meter Totals'!$A$8:$F$249,6,FALSE)</f>
        <v>6634</v>
      </c>
      <c r="D113" s="381">
        <f>VLOOKUP(B113,'[5]Allocation Factor &amp;Meter Totals'!$A$8:$F$249,5,FALSE)</f>
        <v>3194</v>
      </c>
      <c r="E113" s="381">
        <f>VLOOKUP(B113,'[5]Allocation Factor &amp;Meter Totals'!$A$8:$F$249,6,FALSE)</f>
        <v>6634</v>
      </c>
      <c r="F113" s="21" t="s">
        <v>1589</v>
      </c>
      <c r="G113" s="21" t="s">
        <v>103</v>
      </c>
      <c r="H113" s="404">
        <f>VLOOKUP(B113,'[5]Allocation Factor &amp;Meter Totals'!$A$8:$F$249,6,FALSE)</f>
        <v>6634</v>
      </c>
      <c r="I113" s="405">
        <f>VLOOKUP(B113,'[5]Allocation Factor &amp;Meter Totals'!$A$8:$F$249,5,FALSE)</f>
        <v>3194</v>
      </c>
      <c r="J113" s="406">
        <f>VLOOKUP(B113,'[5]Allocation Factor &amp;Meter Totals'!$A$8:$F$249,3,FALSE)</f>
        <v>1.4316956987719422E-3</v>
      </c>
      <c r="K113" s="407">
        <f>VLOOKUP(B113,'[5]Allocation Factor &amp;Meter Totals'!$A$8:$F$249,6,FALSE)</f>
        <v>6634</v>
      </c>
      <c r="L113" s="406">
        <f>VLOOKUP(B113,'[5]Allocation Factor &amp;Meter Totals'!$A$8:$F$249,4,FALSE)</f>
        <v>1.281918247470511E-3</v>
      </c>
      <c r="M113" s="407" t="s">
        <v>104</v>
      </c>
      <c r="N113" s="21"/>
      <c r="O113" s="21" t="s">
        <v>103</v>
      </c>
      <c r="P113" s="387">
        <v>0</v>
      </c>
      <c r="Q113" s="387">
        <v>0</v>
      </c>
    </row>
    <row r="114" spans="2:17">
      <c r="B114" s="541" t="s">
        <v>419</v>
      </c>
      <c r="C114" s="381">
        <f>VLOOKUP(B114,'[5]Allocation Factor &amp;Meter Totals'!$A$8:$F$249,6,FALSE)</f>
        <v>8073</v>
      </c>
      <c r="D114" s="381">
        <f>VLOOKUP(B114,'[5]Allocation Factor &amp;Meter Totals'!$A$8:$F$249,5,FALSE)</f>
        <v>6004</v>
      </c>
      <c r="E114" s="381">
        <f>VLOOKUP(B114,'[5]Allocation Factor &amp;Meter Totals'!$A$8:$F$249,6,FALSE)</f>
        <v>8073</v>
      </c>
      <c r="F114" s="21" t="s">
        <v>1589</v>
      </c>
      <c r="G114" s="21" t="s">
        <v>103</v>
      </c>
      <c r="H114" s="404">
        <f>VLOOKUP(B114,'[5]Allocation Factor &amp;Meter Totals'!$A$8:$F$249,6,FALSE)</f>
        <v>8073</v>
      </c>
      <c r="I114" s="405">
        <f>VLOOKUP(B114,'[5]Allocation Factor &amp;Meter Totals'!$A$8:$F$249,5,FALSE)</f>
        <v>6004</v>
      </c>
      <c r="J114" s="406">
        <f>VLOOKUP(B114,'[5]Allocation Factor &amp;Meter Totals'!$A$8:$F$249,3,FALSE)</f>
        <v>2.6912651770277835E-3</v>
      </c>
      <c r="K114" s="407">
        <f>VLOOKUP(B114,'[5]Allocation Factor &amp;Meter Totals'!$A$8:$F$249,6,FALSE)</f>
        <v>8073</v>
      </c>
      <c r="L114" s="406">
        <f>VLOOKUP(B114,'[5]Allocation Factor &amp;Meter Totals'!$A$8:$F$249,4,FALSE)</f>
        <v>1.55998281758056E-3</v>
      </c>
      <c r="M114" s="407" t="s">
        <v>104</v>
      </c>
      <c r="N114" s="21"/>
      <c r="O114" s="21" t="s">
        <v>103</v>
      </c>
      <c r="P114" s="387">
        <v>0</v>
      </c>
      <c r="Q114" s="387">
        <v>0</v>
      </c>
    </row>
    <row r="115" spans="2:17">
      <c r="B115" s="541" t="s">
        <v>423</v>
      </c>
      <c r="C115" s="381">
        <f>VLOOKUP(B115,'[5]Allocation Factor &amp;Meter Totals'!$A$8:$F$249,6,FALSE)</f>
        <v>27207</v>
      </c>
      <c r="D115" s="381">
        <f>VLOOKUP(B115,'[5]Allocation Factor &amp;Meter Totals'!$A$8:$F$249,5,FALSE)</f>
        <v>23823</v>
      </c>
      <c r="E115" s="381">
        <f>VLOOKUP(B115,'[5]Allocation Factor &amp;Meter Totals'!$A$8:$F$249,6,FALSE)</f>
        <v>27207</v>
      </c>
      <c r="F115" s="21" t="s">
        <v>1589</v>
      </c>
      <c r="G115" s="21" t="s">
        <v>103</v>
      </c>
      <c r="H115" s="404">
        <f>VLOOKUP(B115,'[5]Allocation Factor &amp;Meter Totals'!$A$8:$F$249,6,FALSE)</f>
        <v>27207</v>
      </c>
      <c r="I115" s="405">
        <f>VLOOKUP(B115,'[5]Allocation Factor &amp;Meter Totals'!$A$8:$F$249,5,FALSE)</f>
        <v>23823</v>
      </c>
      <c r="J115" s="406">
        <f>VLOOKUP(B115,'[5]Allocation Factor &amp;Meter Totals'!$A$8:$F$249,3,FALSE)</f>
        <v>1.0678549352487157E-2</v>
      </c>
      <c r="K115" s="407">
        <f>VLOOKUP(B115,'[5]Allocation Factor &amp;Meter Totals'!$A$8:$F$249,6,FALSE)</f>
        <v>27207</v>
      </c>
      <c r="L115" s="406">
        <f>VLOOKUP(B115,'[5]Allocation Factor &amp;Meter Totals'!$A$8:$F$249,4,FALSE)</f>
        <v>5.2573333974872162E-3</v>
      </c>
      <c r="M115" s="407" t="s">
        <v>104</v>
      </c>
      <c r="N115" s="21"/>
      <c r="O115" s="21" t="s">
        <v>103</v>
      </c>
      <c r="P115" s="387">
        <v>0</v>
      </c>
      <c r="Q115" s="387">
        <v>0</v>
      </c>
    </row>
    <row r="116" spans="2:17">
      <c r="B116" s="541" t="s">
        <v>429</v>
      </c>
      <c r="C116" s="381">
        <f>VLOOKUP(B116,'[5]Allocation Factor &amp;Meter Totals'!$A$8:$F$249,6,FALSE)</f>
        <v>12378</v>
      </c>
      <c r="D116" s="381">
        <f>VLOOKUP(B116,'[5]Allocation Factor &amp;Meter Totals'!$A$8:$F$249,5,FALSE)</f>
        <v>9079</v>
      </c>
      <c r="E116" s="381">
        <f>VLOOKUP(B116,'[5]Allocation Factor &amp;Meter Totals'!$A$8:$F$249,6,FALSE)</f>
        <v>12378</v>
      </c>
      <c r="F116" s="21" t="s">
        <v>1589</v>
      </c>
      <c r="G116" s="21" t="s">
        <v>103</v>
      </c>
      <c r="H116" s="404">
        <f>VLOOKUP(B116,'[5]Allocation Factor &amp;Meter Totals'!$A$8:$F$249,6,FALSE)</f>
        <v>12378</v>
      </c>
      <c r="I116" s="405">
        <f>VLOOKUP(B116,'[5]Allocation Factor &amp;Meter Totals'!$A$8:$F$249,5,FALSE)</f>
        <v>9079</v>
      </c>
      <c r="J116" s="406">
        <f>VLOOKUP(B116,'[5]Allocation Factor &amp;Meter Totals'!$A$8:$F$249,3,FALSE)</f>
        <v>4.0696196772543715E-3</v>
      </c>
      <c r="K116" s="407">
        <f>VLOOKUP(B116,'[5]Allocation Factor &amp;Meter Totals'!$A$8:$F$249,6,FALSE)</f>
        <v>12378</v>
      </c>
      <c r="L116" s="406">
        <f>VLOOKUP(B116,'[5]Allocation Factor &amp;Meter Totals'!$A$8:$F$249,4,FALSE)</f>
        <v>2.3918577128715685E-3</v>
      </c>
      <c r="M116" s="407" t="s">
        <v>110</v>
      </c>
      <c r="N116" s="21"/>
      <c r="O116" s="21" t="s">
        <v>103</v>
      </c>
      <c r="P116" s="387">
        <v>0</v>
      </c>
      <c r="Q116" s="387">
        <v>0</v>
      </c>
    </row>
    <row r="117" spans="2:17">
      <c r="B117" s="541" t="s">
        <v>433</v>
      </c>
      <c r="C117" s="381">
        <f>VLOOKUP(B117,'[5]Allocation Factor &amp;Meter Totals'!$A$8:$F$249,6,FALSE)</f>
        <v>13224</v>
      </c>
      <c r="D117" s="381">
        <f>VLOOKUP(B117,'[5]Allocation Factor &amp;Meter Totals'!$A$8:$F$249,5,FALSE)</f>
        <v>10159</v>
      </c>
      <c r="E117" s="381">
        <f>VLOOKUP(B117,'[5]Allocation Factor &amp;Meter Totals'!$A$8:$F$249,6,FALSE)</f>
        <v>13224</v>
      </c>
      <c r="F117" s="21" t="s">
        <v>1589</v>
      </c>
      <c r="G117" s="21" t="s">
        <v>103</v>
      </c>
      <c r="H117" s="404">
        <f>VLOOKUP(B117,'[5]Allocation Factor &amp;Meter Totals'!$A$8:$F$249,6,FALSE)</f>
        <v>13224</v>
      </c>
      <c r="I117" s="405">
        <f>VLOOKUP(B117,'[5]Allocation Factor &amp;Meter Totals'!$A$8:$F$249,5,FALSE)</f>
        <v>10159</v>
      </c>
      <c r="J117" s="406">
        <f>VLOOKUP(B117,'[5]Allocation Factor &amp;Meter Totals'!$A$8:$F$249,3,FALSE)</f>
        <v>4.5537246724559046E-3</v>
      </c>
      <c r="K117" s="407">
        <f>VLOOKUP(B117,'[5]Allocation Factor &amp;Meter Totals'!$A$8:$F$249,6,FALSE)</f>
        <v>13224</v>
      </c>
      <c r="L117" s="406">
        <f>VLOOKUP(B117,'[5]Allocation Factor &amp;Meter Totals'!$A$8:$F$249,4,FALSE)</f>
        <v>2.5553341731308467E-3</v>
      </c>
      <c r="M117" s="407" t="s">
        <v>110</v>
      </c>
      <c r="N117" s="21"/>
      <c r="O117" s="21" t="s">
        <v>103</v>
      </c>
      <c r="P117" s="387">
        <v>0</v>
      </c>
      <c r="Q117" s="387">
        <v>0</v>
      </c>
    </row>
    <row r="118" spans="2:17">
      <c r="B118" s="541" t="s">
        <v>438</v>
      </c>
      <c r="C118" s="381">
        <f>VLOOKUP(B118,'[5]Allocation Factor &amp;Meter Totals'!$A$8:$F$249,6,FALSE)</f>
        <v>64789</v>
      </c>
      <c r="D118" s="381">
        <f>VLOOKUP(B118,'[5]Allocation Factor &amp;Meter Totals'!$A$8:$F$249,5,FALSE)</f>
        <v>41312</v>
      </c>
      <c r="E118" s="381">
        <f>VLOOKUP(B118,'[5]Allocation Factor &amp;Meter Totals'!$A$8:$F$249,6,FALSE)</f>
        <v>64789</v>
      </c>
      <c r="F118" s="21" t="s">
        <v>1589</v>
      </c>
      <c r="G118" s="21" t="s">
        <v>103</v>
      </c>
      <c r="H118" s="404">
        <f>VLOOKUP(B118,'[5]Allocation Factor &amp;Meter Totals'!$A$8:$F$249,6,FALSE)</f>
        <v>64789</v>
      </c>
      <c r="I118" s="405">
        <f>VLOOKUP(B118,'[5]Allocation Factor &amp;Meter Totals'!$A$8:$F$249,5,FALSE)</f>
        <v>41312</v>
      </c>
      <c r="J118" s="406">
        <f>VLOOKUP(B118,'[5]Allocation Factor &amp;Meter Totals'!$A$8:$F$249,3,FALSE)</f>
        <v>1.8517912557190506E-2</v>
      </c>
      <c r="K118" s="407">
        <f>VLOOKUP(B118,'[5]Allocation Factor &amp;Meter Totals'!$A$8:$F$249,6,FALSE)</f>
        <v>64789</v>
      </c>
      <c r="L118" s="406">
        <f>VLOOKUP(B118,'[5]Allocation Factor &amp;Meter Totals'!$A$8:$F$249,4,FALSE)</f>
        <v>1.2519475630896433E-2</v>
      </c>
      <c r="M118" s="407" t="s">
        <v>104</v>
      </c>
      <c r="N118" s="21"/>
      <c r="O118" s="21" t="s">
        <v>103</v>
      </c>
      <c r="P118" s="387">
        <v>0</v>
      </c>
      <c r="Q118" s="387">
        <v>0</v>
      </c>
    </row>
    <row r="119" spans="2:17">
      <c r="B119" s="541" t="s">
        <v>444</v>
      </c>
      <c r="C119" s="381">
        <f>VLOOKUP(B119,'[5]Allocation Factor &amp;Meter Totals'!$A$8:$F$249,6,FALSE)</f>
        <v>10472</v>
      </c>
      <c r="D119" s="381">
        <f>VLOOKUP(B119,'[5]Allocation Factor &amp;Meter Totals'!$A$8:$F$249,5,FALSE)</f>
        <v>1767</v>
      </c>
      <c r="E119" s="381">
        <f>VLOOKUP(B119,'[5]Allocation Factor &amp;Meter Totals'!$A$8:$F$249,6,FALSE)</f>
        <v>10472</v>
      </c>
      <c r="F119" s="21" t="s">
        <v>1589</v>
      </c>
      <c r="G119" s="21" t="s">
        <v>103</v>
      </c>
      <c r="H119" s="404">
        <f>VLOOKUP(B119,'[5]Allocation Factor &amp;Meter Totals'!$A$8:$F$249,6,FALSE)</f>
        <v>10472</v>
      </c>
      <c r="I119" s="405">
        <f>VLOOKUP(B119,'[5]Allocation Factor &amp;Meter Totals'!$A$8:$F$249,5,FALSE)</f>
        <v>1767</v>
      </c>
      <c r="J119" s="406">
        <f>VLOOKUP(B119,'[5]Allocation Factor &amp;Meter Totals'!$A$8:$F$249,3,FALSE)</f>
        <v>7.9204956159361988E-4</v>
      </c>
      <c r="K119" s="407">
        <f>VLOOKUP(B119,'[5]Allocation Factor &amp;Meter Totals'!$A$8:$F$249,6,FALSE)</f>
        <v>10472</v>
      </c>
      <c r="L119" s="406">
        <f>VLOOKUP(B119,'[5]Allocation Factor &amp;Meter Totals'!$A$8:$F$249,4,FALSE)</f>
        <v>2.023552590821705E-3</v>
      </c>
      <c r="M119" s="407" t="s">
        <v>110</v>
      </c>
      <c r="N119" s="21"/>
      <c r="O119" s="21" t="s">
        <v>103</v>
      </c>
      <c r="P119" s="387">
        <v>0</v>
      </c>
      <c r="Q119" s="387">
        <v>0</v>
      </c>
    </row>
    <row r="120" spans="2:17">
      <c r="B120" s="541" t="s">
        <v>448</v>
      </c>
      <c r="C120" s="381">
        <f>VLOOKUP(B120,'[5]Allocation Factor &amp;Meter Totals'!$A$8:$F$249,6,FALSE)</f>
        <v>36541</v>
      </c>
      <c r="D120" s="381">
        <f>VLOOKUP(B120,'[5]Allocation Factor &amp;Meter Totals'!$A$8:$F$249,5,FALSE)</f>
        <v>19144</v>
      </c>
      <c r="E120" s="381">
        <f>VLOOKUP(B120,'[5]Allocation Factor &amp;Meter Totals'!$A$8:$F$249,6,FALSE)</f>
        <v>36541</v>
      </c>
      <c r="F120" s="21" t="s">
        <v>1589</v>
      </c>
      <c r="G120" s="21" t="s">
        <v>103</v>
      </c>
      <c r="H120" s="404">
        <f>VLOOKUP(B120,'[5]Allocation Factor &amp;Meter Totals'!$A$8:$F$249,6,FALSE)</f>
        <v>36541</v>
      </c>
      <c r="I120" s="405">
        <f>VLOOKUP(B120,'[5]Allocation Factor &amp;Meter Totals'!$A$8:$F$249,5,FALSE)</f>
        <v>19144</v>
      </c>
      <c r="J120" s="406">
        <f>VLOOKUP(B120,'[5]Allocation Factor &amp;Meter Totals'!$A$8:$F$249,3,FALSE)</f>
        <v>8.5812092853131058E-3</v>
      </c>
      <c r="K120" s="407">
        <f>VLOOKUP(B120,'[5]Allocation Factor &amp;Meter Totals'!$A$8:$F$249,6,FALSE)</f>
        <v>36541</v>
      </c>
      <c r="L120" s="406">
        <f>VLOOKUP(B120,'[5]Allocation Factor &amp;Meter Totals'!$A$8:$F$249,4,FALSE)</f>
        <v>7.0609850287639345E-3</v>
      </c>
      <c r="M120" s="407" t="s">
        <v>104</v>
      </c>
      <c r="N120" s="21"/>
      <c r="O120" s="21" t="s">
        <v>103</v>
      </c>
      <c r="P120" s="387">
        <v>0</v>
      </c>
      <c r="Q120" s="387">
        <v>0</v>
      </c>
    </row>
    <row r="121" spans="2:17">
      <c r="B121" s="541" t="s">
        <v>449</v>
      </c>
      <c r="C121" s="381">
        <f>VLOOKUP(B121,'[5]Allocation Factor &amp;Meter Totals'!$A$8:$F$249,6,FALSE)</f>
        <v>27981</v>
      </c>
      <c r="D121" s="381">
        <f>VLOOKUP(B121,'[5]Allocation Factor &amp;Meter Totals'!$A$8:$F$249,5,FALSE)</f>
        <v>18207</v>
      </c>
      <c r="E121" s="381">
        <f>VLOOKUP(B121,'[5]Allocation Factor &amp;Meter Totals'!$A$8:$F$249,6,FALSE)</f>
        <v>27981</v>
      </c>
      <c r="F121" s="21" t="s">
        <v>1589</v>
      </c>
      <c r="G121" s="21" t="s">
        <v>103</v>
      </c>
      <c r="H121" s="404">
        <f>VLOOKUP(B121,'[5]Allocation Factor &amp;Meter Totals'!$A$8:$F$249,6,FALSE)</f>
        <v>27981</v>
      </c>
      <c r="I121" s="405">
        <f>VLOOKUP(B121,'[5]Allocation Factor &amp;Meter Totals'!$A$8:$F$249,5,FALSE)</f>
        <v>18207</v>
      </c>
      <c r="J121" s="406">
        <f>VLOOKUP(B121,'[5]Allocation Factor &amp;Meter Totals'!$A$8:$F$249,3,FALSE)</f>
        <v>8.1612033774391829E-3</v>
      </c>
      <c r="K121" s="407">
        <f>VLOOKUP(B121,'[5]Allocation Factor &amp;Meter Totals'!$A$8:$F$249,6,FALSE)</f>
        <v>27981</v>
      </c>
      <c r="L121" s="406">
        <f>VLOOKUP(B121,'[5]Allocation Factor &amp;Meter Totals'!$A$8:$F$249,4,FALSE)</f>
        <v>5.4068969675116624E-3</v>
      </c>
      <c r="M121" s="407" t="s">
        <v>110</v>
      </c>
      <c r="N121" s="21"/>
      <c r="O121" s="21" t="s">
        <v>103</v>
      </c>
      <c r="P121" s="387">
        <v>0</v>
      </c>
      <c r="Q121" s="387">
        <v>0</v>
      </c>
    </row>
    <row r="122" spans="2:17">
      <c r="B122" s="541" t="s">
        <v>456</v>
      </c>
      <c r="C122" s="381">
        <f>VLOOKUP(B122,'[5]Allocation Factor &amp;Meter Totals'!$A$8:$F$249,6,FALSE)</f>
        <v>4361</v>
      </c>
      <c r="D122" s="381">
        <f>VLOOKUP(B122,'[5]Allocation Factor &amp;Meter Totals'!$A$8:$F$249,5,FALSE)</f>
        <v>88</v>
      </c>
      <c r="E122" s="381">
        <f>VLOOKUP(B122,'[5]Allocation Factor &amp;Meter Totals'!$A$8:$F$249,6,FALSE)</f>
        <v>4361</v>
      </c>
      <c r="F122" s="21" t="s">
        <v>1589</v>
      </c>
      <c r="G122" s="21" t="s">
        <v>103</v>
      </c>
      <c r="H122" s="404">
        <f>VLOOKUP(B122,'[5]Allocation Factor &amp;Meter Totals'!$A$8:$F$249,6,FALSE)</f>
        <v>4361</v>
      </c>
      <c r="I122" s="405">
        <f>VLOOKUP(B122,'[5]Allocation Factor &amp;Meter Totals'!$A$8:$F$249,5,FALSE)</f>
        <v>88</v>
      </c>
      <c r="J122" s="406">
        <f>VLOOKUP(B122,'[5]Allocation Factor &amp;Meter Totals'!$A$8:$F$249,3,FALSE)</f>
        <v>3.9445592201606424E-5</v>
      </c>
      <c r="K122" s="407">
        <f>VLOOKUP(B122,'[5]Allocation Factor &amp;Meter Totals'!$A$8:$F$249,6,FALSE)</f>
        <v>4361</v>
      </c>
      <c r="L122" s="406">
        <f>VLOOKUP(B122,'[5]Allocation Factor &amp;Meter Totals'!$A$8:$F$249,4,FALSE)</f>
        <v>8.4269603214032229E-4</v>
      </c>
      <c r="M122" s="407" t="s">
        <v>110</v>
      </c>
      <c r="N122" s="21"/>
      <c r="O122" s="21" t="s">
        <v>103</v>
      </c>
      <c r="P122" s="387">
        <v>0</v>
      </c>
      <c r="Q122" s="387">
        <v>0</v>
      </c>
    </row>
    <row r="123" spans="2:17">
      <c r="B123" s="541" t="s">
        <v>457</v>
      </c>
      <c r="C123" s="381">
        <f>VLOOKUP(B123,'[5]Allocation Factor &amp;Meter Totals'!$A$8:$F$249,6,FALSE)</f>
        <v>32854</v>
      </c>
      <c r="D123" s="381">
        <f>VLOOKUP(B123,'[5]Allocation Factor &amp;Meter Totals'!$A$8:$F$249,5,FALSE)</f>
        <v>26560</v>
      </c>
      <c r="E123" s="381">
        <f>VLOOKUP(B123,'[5]Allocation Factor &amp;Meter Totals'!$A$8:$F$249,6,FALSE)</f>
        <v>32854</v>
      </c>
      <c r="F123" s="21" t="s">
        <v>1589</v>
      </c>
      <c r="G123" s="21" t="s">
        <v>103</v>
      </c>
      <c r="H123" s="404">
        <f>VLOOKUP(B123,'[5]Allocation Factor &amp;Meter Totals'!$A$8:$F$249,6,FALSE)</f>
        <v>32854</v>
      </c>
      <c r="I123" s="405">
        <f>VLOOKUP(B123,'[5]Allocation Factor &amp;Meter Totals'!$A$8:$F$249,5,FALSE)</f>
        <v>26560</v>
      </c>
      <c r="J123" s="406">
        <f>VLOOKUP(B123,'[5]Allocation Factor &amp;Meter Totals'!$A$8:$F$249,3,FALSE)</f>
        <v>1.1905396919030302E-2</v>
      </c>
      <c r="K123" s="407">
        <f>VLOOKUP(B123,'[5]Allocation Factor &amp;Meter Totals'!$A$8:$F$249,6,FALSE)</f>
        <v>32854</v>
      </c>
      <c r="L123" s="406">
        <f>VLOOKUP(B123,'[5]Allocation Factor &amp;Meter Totals'!$A$8:$F$249,4,FALSE)</f>
        <v>6.3485291079885689E-3</v>
      </c>
      <c r="M123" s="407" t="s">
        <v>104</v>
      </c>
      <c r="N123" s="21"/>
      <c r="O123" s="21" t="s">
        <v>103</v>
      </c>
      <c r="P123" s="387">
        <v>0</v>
      </c>
      <c r="Q123" s="387">
        <v>0</v>
      </c>
    </row>
    <row r="124" spans="2:17">
      <c r="B124" s="541" t="s">
        <v>469</v>
      </c>
      <c r="C124" s="381">
        <f>VLOOKUP(B124,'[5]Allocation Factor &amp;Meter Totals'!$A$8:$F$249,6,FALSE)</f>
        <v>320682</v>
      </c>
      <c r="D124" s="381">
        <f>VLOOKUP(B124,'[5]Allocation Factor &amp;Meter Totals'!$A$8:$F$249,5,FALSE)</f>
        <v>217818</v>
      </c>
      <c r="E124" s="381">
        <f>VLOOKUP(B124,'[5]Allocation Factor &amp;Meter Totals'!$A$8:$F$249,6,FALSE)</f>
        <v>320682</v>
      </c>
      <c r="F124" s="21" t="s">
        <v>1589</v>
      </c>
      <c r="G124" s="21" t="s">
        <v>103</v>
      </c>
      <c r="H124" s="404">
        <f>VLOOKUP(B124,'[5]Allocation Factor &amp;Meter Totals'!$A$8:$F$249,6,FALSE)</f>
        <v>320682</v>
      </c>
      <c r="I124" s="405">
        <f>VLOOKUP(B124,'[5]Allocation Factor &amp;Meter Totals'!$A$8:$F$249,5,FALSE)</f>
        <v>217818</v>
      </c>
      <c r="J124" s="406">
        <f>VLOOKUP(B124,'[5]Allocation Factor &amp;Meter Totals'!$A$8:$F$249,3,FALSE)</f>
        <v>9.763590911556258E-2</v>
      </c>
      <c r="K124" s="407">
        <f>VLOOKUP(B124,'[5]Allocation Factor &amp;Meter Totals'!$A$8:$F$249,6,FALSE)</f>
        <v>320682</v>
      </c>
      <c r="L124" s="406">
        <f>VLOOKUP(B124,'[5]Allocation Factor &amp;Meter Totals'!$A$8:$F$249,4,FALSE)</f>
        <v>6.196685369842303E-2</v>
      </c>
      <c r="M124" s="407" t="s">
        <v>104</v>
      </c>
      <c r="N124" s="21"/>
      <c r="O124" s="21" t="s">
        <v>103</v>
      </c>
      <c r="P124" s="387">
        <v>0</v>
      </c>
      <c r="Q124" s="387">
        <v>0</v>
      </c>
    </row>
    <row r="125" spans="2:17" ht="14.45" customHeight="1">
      <c r="B125" s="543" t="s">
        <v>1335</v>
      </c>
      <c r="C125" s="388">
        <f>SUM(C38:C124)</f>
        <v>2056393</v>
      </c>
      <c r="D125" s="388">
        <f t="shared" ref="D125:E125" si="8">SUM(D38:D124)</f>
        <v>1265234</v>
      </c>
      <c r="E125" s="388">
        <f t="shared" si="8"/>
        <v>2056393</v>
      </c>
      <c r="F125" s="1100"/>
      <c r="G125" s="1100"/>
      <c r="H125" s="409">
        <f t="shared" ref="H125:L125" si="9">SUM(H38:H124)</f>
        <v>2056393</v>
      </c>
      <c r="I125" s="410">
        <f t="shared" si="9"/>
        <v>1265234</v>
      </c>
      <c r="J125" s="411">
        <f t="shared" si="9"/>
        <v>0.56713527731371927</v>
      </c>
      <c r="K125" s="412">
        <f t="shared" si="9"/>
        <v>2056393</v>
      </c>
      <c r="L125" s="411">
        <f t="shared" si="9"/>
        <v>0.397366251231629</v>
      </c>
      <c r="M125" s="412"/>
      <c r="N125" s="1100"/>
      <c r="O125" s="1100"/>
      <c r="P125" s="413">
        <v>0</v>
      </c>
      <c r="Q125" s="413">
        <v>0</v>
      </c>
    </row>
    <row r="126" spans="2:17" ht="58.5" customHeight="1">
      <c r="B126" s="541" t="s">
        <v>1610</v>
      </c>
      <c r="C126" s="1162" t="s">
        <v>1611</v>
      </c>
      <c r="D126" s="1162"/>
      <c r="E126" s="1162"/>
      <c r="F126" s="1162"/>
      <c r="G126" s="1162"/>
      <c r="H126" s="1162"/>
      <c r="I126" s="1162"/>
      <c r="J126" s="1162"/>
      <c r="K126" s="1162"/>
      <c r="L126" s="1162"/>
      <c r="M126" s="1162"/>
      <c r="N126" s="1162"/>
      <c r="O126" s="1162"/>
      <c r="P126" s="1162"/>
      <c r="Q126" s="1162"/>
    </row>
    <row r="127" spans="2:17" ht="43.35" customHeight="1">
      <c r="B127" s="541" t="s">
        <v>1612</v>
      </c>
      <c r="C127" s="1162" t="s">
        <v>1613</v>
      </c>
      <c r="D127" s="1162"/>
      <c r="E127" s="1162"/>
      <c r="F127" s="1162"/>
      <c r="G127" s="1162"/>
      <c r="H127" s="1162"/>
      <c r="I127" s="1162"/>
      <c r="J127" s="1162"/>
      <c r="K127" s="1162"/>
      <c r="L127" s="1162"/>
      <c r="M127" s="1162"/>
      <c r="N127" s="1162"/>
      <c r="O127" s="1162"/>
      <c r="P127" s="1162"/>
      <c r="Q127" s="1162"/>
    </row>
    <row r="128" spans="2:17">
      <c r="B128" s="542" t="s">
        <v>502</v>
      </c>
      <c r="C128" s="379"/>
      <c r="D128" s="417"/>
      <c r="E128" s="379"/>
      <c r="F128" s="401"/>
      <c r="G128" s="401"/>
      <c r="H128" s="402"/>
      <c r="I128" s="401"/>
      <c r="J128" s="401"/>
      <c r="K128" s="401"/>
      <c r="L128" s="401"/>
      <c r="M128" s="401"/>
      <c r="N128" s="401"/>
      <c r="O128" s="401"/>
      <c r="P128" s="403"/>
      <c r="Q128" s="403"/>
    </row>
    <row r="129" spans="2:17" ht="43.5">
      <c r="B129" s="541" t="s">
        <v>503</v>
      </c>
      <c r="C129" s="381">
        <f>VLOOKUP(B129,'[5]Allocation Factor &amp;Meter Totals'!$A$8:$F$249,6,FALSE)</f>
        <v>22</v>
      </c>
      <c r="D129" s="415">
        <f>VLOOKUP(B129,'[5]Allocation Factor &amp;Meter Totals'!$A$8:$F$249,5,FALSE)</f>
        <v>18</v>
      </c>
      <c r="E129" s="381">
        <f>VLOOKUP(B129,'[5]Allocation Factor &amp;Meter Totals'!$A$8:$F$249,6,FALSE)</f>
        <v>22</v>
      </c>
      <c r="F129" s="21" t="s">
        <v>1589</v>
      </c>
      <c r="G129" s="21" t="s">
        <v>103</v>
      </c>
      <c r="H129" s="404">
        <f>VLOOKUP(B129,'[5]Allocation Factor &amp;Meter Totals'!$A$8:$F$249,6,FALSE)</f>
        <v>22</v>
      </c>
      <c r="I129" s="405">
        <f>VLOOKUP(B129,'[5]Allocation Factor &amp;Meter Totals'!$A$8:$F$249,5,FALSE)</f>
        <v>18</v>
      </c>
      <c r="J129" s="406">
        <f>VLOOKUP(B129,'[5]Allocation Factor &amp;Meter Totals'!$A$8:$F$249,3,FALSE)</f>
        <v>8.0684165866922219E-6</v>
      </c>
      <c r="K129" s="407">
        <f>VLOOKUP(B129,'[5]Allocation Factor &amp;Meter Totals'!$A$8:$F$249,6,FALSE)</f>
        <v>22</v>
      </c>
      <c r="L129" s="406">
        <f>VLOOKUP(B129,'[5]Allocation Factor &amp;Meter Totals'!$A$8:$F$249,4,FALSE)</f>
        <v>4.2511609050876154E-6</v>
      </c>
      <c r="M129" s="407" t="s">
        <v>104</v>
      </c>
      <c r="N129" s="21"/>
      <c r="O129" s="15" t="s">
        <v>1593</v>
      </c>
      <c r="P129" s="387">
        <v>0</v>
      </c>
      <c r="Q129" s="387">
        <v>0</v>
      </c>
    </row>
    <row r="130" spans="2:17" ht="14.45" customHeight="1">
      <c r="B130" s="543" t="s">
        <v>1338</v>
      </c>
      <c r="C130" s="388">
        <f>SUM(C129)</f>
        <v>22</v>
      </c>
      <c r="D130" s="416">
        <f t="shared" ref="D130:E130" si="10">SUM(D129)</f>
        <v>18</v>
      </c>
      <c r="E130" s="388">
        <f t="shared" si="10"/>
        <v>22</v>
      </c>
      <c r="F130" s="1100"/>
      <c r="G130" s="1100"/>
      <c r="H130" s="409">
        <f t="shared" ref="H130:L130" si="11">SUM(H129)</f>
        <v>22</v>
      </c>
      <c r="I130" s="410">
        <f t="shared" si="11"/>
        <v>18</v>
      </c>
      <c r="J130" s="411">
        <f t="shared" si="11"/>
        <v>8.0684165866922219E-6</v>
      </c>
      <c r="K130" s="412">
        <f t="shared" si="11"/>
        <v>22</v>
      </c>
      <c r="L130" s="411">
        <f t="shared" si="11"/>
        <v>4.2511609050876154E-6</v>
      </c>
      <c r="M130" s="412"/>
      <c r="N130" s="1100"/>
      <c r="O130" s="1100"/>
      <c r="P130" s="413">
        <v>0</v>
      </c>
      <c r="Q130" s="413">
        <v>0</v>
      </c>
    </row>
    <row r="131" spans="2:17" ht="58.5" customHeight="1">
      <c r="B131" s="541" t="s">
        <v>1614</v>
      </c>
      <c r="C131" s="1162" t="s">
        <v>1615</v>
      </c>
      <c r="D131" s="1162"/>
      <c r="E131" s="1162"/>
      <c r="F131" s="1162"/>
      <c r="G131" s="1162"/>
      <c r="H131" s="1162"/>
      <c r="I131" s="1162"/>
      <c r="J131" s="1162"/>
      <c r="K131" s="1162"/>
      <c r="L131" s="1162"/>
      <c r="M131" s="1162"/>
      <c r="N131" s="1162"/>
      <c r="O131" s="1162"/>
      <c r="P131" s="1162"/>
      <c r="Q131" s="1162"/>
    </row>
    <row r="132" spans="2:17" ht="43.35" customHeight="1">
      <c r="B132" s="541" t="s">
        <v>1616</v>
      </c>
      <c r="C132" s="1162" t="s">
        <v>1615</v>
      </c>
      <c r="D132" s="1162"/>
      <c r="E132" s="1162"/>
      <c r="F132" s="1162"/>
      <c r="G132" s="1162"/>
      <c r="H132" s="1162"/>
      <c r="I132" s="1162"/>
      <c r="J132" s="1162"/>
      <c r="K132" s="1162"/>
      <c r="L132" s="1162"/>
      <c r="M132" s="1162"/>
      <c r="N132" s="1162"/>
      <c r="O132" s="1162"/>
      <c r="P132" s="1162"/>
      <c r="Q132" s="1162"/>
    </row>
    <row r="133" spans="2:17">
      <c r="B133" s="542" t="s">
        <v>504</v>
      </c>
      <c r="C133" s="379"/>
      <c r="D133" s="379"/>
      <c r="E133" s="379"/>
      <c r="F133" s="401"/>
      <c r="G133" s="401"/>
      <c r="H133" s="402"/>
      <c r="I133" s="401"/>
      <c r="J133" s="401"/>
      <c r="K133" s="401"/>
      <c r="L133" s="401"/>
      <c r="M133" s="401"/>
      <c r="N133" s="401"/>
      <c r="O133" s="401"/>
      <c r="P133" s="403"/>
      <c r="Q133" s="403"/>
    </row>
    <row r="134" spans="2:17">
      <c r="B134" s="541" t="s">
        <v>505</v>
      </c>
      <c r="C134" s="381">
        <f>VLOOKUP(B134,'[5]Allocation Factor &amp;Meter Totals'!$A$8:$F$249,6,FALSE)</f>
        <v>10876</v>
      </c>
      <c r="D134" s="381">
        <f>VLOOKUP(B134,'[5]Allocation Factor &amp;Meter Totals'!$A$8:$F$249,5,FALSE)</f>
        <v>958</v>
      </c>
      <c r="E134" s="381">
        <f>VLOOKUP(B134,'[5]Allocation Factor &amp;Meter Totals'!$A$8:$F$249,6,FALSE)</f>
        <v>10876</v>
      </c>
      <c r="F134" s="21" t="s">
        <v>1589</v>
      </c>
      <c r="G134" s="21" t="s">
        <v>103</v>
      </c>
      <c r="H134" s="404">
        <f>VLOOKUP(B134,'[5]Allocation Factor &amp;Meter Totals'!$A$8:$F$249,6,FALSE)</f>
        <v>10876</v>
      </c>
      <c r="I134" s="405">
        <f>VLOOKUP(B134,'[5]Allocation Factor &amp;Meter Totals'!$A$8:$F$249,5,FALSE)</f>
        <v>958</v>
      </c>
      <c r="J134" s="406">
        <f>VLOOKUP(B134,'[5]Allocation Factor &amp;Meter Totals'!$A$8:$F$249,3,FALSE)</f>
        <v>4.2941906055839717E-4</v>
      </c>
      <c r="K134" s="407">
        <f>VLOOKUP(B134,'[5]Allocation Factor &amp;Meter Totals'!$A$8:$F$249,6,FALSE)</f>
        <v>10876</v>
      </c>
      <c r="L134" s="406">
        <f>VLOOKUP(B134,'[5]Allocation Factor &amp;Meter Totals'!$A$8:$F$249,4,FALSE)</f>
        <v>2.1016193638060412E-3</v>
      </c>
      <c r="M134" s="407" t="s">
        <v>110</v>
      </c>
      <c r="N134" s="21"/>
      <c r="O134" s="21" t="s">
        <v>103</v>
      </c>
      <c r="P134" s="387">
        <v>0</v>
      </c>
      <c r="Q134" s="387">
        <v>0</v>
      </c>
    </row>
    <row r="135" spans="2:17">
      <c r="B135" s="541" t="s">
        <v>510</v>
      </c>
      <c r="C135" s="381">
        <f>VLOOKUP(B135,'[5]Allocation Factor &amp;Meter Totals'!$A$8:$F$249,6,FALSE)</f>
        <v>3825</v>
      </c>
      <c r="D135" s="381">
        <f>VLOOKUP(B135,'[5]Allocation Factor &amp;Meter Totals'!$A$8:$F$249,5,FALSE)</f>
        <v>1576</v>
      </c>
      <c r="E135" s="381">
        <f>VLOOKUP(B135,'[5]Allocation Factor &amp;Meter Totals'!$A$8:$F$249,6,FALSE)</f>
        <v>3825</v>
      </c>
      <c r="F135" s="21" t="s">
        <v>1589</v>
      </c>
      <c r="G135" s="21" t="s">
        <v>103</v>
      </c>
      <c r="H135" s="404">
        <f>VLOOKUP(B135,'[5]Allocation Factor &amp;Meter Totals'!$A$8:$F$249,6,FALSE)</f>
        <v>3825</v>
      </c>
      <c r="I135" s="405">
        <f>VLOOKUP(B135,'[5]Allocation Factor &amp;Meter Totals'!$A$8:$F$249,5,FALSE)</f>
        <v>1576</v>
      </c>
      <c r="J135" s="406">
        <f>VLOOKUP(B135,'[5]Allocation Factor &amp;Meter Totals'!$A$8:$F$249,3,FALSE)</f>
        <v>7.0643469670149687E-4</v>
      </c>
      <c r="K135" s="407">
        <f>VLOOKUP(B135,'[5]Allocation Factor &amp;Meter Totals'!$A$8:$F$249,6,FALSE)</f>
        <v>3825</v>
      </c>
      <c r="L135" s="406">
        <f>VLOOKUP(B135,'[5]Allocation Factor &amp;Meter Totals'!$A$8:$F$249,4,FALSE)</f>
        <v>7.3912229372546045E-4</v>
      </c>
      <c r="M135" s="407" t="s">
        <v>110</v>
      </c>
      <c r="N135" s="21"/>
      <c r="O135" s="21" t="s">
        <v>103</v>
      </c>
      <c r="P135" s="387">
        <v>0</v>
      </c>
      <c r="Q135" s="387">
        <v>0</v>
      </c>
    </row>
    <row r="136" spans="2:17" ht="14.45" customHeight="1">
      <c r="B136" s="543" t="s">
        <v>1342</v>
      </c>
      <c r="C136" s="388">
        <f>SUM(C134:C135)</f>
        <v>14701</v>
      </c>
      <c r="D136" s="388">
        <f t="shared" ref="D136:E136" si="12">SUM(D134:D135)</f>
        <v>2534</v>
      </c>
      <c r="E136" s="388">
        <f t="shared" si="12"/>
        <v>14701</v>
      </c>
      <c r="F136" s="1100"/>
      <c r="G136" s="1100"/>
      <c r="H136" s="409">
        <f t="shared" ref="H136:L136" si="13">SUM(H134:H135)</f>
        <v>14701</v>
      </c>
      <c r="I136" s="410">
        <f t="shared" si="13"/>
        <v>2534</v>
      </c>
      <c r="J136" s="411">
        <f t="shared" si="13"/>
        <v>1.1358537572598941E-3</v>
      </c>
      <c r="K136" s="412">
        <f t="shared" si="13"/>
        <v>14701</v>
      </c>
      <c r="L136" s="411">
        <f t="shared" si="13"/>
        <v>2.8407416575315014E-3</v>
      </c>
      <c r="M136" s="412"/>
      <c r="N136" s="1100"/>
      <c r="O136" s="1100"/>
      <c r="P136" s="413">
        <v>0</v>
      </c>
      <c r="Q136" s="413">
        <v>0</v>
      </c>
    </row>
    <row r="137" spans="2:17" ht="58.5" customHeight="1">
      <c r="B137" s="541" t="s">
        <v>1617</v>
      </c>
      <c r="C137" s="1162" t="s">
        <v>1599</v>
      </c>
      <c r="D137" s="1162"/>
      <c r="E137" s="1162"/>
      <c r="F137" s="1162"/>
      <c r="G137" s="1162"/>
      <c r="H137" s="1162"/>
      <c r="I137" s="1162"/>
      <c r="J137" s="1162"/>
      <c r="K137" s="1162"/>
      <c r="L137" s="1162"/>
      <c r="M137" s="1162"/>
      <c r="N137" s="1162"/>
      <c r="O137" s="1162"/>
      <c r="P137" s="1162"/>
      <c r="Q137" s="1162"/>
    </row>
    <row r="138" spans="2:17" ht="43.35" customHeight="1">
      <c r="B138" s="541" t="s">
        <v>1618</v>
      </c>
      <c r="C138" s="1162" t="s">
        <v>1619</v>
      </c>
      <c r="D138" s="1162"/>
      <c r="E138" s="1162"/>
      <c r="F138" s="1162"/>
      <c r="G138" s="1162"/>
      <c r="H138" s="1162"/>
      <c r="I138" s="1162"/>
      <c r="J138" s="1162"/>
      <c r="K138" s="1162"/>
      <c r="L138" s="1162"/>
      <c r="M138" s="1162"/>
      <c r="N138" s="1162"/>
      <c r="O138" s="1162"/>
      <c r="P138" s="1162"/>
      <c r="Q138" s="1162"/>
    </row>
    <row r="139" spans="2:17">
      <c r="B139" s="542" t="s">
        <v>514</v>
      </c>
      <c r="C139" s="379"/>
      <c r="D139" s="379"/>
      <c r="E139" s="379"/>
      <c r="F139" s="401"/>
      <c r="G139" s="401"/>
      <c r="H139" s="402"/>
      <c r="I139" s="401"/>
      <c r="J139" s="401"/>
      <c r="K139" s="401"/>
      <c r="L139" s="401"/>
      <c r="M139" s="401"/>
      <c r="N139" s="401"/>
      <c r="O139" s="401"/>
      <c r="P139" s="403"/>
      <c r="Q139" s="403"/>
    </row>
    <row r="140" spans="2:17" ht="43.5">
      <c r="B140" s="541" t="s">
        <v>515</v>
      </c>
      <c r="C140" s="381">
        <f>VLOOKUP(B140,'[5]Allocation Factor &amp;Meter Totals'!$A$8:$F$249,6,FALSE)</f>
        <v>19484</v>
      </c>
      <c r="D140" s="381">
        <f>VLOOKUP(B140,'[5]Allocation Factor &amp;Meter Totals'!$A$8:$F$249,5,FALSE)</f>
        <v>228</v>
      </c>
      <c r="E140" s="381">
        <f>VLOOKUP(B140,'[5]Allocation Factor &amp;Meter Totals'!$A$8:$F$249,6,FALSE)</f>
        <v>19484</v>
      </c>
      <c r="F140" s="21" t="s">
        <v>1589</v>
      </c>
      <c r="G140" s="21" t="s">
        <v>103</v>
      </c>
      <c r="H140" s="404">
        <f>VLOOKUP(B140,'[5]Allocation Factor &amp;Meter Totals'!$A$8:$F$249,6,FALSE)</f>
        <v>19484</v>
      </c>
      <c r="I140" s="405">
        <f>VLOOKUP(B140,'[5]Allocation Factor &amp;Meter Totals'!$A$8:$F$249,5,FALSE)</f>
        <v>228</v>
      </c>
      <c r="J140" s="406">
        <f>VLOOKUP(B140,'[5]Allocation Factor &amp;Meter Totals'!$A$8:$F$249,3,FALSE)</f>
        <v>1.0219994343143482E-4</v>
      </c>
      <c r="K140" s="407">
        <f>VLOOKUP(B140,'[5]Allocation Factor &amp;Meter Totals'!$A$8:$F$249,6,FALSE)</f>
        <v>19484</v>
      </c>
      <c r="L140" s="406">
        <f>VLOOKUP(B140,'[5]Allocation Factor &amp;Meter Totals'!$A$8:$F$249,4,FALSE)</f>
        <v>3.764982685214868E-3</v>
      </c>
      <c r="M140" s="407" t="s">
        <v>110</v>
      </c>
      <c r="N140" s="21"/>
      <c r="O140" s="15" t="s">
        <v>1593</v>
      </c>
      <c r="P140" s="387">
        <v>0</v>
      </c>
      <c r="Q140" s="387">
        <v>0</v>
      </c>
    </row>
    <row r="141" spans="2:17" ht="43.5">
      <c r="B141" s="541" t="s">
        <v>516</v>
      </c>
      <c r="C141" s="381">
        <f>VLOOKUP(B141,'[5]Allocation Factor &amp;Meter Totals'!$A$8:$F$249,6,FALSE)</f>
        <v>96</v>
      </c>
      <c r="D141" s="381">
        <f>VLOOKUP(B141,'[5]Allocation Factor &amp;Meter Totals'!$A$8:$F$249,5,FALSE)</f>
        <v>20</v>
      </c>
      <c r="E141" s="381">
        <f>VLOOKUP(B141,'[5]Allocation Factor &amp;Meter Totals'!$A$8:$F$249,6,FALSE)</f>
        <v>96</v>
      </c>
      <c r="F141" s="21" t="s">
        <v>1589</v>
      </c>
      <c r="G141" s="21" t="s">
        <v>103</v>
      </c>
      <c r="H141" s="404">
        <f>VLOOKUP(B141,'[5]Allocation Factor &amp;Meter Totals'!$A$8:$F$249,6,FALSE)</f>
        <v>96</v>
      </c>
      <c r="I141" s="405">
        <f>VLOOKUP(B141,'[5]Allocation Factor &amp;Meter Totals'!$A$8:$F$249,5,FALSE)</f>
        <v>20</v>
      </c>
      <c r="J141" s="406">
        <f>VLOOKUP(B141,'[5]Allocation Factor &amp;Meter Totals'!$A$8:$F$249,3,FALSE)</f>
        <v>8.9649073185469148E-6</v>
      </c>
      <c r="K141" s="407">
        <f>VLOOKUP(B141,'[5]Allocation Factor &amp;Meter Totals'!$A$8:$F$249,6,FALSE)</f>
        <v>96</v>
      </c>
      <c r="L141" s="406">
        <f>VLOOKUP(B141,'[5]Allocation Factor &amp;Meter Totals'!$A$8:$F$249,4,FALSE)</f>
        <v>1.8550520313109594E-5</v>
      </c>
      <c r="M141" s="407" t="s">
        <v>104</v>
      </c>
      <c r="N141" s="21"/>
      <c r="O141" s="15" t="s">
        <v>1593</v>
      </c>
      <c r="P141" s="387">
        <v>0</v>
      </c>
      <c r="Q141" s="387">
        <v>0</v>
      </c>
    </row>
    <row r="142" spans="2:17">
      <c r="B142" s="541" t="s">
        <v>517</v>
      </c>
      <c r="C142" s="381">
        <f>VLOOKUP(B142,'[5]Allocation Factor &amp;Meter Totals'!$A$8:$F$249,6,FALSE)</f>
        <v>19201</v>
      </c>
      <c r="D142" s="381">
        <f>VLOOKUP(B142,'[5]Allocation Factor &amp;Meter Totals'!$A$8:$F$249,5,FALSE)</f>
        <v>4336</v>
      </c>
      <c r="E142" s="381">
        <f>VLOOKUP(B142,'[5]Allocation Factor &amp;Meter Totals'!$A$8:$F$249,6,FALSE)</f>
        <v>19201</v>
      </c>
      <c r="F142" s="21" t="s">
        <v>1589</v>
      </c>
      <c r="G142" s="21" t="s">
        <v>103</v>
      </c>
      <c r="H142" s="404">
        <f>VLOOKUP(B142,'[5]Allocation Factor &amp;Meter Totals'!$A$8:$F$249,6,FALSE)</f>
        <v>19201</v>
      </c>
      <c r="I142" s="405">
        <f>VLOOKUP(B142,'[5]Allocation Factor &amp;Meter Totals'!$A$8:$F$249,5,FALSE)</f>
        <v>4336</v>
      </c>
      <c r="J142" s="406">
        <f>VLOOKUP(B142,'[5]Allocation Factor &amp;Meter Totals'!$A$8:$F$249,3,FALSE)</f>
        <v>1.9435919066609711E-3</v>
      </c>
      <c r="K142" s="407">
        <f>VLOOKUP(B142,'[5]Allocation Factor &amp;Meter Totals'!$A$8:$F$249,6,FALSE)</f>
        <v>19201</v>
      </c>
      <c r="L142" s="406">
        <f>VLOOKUP(B142,'[5]Allocation Factor &amp;Meter Totals'!$A$8:$F$249,4,FALSE)</f>
        <v>3.7102972972085139E-3</v>
      </c>
      <c r="M142" s="407" t="s">
        <v>110</v>
      </c>
      <c r="N142" s="21"/>
      <c r="O142" s="21" t="s">
        <v>103</v>
      </c>
      <c r="P142" s="387">
        <v>0</v>
      </c>
      <c r="Q142" s="387">
        <v>0</v>
      </c>
    </row>
    <row r="143" spans="2:17">
      <c r="B143" s="541" t="s">
        <v>521</v>
      </c>
      <c r="C143" s="381">
        <f>VLOOKUP(B143,'[5]Allocation Factor &amp;Meter Totals'!$A$8:$F$249,6,FALSE)</f>
        <v>29123</v>
      </c>
      <c r="D143" s="381">
        <f>VLOOKUP(B143,'[5]Allocation Factor &amp;Meter Totals'!$A$8:$F$249,5,FALSE)</f>
        <v>16953</v>
      </c>
      <c r="E143" s="381">
        <f>VLOOKUP(B143,'[5]Allocation Factor &amp;Meter Totals'!$A$8:$F$249,6,FALSE)</f>
        <v>29123</v>
      </c>
      <c r="F143" s="21" t="s">
        <v>1589</v>
      </c>
      <c r="G143" s="21" t="s">
        <v>103</v>
      </c>
      <c r="H143" s="404">
        <f>VLOOKUP(B143,'[5]Allocation Factor &amp;Meter Totals'!$A$8:$F$249,6,FALSE)</f>
        <v>29123</v>
      </c>
      <c r="I143" s="405">
        <f>VLOOKUP(B143,'[5]Allocation Factor &amp;Meter Totals'!$A$8:$F$249,5,FALSE)</f>
        <v>16953</v>
      </c>
      <c r="J143" s="406">
        <f>VLOOKUP(B143,'[5]Allocation Factor &amp;Meter Totals'!$A$8:$F$249,3,FALSE)</f>
        <v>7.5991036885662919E-3</v>
      </c>
      <c r="K143" s="407">
        <f>VLOOKUP(B143,'[5]Allocation Factor &amp;Meter Totals'!$A$8:$F$249,6,FALSE)</f>
        <v>29123</v>
      </c>
      <c r="L143" s="406">
        <f>VLOOKUP(B143,'[5]Allocation Factor &amp;Meter Totals'!$A$8:$F$249,4,FALSE)</f>
        <v>5.627570865403028E-3</v>
      </c>
      <c r="M143" s="407" t="s">
        <v>104</v>
      </c>
      <c r="N143" s="21"/>
      <c r="O143" s="21" t="s">
        <v>103</v>
      </c>
      <c r="P143" s="387">
        <v>0</v>
      </c>
      <c r="Q143" s="387">
        <v>0</v>
      </c>
    </row>
    <row r="144" spans="2:17">
      <c r="B144" s="541" t="s">
        <v>525</v>
      </c>
      <c r="C144" s="381">
        <f>VLOOKUP(B144,'[5]Allocation Factor &amp;Meter Totals'!$A$8:$F$249,6,FALSE)</f>
        <v>50076</v>
      </c>
      <c r="D144" s="381">
        <f>VLOOKUP(B144,'[5]Allocation Factor &amp;Meter Totals'!$A$8:$F$249,5,FALSE)</f>
        <v>20804</v>
      </c>
      <c r="E144" s="381">
        <f>VLOOKUP(B144,'[5]Allocation Factor &amp;Meter Totals'!$A$8:$F$249,6,FALSE)</f>
        <v>50076</v>
      </c>
      <c r="F144" s="21" t="s">
        <v>1589</v>
      </c>
      <c r="G144" s="21" t="s">
        <v>103</v>
      </c>
      <c r="H144" s="404">
        <f>VLOOKUP(B144,'[5]Allocation Factor &amp;Meter Totals'!$A$8:$F$249,6,FALSE)</f>
        <v>50076</v>
      </c>
      <c r="I144" s="405">
        <f>VLOOKUP(B144,'[5]Allocation Factor &amp;Meter Totals'!$A$8:$F$249,5,FALSE)</f>
        <v>20804</v>
      </c>
      <c r="J144" s="406">
        <f>VLOOKUP(B144,'[5]Allocation Factor &amp;Meter Totals'!$A$8:$F$249,3,FALSE)</f>
        <v>9.3252965927525001E-3</v>
      </c>
      <c r="K144" s="407">
        <f>VLOOKUP(B144,'[5]Allocation Factor &amp;Meter Totals'!$A$8:$F$249,6,FALSE)</f>
        <v>50076</v>
      </c>
      <c r="L144" s="406">
        <f>VLOOKUP(B144,'[5]Allocation Factor &amp;Meter Totals'!$A$8:$F$249,4,FALSE)</f>
        <v>9.6764151583257924E-3</v>
      </c>
      <c r="M144" s="407" t="s">
        <v>104</v>
      </c>
      <c r="N144" s="21"/>
      <c r="O144" s="21" t="s">
        <v>103</v>
      </c>
      <c r="P144" s="387">
        <v>0</v>
      </c>
      <c r="Q144" s="387">
        <v>0</v>
      </c>
    </row>
    <row r="145" spans="2:17">
      <c r="B145" s="541" t="s">
        <v>526</v>
      </c>
      <c r="C145" s="381">
        <f>VLOOKUP(B145,'[5]Allocation Factor &amp;Meter Totals'!$A$8:$F$249,6,FALSE)</f>
        <v>18259</v>
      </c>
      <c r="D145" s="381">
        <f>VLOOKUP(B145,'[5]Allocation Factor &amp;Meter Totals'!$A$8:$F$249,5,FALSE)</f>
        <v>5717</v>
      </c>
      <c r="E145" s="381">
        <f>VLOOKUP(B145,'[5]Allocation Factor &amp;Meter Totals'!$A$8:$F$249,6,FALSE)</f>
        <v>18259</v>
      </c>
      <c r="F145" s="21" t="s">
        <v>1589</v>
      </c>
      <c r="G145" s="21" t="s">
        <v>103</v>
      </c>
      <c r="H145" s="404">
        <f>VLOOKUP(B145,'[5]Allocation Factor &amp;Meter Totals'!$A$8:$F$249,6,FALSE)</f>
        <v>18259</v>
      </c>
      <c r="I145" s="405">
        <f>VLOOKUP(B145,'[5]Allocation Factor &amp;Meter Totals'!$A$8:$F$249,5,FALSE)</f>
        <v>5717</v>
      </c>
      <c r="J145" s="406">
        <f>VLOOKUP(B145,'[5]Allocation Factor &amp;Meter Totals'!$A$8:$F$249,3,FALSE)</f>
        <v>2.5626187570066353E-3</v>
      </c>
      <c r="K145" s="407">
        <f>VLOOKUP(B145,'[5]Allocation Factor &amp;Meter Totals'!$A$8:$F$249,6,FALSE)</f>
        <v>18259</v>
      </c>
      <c r="L145" s="406">
        <f>VLOOKUP(B145,'[5]Allocation Factor &amp;Meter Totals'!$A$8:$F$249,4,FALSE)</f>
        <v>3.5282703166361258E-3</v>
      </c>
      <c r="M145" s="407" t="s">
        <v>110</v>
      </c>
      <c r="N145" s="21"/>
      <c r="O145" s="21" t="s">
        <v>103</v>
      </c>
      <c r="P145" s="387">
        <v>0</v>
      </c>
      <c r="Q145" s="387">
        <v>0</v>
      </c>
    </row>
    <row r="146" spans="2:17">
      <c r="B146" s="541" t="s">
        <v>527</v>
      </c>
      <c r="C146" s="381">
        <f>VLOOKUP(B146,'[5]Allocation Factor &amp;Meter Totals'!$A$8:$F$249,6,FALSE)</f>
        <v>21704</v>
      </c>
      <c r="D146" s="381">
        <f>VLOOKUP(B146,'[5]Allocation Factor &amp;Meter Totals'!$A$8:$F$249,5,FALSE)</f>
        <v>5288</v>
      </c>
      <c r="E146" s="381">
        <f>VLOOKUP(B146,'[5]Allocation Factor &amp;Meter Totals'!$A$8:$F$249,6,FALSE)</f>
        <v>21704</v>
      </c>
      <c r="F146" s="21" t="s">
        <v>1589</v>
      </c>
      <c r="G146" s="21" t="s">
        <v>103</v>
      </c>
      <c r="H146" s="404">
        <f>VLOOKUP(B146,'[5]Allocation Factor &amp;Meter Totals'!$A$8:$F$249,6,FALSE)</f>
        <v>21704</v>
      </c>
      <c r="I146" s="405">
        <f>VLOOKUP(B146,'[5]Allocation Factor &amp;Meter Totals'!$A$8:$F$249,5,FALSE)</f>
        <v>5288</v>
      </c>
      <c r="J146" s="406">
        <f>VLOOKUP(B146,'[5]Allocation Factor &amp;Meter Totals'!$A$8:$F$249,3,FALSE)</f>
        <v>2.370321495023804E-3</v>
      </c>
      <c r="K146" s="407">
        <f>VLOOKUP(B146,'[5]Allocation Factor &amp;Meter Totals'!$A$8:$F$249,6,FALSE)</f>
        <v>21704</v>
      </c>
      <c r="L146" s="406">
        <f>VLOOKUP(B146,'[5]Allocation Factor &amp;Meter Totals'!$A$8:$F$249,4,FALSE)</f>
        <v>4.1939634674555276E-3</v>
      </c>
      <c r="M146" s="407" t="s">
        <v>110</v>
      </c>
      <c r="N146" s="21"/>
      <c r="O146" s="21" t="s">
        <v>103</v>
      </c>
      <c r="P146" s="387">
        <v>0</v>
      </c>
      <c r="Q146" s="387">
        <v>0</v>
      </c>
    </row>
    <row r="147" spans="2:17">
      <c r="B147" s="541" t="s">
        <v>530</v>
      </c>
      <c r="C147" s="381">
        <f>VLOOKUP(B147,'[5]Allocation Factor &amp;Meter Totals'!$A$8:$F$249,6,FALSE)</f>
        <v>54322</v>
      </c>
      <c r="D147" s="381">
        <f>VLOOKUP(B147,'[5]Allocation Factor &amp;Meter Totals'!$A$8:$F$249,5,FALSE)</f>
        <v>24524</v>
      </c>
      <c r="E147" s="381">
        <f>VLOOKUP(B147,'[5]Allocation Factor &amp;Meter Totals'!$A$8:$F$249,6,FALSE)</f>
        <v>54322</v>
      </c>
      <c r="F147" s="21" t="s">
        <v>1589</v>
      </c>
      <c r="G147" s="21" t="s">
        <v>103</v>
      </c>
      <c r="H147" s="404">
        <f>VLOOKUP(B147,'[5]Allocation Factor &amp;Meter Totals'!$A$8:$F$249,6,FALSE)</f>
        <v>54322</v>
      </c>
      <c r="I147" s="405">
        <f>VLOOKUP(B147,'[5]Allocation Factor &amp;Meter Totals'!$A$8:$F$249,5,FALSE)</f>
        <v>24524</v>
      </c>
      <c r="J147" s="406">
        <f>VLOOKUP(B147,'[5]Allocation Factor &amp;Meter Totals'!$A$8:$F$249,3,FALSE)</f>
        <v>1.0992769354002226E-2</v>
      </c>
      <c r="K147" s="407">
        <f>VLOOKUP(B147,'[5]Allocation Factor &amp;Meter Totals'!$A$8:$F$249,6,FALSE)</f>
        <v>54322</v>
      </c>
      <c r="L147" s="406">
        <f>VLOOKUP(B147,'[5]Allocation Factor &amp;Meter Totals'!$A$8:$F$249,4,FALSE)</f>
        <v>1.0496889213007702E-2</v>
      </c>
      <c r="M147" s="407" t="s">
        <v>104</v>
      </c>
      <c r="N147" s="21"/>
      <c r="O147" s="21" t="s">
        <v>103</v>
      </c>
      <c r="P147" s="387">
        <v>0</v>
      </c>
      <c r="Q147" s="387">
        <v>0</v>
      </c>
    </row>
    <row r="148" spans="2:17">
      <c r="B148" s="541" t="s">
        <v>540</v>
      </c>
      <c r="C148" s="381">
        <f>VLOOKUP(B148,'[5]Allocation Factor &amp;Meter Totals'!$A$8:$F$249,6,FALSE)</f>
        <v>54381</v>
      </c>
      <c r="D148" s="381">
        <f>VLOOKUP(B148,'[5]Allocation Factor &amp;Meter Totals'!$A$8:$F$249,5,FALSE)</f>
        <v>35000</v>
      </c>
      <c r="E148" s="381">
        <f>VLOOKUP(B148,'[5]Allocation Factor &amp;Meter Totals'!$A$8:$F$249,6,FALSE)</f>
        <v>54381</v>
      </c>
      <c r="F148" s="21" t="s">
        <v>1589</v>
      </c>
      <c r="G148" s="21" t="s">
        <v>103</v>
      </c>
      <c r="H148" s="404">
        <f>VLOOKUP(B148,'[5]Allocation Factor &amp;Meter Totals'!$A$8:$F$249,6,FALSE)</f>
        <v>54381</v>
      </c>
      <c r="I148" s="405">
        <f>VLOOKUP(B148,'[5]Allocation Factor &amp;Meter Totals'!$A$8:$F$249,5,FALSE)</f>
        <v>35000</v>
      </c>
      <c r="J148" s="406">
        <f>VLOOKUP(B148,'[5]Allocation Factor &amp;Meter Totals'!$A$8:$F$249,3,FALSE)</f>
        <v>1.5688587807457098E-2</v>
      </c>
      <c r="K148" s="407">
        <f>VLOOKUP(B148,'[5]Allocation Factor &amp;Meter Totals'!$A$8:$F$249,6,FALSE)</f>
        <v>54381</v>
      </c>
      <c r="L148" s="406">
        <f>VLOOKUP(B148,'[5]Allocation Factor &amp;Meter Totals'!$A$8:$F$249,4,FALSE)</f>
        <v>1.05082900536168E-2</v>
      </c>
      <c r="M148" s="407" t="s">
        <v>104</v>
      </c>
      <c r="N148" s="21"/>
      <c r="O148" s="21" t="s">
        <v>103</v>
      </c>
      <c r="P148" s="387">
        <v>0</v>
      </c>
      <c r="Q148" s="387">
        <v>0</v>
      </c>
    </row>
    <row r="149" spans="2:17">
      <c r="B149" s="541" t="s">
        <v>552</v>
      </c>
      <c r="C149" s="381">
        <f>VLOOKUP(B149,'[5]Allocation Factor &amp;Meter Totals'!$A$8:$F$249,6,FALSE)</f>
        <v>89302</v>
      </c>
      <c r="D149" s="381">
        <f>VLOOKUP(B149,'[5]Allocation Factor &amp;Meter Totals'!$A$8:$F$249,5,FALSE)</f>
        <v>23183</v>
      </c>
      <c r="E149" s="381">
        <f>VLOOKUP(B149,'[5]Allocation Factor &amp;Meter Totals'!$A$8:$F$249,6,FALSE)</f>
        <v>89302</v>
      </c>
      <c r="F149" s="21" t="s">
        <v>1589</v>
      </c>
      <c r="G149" s="21" t="s">
        <v>103</v>
      </c>
      <c r="H149" s="404">
        <f>VLOOKUP(B149,'[5]Allocation Factor &amp;Meter Totals'!$A$8:$F$249,6,FALSE)</f>
        <v>89302</v>
      </c>
      <c r="I149" s="405">
        <f>VLOOKUP(B149,'[5]Allocation Factor &amp;Meter Totals'!$A$8:$F$249,5,FALSE)</f>
        <v>23183</v>
      </c>
      <c r="J149" s="406">
        <f>VLOOKUP(B149,'[5]Allocation Factor &amp;Meter Totals'!$A$8:$F$249,3,FALSE)</f>
        <v>1.0391672318293655E-2</v>
      </c>
      <c r="K149" s="407">
        <f>VLOOKUP(B149,'[5]Allocation Factor &amp;Meter Totals'!$A$8:$F$249,6,FALSE)</f>
        <v>89302</v>
      </c>
      <c r="L149" s="406">
        <f>VLOOKUP(B149,'[5]Allocation Factor &amp;Meter Totals'!$A$8:$F$249,4,FALSE)</f>
        <v>1.7256235052097012E-2</v>
      </c>
      <c r="M149" s="407" t="s">
        <v>104</v>
      </c>
      <c r="N149" s="21"/>
      <c r="O149" s="21" t="s">
        <v>103</v>
      </c>
      <c r="P149" s="387">
        <v>0</v>
      </c>
      <c r="Q149" s="387">
        <v>0</v>
      </c>
    </row>
    <row r="150" spans="2:17">
      <c r="B150" s="541" t="s">
        <v>561</v>
      </c>
      <c r="C150" s="381">
        <f>VLOOKUP(B150,'[5]Allocation Factor &amp;Meter Totals'!$A$8:$F$249,6,FALSE)</f>
        <v>127261</v>
      </c>
      <c r="D150" s="381">
        <f>VLOOKUP(B150,'[5]Allocation Factor &amp;Meter Totals'!$A$8:$F$249,5,FALSE)</f>
        <v>1088</v>
      </c>
      <c r="E150" s="381">
        <f>VLOOKUP(B150,'[5]Allocation Factor &amp;Meter Totals'!$A$8:$F$249,6,FALSE)</f>
        <v>127261</v>
      </c>
      <c r="F150" s="21" t="s">
        <v>1589</v>
      </c>
      <c r="G150" s="21" t="s">
        <v>103</v>
      </c>
      <c r="H150" s="404">
        <f>VLOOKUP(B150,'[5]Allocation Factor &amp;Meter Totals'!$A$8:$F$249,6,FALSE)</f>
        <v>127261</v>
      </c>
      <c r="I150" s="405">
        <f>VLOOKUP(B150,'[5]Allocation Factor &amp;Meter Totals'!$A$8:$F$249,5,FALSE)</f>
        <v>1088</v>
      </c>
      <c r="J150" s="406">
        <f>VLOOKUP(B150,'[5]Allocation Factor &amp;Meter Totals'!$A$8:$F$249,3,FALSE)</f>
        <v>4.8769095812895214E-4</v>
      </c>
      <c r="K150" s="407">
        <f>VLOOKUP(B150,'[5]Allocation Factor &amp;Meter Totals'!$A$8:$F$249,6,FALSE)</f>
        <v>127261</v>
      </c>
      <c r="L150" s="406">
        <f>VLOOKUP(B150,'[5]Allocation Factor &amp;Meter Totals'!$A$8:$F$249,4,FALSE)</f>
        <v>2.4591226724652502E-2</v>
      </c>
      <c r="M150" s="407" t="s">
        <v>110</v>
      </c>
      <c r="N150" s="21"/>
      <c r="O150" s="21" t="s">
        <v>103</v>
      </c>
      <c r="P150" s="387">
        <v>0</v>
      </c>
      <c r="Q150" s="387">
        <v>0</v>
      </c>
    </row>
    <row r="151" spans="2:17">
      <c r="B151" s="541" t="s">
        <v>562</v>
      </c>
      <c r="C151" s="381">
        <f>VLOOKUP(B151,'[5]Allocation Factor &amp;Meter Totals'!$A$8:$F$249,6,FALSE)</f>
        <v>23227</v>
      </c>
      <c r="D151" s="381">
        <f>VLOOKUP(B151,'[5]Allocation Factor &amp;Meter Totals'!$A$8:$F$249,5,FALSE)</f>
        <v>12761</v>
      </c>
      <c r="E151" s="381">
        <f>VLOOKUP(B151,'[5]Allocation Factor &amp;Meter Totals'!$A$8:$F$249,6,FALSE)</f>
        <v>23227</v>
      </c>
      <c r="F151" s="21" t="s">
        <v>1589</v>
      </c>
      <c r="G151" s="21" t="s">
        <v>103</v>
      </c>
      <c r="H151" s="404">
        <f>VLOOKUP(B151,'[5]Allocation Factor &amp;Meter Totals'!$A$8:$F$249,6,FALSE)</f>
        <v>23227</v>
      </c>
      <c r="I151" s="405">
        <f>VLOOKUP(B151,'[5]Allocation Factor &amp;Meter Totals'!$A$8:$F$249,5,FALSE)</f>
        <v>12761</v>
      </c>
      <c r="J151" s="406">
        <f>VLOOKUP(B151,'[5]Allocation Factor &amp;Meter Totals'!$A$8:$F$249,3,FALSE)</f>
        <v>5.7200591145988586E-3</v>
      </c>
      <c r="K151" s="407">
        <f>VLOOKUP(B151,'[5]Allocation Factor &amp;Meter Totals'!$A$8:$F$249,6,FALSE)</f>
        <v>23227</v>
      </c>
      <c r="L151" s="406">
        <f>VLOOKUP(B151,'[5]Allocation Factor &amp;Meter Totals'!$A$8:$F$249,4,FALSE)</f>
        <v>4.4882597428395473E-3</v>
      </c>
      <c r="M151" s="407" t="s">
        <v>104</v>
      </c>
      <c r="N151" s="21"/>
      <c r="O151" s="21" t="s">
        <v>103</v>
      </c>
      <c r="P151" s="387">
        <v>0</v>
      </c>
      <c r="Q151" s="387">
        <v>0</v>
      </c>
    </row>
    <row r="152" spans="2:17">
      <c r="B152" s="541" t="s">
        <v>567</v>
      </c>
      <c r="C152" s="381">
        <f>VLOOKUP(B152,'[5]Allocation Factor &amp;Meter Totals'!$A$8:$F$249,6,FALSE)</f>
        <v>5628</v>
      </c>
      <c r="D152" s="381">
        <f>VLOOKUP(B152,'[5]Allocation Factor &amp;Meter Totals'!$A$8:$F$249,5,FALSE)</f>
        <v>334</v>
      </c>
      <c r="E152" s="381">
        <f>VLOOKUP(B152,'[5]Allocation Factor &amp;Meter Totals'!$A$8:$F$249,6,FALSE)</f>
        <v>5628</v>
      </c>
      <c r="F152" s="21" t="s">
        <v>1589</v>
      </c>
      <c r="G152" s="21" t="s">
        <v>103</v>
      </c>
      <c r="H152" s="404">
        <f>VLOOKUP(B152,'[5]Allocation Factor &amp;Meter Totals'!$A$8:$F$249,6,FALSE)</f>
        <v>5628</v>
      </c>
      <c r="I152" s="405">
        <f>VLOOKUP(B152,'[5]Allocation Factor &amp;Meter Totals'!$A$8:$F$249,5,FALSE)</f>
        <v>334</v>
      </c>
      <c r="J152" s="406">
        <f>VLOOKUP(B152,'[5]Allocation Factor &amp;Meter Totals'!$A$8:$F$249,3,FALSE)</f>
        <v>1.4971395221973348E-4</v>
      </c>
      <c r="K152" s="407">
        <f>VLOOKUP(B152,'[5]Allocation Factor &amp;Meter Totals'!$A$8:$F$249,6,FALSE)</f>
        <v>5628</v>
      </c>
      <c r="L152" s="406">
        <f>VLOOKUP(B152,'[5]Allocation Factor &amp;Meter Totals'!$A$8:$F$249,4,FALSE)</f>
        <v>1.08752425335605E-3</v>
      </c>
      <c r="M152" s="407" t="s">
        <v>110</v>
      </c>
      <c r="N152" s="21"/>
      <c r="O152" s="21" t="s">
        <v>103</v>
      </c>
      <c r="P152" s="387">
        <v>0</v>
      </c>
      <c r="Q152" s="387">
        <v>0</v>
      </c>
    </row>
    <row r="153" spans="2:17">
      <c r="B153" s="541" t="s">
        <v>571</v>
      </c>
      <c r="C153" s="381">
        <f>VLOOKUP(B153,'[5]Allocation Factor &amp;Meter Totals'!$A$8:$F$249,6,FALSE)</f>
        <v>12488</v>
      </c>
      <c r="D153" s="381">
        <f>VLOOKUP(B153,'[5]Allocation Factor &amp;Meter Totals'!$A$8:$F$249,5,FALSE)</f>
        <v>4021</v>
      </c>
      <c r="E153" s="381">
        <f>VLOOKUP(B153,'[5]Allocation Factor &amp;Meter Totals'!$A$8:$F$249,6,FALSE)</f>
        <v>12488</v>
      </c>
      <c r="F153" s="21" t="s">
        <v>1589</v>
      </c>
      <c r="G153" s="21" t="s">
        <v>103</v>
      </c>
      <c r="H153" s="404">
        <f>VLOOKUP(B153,'[5]Allocation Factor &amp;Meter Totals'!$A$8:$F$249,6,FALSE)</f>
        <v>12488</v>
      </c>
      <c r="I153" s="405">
        <f>VLOOKUP(B153,'[5]Allocation Factor &amp;Meter Totals'!$A$8:$F$249,5,FALSE)</f>
        <v>4021</v>
      </c>
      <c r="J153" s="406">
        <f>VLOOKUP(B153,'[5]Allocation Factor &amp;Meter Totals'!$A$8:$F$249,3,FALSE)</f>
        <v>1.8023946163938571E-3</v>
      </c>
      <c r="K153" s="407">
        <f>VLOOKUP(B153,'[5]Allocation Factor &amp;Meter Totals'!$A$8:$F$249,6,FALSE)</f>
        <v>12488</v>
      </c>
      <c r="L153" s="406">
        <f>VLOOKUP(B153,'[5]Allocation Factor &amp;Meter Totals'!$A$8:$F$249,4,FALSE)</f>
        <v>2.4131135173970065E-3</v>
      </c>
      <c r="M153" s="407" t="s">
        <v>110</v>
      </c>
      <c r="N153" s="21"/>
      <c r="O153" s="21" t="s">
        <v>103</v>
      </c>
      <c r="P153" s="387">
        <v>0</v>
      </c>
      <c r="Q153" s="387">
        <v>0</v>
      </c>
    </row>
    <row r="154" spans="2:17" ht="43.5">
      <c r="B154" s="541" t="s">
        <v>578</v>
      </c>
      <c r="C154" s="381">
        <f>VLOOKUP(B154,'[5]Allocation Factor &amp;Meter Totals'!$A$8:$F$249,6,FALSE)</f>
        <v>6033</v>
      </c>
      <c r="D154" s="381">
        <f>VLOOKUP(B154,'[5]Allocation Factor &amp;Meter Totals'!$A$8:$F$249,5,FALSE)</f>
        <v>119</v>
      </c>
      <c r="E154" s="381">
        <f>VLOOKUP(B154,'[5]Allocation Factor &amp;Meter Totals'!$A$8:$F$249,6,FALSE)</f>
        <v>6033</v>
      </c>
      <c r="F154" s="21" t="s">
        <v>1589</v>
      </c>
      <c r="G154" s="21" t="s">
        <v>103</v>
      </c>
      <c r="H154" s="404">
        <f>VLOOKUP(B154,'[5]Allocation Factor &amp;Meter Totals'!$A$8:$F$249,6,FALSE)</f>
        <v>6033</v>
      </c>
      <c r="I154" s="405">
        <f>VLOOKUP(B154,'[5]Allocation Factor &amp;Meter Totals'!$A$8:$F$249,5,FALSE)</f>
        <v>119</v>
      </c>
      <c r="J154" s="406">
        <f>VLOOKUP(B154,'[5]Allocation Factor &amp;Meter Totals'!$A$8:$F$249,3,FALSE)</f>
        <v>5.3341198545354138E-5</v>
      </c>
      <c r="K154" s="407">
        <f>VLOOKUP(B154,'[5]Allocation Factor &amp;Meter Totals'!$A$8:$F$249,6,FALSE)</f>
        <v>6033</v>
      </c>
      <c r="L154" s="406">
        <f>VLOOKUP(B154,'[5]Allocation Factor &amp;Meter Totals'!$A$8:$F$249,4,FALSE)</f>
        <v>1.1657842609269812E-3</v>
      </c>
      <c r="M154" s="407" t="s">
        <v>110</v>
      </c>
      <c r="N154" s="21"/>
      <c r="O154" s="15" t="s">
        <v>1593</v>
      </c>
      <c r="P154" s="387">
        <v>0</v>
      </c>
      <c r="Q154" s="387">
        <v>0</v>
      </c>
    </row>
    <row r="155" spans="2:17" ht="43.5">
      <c r="B155" s="541" t="s">
        <v>579</v>
      </c>
      <c r="C155" s="381">
        <f>VLOOKUP(B155,'[5]Allocation Factor &amp;Meter Totals'!$A$8:$F$249,6,FALSE)</f>
        <v>4933</v>
      </c>
      <c r="D155" s="381">
        <f>VLOOKUP(B155,'[5]Allocation Factor &amp;Meter Totals'!$A$8:$F$249,5,FALSE)</f>
        <v>76</v>
      </c>
      <c r="E155" s="381">
        <f>VLOOKUP(B155,'[5]Allocation Factor &amp;Meter Totals'!$A$8:$F$249,6,FALSE)</f>
        <v>4933</v>
      </c>
      <c r="F155" s="21" t="s">
        <v>1589</v>
      </c>
      <c r="G155" s="21" t="s">
        <v>103</v>
      </c>
      <c r="H155" s="404">
        <f>VLOOKUP(B155,'[5]Allocation Factor &amp;Meter Totals'!$A$8:$F$249,6,FALSE)</f>
        <v>4933</v>
      </c>
      <c r="I155" s="405">
        <f>VLOOKUP(B155,'[5]Allocation Factor &amp;Meter Totals'!$A$8:$F$249,5,FALSE)</f>
        <v>76</v>
      </c>
      <c r="J155" s="406">
        <f>VLOOKUP(B155,'[5]Allocation Factor &amp;Meter Totals'!$A$8:$F$249,3,FALSE)</f>
        <v>3.406664781047827E-5</v>
      </c>
      <c r="K155" s="407">
        <f>VLOOKUP(B155,'[5]Allocation Factor &amp;Meter Totals'!$A$8:$F$249,6,FALSE)</f>
        <v>4933</v>
      </c>
      <c r="L155" s="406">
        <f>VLOOKUP(B155,'[5]Allocation Factor &amp;Meter Totals'!$A$8:$F$249,4,FALSE)</f>
        <v>9.5322621567260027E-4</v>
      </c>
      <c r="M155" s="407" t="s">
        <v>110</v>
      </c>
      <c r="N155" s="21"/>
      <c r="O155" s="15" t="s">
        <v>1593</v>
      </c>
      <c r="P155" s="387">
        <v>0</v>
      </c>
      <c r="Q155" s="387">
        <v>0</v>
      </c>
    </row>
    <row r="156" spans="2:17">
      <c r="B156" s="541" t="s">
        <v>580</v>
      </c>
      <c r="C156" s="440">
        <f>VLOOKUP(B156,'[5]Allocation Factor &amp;Meter Totals'!$A$8:$F$249,6,FALSE)</f>
        <v>13695</v>
      </c>
      <c r="D156" s="440">
        <f>VLOOKUP(B156,'[5]Allocation Factor &amp;Meter Totals'!$A$8:$F$249,5,FALSE)</f>
        <v>54</v>
      </c>
      <c r="E156" s="440">
        <f>VLOOKUP(B156,'[5]Allocation Factor &amp;Meter Totals'!$A$8:$F$249,6,FALSE)</f>
        <v>13695</v>
      </c>
      <c r="F156" s="441" t="s">
        <v>1589</v>
      </c>
      <c r="G156" s="441" t="s">
        <v>103</v>
      </c>
      <c r="H156" s="442">
        <f>VLOOKUP(B156,'[5]Allocation Factor &amp;Meter Totals'!$A$8:$F$249,6,FALSE)</f>
        <v>13695</v>
      </c>
      <c r="I156" s="443">
        <f>VLOOKUP(B156,'[5]Allocation Factor &amp;Meter Totals'!$A$8:$F$249,5,FALSE)</f>
        <v>54</v>
      </c>
      <c r="J156" s="444">
        <f>VLOOKUP(B156,'[5]Allocation Factor &amp;Meter Totals'!$A$8:$F$249,3,FALSE)</f>
        <v>2.4205249760076668E-5</v>
      </c>
      <c r="K156" s="445">
        <f>VLOOKUP(B156,'[5]Allocation Factor &amp;Meter Totals'!$A$8:$F$249,6,FALSE)</f>
        <v>13695</v>
      </c>
      <c r="L156" s="444">
        <f>VLOOKUP(B156,'[5]Allocation Factor &amp;Meter Totals'!$A$8:$F$249,4,FALSE)</f>
        <v>2.6463476634170408E-3</v>
      </c>
      <c r="M156" s="445" t="s">
        <v>110</v>
      </c>
      <c r="N156" s="441"/>
      <c r="O156" s="446" t="s">
        <v>1609</v>
      </c>
      <c r="P156" s="447">
        <v>0</v>
      </c>
      <c r="Q156" s="447">
        <v>0</v>
      </c>
    </row>
    <row r="157" spans="2:17">
      <c r="B157" s="541" t="s">
        <v>581</v>
      </c>
      <c r="C157" s="381">
        <f>VLOOKUP(B157,'[5]Allocation Factor &amp;Meter Totals'!$A$8:$F$249,6,FALSE)</f>
        <v>32602</v>
      </c>
      <c r="D157" s="381">
        <f>VLOOKUP(B157,'[5]Allocation Factor &amp;Meter Totals'!$A$8:$F$249,5,FALSE)</f>
        <v>1511</v>
      </c>
      <c r="E157" s="381">
        <f>VLOOKUP(B157,'[5]Allocation Factor &amp;Meter Totals'!$A$8:$F$249,6,FALSE)</f>
        <v>32602</v>
      </c>
      <c r="F157" s="21" t="s">
        <v>1589</v>
      </c>
      <c r="G157" s="21" t="s">
        <v>103</v>
      </c>
      <c r="H157" s="404">
        <f>VLOOKUP(B157,'[5]Allocation Factor &amp;Meter Totals'!$A$8:$F$249,6,FALSE)</f>
        <v>32602</v>
      </c>
      <c r="I157" s="405">
        <f>VLOOKUP(B157,'[5]Allocation Factor &amp;Meter Totals'!$A$8:$F$249,5,FALSE)</f>
        <v>1511</v>
      </c>
      <c r="J157" s="406">
        <f>VLOOKUP(B157,'[5]Allocation Factor &amp;Meter Totals'!$A$8:$F$249,3,FALSE)</f>
        <v>6.7729874791621931E-4</v>
      </c>
      <c r="K157" s="407">
        <f>VLOOKUP(B157,'[5]Allocation Factor &amp;Meter Totals'!$A$8:$F$249,6,FALSE)</f>
        <v>32602</v>
      </c>
      <c r="L157" s="406">
        <f>VLOOKUP(B157,'[5]Allocation Factor &amp;Meter Totals'!$A$8:$F$249,4,FALSE)</f>
        <v>6.2998339921666565E-3</v>
      </c>
      <c r="M157" s="407" t="s">
        <v>110</v>
      </c>
      <c r="N157" s="21"/>
      <c r="O157" s="21" t="s">
        <v>103</v>
      </c>
      <c r="P157" s="387">
        <v>0</v>
      </c>
      <c r="Q157" s="387">
        <v>0</v>
      </c>
    </row>
    <row r="158" spans="2:17">
      <c r="B158" s="541" t="s">
        <v>582</v>
      </c>
      <c r="C158" s="381">
        <f>VLOOKUP(B158,'[5]Allocation Factor &amp;Meter Totals'!$A$8:$F$249,6,FALSE)</f>
        <v>6079</v>
      </c>
      <c r="D158" s="381">
        <f>VLOOKUP(B158,'[5]Allocation Factor &amp;Meter Totals'!$A$8:$F$249,5,FALSE)</f>
        <v>2722</v>
      </c>
      <c r="E158" s="381">
        <f>VLOOKUP(B158,'[5]Allocation Factor &amp;Meter Totals'!$A$8:$F$249,6,FALSE)</f>
        <v>6079</v>
      </c>
      <c r="F158" s="21" t="s">
        <v>1589</v>
      </c>
      <c r="G158" s="21" t="s">
        <v>103</v>
      </c>
      <c r="H158" s="404">
        <f>VLOOKUP(B158,'[5]Allocation Factor &amp;Meter Totals'!$A$8:$F$249,6,FALSE)</f>
        <v>6079</v>
      </c>
      <c r="I158" s="405">
        <f>VLOOKUP(B158,'[5]Allocation Factor &amp;Meter Totals'!$A$8:$F$249,5,FALSE)</f>
        <v>2722</v>
      </c>
      <c r="J158" s="406">
        <f>VLOOKUP(B158,'[5]Allocation Factor &amp;Meter Totals'!$A$8:$F$249,3,FALSE)</f>
        <v>1.220123886054235E-3</v>
      </c>
      <c r="K158" s="407">
        <f>VLOOKUP(B158,'[5]Allocation Factor &amp;Meter Totals'!$A$8:$F$249,6,FALSE)</f>
        <v>6079</v>
      </c>
      <c r="L158" s="406">
        <f>VLOOKUP(B158,'[5]Allocation Factor &amp;Meter Totals'!$A$8:$F$249,4,FALSE)</f>
        <v>1.174673051910346E-3</v>
      </c>
      <c r="M158" s="407" t="s">
        <v>110</v>
      </c>
      <c r="N158" s="21"/>
      <c r="O158" s="21" t="s">
        <v>103</v>
      </c>
      <c r="P158" s="387">
        <v>0</v>
      </c>
      <c r="Q158" s="387">
        <v>0</v>
      </c>
    </row>
    <row r="159" spans="2:17">
      <c r="B159" s="541" t="s">
        <v>585</v>
      </c>
      <c r="C159" s="381">
        <f>VLOOKUP(B159,'[5]Allocation Factor &amp;Meter Totals'!$A$8:$F$249,6,FALSE)</f>
        <v>27057</v>
      </c>
      <c r="D159" s="381">
        <f>VLOOKUP(B159,'[5]Allocation Factor &amp;Meter Totals'!$A$8:$F$249,5,FALSE)</f>
        <v>420</v>
      </c>
      <c r="E159" s="381">
        <f>VLOOKUP(B159,'[5]Allocation Factor &amp;Meter Totals'!$A$8:$F$249,6,FALSE)</f>
        <v>27057</v>
      </c>
      <c r="F159" s="21" t="s">
        <v>1589</v>
      </c>
      <c r="G159" s="21" t="s">
        <v>103</v>
      </c>
      <c r="H159" s="404">
        <f>VLOOKUP(B159,'[5]Allocation Factor &amp;Meter Totals'!$A$8:$F$249,6,FALSE)</f>
        <v>27057</v>
      </c>
      <c r="I159" s="405">
        <f>VLOOKUP(B159,'[5]Allocation Factor &amp;Meter Totals'!$A$8:$F$249,5,FALSE)</f>
        <v>420</v>
      </c>
      <c r="J159" s="406">
        <f>VLOOKUP(B159,'[5]Allocation Factor &amp;Meter Totals'!$A$8:$F$249,3,FALSE)</f>
        <v>1.8826305368948519E-4</v>
      </c>
      <c r="K159" s="407">
        <f>VLOOKUP(B159,'[5]Allocation Factor &amp;Meter Totals'!$A$8:$F$249,6,FALSE)</f>
        <v>27057</v>
      </c>
      <c r="L159" s="406">
        <f>VLOOKUP(B159,'[5]Allocation Factor &amp;Meter Totals'!$A$8:$F$249,4,FALSE)</f>
        <v>5.2283482094979822E-3</v>
      </c>
      <c r="M159" s="407" t="s">
        <v>110</v>
      </c>
      <c r="N159" s="21"/>
      <c r="O159" s="21" t="s">
        <v>103</v>
      </c>
      <c r="P159" s="387">
        <v>0</v>
      </c>
      <c r="Q159" s="387">
        <v>0</v>
      </c>
    </row>
    <row r="160" spans="2:17">
      <c r="B160" s="541" t="s">
        <v>589</v>
      </c>
      <c r="C160" s="381">
        <f>VLOOKUP(B160,'[5]Allocation Factor &amp;Meter Totals'!$A$8:$F$249,6,FALSE)</f>
        <v>47955</v>
      </c>
      <c r="D160" s="381">
        <f>VLOOKUP(B160,'[5]Allocation Factor &amp;Meter Totals'!$A$8:$F$249,5,FALSE)</f>
        <v>8586</v>
      </c>
      <c r="E160" s="381">
        <f>VLOOKUP(B160,'[5]Allocation Factor &amp;Meter Totals'!$A$8:$F$249,6,FALSE)</f>
        <v>47955</v>
      </c>
      <c r="F160" s="21" t="s">
        <v>1589</v>
      </c>
      <c r="G160" s="21" t="s">
        <v>103</v>
      </c>
      <c r="H160" s="404">
        <f>VLOOKUP(B160,'[5]Allocation Factor &amp;Meter Totals'!$A$8:$F$249,6,FALSE)</f>
        <v>47955</v>
      </c>
      <c r="I160" s="405">
        <f>VLOOKUP(B160,'[5]Allocation Factor &amp;Meter Totals'!$A$8:$F$249,5,FALSE)</f>
        <v>8586</v>
      </c>
      <c r="J160" s="406">
        <f>VLOOKUP(B160,'[5]Allocation Factor &amp;Meter Totals'!$A$8:$F$249,3,FALSE)</f>
        <v>3.8486347118521901E-3</v>
      </c>
      <c r="K160" s="407">
        <f>VLOOKUP(B160,'[5]Allocation Factor &amp;Meter Totals'!$A$8:$F$249,6,FALSE)</f>
        <v>47955</v>
      </c>
      <c r="L160" s="406">
        <f>VLOOKUP(B160,'[5]Allocation Factor &amp;Meter Totals'!$A$8:$F$249,4,FALSE)</f>
        <v>9.2665646001580271E-3</v>
      </c>
      <c r="M160" s="407" t="s">
        <v>110</v>
      </c>
      <c r="N160" s="21"/>
      <c r="O160" s="21" t="s">
        <v>103</v>
      </c>
      <c r="P160" s="387">
        <v>0</v>
      </c>
      <c r="Q160" s="387">
        <v>0</v>
      </c>
    </row>
    <row r="161" spans="2:17">
      <c r="B161" s="541" t="s">
        <v>596</v>
      </c>
      <c r="C161" s="381">
        <f>VLOOKUP(B161,'[5]Allocation Factor &amp;Meter Totals'!$A$8:$F$249,6,FALSE)</f>
        <v>54543</v>
      </c>
      <c r="D161" s="381">
        <f>VLOOKUP(B161,'[5]Allocation Factor &amp;Meter Totals'!$A$8:$F$249,5,FALSE)</f>
        <v>23198</v>
      </c>
      <c r="E161" s="381">
        <f>VLOOKUP(B161,'[5]Allocation Factor &amp;Meter Totals'!$A$8:$F$249,6,FALSE)</f>
        <v>54543</v>
      </c>
      <c r="F161" s="21" t="s">
        <v>1589</v>
      </c>
      <c r="G161" s="21" t="s">
        <v>103</v>
      </c>
      <c r="H161" s="404">
        <f>VLOOKUP(B161,'[5]Allocation Factor &amp;Meter Totals'!$A$8:$F$249,6,FALSE)</f>
        <v>54543</v>
      </c>
      <c r="I161" s="405">
        <f>VLOOKUP(B161,'[5]Allocation Factor &amp;Meter Totals'!$A$8:$F$249,5,FALSE)</f>
        <v>23198</v>
      </c>
      <c r="J161" s="406">
        <f>VLOOKUP(B161,'[5]Allocation Factor &amp;Meter Totals'!$A$8:$F$249,3,FALSE)</f>
        <v>1.0398395998782565E-2</v>
      </c>
      <c r="K161" s="407">
        <f>VLOOKUP(B161,'[5]Allocation Factor &amp;Meter Totals'!$A$8:$F$249,6,FALSE)</f>
        <v>54543</v>
      </c>
      <c r="L161" s="406">
        <f>VLOOKUP(B161,'[5]Allocation Factor &amp;Meter Totals'!$A$8:$F$249,4,FALSE)</f>
        <v>1.0539594056645174E-2</v>
      </c>
      <c r="M161" s="407" t="s">
        <v>104</v>
      </c>
      <c r="N161" s="21"/>
      <c r="O161" s="21" t="s">
        <v>103</v>
      </c>
      <c r="P161" s="387">
        <v>0</v>
      </c>
      <c r="Q161" s="387">
        <v>0</v>
      </c>
    </row>
    <row r="162" spans="2:17">
      <c r="B162" s="541" t="s">
        <v>599</v>
      </c>
      <c r="C162" s="381">
        <f>VLOOKUP(B162,'[5]Allocation Factor &amp;Meter Totals'!$A$8:$F$249,6,FALSE)</f>
        <v>19172</v>
      </c>
      <c r="D162" s="381">
        <f>VLOOKUP(B162,'[5]Allocation Factor &amp;Meter Totals'!$A$8:$F$249,5,FALSE)</f>
        <v>4795</v>
      </c>
      <c r="E162" s="381">
        <f>VLOOKUP(B162,'[5]Allocation Factor &amp;Meter Totals'!$A$8:$F$249,6,FALSE)</f>
        <v>19172</v>
      </c>
      <c r="F162" s="21" t="s">
        <v>1589</v>
      </c>
      <c r="G162" s="21" t="s">
        <v>103</v>
      </c>
      <c r="H162" s="404">
        <f>VLOOKUP(B162,'[5]Allocation Factor &amp;Meter Totals'!$A$8:$F$249,6,FALSE)</f>
        <v>19172</v>
      </c>
      <c r="I162" s="405">
        <f>VLOOKUP(B162,'[5]Allocation Factor &amp;Meter Totals'!$A$8:$F$249,5,FALSE)</f>
        <v>4795</v>
      </c>
      <c r="J162" s="406">
        <f>VLOOKUP(B162,'[5]Allocation Factor &amp;Meter Totals'!$A$8:$F$249,3,FALSE)</f>
        <v>2.1493365296216226E-3</v>
      </c>
      <c r="K162" s="407">
        <f>VLOOKUP(B162,'[5]Allocation Factor &amp;Meter Totals'!$A$8:$F$249,6,FALSE)</f>
        <v>19172</v>
      </c>
      <c r="L162" s="406">
        <f>VLOOKUP(B162,'[5]Allocation Factor &amp;Meter Totals'!$A$8:$F$249,4,FALSE)</f>
        <v>3.7046934941972619E-3</v>
      </c>
      <c r="M162" s="407" t="s">
        <v>104</v>
      </c>
      <c r="N162" s="21"/>
      <c r="O162" s="21" t="s">
        <v>103</v>
      </c>
      <c r="P162" s="387">
        <v>0</v>
      </c>
      <c r="Q162" s="387">
        <v>0</v>
      </c>
    </row>
    <row r="163" spans="2:17" ht="43.5">
      <c r="B163" s="541" t="s">
        <v>603</v>
      </c>
      <c r="C163" s="381">
        <f>VLOOKUP(B163,'[5]Allocation Factor &amp;Meter Totals'!$A$8:$F$249,6,FALSE)</f>
        <v>18669</v>
      </c>
      <c r="D163" s="381">
        <f>VLOOKUP(B163,'[5]Allocation Factor &amp;Meter Totals'!$A$8:$F$249,5,FALSE)</f>
        <v>224</v>
      </c>
      <c r="E163" s="381">
        <f>VLOOKUP(B163,'[5]Allocation Factor &amp;Meter Totals'!$A$8:$F$249,6,FALSE)</f>
        <v>18669</v>
      </c>
      <c r="F163" s="21" t="s">
        <v>1589</v>
      </c>
      <c r="G163" s="21" t="s">
        <v>103</v>
      </c>
      <c r="H163" s="404">
        <f>VLOOKUP(B163,'[5]Allocation Factor &amp;Meter Totals'!$A$8:$F$249,6,FALSE)</f>
        <v>18669</v>
      </c>
      <c r="I163" s="405">
        <f>VLOOKUP(B163,'[5]Allocation Factor &amp;Meter Totals'!$A$8:$F$249,5,FALSE)</f>
        <v>224</v>
      </c>
      <c r="J163" s="406">
        <f>VLOOKUP(B163,'[5]Allocation Factor &amp;Meter Totals'!$A$8:$F$249,3,FALSE)</f>
        <v>1.0040696196772543E-4</v>
      </c>
      <c r="K163" s="407">
        <f>VLOOKUP(B163,'[5]Allocation Factor &amp;Meter Totals'!$A$8:$F$249,6,FALSE)</f>
        <v>18669</v>
      </c>
      <c r="L163" s="406">
        <f>VLOOKUP(B163,'[5]Allocation Factor &amp;Meter Totals'!$A$8:$F$249,4,FALSE)</f>
        <v>3.6074964971400314E-3</v>
      </c>
      <c r="M163" s="407" t="s">
        <v>110</v>
      </c>
      <c r="N163" s="21"/>
      <c r="O163" s="15" t="s">
        <v>1593</v>
      </c>
      <c r="P163" s="387">
        <v>0</v>
      </c>
      <c r="Q163" s="387">
        <v>0</v>
      </c>
    </row>
    <row r="164" spans="2:17">
      <c r="B164" s="541" t="s">
        <v>604</v>
      </c>
      <c r="C164" s="381">
        <f>VLOOKUP(B164,'[5]Allocation Factor &amp;Meter Totals'!$A$8:$F$249,6,FALSE)</f>
        <v>88700</v>
      </c>
      <c r="D164" s="381">
        <f>VLOOKUP(B164,'[5]Allocation Factor &amp;Meter Totals'!$A$8:$F$249,5,FALSE)</f>
        <v>43344</v>
      </c>
      <c r="E164" s="381">
        <f>VLOOKUP(B164,'[5]Allocation Factor &amp;Meter Totals'!$A$8:$F$249,6,FALSE)</f>
        <v>88700</v>
      </c>
      <c r="F164" s="21" t="s">
        <v>1589</v>
      </c>
      <c r="G164" s="21" t="s">
        <v>103</v>
      </c>
      <c r="H164" s="404">
        <f>VLOOKUP(B164,'[5]Allocation Factor &amp;Meter Totals'!$A$8:$F$249,6,FALSE)</f>
        <v>88700</v>
      </c>
      <c r="I164" s="405">
        <f>VLOOKUP(B164,'[5]Allocation Factor &amp;Meter Totals'!$A$8:$F$249,5,FALSE)</f>
        <v>43344</v>
      </c>
      <c r="J164" s="406">
        <f>VLOOKUP(B164,'[5]Allocation Factor &amp;Meter Totals'!$A$8:$F$249,3,FALSE)</f>
        <v>1.9428747140754873E-2</v>
      </c>
      <c r="K164" s="407">
        <f>VLOOKUP(B164,'[5]Allocation Factor &amp;Meter Totals'!$A$8:$F$249,6,FALSE)</f>
        <v>88700</v>
      </c>
      <c r="L164" s="406">
        <f>VLOOKUP(B164,'[5]Allocation Factor &amp;Meter Totals'!$A$8:$F$249,4,FALSE)</f>
        <v>1.7139907830966885E-2</v>
      </c>
      <c r="M164" s="407" t="s">
        <v>104</v>
      </c>
      <c r="N164" s="21"/>
      <c r="O164" s="21" t="s">
        <v>103</v>
      </c>
      <c r="P164" s="387">
        <v>0</v>
      </c>
      <c r="Q164" s="387">
        <v>0</v>
      </c>
    </row>
    <row r="165" spans="2:17">
      <c r="B165" s="541" t="s">
        <v>622</v>
      </c>
      <c r="C165" s="381">
        <f>VLOOKUP(B165,'[5]Allocation Factor &amp;Meter Totals'!$A$8:$F$249,6,FALSE)</f>
        <v>15349</v>
      </c>
      <c r="D165" s="381">
        <f>VLOOKUP(B165,'[5]Allocation Factor &amp;Meter Totals'!$A$8:$F$249,5,FALSE)</f>
        <v>3796</v>
      </c>
      <c r="E165" s="381">
        <f>VLOOKUP(B165,'[5]Allocation Factor &amp;Meter Totals'!$A$8:$F$249,6,FALSE)</f>
        <v>15349</v>
      </c>
      <c r="F165" s="21" t="s">
        <v>1589</v>
      </c>
      <c r="G165" s="21" t="s">
        <v>103</v>
      </c>
      <c r="H165" s="404">
        <f>VLOOKUP(B165,'[5]Allocation Factor &amp;Meter Totals'!$A$8:$F$249,6,FALSE)</f>
        <v>15349</v>
      </c>
      <c r="I165" s="405">
        <f>VLOOKUP(B165,'[5]Allocation Factor &amp;Meter Totals'!$A$8:$F$249,5,FALSE)</f>
        <v>3796</v>
      </c>
      <c r="J165" s="406">
        <f>VLOOKUP(B165,'[5]Allocation Factor &amp;Meter Totals'!$A$8:$F$249,3,FALSE)</f>
        <v>1.7015394090602043E-3</v>
      </c>
      <c r="K165" s="407">
        <f>VLOOKUP(B165,'[5]Allocation Factor &amp;Meter Totals'!$A$8:$F$249,6,FALSE)</f>
        <v>15349</v>
      </c>
      <c r="L165" s="406">
        <f>VLOOKUP(B165,'[5]Allocation Factor &amp;Meter Totals'!$A$8:$F$249,4,FALSE)</f>
        <v>2.9659576696449913E-3</v>
      </c>
      <c r="M165" s="407" t="s">
        <v>110</v>
      </c>
      <c r="N165" s="21"/>
      <c r="O165" s="21" t="s">
        <v>103</v>
      </c>
      <c r="P165" s="387">
        <v>0</v>
      </c>
      <c r="Q165" s="387">
        <v>0</v>
      </c>
    </row>
    <row r="166" spans="2:17">
      <c r="B166" s="541" t="s">
        <v>629</v>
      </c>
      <c r="C166" s="381">
        <f>VLOOKUP(B166,'[5]Allocation Factor &amp;Meter Totals'!$A$8:$F$249,6,FALSE)</f>
        <v>11858</v>
      </c>
      <c r="D166" s="381">
        <f>VLOOKUP(B166,'[5]Allocation Factor &amp;Meter Totals'!$A$8:$F$249,5,FALSE)</f>
        <v>5173</v>
      </c>
      <c r="E166" s="381">
        <f>VLOOKUP(B166,'[5]Allocation Factor &amp;Meter Totals'!$A$8:$F$249,6,FALSE)</f>
        <v>11858</v>
      </c>
      <c r="F166" s="21" t="s">
        <v>1589</v>
      </c>
      <c r="G166" s="21" t="s">
        <v>103</v>
      </c>
      <c r="H166" s="404">
        <f>VLOOKUP(B166,'[5]Allocation Factor &amp;Meter Totals'!$A$8:$F$249,6,FALSE)</f>
        <v>11858</v>
      </c>
      <c r="I166" s="405">
        <f>VLOOKUP(B166,'[5]Allocation Factor &amp;Meter Totals'!$A$8:$F$249,5,FALSE)</f>
        <v>5173</v>
      </c>
      <c r="J166" s="406">
        <f>VLOOKUP(B166,'[5]Allocation Factor &amp;Meter Totals'!$A$8:$F$249,3,FALSE)</f>
        <v>2.3187732779421594E-3</v>
      </c>
      <c r="K166" s="407">
        <f>VLOOKUP(B166,'[5]Allocation Factor &amp;Meter Totals'!$A$8:$F$249,6,FALSE)</f>
        <v>11858</v>
      </c>
      <c r="L166" s="406">
        <f>VLOOKUP(B166,'[5]Allocation Factor &amp;Meter Totals'!$A$8:$F$249,4,FALSE)</f>
        <v>2.2913757278422249E-3</v>
      </c>
      <c r="M166" s="407" t="s">
        <v>104</v>
      </c>
      <c r="N166" s="21"/>
      <c r="O166" s="21" t="s">
        <v>103</v>
      </c>
      <c r="P166" s="387">
        <v>0</v>
      </c>
      <c r="Q166" s="387">
        <v>0</v>
      </c>
    </row>
    <row r="167" spans="2:17">
      <c r="B167" s="541" t="s">
        <v>633</v>
      </c>
      <c r="C167" s="381">
        <f>VLOOKUP(B167,'[5]Allocation Factor &amp;Meter Totals'!$A$8:$F$249,6,FALSE)</f>
        <v>31472</v>
      </c>
      <c r="D167" s="381">
        <f>VLOOKUP(B167,'[5]Allocation Factor &amp;Meter Totals'!$A$8:$F$249,5,FALSE)</f>
        <v>8056</v>
      </c>
      <c r="E167" s="381">
        <f>VLOOKUP(B167,'[5]Allocation Factor &amp;Meter Totals'!$A$8:$F$249,6,FALSE)</f>
        <v>31472</v>
      </c>
      <c r="F167" s="21" t="s">
        <v>1589</v>
      </c>
      <c r="G167" s="21" t="s">
        <v>103</v>
      </c>
      <c r="H167" s="404">
        <f>VLOOKUP(B167,'[5]Allocation Factor &amp;Meter Totals'!$A$8:$F$249,6,FALSE)</f>
        <v>31472</v>
      </c>
      <c r="I167" s="405">
        <f>VLOOKUP(B167,'[5]Allocation Factor &amp;Meter Totals'!$A$8:$F$249,5,FALSE)</f>
        <v>8056</v>
      </c>
      <c r="J167" s="406">
        <f>VLOOKUP(B167,'[5]Allocation Factor &amp;Meter Totals'!$A$8:$F$249,3,FALSE)</f>
        <v>3.611064667910697E-3</v>
      </c>
      <c r="K167" s="407">
        <f>VLOOKUP(B167,'[5]Allocation Factor &amp;Meter Totals'!$A$8:$F$249,6,FALSE)</f>
        <v>31472</v>
      </c>
      <c r="L167" s="406">
        <f>VLOOKUP(B167,'[5]Allocation Factor &amp;Meter Totals'!$A$8:$F$249,4,FALSE)</f>
        <v>6.0814789093144288E-3</v>
      </c>
      <c r="M167" s="407" t="s">
        <v>110</v>
      </c>
      <c r="N167" s="21"/>
      <c r="O167" s="21" t="s">
        <v>103</v>
      </c>
      <c r="P167" s="387">
        <v>0</v>
      </c>
      <c r="Q167" s="387">
        <v>0</v>
      </c>
    </row>
    <row r="168" spans="2:17">
      <c r="B168" s="541" t="s">
        <v>634</v>
      </c>
      <c r="C168" s="381">
        <f>VLOOKUP(B168,'[5]Allocation Factor &amp;Meter Totals'!$A$8:$F$249,6,FALSE)</f>
        <v>2159</v>
      </c>
      <c r="D168" s="381">
        <f>VLOOKUP(B168,'[5]Allocation Factor &amp;Meter Totals'!$A$8:$F$249,5,FALSE)</f>
        <v>358</v>
      </c>
      <c r="E168" s="381">
        <f>VLOOKUP(B168,'[5]Allocation Factor &amp;Meter Totals'!$A$8:$F$249,6,FALSE)</f>
        <v>2159</v>
      </c>
      <c r="F168" s="21" t="s">
        <v>1589</v>
      </c>
      <c r="G168" s="21" t="s">
        <v>103</v>
      </c>
      <c r="H168" s="404">
        <f>VLOOKUP(B168,'[5]Allocation Factor &amp;Meter Totals'!$A$8:$F$249,6,FALSE)</f>
        <v>2159</v>
      </c>
      <c r="I168" s="405">
        <f>VLOOKUP(B168,'[5]Allocation Factor &amp;Meter Totals'!$A$8:$F$249,5,FALSE)</f>
        <v>358</v>
      </c>
      <c r="J168" s="406">
        <f>VLOOKUP(B168,'[5]Allocation Factor &amp;Meter Totals'!$A$8:$F$249,3,FALSE)</f>
        <v>1.6047184100198976E-4</v>
      </c>
      <c r="K168" s="407">
        <f>VLOOKUP(B168,'[5]Allocation Factor &amp;Meter Totals'!$A$8:$F$249,6,FALSE)</f>
        <v>2159</v>
      </c>
      <c r="L168" s="406">
        <f>VLOOKUP(B168,'[5]Allocation Factor &amp;Meter Totals'!$A$8:$F$249,4,FALSE)</f>
        <v>4.1719347245837098E-4</v>
      </c>
      <c r="M168" s="407" t="s">
        <v>110</v>
      </c>
      <c r="N168" s="21"/>
      <c r="O168" s="21" t="s">
        <v>103</v>
      </c>
      <c r="P168" s="387">
        <v>0</v>
      </c>
      <c r="Q168" s="387">
        <v>0</v>
      </c>
    </row>
    <row r="169" spans="2:17">
      <c r="B169" s="541" t="s">
        <v>638</v>
      </c>
      <c r="C169" s="381">
        <f>VLOOKUP(B169,'[5]Allocation Factor &amp;Meter Totals'!$A$8:$F$249,6,FALSE)</f>
        <v>29460</v>
      </c>
      <c r="D169" s="381">
        <f>VLOOKUP(B169,'[5]Allocation Factor &amp;Meter Totals'!$A$8:$F$249,5,FALSE)</f>
        <v>14403</v>
      </c>
      <c r="E169" s="381">
        <f>VLOOKUP(B169,'[5]Allocation Factor &amp;Meter Totals'!$A$8:$F$249,6,FALSE)</f>
        <v>29460</v>
      </c>
      <c r="F169" s="21" t="s">
        <v>1589</v>
      </c>
      <c r="G169" s="21" t="s">
        <v>103</v>
      </c>
      <c r="H169" s="404">
        <f>VLOOKUP(B169,'[5]Allocation Factor &amp;Meter Totals'!$A$8:$F$249,6,FALSE)</f>
        <v>29460</v>
      </c>
      <c r="I169" s="405">
        <f>VLOOKUP(B169,'[5]Allocation Factor &amp;Meter Totals'!$A$8:$F$249,5,FALSE)</f>
        <v>14403</v>
      </c>
      <c r="J169" s="406">
        <f>VLOOKUP(B169,'[5]Allocation Factor &amp;Meter Totals'!$A$8:$F$249,3,FALSE)</f>
        <v>6.4560780054515599E-3</v>
      </c>
      <c r="K169" s="407">
        <f>VLOOKUP(B169,'[5]Allocation Factor &amp;Meter Totals'!$A$8:$F$249,6,FALSE)</f>
        <v>29460</v>
      </c>
      <c r="L169" s="406">
        <f>VLOOKUP(B169,'[5]Allocation Factor &amp;Meter Totals'!$A$8:$F$249,4,FALSE)</f>
        <v>5.6926909210855067E-3</v>
      </c>
      <c r="M169" s="407" t="s">
        <v>104</v>
      </c>
      <c r="N169" s="21"/>
      <c r="O169" s="21" t="s">
        <v>103</v>
      </c>
      <c r="P169" s="387">
        <v>0</v>
      </c>
      <c r="Q169" s="387">
        <v>0</v>
      </c>
    </row>
    <row r="170" spans="2:17">
      <c r="B170" s="541" t="s">
        <v>643</v>
      </c>
      <c r="C170" s="381">
        <f>VLOOKUP(B170,'[5]Allocation Factor &amp;Meter Totals'!$A$8:$F$249,6,FALSE)</f>
        <v>25994</v>
      </c>
      <c r="D170" s="381">
        <f>VLOOKUP(B170,'[5]Allocation Factor &amp;Meter Totals'!$A$8:$F$249,5,FALSE)</f>
        <v>3039</v>
      </c>
      <c r="E170" s="381">
        <f>VLOOKUP(B170,'[5]Allocation Factor &amp;Meter Totals'!$A$8:$F$249,6,FALSE)</f>
        <v>25994</v>
      </c>
      <c r="F170" s="21" t="s">
        <v>1589</v>
      </c>
      <c r="G170" s="21" t="s">
        <v>103</v>
      </c>
      <c r="H170" s="404">
        <f>VLOOKUP(B170,'[5]Allocation Factor &amp;Meter Totals'!$A$8:$F$249,6,FALSE)</f>
        <v>25994</v>
      </c>
      <c r="I170" s="405">
        <f>VLOOKUP(B170,'[5]Allocation Factor &amp;Meter Totals'!$A$8:$F$249,5,FALSE)</f>
        <v>3039</v>
      </c>
      <c r="J170" s="406">
        <f>VLOOKUP(B170,'[5]Allocation Factor &amp;Meter Totals'!$A$8:$F$249,3,FALSE)</f>
        <v>1.3622176670532037E-3</v>
      </c>
      <c r="K170" s="407">
        <f>VLOOKUP(B170,'[5]Allocation Factor &amp;Meter Totals'!$A$8:$F$249,6,FALSE)</f>
        <v>25994</v>
      </c>
      <c r="L170" s="406">
        <f>VLOOKUP(B170,'[5]Allocation Factor &amp;Meter Totals'!$A$8:$F$249,4,FALSE)</f>
        <v>5.0229398439476129E-3</v>
      </c>
      <c r="M170" s="407" t="s">
        <v>110</v>
      </c>
      <c r="N170" s="21"/>
      <c r="O170" s="21" t="s">
        <v>103</v>
      </c>
      <c r="P170" s="387">
        <v>0</v>
      </c>
      <c r="Q170" s="387">
        <v>0</v>
      </c>
    </row>
    <row r="171" spans="2:17">
      <c r="B171" s="541" t="s">
        <v>647</v>
      </c>
      <c r="C171" s="381">
        <f>VLOOKUP(B171,'[5]Allocation Factor &amp;Meter Totals'!$A$8:$F$249,6,FALSE)</f>
        <v>32930</v>
      </c>
      <c r="D171" s="381">
        <f>VLOOKUP(B171,'[5]Allocation Factor &amp;Meter Totals'!$A$8:$F$249,5,FALSE)</f>
        <v>17162</v>
      </c>
      <c r="E171" s="381">
        <f>VLOOKUP(B171,'[5]Allocation Factor &amp;Meter Totals'!$A$8:$F$249,6,FALSE)</f>
        <v>32930</v>
      </c>
      <c r="F171" s="21" t="s">
        <v>1589</v>
      </c>
      <c r="G171" s="21" t="s">
        <v>103</v>
      </c>
      <c r="H171" s="404">
        <f>VLOOKUP(B171,'[5]Allocation Factor &amp;Meter Totals'!$A$8:$F$249,6,FALSE)</f>
        <v>32930</v>
      </c>
      <c r="I171" s="405">
        <f>VLOOKUP(B171,'[5]Allocation Factor &amp;Meter Totals'!$A$8:$F$249,5,FALSE)</f>
        <v>17162</v>
      </c>
      <c r="J171" s="406">
        <f>VLOOKUP(B171,'[5]Allocation Factor &amp;Meter Totals'!$A$8:$F$249,3,FALSE)</f>
        <v>7.6927869700451068E-3</v>
      </c>
      <c r="K171" s="407">
        <f>VLOOKUP(B171,'[5]Allocation Factor &amp;Meter Totals'!$A$8:$F$249,6,FALSE)</f>
        <v>32930</v>
      </c>
      <c r="L171" s="406">
        <f>VLOOKUP(B171,'[5]Allocation Factor &amp;Meter Totals'!$A$8:$F$249,4,FALSE)</f>
        <v>6.3632149365697808E-3</v>
      </c>
      <c r="M171" s="407" t="s">
        <v>104</v>
      </c>
      <c r="N171" s="21"/>
      <c r="O171" s="21" t="s">
        <v>103</v>
      </c>
      <c r="P171" s="387">
        <v>0</v>
      </c>
      <c r="Q171" s="387">
        <v>0</v>
      </c>
    </row>
    <row r="172" spans="2:17" ht="14.45" customHeight="1">
      <c r="B172" s="543" t="s">
        <v>1376</v>
      </c>
      <c r="C172" s="388">
        <f>SUM(C140:C171)</f>
        <v>993212</v>
      </c>
      <c r="D172" s="388">
        <f t="shared" ref="D172:E172" si="14">SUM(D140:D171)</f>
        <v>291293</v>
      </c>
      <c r="E172" s="388">
        <f t="shared" si="14"/>
        <v>993212</v>
      </c>
      <c r="F172" s="1100"/>
      <c r="G172" s="1100"/>
      <c r="H172" s="409">
        <f t="shared" ref="H172:L172" si="15">SUM(H140:H171)</f>
        <v>993212</v>
      </c>
      <c r="I172" s="410">
        <f t="shared" si="15"/>
        <v>291293</v>
      </c>
      <c r="J172" s="411">
        <f t="shared" si="15"/>
        <v>0.13057073737707431</v>
      </c>
      <c r="K172" s="412">
        <f t="shared" si="15"/>
        <v>993212</v>
      </c>
      <c r="L172" s="411">
        <f t="shared" si="15"/>
        <v>0.19192291022108551</v>
      </c>
      <c r="M172" s="412"/>
      <c r="N172" s="1100"/>
      <c r="O172" s="1100"/>
      <c r="P172" s="413">
        <v>0</v>
      </c>
      <c r="Q172" s="413">
        <v>0</v>
      </c>
    </row>
    <row r="173" spans="2:17" ht="58.5" customHeight="1">
      <c r="B173" s="541" t="s">
        <v>1620</v>
      </c>
      <c r="C173" s="1162" t="s">
        <v>1621</v>
      </c>
      <c r="D173" s="1162"/>
      <c r="E173" s="1162"/>
      <c r="F173" s="1162"/>
      <c r="G173" s="1162"/>
      <c r="H173" s="1162"/>
      <c r="I173" s="1162"/>
      <c r="J173" s="1162"/>
      <c r="K173" s="1162"/>
      <c r="L173" s="1162"/>
      <c r="M173" s="1162"/>
      <c r="N173" s="1162"/>
      <c r="O173" s="1162"/>
      <c r="P173" s="1162"/>
      <c r="Q173" s="1162"/>
    </row>
    <row r="174" spans="2:17" ht="43.35" customHeight="1">
      <c r="B174" s="541" t="s">
        <v>1622</v>
      </c>
      <c r="C174" s="1162" t="s">
        <v>1623</v>
      </c>
      <c r="D174" s="1162"/>
      <c r="E174" s="1162"/>
      <c r="F174" s="1162"/>
      <c r="G174" s="1162"/>
      <c r="H174" s="1162"/>
      <c r="I174" s="1162"/>
      <c r="J174" s="1162"/>
      <c r="K174" s="1162"/>
      <c r="L174" s="1162"/>
      <c r="M174" s="1162"/>
      <c r="N174" s="1162"/>
      <c r="O174" s="1162"/>
      <c r="P174" s="1162"/>
      <c r="Q174" s="1162"/>
    </row>
    <row r="175" spans="2:17">
      <c r="B175" s="542" t="s">
        <v>658</v>
      </c>
      <c r="C175" s="379"/>
      <c r="D175" s="379"/>
      <c r="E175" s="379"/>
      <c r="F175" s="401"/>
      <c r="G175" s="401"/>
      <c r="H175" s="402"/>
      <c r="I175" s="401"/>
      <c r="J175" s="401"/>
      <c r="K175" s="401"/>
      <c r="L175" s="401"/>
      <c r="M175" s="401"/>
      <c r="N175" s="401"/>
      <c r="O175" s="401"/>
      <c r="P175" s="403"/>
      <c r="Q175" s="403"/>
    </row>
    <row r="176" spans="2:17">
      <c r="B176" s="541" t="s">
        <v>659</v>
      </c>
      <c r="C176" s="381">
        <f>VLOOKUP(B176,'[5]Allocation Factor &amp;Meter Totals'!$A$8:$F$249,6,FALSE)</f>
        <v>17445</v>
      </c>
      <c r="D176" s="381">
        <f>VLOOKUP(B176,'[5]Allocation Factor &amp;Meter Totals'!$A$8:$F$249,5,FALSE)</f>
        <v>3029</v>
      </c>
      <c r="E176" s="381">
        <f>VLOOKUP(B176,'[5]Allocation Factor &amp;Meter Totals'!$A$8:$F$249,6,FALSE)</f>
        <v>17445</v>
      </c>
      <c r="F176" s="21" t="s">
        <v>1589</v>
      </c>
      <c r="G176" s="21" t="s">
        <v>103</v>
      </c>
      <c r="H176" s="404">
        <f>VLOOKUP(B176,'[5]Allocation Factor &amp;Meter Totals'!$A$8:$F$249,6,FALSE)</f>
        <v>17445</v>
      </c>
      <c r="I176" s="405">
        <f>VLOOKUP(B176,'[5]Allocation Factor &amp;Meter Totals'!$A$8:$F$249,5,FALSE)</f>
        <v>3029</v>
      </c>
      <c r="J176" s="406">
        <f>VLOOKUP(B176,'[5]Allocation Factor &amp;Meter Totals'!$A$8:$F$249,3,FALSE)</f>
        <v>1.3577352133939302E-3</v>
      </c>
      <c r="K176" s="407">
        <f>VLOOKUP(B176,'[5]Allocation Factor &amp;Meter Totals'!$A$8:$F$249,6,FALSE)</f>
        <v>17445</v>
      </c>
      <c r="L176" s="406">
        <f>VLOOKUP(B176,'[5]Allocation Factor &amp;Meter Totals'!$A$8:$F$249,4,FALSE)</f>
        <v>3.370977363147884E-3</v>
      </c>
      <c r="M176" s="407" t="s">
        <v>104</v>
      </c>
      <c r="N176" s="21"/>
      <c r="O176" s="21" t="s">
        <v>103</v>
      </c>
      <c r="P176" s="387">
        <v>0</v>
      </c>
      <c r="Q176" s="387">
        <v>0</v>
      </c>
    </row>
    <row r="177" spans="2:17">
      <c r="B177" s="541" t="s">
        <v>664</v>
      </c>
      <c r="C177" s="381">
        <f>VLOOKUP(B177,'[5]Allocation Factor &amp;Meter Totals'!$A$8:$F$249,6,FALSE)</f>
        <v>6166</v>
      </c>
      <c r="D177" s="381">
        <f>VLOOKUP(B177,'[5]Allocation Factor &amp;Meter Totals'!$A$8:$F$249,5,FALSE)</f>
        <v>2861</v>
      </c>
      <c r="E177" s="381">
        <f>VLOOKUP(B177,'[5]Allocation Factor &amp;Meter Totals'!$A$8:$F$249,6,FALSE)</f>
        <v>6166</v>
      </c>
      <c r="F177" s="21" t="s">
        <v>1589</v>
      </c>
      <c r="G177" s="21" t="s">
        <v>103</v>
      </c>
      <c r="H177" s="404">
        <f>VLOOKUP(B177,'[5]Allocation Factor &amp;Meter Totals'!$A$8:$F$249,6,FALSE)</f>
        <v>6166</v>
      </c>
      <c r="I177" s="405">
        <f>VLOOKUP(B177,'[5]Allocation Factor &amp;Meter Totals'!$A$8:$F$249,5,FALSE)</f>
        <v>2861</v>
      </c>
      <c r="J177" s="406">
        <f>VLOOKUP(B177,'[5]Allocation Factor &amp;Meter Totals'!$A$8:$F$249,3,FALSE)</f>
        <v>1.282429991918136E-3</v>
      </c>
      <c r="K177" s="407">
        <f>VLOOKUP(B177,'[5]Allocation Factor &amp;Meter Totals'!$A$8:$F$249,6,FALSE)</f>
        <v>6166</v>
      </c>
      <c r="L177" s="406">
        <f>VLOOKUP(B177,'[5]Allocation Factor &amp;Meter Totals'!$A$8:$F$249,4,FALSE)</f>
        <v>1.1914844609441017E-3</v>
      </c>
      <c r="M177" s="407" t="s">
        <v>104</v>
      </c>
      <c r="N177" s="21"/>
      <c r="O177" s="21" t="s">
        <v>103</v>
      </c>
      <c r="P177" s="387">
        <v>0</v>
      </c>
      <c r="Q177" s="387">
        <v>0</v>
      </c>
    </row>
    <row r="178" spans="2:17">
      <c r="B178" s="541" t="s">
        <v>665</v>
      </c>
      <c r="C178" s="381">
        <f>VLOOKUP(B178,'[5]Allocation Factor &amp;Meter Totals'!$A$8:$F$249,6,FALSE)</f>
        <v>3676</v>
      </c>
      <c r="D178" s="381">
        <f>VLOOKUP(B178,'[5]Allocation Factor &amp;Meter Totals'!$A$8:$F$249,5,FALSE)</f>
        <v>1488</v>
      </c>
      <c r="E178" s="381">
        <f>VLOOKUP(B178,'[5]Allocation Factor &amp;Meter Totals'!$A$8:$F$249,6,FALSE)</f>
        <v>3676</v>
      </c>
      <c r="F178" s="21" t="s">
        <v>1589</v>
      </c>
      <c r="G178" s="21" t="s">
        <v>103</v>
      </c>
      <c r="H178" s="404">
        <f>VLOOKUP(B178,'[5]Allocation Factor &amp;Meter Totals'!$A$8:$F$249,6,FALSE)</f>
        <v>3676</v>
      </c>
      <c r="I178" s="405">
        <f>VLOOKUP(B178,'[5]Allocation Factor &amp;Meter Totals'!$A$8:$F$249,5,FALSE)</f>
        <v>1488</v>
      </c>
      <c r="J178" s="406">
        <f>VLOOKUP(B178,'[5]Allocation Factor &amp;Meter Totals'!$A$8:$F$249,3,FALSE)</f>
        <v>6.669891044998904E-4</v>
      </c>
      <c r="K178" s="407">
        <f>VLOOKUP(B178,'[5]Allocation Factor &amp;Meter Totals'!$A$8:$F$249,6,FALSE)</f>
        <v>3676</v>
      </c>
      <c r="L178" s="406">
        <f>VLOOKUP(B178,'[5]Allocation Factor &amp;Meter Totals'!$A$8:$F$249,4,FALSE)</f>
        <v>7.1033034032282158E-4</v>
      </c>
      <c r="M178" s="407" t="s">
        <v>110</v>
      </c>
      <c r="N178" s="21"/>
      <c r="O178" s="21" t="s">
        <v>103</v>
      </c>
      <c r="P178" s="387">
        <v>0</v>
      </c>
      <c r="Q178" s="387">
        <v>0</v>
      </c>
    </row>
    <row r="179" spans="2:17">
      <c r="B179" s="541" t="s">
        <v>666</v>
      </c>
      <c r="C179" s="381">
        <f>VLOOKUP(B179,'[5]Allocation Factor &amp;Meter Totals'!$A$8:$F$249,6,FALSE)</f>
        <v>4828</v>
      </c>
      <c r="D179" s="381">
        <f>VLOOKUP(B179,'[5]Allocation Factor &amp;Meter Totals'!$A$8:$F$249,5,FALSE)</f>
        <v>247</v>
      </c>
      <c r="E179" s="381">
        <f>VLOOKUP(B179,'[5]Allocation Factor &amp;Meter Totals'!$A$8:$F$249,6,FALSE)</f>
        <v>4828</v>
      </c>
      <c r="F179" s="21" t="s">
        <v>1589</v>
      </c>
      <c r="G179" s="21" t="s">
        <v>103</v>
      </c>
      <c r="H179" s="404">
        <f>VLOOKUP(B179,'[5]Allocation Factor &amp;Meter Totals'!$A$8:$F$249,6,FALSE)</f>
        <v>4828</v>
      </c>
      <c r="I179" s="405">
        <f>VLOOKUP(B179,'[5]Allocation Factor &amp;Meter Totals'!$A$8:$F$249,5,FALSE)</f>
        <v>247</v>
      </c>
      <c r="J179" s="406">
        <f>VLOOKUP(B179,'[5]Allocation Factor &amp;Meter Totals'!$A$8:$F$249,3,FALSE)</f>
        <v>1.1071660538405438E-4</v>
      </c>
      <c r="K179" s="407">
        <f>VLOOKUP(B179,'[5]Allocation Factor &amp;Meter Totals'!$A$8:$F$249,6,FALSE)</f>
        <v>4828</v>
      </c>
      <c r="L179" s="406">
        <f>VLOOKUP(B179,'[5]Allocation Factor &amp;Meter Totals'!$A$8:$F$249,4,FALSE)</f>
        <v>9.3293658408013667E-4</v>
      </c>
      <c r="M179" s="407" t="s">
        <v>104</v>
      </c>
      <c r="N179" s="21"/>
      <c r="O179" s="21" t="s">
        <v>103</v>
      </c>
      <c r="P179" s="387">
        <v>0</v>
      </c>
      <c r="Q179" s="387">
        <v>0</v>
      </c>
    </row>
    <row r="180" spans="2:17">
      <c r="B180" s="541" t="s">
        <v>670</v>
      </c>
      <c r="C180" s="381">
        <f>VLOOKUP(B180,'[5]Allocation Factor &amp;Meter Totals'!$A$8:$F$249,6,FALSE)</f>
        <v>24519</v>
      </c>
      <c r="D180" s="381">
        <f>VLOOKUP(B180,'[5]Allocation Factor &amp;Meter Totals'!$A$8:$F$249,5,FALSE)</f>
        <v>3587</v>
      </c>
      <c r="E180" s="381">
        <f>VLOOKUP(B180,'[5]Allocation Factor &amp;Meter Totals'!$A$8:$F$249,6,FALSE)</f>
        <v>24519</v>
      </c>
      <c r="F180" s="21" t="s">
        <v>1589</v>
      </c>
      <c r="G180" s="21" t="s">
        <v>103</v>
      </c>
      <c r="H180" s="404">
        <f>VLOOKUP(B180,'[5]Allocation Factor &amp;Meter Totals'!$A$8:$F$249,6,FALSE)</f>
        <v>24519</v>
      </c>
      <c r="I180" s="405">
        <f>VLOOKUP(B180,'[5]Allocation Factor &amp;Meter Totals'!$A$8:$F$249,5,FALSE)</f>
        <v>3587</v>
      </c>
      <c r="J180" s="406">
        <f>VLOOKUP(B180,'[5]Allocation Factor &amp;Meter Totals'!$A$8:$F$249,3,FALSE)</f>
        <v>1.607856127581389E-3</v>
      </c>
      <c r="K180" s="407">
        <f>VLOOKUP(B180,'[5]Allocation Factor &amp;Meter Totals'!$A$8:$F$249,6,FALSE)</f>
        <v>24519</v>
      </c>
      <c r="L180" s="406">
        <f>VLOOKUP(B180,'[5]Allocation Factor &amp;Meter Totals'!$A$8:$F$249,4,FALSE)</f>
        <v>4.737918828720147E-3</v>
      </c>
      <c r="M180" s="407" t="s">
        <v>110</v>
      </c>
      <c r="N180" s="21"/>
      <c r="O180" s="21" t="s">
        <v>103</v>
      </c>
      <c r="P180" s="387">
        <v>0</v>
      </c>
      <c r="Q180" s="387">
        <v>0</v>
      </c>
    </row>
    <row r="181" spans="2:17">
      <c r="B181" s="541" t="s">
        <v>678</v>
      </c>
      <c r="C181" s="381">
        <f>VLOOKUP(B181,'[5]Allocation Factor &amp;Meter Totals'!$A$8:$F$249,6,FALSE)</f>
        <v>53129</v>
      </c>
      <c r="D181" s="381">
        <f>VLOOKUP(B181,'[5]Allocation Factor &amp;Meter Totals'!$A$8:$F$249,5,FALSE)</f>
        <v>8619</v>
      </c>
      <c r="E181" s="381">
        <f>VLOOKUP(B181,'[5]Allocation Factor &amp;Meter Totals'!$A$8:$F$249,6,FALSE)</f>
        <v>53129</v>
      </c>
      <c r="F181" s="21" t="s">
        <v>1589</v>
      </c>
      <c r="G181" s="21" t="s">
        <v>103</v>
      </c>
      <c r="H181" s="404">
        <f>VLOOKUP(B181,'[5]Allocation Factor &amp;Meter Totals'!$A$8:$F$249,6,FALSE)</f>
        <v>53129</v>
      </c>
      <c r="I181" s="405">
        <f>VLOOKUP(B181,'[5]Allocation Factor &amp;Meter Totals'!$A$8:$F$249,5,FALSE)</f>
        <v>8619</v>
      </c>
      <c r="J181" s="406">
        <f>VLOOKUP(B181,'[5]Allocation Factor &amp;Meter Totals'!$A$8:$F$249,3,FALSE)</f>
        <v>3.8634268089277925E-3</v>
      </c>
      <c r="K181" s="407">
        <f>VLOOKUP(B181,'[5]Allocation Factor &amp;Meter Totals'!$A$8:$F$249,6,FALSE)</f>
        <v>53129</v>
      </c>
      <c r="L181" s="406">
        <f>VLOOKUP(B181,'[5]Allocation Factor &amp;Meter Totals'!$A$8:$F$249,4,FALSE)</f>
        <v>1.0266360351199997E-2</v>
      </c>
      <c r="M181" s="407" t="s">
        <v>104</v>
      </c>
      <c r="N181" s="21"/>
      <c r="O181" s="21" t="s">
        <v>103</v>
      </c>
      <c r="P181" s="387">
        <v>0</v>
      </c>
      <c r="Q181" s="387">
        <v>0</v>
      </c>
    </row>
    <row r="182" spans="2:17">
      <c r="B182" s="541" t="s">
        <v>679</v>
      </c>
      <c r="C182" s="381">
        <f>VLOOKUP(B182,'[5]Allocation Factor &amp;Meter Totals'!$A$8:$F$249,6,FALSE)</f>
        <v>11835</v>
      </c>
      <c r="D182" s="381">
        <f>VLOOKUP(B182,'[5]Allocation Factor &amp;Meter Totals'!$A$8:$F$249,5,FALSE)</f>
        <v>2364</v>
      </c>
      <c r="E182" s="381">
        <f>VLOOKUP(B182,'[5]Allocation Factor &amp;Meter Totals'!$A$8:$F$249,6,FALSE)</f>
        <v>11835</v>
      </c>
      <c r="F182" s="21" t="s">
        <v>1589</v>
      </c>
      <c r="G182" s="21" t="s">
        <v>103</v>
      </c>
      <c r="H182" s="404">
        <f>VLOOKUP(B182,'[5]Allocation Factor &amp;Meter Totals'!$A$8:$F$249,6,FALSE)</f>
        <v>11835</v>
      </c>
      <c r="I182" s="405">
        <f>VLOOKUP(B182,'[5]Allocation Factor &amp;Meter Totals'!$A$8:$F$249,5,FALSE)</f>
        <v>2364</v>
      </c>
      <c r="J182" s="406">
        <f>VLOOKUP(B182,'[5]Allocation Factor &amp;Meter Totals'!$A$8:$F$249,3,FALSE)</f>
        <v>1.0596520450522453E-3</v>
      </c>
      <c r="K182" s="407">
        <f>VLOOKUP(B182,'[5]Allocation Factor &amp;Meter Totals'!$A$8:$F$249,6,FALSE)</f>
        <v>11835</v>
      </c>
      <c r="L182" s="406">
        <f>VLOOKUP(B182,'[5]Allocation Factor &amp;Meter Totals'!$A$8:$F$249,4,FALSE)</f>
        <v>2.2869313323505423E-3</v>
      </c>
      <c r="M182" s="407" t="s">
        <v>110</v>
      </c>
      <c r="N182" s="21"/>
      <c r="O182" s="21" t="s">
        <v>103</v>
      </c>
      <c r="P182" s="387">
        <v>0</v>
      </c>
      <c r="Q182" s="387">
        <v>0</v>
      </c>
    </row>
    <row r="183" spans="2:17" ht="43.5">
      <c r="B183" s="541" t="s">
        <v>684</v>
      </c>
      <c r="C183" s="381">
        <f>VLOOKUP(B183,'[5]Allocation Factor &amp;Meter Totals'!$A$8:$F$249,6,FALSE)</f>
        <v>16698</v>
      </c>
      <c r="D183" s="381">
        <f>VLOOKUP(B183,'[5]Allocation Factor &amp;Meter Totals'!$A$8:$F$249,5,FALSE)</f>
        <v>323</v>
      </c>
      <c r="E183" s="381">
        <f>VLOOKUP(B183,'[5]Allocation Factor &amp;Meter Totals'!$A$8:$F$249,6,FALSE)</f>
        <v>16698</v>
      </c>
      <c r="F183" s="21" t="s">
        <v>1589</v>
      </c>
      <c r="G183" s="21" t="s">
        <v>103</v>
      </c>
      <c r="H183" s="404">
        <f>VLOOKUP(B183,'[5]Allocation Factor &amp;Meter Totals'!$A$8:$F$249,6,FALSE)</f>
        <v>16698</v>
      </c>
      <c r="I183" s="405">
        <f>VLOOKUP(B183,'[5]Allocation Factor &amp;Meter Totals'!$A$8:$F$249,5,FALSE)</f>
        <v>323</v>
      </c>
      <c r="J183" s="406">
        <f>VLOOKUP(B183,'[5]Allocation Factor &amp;Meter Totals'!$A$8:$F$249,3,FALSE)</f>
        <v>1.4478325319453267E-4</v>
      </c>
      <c r="K183" s="407">
        <f>VLOOKUP(B183,'[5]Allocation Factor &amp;Meter Totals'!$A$8:$F$249,6,FALSE)</f>
        <v>16698</v>
      </c>
      <c r="L183" s="406">
        <f>VLOOKUP(B183,'[5]Allocation Factor &amp;Meter Totals'!$A$8:$F$249,4,FALSE)</f>
        <v>3.2266311269615001E-3</v>
      </c>
      <c r="M183" s="407" t="s">
        <v>104</v>
      </c>
      <c r="N183" s="21"/>
      <c r="O183" s="15" t="s">
        <v>1593</v>
      </c>
      <c r="P183" s="387">
        <v>0</v>
      </c>
      <c r="Q183" s="387">
        <v>0</v>
      </c>
    </row>
    <row r="184" spans="2:17">
      <c r="B184" s="541" t="s">
        <v>685</v>
      </c>
      <c r="C184" s="381">
        <f>VLOOKUP(B184,'[5]Allocation Factor &amp;Meter Totals'!$A$8:$F$249,6,FALSE)</f>
        <v>34090</v>
      </c>
      <c r="D184" s="381">
        <f>VLOOKUP(B184,'[5]Allocation Factor &amp;Meter Totals'!$A$8:$F$249,5,FALSE)</f>
        <v>5442</v>
      </c>
      <c r="E184" s="381">
        <f>VLOOKUP(B184,'[5]Allocation Factor &amp;Meter Totals'!$A$8:$F$249,6,FALSE)</f>
        <v>34090</v>
      </c>
      <c r="F184" s="21" t="s">
        <v>1589</v>
      </c>
      <c r="G184" s="21" t="s">
        <v>103</v>
      </c>
      <c r="H184" s="404">
        <f>VLOOKUP(B184,'[5]Allocation Factor &amp;Meter Totals'!$A$8:$F$249,6,FALSE)</f>
        <v>34090</v>
      </c>
      <c r="I184" s="405">
        <f>VLOOKUP(B184,'[5]Allocation Factor &amp;Meter Totals'!$A$8:$F$249,5,FALSE)</f>
        <v>5442</v>
      </c>
      <c r="J184" s="406">
        <f>VLOOKUP(B184,'[5]Allocation Factor &amp;Meter Totals'!$A$8:$F$249,3,FALSE)</f>
        <v>2.4393512813766153E-3</v>
      </c>
      <c r="K184" s="407">
        <f>VLOOKUP(B184,'[5]Allocation Factor &amp;Meter Totals'!$A$8:$F$249,6,FALSE)</f>
        <v>34090</v>
      </c>
      <c r="L184" s="406">
        <f>VLOOKUP(B184,'[5]Allocation Factor &amp;Meter Totals'!$A$8:$F$249,4,FALSE)</f>
        <v>6.5873670570198552E-3</v>
      </c>
      <c r="M184" s="407" t="s">
        <v>104</v>
      </c>
      <c r="N184" s="21"/>
      <c r="O184" s="21" t="s">
        <v>103</v>
      </c>
      <c r="P184" s="387">
        <v>0</v>
      </c>
      <c r="Q184" s="387">
        <v>0</v>
      </c>
    </row>
    <row r="185" spans="2:17">
      <c r="B185" s="541" t="s">
        <v>688</v>
      </c>
      <c r="C185" s="381">
        <f>VLOOKUP(B185,'[5]Allocation Factor &amp;Meter Totals'!$A$8:$F$249,6,FALSE)</f>
        <v>5364</v>
      </c>
      <c r="D185" s="381">
        <f>VLOOKUP(B185,'[5]Allocation Factor &amp;Meter Totals'!$A$8:$F$249,5,FALSE)</f>
        <v>147</v>
      </c>
      <c r="E185" s="381">
        <f>VLOOKUP(B185,'[5]Allocation Factor &amp;Meter Totals'!$A$8:$F$249,6,FALSE)</f>
        <v>5364</v>
      </c>
      <c r="F185" s="21" t="s">
        <v>1589</v>
      </c>
      <c r="G185" s="21" t="s">
        <v>103</v>
      </c>
      <c r="H185" s="404">
        <f>VLOOKUP(B185,'[5]Allocation Factor &amp;Meter Totals'!$A$8:$F$249,6,FALSE)</f>
        <v>5364</v>
      </c>
      <c r="I185" s="405">
        <f>VLOOKUP(B185,'[5]Allocation Factor &amp;Meter Totals'!$A$8:$F$249,5,FALSE)</f>
        <v>147</v>
      </c>
      <c r="J185" s="406">
        <f>VLOOKUP(B185,'[5]Allocation Factor &amp;Meter Totals'!$A$8:$F$249,3,FALSE)</f>
        <v>6.5892068791319821E-5</v>
      </c>
      <c r="K185" s="407">
        <f>VLOOKUP(B185,'[5]Allocation Factor &amp;Meter Totals'!$A$8:$F$249,6,FALSE)</f>
        <v>5364</v>
      </c>
      <c r="L185" s="406">
        <f>VLOOKUP(B185,'[5]Allocation Factor &amp;Meter Totals'!$A$8:$F$249,4,FALSE)</f>
        <v>1.0365103224949986E-3</v>
      </c>
      <c r="M185" s="407" t="s">
        <v>110</v>
      </c>
      <c r="N185" s="21"/>
      <c r="O185" s="21" t="s">
        <v>103</v>
      </c>
      <c r="P185" s="387">
        <v>0</v>
      </c>
      <c r="Q185" s="387">
        <v>0</v>
      </c>
    </row>
    <row r="186" spans="2:17" ht="43.5">
      <c r="B186" s="541" t="s">
        <v>692</v>
      </c>
      <c r="C186" s="381">
        <f>VLOOKUP(B186,'[5]Allocation Factor &amp;Meter Totals'!$A$8:$F$249,6,FALSE)</f>
        <v>29038</v>
      </c>
      <c r="D186" s="381">
        <f>VLOOKUP(B186,'[5]Allocation Factor &amp;Meter Totals'!$A$8:$F$249,5,FALSE)</f>
        <v>10709</v>
      </c>
      <c r="E186" s="381">
        <f>VLOOKUP(B186,'[5]Allocation Factor &amp;Meter Totals'!$A$8:$F$249,6,FALSE)</f>
        <v>29038</v>
      </c>
      <c r="F186" s="21" t="s">
        <v>1589</v>
      </c>
      <c r="G186" s="21" t="s">
        <v>103</v>
      </c>
      <c r="H186" s="404">
        <f>VLOOKUP(B186,'[5]Allocation Factor &amp;Meter Totals'!$A$8:$F$249,6,FALSE)</f>
        <v>29038</v>
      </c>
      <c r="I186" s="405">
        <f>VLOOKUP(B186,'[5]Allocation Factor &amp;Meter Totals'!$A$8:$F$249,5,FALSE)</f>
        <v>10709</v>
      </c>
      <c r="J186" s="406">
        <f>VLOOKUP(B186,'[5]Allocation Factor &amp;Meter Totals'!$A$8:$F$249,3,FALSE)</f>
        <v>4.8002596237159455E-3</v>
      </c>
      <c r="K186" s="407">
        <f>VLOOKUP(B186,'[5]Allocation Factor &amp;Meter Totals'!$A$8:$F$249,6,FALSE)</f>
        <v>29038</v>
      </c>
      <c r="L186" s="406">
        <f>VLOOKUP(B186,'[5]Allocation Factor &amp;Meter Totals'!$A$8:$F$249,4,FALSE)</f>
        <v>5.6111459255424627E-3</v>
      </c>
      <c r="M186" s="407" t="s">
        <v>104</v>
      </c>
      <c r="N186" s="21"/>
      <c r="O186" s="15" t="s">
        <v>1593</v>
      </c>
      <c r="P186" s="387">
        <v>0</v>
      </c>
      <c r="Q186" s="387">
        <v>0</v>
      </c>
    </row>
    <row r="187" spans="2:17">
      <c r="B187" s="541" t="s">
        <v>693</v>
      </c>
      <c r="C187" s="381">
        <f>VLOOKUP(B187,'[5]Allocation Factor &amp;Meter Totals'!$A$8:$F$249,6,FALSE)</f>
        <v>22513</v>
      </c>
      <c r="D187" s="381">
        <f>VLOOKUP(B187,'[5]Allocation Factor &amp;Meter Totals'!$A$8:$F$249,5,FALSE)</f>
        <v>2665</v>
      </c>
      <c r="E187" s="381">
        <f>VLOOKUP(B187,'[5]Allocation Factor &amp;Meter Totals'!$A$8:$F$249,6,FALSE)</f>
        <v>22513</v>
      </c>
      <c r="F187" s="21" t="s">
        <v>1589</v>
      </c>
      <c r="G187" s="21" t="s">
        <v>103</v>
      </c>
      <c r="H187" s="404">
        <f>VLOOKUP(B187,'[5]Allocation Factor &amp;Meter Totals'!$A$8:$F$249,6,FALSE)</f>
        <v>22513</v>
      </c>
      <c r="I187" s="405">
        <f>VLOOKUP(B187,'[5]Allocation Factor &amp;Meter Totals'!$A$8:$F$249,5,FALSE)</f>
        <v>2665</v>
      </c>
      <c r="J187" s="406">
        <f>VLOOKUP(B187,'[5]Allocation Factor &amp;Meter Totals'!$A$8:$F$249,3,FALSE)</f>
        <v>1.1945739001963762E-3</v>
      </c>
      <c r="K187" s="407">
        <f>VLOOKUP(B187,'[5]Allocation Factor &amp;Meter Totals'!$A$8:$F$249,6,FALSE)</f>
        <v>22513</v>
      </c>
      <c r="L187" s="406">
        <f>VLOOKUP(B187,'[5]Allocation Factor &amp;Meter Totals'!$A$8:$F$249,4,FALSE)</f>
        <v>4.3502902480107948E-3</v>
      </c>
      <c r="M187" s="407" t="s">
        <v>104</v>
      </c>
      <c r="N187" s="21"/>
      <c r="O187" s="21" t="s">
        <v>103</v>
      </c>
      <c r="P187" s="387">
        <v>0</v>
      </c>
      <c r="Q187" s="387">
        <v>0</v>
      </c>
    </row>
    <row r="188" spans="2:17">
      <c r="B188" s="541" t="s">
        <v>697</v>
      </c>
      <c r="C188" s="440">
        <f>VLOOKUP(B188,'[5]Allocation Factor &amp;Meter Totals'!$A$8:$F$249,6,FALSE)</f>
        <v>29763</v>
      </c>
      <c r="D188" s="440">
        <f>VLOOKUP(B188,'[5]Allocation Factor &amp;Meter Totals'!$A$8:$F$249,5,FALSE)</f>
        <v>3995</v>
      </c>
      <c r="E188" s="440">
        <f>VLOOKUP(B188,'[5]Allocation Factor &amp;Meter Totals'!$A$8:$F$249,6,FALSE)</f>
        <v>29763</v>
      </c>
      <c r="F188" s="441" t="s">
        <v>1589</v>
      </c>
      <c r="G188" s="441" t="s">
        <v>103</v>
      </c>
      <c r="H188" s="442">
        <f>VLOOKUP(B188,'[5]Allocation Factor &amp;Meter Totals'!$A$8:$F$249,6,FALSE)</f>
        <v>29763</v>
      </c>
      <c r="I188" s="443">
        <f>VLOOKUP(B188,'[5]Allocation Factor &amp;Meter Totals'!$A$8:$F$249,5,FALSE)</f>
        <v>3995</v>
      </c>
      <c r="J188" s="444">
        <f>VLOOKUP(B188,'[5]Allocation Factor &amp;Meter Totals'!$A$8:$F$249,3,FALSE)</f>
        <v>1.7907402368797462E-3</v>
      </c>
      <c r="K188" s="445">
        <f>VLOOKUP(B188,'[5]Allocation Factor &amp;Meter Totals'!$A$8:$F$249,6,FALSE)</f>
        <v>29763</v>
      </c>
      <c r="L188" s="444">
        <f>VLOOKUP(B188,'[5]Allocation Factor &amp;Meter Totals'!$A$8:$F$249,4,FALSE)</f>
        <v>5.7512410008237593E-3</v>
      </c>
      <c r="M188" s="445" t="s">
        <v>110</v>
      </c>
      <c r="N188" s="441"/>
      <c r="O188" s="446" t="s">
        <v>1609</v>
      </c>
      <c r="P188" s="447">
        <v>0</v>
      </c>
      <c r="Q188" s="447">
        <v>0</v>
      </c>
    </row>
    <row r="189" spans="2:17">
      <c r="B189" s="541" t="s">
        <v>698</v>
      </c>
      <c r="C189" s="381">
        <f>VLOOKUP(B189,'[5]Allocation Factor &amp;Meter Totals'!$A$8:$F$249,6,FALSE)</f>
        <v>53990</v>
      </c>
      <c r="D189" s="381">
        <f>VLOOKUP(B189,'[5]Allocation Factor &amp;Meter Totals'!$A$8:$F$249,5,FALSE)</f>
        <v>5704</v>
      </c>
      <c r="E189" s="381">
        <f>VLOOKUP(B189,'[5]Allocation Factor &amp;Meter Totals'!$A$8:$F$249,6,FALSE)</f>
        <v>53990</v>
      </c>
      <c r="F189" s="21" t="s">
        <v>1589</v>
      </c>
      <c r="G189" s="21" t="s">
        <v>103</v>
      </c>
      <c r="H189" s="404">
        <f>VLOOKUP(B189,'[5]Allocation Factor &amp;Meter Totals'!$A$8:$F$249,6,FALSE)</f>
        <v>53990</v>
      </c>
      <c r="I189" s="405">
        <f>VLOOKUP(B189,'[5]Allocation Factor &amp;Meter Totals'!$A$8:$F$249,5,FALSE)</f>
        <v>5704</v>
      </c>
      <c r="J189" s="406">
        <f>VLOOKUP(B189,'[5]Allocation Factor &amp;Meter Totals'!$A$8:$F$249,3,FALSE)</f>
        <v>2.5567915672495799E-3</v>
      </c>
      <c r="K189" s="407">
        <f>VLOOKUP(B189,'[5]Allocation Factor &amp;Meter Totals'!$A$8:$F$249,6,FALSE)</f>
        <v>53990</v>
      </c>
      <c r="L189" s="406">
        <f>VLOOKUP(B189,'[5]Allocation Factor &amp;Meter Totals'!$A$8:$F$249,4,FALSE)</f>
        <v>1.0432735330258198E-2</v>
      </c>
      <c r="M189" s="407" t="s">
        <v>104</v>
      </c>
      <c r="N189" s="21"/>
      <c r="O189" s="21" t="s">
        <v>103</v>
      </c>
      <c r="P189" s="387">
        <v>0</v>
      </c>
      <c r="Q189" s="387">
        <v>0</v>
      </c>
    </row>
    <row r="190" spans="2:17">
      <c r="B190" s="541" t="s">
        <v>704</v>
      </c>
      <c r="C190" s="381">
        <f>VLOOKUP(B190,'[5]Allocation Factor &amp;Meter Totals'!$A$8:$F$249,6,FALSE)</f>
        <v>39277</v>
      </c>
      <c r="D190" s="381">
        <f>VLOOKUP(B190,'[5]Allocation Factor &amp;Meter Totals'!$A$8:$F$249,5,FALSE)</f>
        <v>1030</v>
      </c>
      <c r="E190" s="381">
        <f>VLOOKUP(B190,'[5]Allocation Factor &amp;Meter Totals'!$A$8:$F$249,6,FALSE)</f>
        <v>39277</v>
      </c>
      <c r="F190" s="21" t="s">
        <v>1589</v>
      </c>
      <c r="G190" s="21" t="s">
        <v>103</v>
      </c>
      <c r="H190" s="404">
        <f>VLOOKUP(B190,'[5]Allocation Factor &amp;Meter Totals'!$A$8:$F$249,6,FALSE)</f>
        <v>39277</v>
      </c>
      <c r="I190" s="405">
        <f>VLOOKUP(B190,'[5]Allocation Factor &amp;Meter Totals'!$A$8:$F$249,5,FALSE)</f>
        <v>1030</v>
      </c>
      <c r="J190" s="406">
        <f>VLOOKUP(B190,'[5]Allocation Factor &amp;Meter Totals'!$A$8:$F$249,3,FALSE)</f>
        <v>4.6169272690516609E-4</v>
      </c>
      <c r="K190" s="407">
        <f>VLOOKUP(B190,'[5]Allocation Factor &amp;Meter Totals'!$A$8:$F$249,6,FALSE)</f>
        <v>39277</v>
      </c>
      <c r="L190" s="406">
        <f>VLOOKUP(B190,'[5]Allocation Factor &amp;Meter Totals'!$A$8:$F$249,4,FALSE)</f>
        <v>7.5896748576875575E-3</v>
      </c>
      <c r="M190" s="407" t="s">
        <v>110</v>
      </c>
      <c r="N190" s="21"/>
      <c r="O190" s="21" t="s">
        <v>103</v>
      </c>
      <c r="P190" s="387">
        <v>0</v>
      </c>
      <c r="Q190" s="387">
        <v>0</v>
      </c>
    </row>
    <row r="191" spans="2:17">
      <c r="B191" s="541" t="s">
        <v>708</v>
      </c>
      <c r="C191" s="381">
        <f>VLOOKUP(B191,'[5]Allocation Factor &amp;Meter Totals'!$A$8:$F$249,6,FALSE)</f>
        <v>8604</v>
      </c>
      <c r="D191" s="381">
        <f>VLOOKUP(B191,'[5]Allocation Factor &amp;Meter Totals'!$A$8:$F$249,5,FALSE)</f>
        <v>3510</v>
      </c>
      <c r="E191" s="381">
        <f>VLOOKUP(B191,'[5]Allocation Factor &amp;Meter Totals'!$A$8:$F$249,6,FALSE)</f>
        <v>8604</v>
      </c>
      <c r="F191" s="21" t="s">
        <v>1589</v>
      </c>
      <c r="G191" s="21" t="s">
        <v>103</v>
      </c>
      <c r="H191" s="404">
        <f>VLOOKUP(B191,'[5]Allocation Factor &amp;Meter Totals'!$A$8:$F$249,6,FALSE)</f>
        <v>8604</v>
      </c>
      <c r="I191" s="405">
        <f>VLOOKUP(B191,'[5]Allocation Factor &amp;Meter Totals'!$A$8:$F$249,5,FALSE)</f>
        <v>3510</v>
      </c>
      <c r="J191" s="406">
        <f>VLOOKUP(B191,'[5]Allocation Factor &amp;Meter Totals'!$A$8:$F$249,3,FALSE)</f>
        <v>1.5733412344049835E-3</v>
      </c>
      <c r="K191" s="407">
        <f>VLOOKUP(B191,'[5]Allocation Factor &amp;Meter Totals'!$A$8:$F$249,6,FALSE)</f>
        <v>8604</v>
      </c>
      <c r="L191" s="406">
        <f>VLOOKUP(B191,'[5]Allocation Factor &amp;Meter Totals'!$A$8:$F$249,4,FALSE)</f>
        <v>1.6625903830624475E-3</v>
      </c>
      <c r="M191" s="407" t="s">
        <v>110</v>
      </c>
      <c r="N191" s="21"/>
      <c r="O191" s="21" t="s">
        <v>103</v>
      </c>
      <c r="P191" s="387">
        <v>0</v>
      </c>
      <c r="Q191" s="387">
        <v>0</v>
      </c>
    </row>
    <row r="192" spans="2:17">
      <c r="B192" s="541" t="s">
        <v>709</v>
      </c>
      <c r="C192" s="381">
        <f>VLOOKUP(B192,'[5]Allocation Factor &amp;Meter Totals'!$A$8:$F$249,6,FALSE)</f>
        <v>41925</v>
      </c>
      <c r="D192" s="381">
        <f>VLOOKUP(B192,'[5]Allocation Factor &amp;Meter Totals'!$A$8:$F$249,5,FALSE)</f>
        <v>3786</v>
      </c>
      <c r="E192" s="381">
        <f>VLOOKUP(B192,'[5]Allocation Factor &amp;Meter Totals'!$A$8:$F$249,6,FALSE)</f>
        <v>41925</v>
      </c>
      <c r="F192" s="21" t="s">
        <v>1589</v>
      </c>
      <c r="G192" s="21" t="s">
        <v>103</v>
      </c>
      <c r="H192" s="404">
        <f>VLOOKUP(B192,'[5]Allocation Factor &amp;Meter Totals'!$A$8:$F$249,6,FALSE)</f>
        <v>41925</v>
      </c>
      <c r="I192" s="405">
        <f>VLOOKUP(B192,'[5]Allocation Factor &amp;Meter Totals'!$A$8:$F$249,5,FALSE)</f>
        <v>3786</v>
      </c>
      <c r="J192" s="406">
        <f>VLOOKUP(B192,'[5]Allocation Factor &amp;Meter Totals'!$A$8:$F$249,3,FALSE)</f>
        <v>1.6970569554009308E-3</v>
      </c>
      <c r="K192" s="407">
        <f>VLOOKUP(B192,'[5]Allocation Factor &amp;Meter Totals'!$A$8:$F$249,6,FALSE)</f>
        <v>41925</v>
      </c>
      <c r="L192" s="406">
        <f>VLOOKUP(B192,'[5]Allocation Factor &amp;Meter Totals'!$A$8:$F$249,4,FALSE)</f>
        <v>8.1013600429908315E-3</v>
      </c>
      <c r="M192" s="407" t="s">
        <v>110</v>
      </c>
      <c r="N192" s="21"/>
      <c r="O192" s="21" t="s">
        <v>103</v>
      </c>
      <c r="P192" s="387">
        <v>0</v>
      </c>
      <c r="Q192" s="387">
        <v>0</v>
      </c>
    </row>
    <row r="193" spans="2:17">
      <c r="B193" s="541" t="s">
        <v>710</v>
      </c>
      <c r="C193" s="381">
        <f>VLOOKUP(B193,'[5]Allocation Factor &amp;Meter Totals'!$A$8:$F$249,6,FALSE)</f>
        <v>38731</v>
      </c>
      <c r="D193" s="381">
        <f>VLOOKUP(B193,'[5]Allocation Factor &amp;Meter Totals'!$A$8:$F$249,5,FALSE)</f>
        <v>5587</v>
      </c>
      <c r="E193" s="381">
        <f>VLOOKUP(B193,'[5]Allocation Factor &amp;Meter Totals'!$A$8:$F$249,6,FALSE)</f>
        <v>38731</v>
      </c>
      <c r="F193" s="21" t="s">
        <v>1589</v>
      </c>
      <c r="G193" s="21" t="s">
        <v>103</v>
      </c>
      <c r="H193" s="404">
        <f>VLOOKUP(B193,'[5]Allocation Factor &amp;Meter Totals'!$A$8:$F$249,6,FALSE)</f>
        <v>38731</v>
      </c>
      <c r="I193" s="405">
        <f>VLOOKUP(B193,'[5]Allocation Factor &amp;Meter Totals'!$A$8:$F$249,5,FALSE)</f>
        <v>5587</v>
      </c>
      <c r="J193" s="406">
        <f>VLOOKUP(B193,'[5]Allocation Factor &amp;Meter Totals'!$A$8:$F$249,3,FALSE)</f>
        <v>2.5043468594360806E-3</v>
      </c>
      <c r="K193" s="407">
        <f>VLOOKUP(B193,'[5]Allocation Factor &amp;Meter Totals'!$A$8:$F$249,6,FALSE)</f>
        <v>38731</v>
      </c>
      <c r="L193" s="406">
        <f>VLOOKUP(B193,'[5]Allocation Factor &amp;Meter Totals'!$A$8:$F$249,4,FALSE)</f>
        <v>7.4841687734067469E-3</v>
      </c>
      <c r="M193" s="407" t="s">
        <v>110</v>
      </c>
      <c r="N193" s="21"/>
      <c r="O193" s="21" t="s">
        <v>103</v>
      </c>
      <c r="P193" s="387">
        <v>0</v>
      </c>
      <c r="Q193" s="387">
        <v>0</v>
      </c>
    </row>
    <row r="194" spans="2:17">
      <c r="B194" s="541" t="s">
        <v>715</v>
      </c>
      <c r="C194" s="381">
        <f>VLOOKUP(B194,'[5]Allocation Factor &amp;Meter Totals'!$A$8:$F$249,6,FALSE)</f>
        <v>20753</v>
      </c>
      <c r="D194" s="381">
        <f>VLOOKUP(B194,'[5]Allocation Factor &amp;Meter Totals'!$A$8:$F$249,5,FALSE)</f>
        <v>2682</v>
      </c>
      <c r="E194" s="381">
        <f>VLOOKUP(B194,'[5]Allocation Factor &amp;Meter Totals'!$A$8:$F$249,6,FALSE)</f>
        <v>20753</v>
      </c>
      <c r="F194" s="21" t="s">
        <v>1589</v>
      </c>
      <c r="G194" s="21" t="s">
        <v>103</v>
      </c>
      <c r="H194" s="404">
        <f>VLOOKUP(B194,'[5]Allocation Factor &amp;Meter Totals'!$A$8:$F$249,6,FALSE)</f>
        <v>20753</v>
      </c>
      <c r="I194" s="405">
        <f>VLOOKUP(B194,'[5]Allocation Factor &amp;Meter Totals'!$A$8:$F$249,5,FALSE)</f>
        <v>2682</v>
      </c>
      <c r="J194" s="406">
        <f>VLOOKUP(B194,'[5]Allocation Factor &amp;Meter Totals'!$A$8:$F$249,3,FALSE)</f>
        <v>1.2021940714171413E-3</v>
      </c>
      <c r="K194" s="407">
        <f>VLOOKUP(B194,'[5]Allocation Factor &amp;Meter Totals'!$A$8:$F$249,6,FALSE)</f>
        <v>20753</v>
      </c>
      <c r="L194" s="406">
        <f>VLOOKUP(B194,'[5]Allocation Factor &amp;Meter Totals'!$A$8:$F$249,4,FALSE)</f>
        <v>4.010197375603786E-3</v>
      </c>
      <c r="M194" s="407" t="s">
        <v>104</v>
      </c>
      <c r="N194" s="21"/>
      <c r="O194" s="21" t="s">
        <v>103</v>
      </c>
      <c r="P194" s="387">
        <v>0</v>
      </c>
      <c r="Q194" s="387">
        <v>0</v>
      </c>
    </row>
    <row r="195" spans="2:17">
      <c r="B195" s="541" t="s">
        <v>719</v>
      </c>
      <c r="C195" s="381">
        <f>VLOOKUP(B195,'[5]Allocation Factor &amp;Meter Totals'!$A$8:$F$249,6,FALSE)</f>
        <v>15174</v>
      </c>
      <c r="D195" s="381">
        <f>VLOOKUP(B195,'[5]Allocation Factor &amp;Meter Totals'!$A$8:$F$249,5,FALSE)</f>
        <v>514</v>
      </c>
      <c r="E195" s="381">
        <f>VLOOKUP(B195,'[5]Allocation Factor &amp;Meter Totals'!$A$8:$F$249,6,FALSE)</f>
        <v>15174</v>
      </c>
      <c r="F195" s="21" t="s">
        <v>1589</v>
      </c>
      <c r="G195" s="21" t="s">
        <v>103</v>
      </c>
      <c r="H195" s="404">
        <f>VLOOKUP(B195,'[5]Allocation Factor &amp;Meter Totals'!$A$8:$F$249,6,FALSE)</f>
        <v>15174</v>
      </c>
      <c r="I195" s="405">
        <f>VLOOKUP(B195,'[5]Allocation Factor &amp;Meter Totals'!$A$8:$F$249,5,FALSE)</f>
        <v>514</v>
      </c>
      <c r="J195" s="406">
        <f>VLOOKUP(B195,'[5]Allocation Factor &amp;Meter Totals'!$A$8:$F$249,3,FALSE)</f>
        <v>2.303981180866557E-4</v>
      </c>
      <c r="K195" s="407">
        <f>VLOOKUP(B195,'[5]Allocation Factor &amp;Meter Totals'!$A$8:$F$249,6,FALSE)</f>
        <v>15174</v>
      </c>
      <c r="L195" s="406">
        <f>VLOOKUP(B195,'[5]Allocation Factor &amp;Meter Totals'!$A$8:$F$249,4,FALSE)</f>
        <v>2.9321416169908851E-3</v>
      </c>
      <c r="M195" s="407" t="s">
        <v>110</v>
      </c>
      <c r="N195" s="21"/>
      <c r="O195" s="21" t="s">
        <v>103</v>
      </c>
      <c r="P195" s="387">
        <v>0</v>
      </c>
      <c r="Q195" s="387">
        <v>0</v>
      </c>
    </row>
    <row r="196" spans="2:17" ht="43.5">
      <c r="B196" s="541" t="s">
        <v>720</v>
      </c>
      <c r="C196" s="381">
        <f>VLOOKUP(B196,'[5]Allocation Factor &amp;Meter Totals'!$A$8:$F$249,6,FALSE)</f>
        <v>611</v>
      </c>
      <c r="D196" s="381">
        <f>VLOOKUP(B196,'[5]Allocation Factor &amp;Meter Totals'!$A$8:$F$249,5,FALSE)</f>
        <v>232</v>
      </c>
      <c r="E196" s="381">
        <f>VLOOKUP(B196,'[5]Allocation Factor &amp;Meter Totals'!$A$8:$F$249,6,FALSE)</f>
        <v>611</v>
      </c>
      <c r="F196" s="21" t="s">
        <v>1589</v>
      </c>
      <c r="G196" s="21" t="s">
        <v>103</v>
      </c>
      <c r="H196" s="404">
        <f>VLOOKUP(B196,'[5]Allocation Factor &amp;Meter Totals'!$A$8:$F$249,6,FALSE)</f>
        <v>611</v>
      </c>
      <c r="I196" s="405">
        <f>VLOOKUP(B196,'[5]Allocation Factor &amp;Meter Totals'!$A$8:$F$249,5,FALSE)</f>
        <v>232</v>
      </c>
      <c r="J196" s="406">
        <f>VLOOKUP(B196,'[5]Allocation Factor &amp;Meter Totals'!$A$8:$F$249,3,FALSE)</f>
        <v>1.039929248951442E-4</v>
      </c>
      <c r="K196" s="407">
        <f>VLOOKUP(B196,'[5]Allocation Factor &amp;Meter Totals'!$A$8:$F$249,6,FALSE)</f>
        <v>611</v>
      </c>
      <c r="L196" s="406">
        <f>VLOOKUP(B196,'[5]Allocation Factor &amp;Meter Totals'!$A$8:$F$249,4,FALSE)</f>
        <v>1.1806633240947877E-4</v>
      </c>
      <c r="M196" s="407" t="s">
        <v>104</v>
      </c>
      <c r="N196" s="21"/>
      <c r="O196" s="15" t="s">
        <v>1593</v>
      </c>
      <c r="P196" s="387">
        <v>0</v>
      </c>
      <c r="Q196" s="387">
        <v>0</v>
      </c>
    </row>
    <row r="197" spans="2:17">
      <c r="B197" s="541" t="s">
        <v>721</v>
      </c>
      <c r="C197" s="381">
        <f>VLOOKUP(B197,'[5]Allocation Factor &amp;Meter Totals'!$A$8:$F$249,6,FALSE)</f>
        <v>15637</v>
      </c>
      <c r="D197" s="381">
        <f>VLOOKUP(B197,'[5]Allocation Factor &amp;Meter Totals'!$A$8:$F$249,5,FALSE)</f>
        <v>2458</v>
      </c>
      <c r="E197" s="381">
        <f>VLOOKUP(B197,'[5]Allocation Factor &amp;Meter Totals'!$A$8:$F$249,6,FALSE)</f>
        <v>15637</v>
      </c>
      <c r="F197" s="21" t="s">
        <v>1589</v>
      </c>
      <c r="G197" s="21" t="s">
        <v>103</v>
      </c>
      <c r="H197" s="404">
        <f>VLOOKUP(B197,'[5]Allocation Factor &amp;Meter Totals'!$A$8:$F$249,6,FALSE)</f>
        <v>15637</v>
      </c>
      <c r="I197" s="405">
        <f>VLOOKUP(B197,'[5]Allocation Factor &amp;Meter Totals'!$A$8:$F$249,5,FALSE)</f>
        <v>2458</v>
      </c>
      <c r="J197" s="406">
        <f>VLOOKUP(B197,'[5]Allocation Factor &amp;Meter Totals'!$A$8:$F$249,3,FALSE)</f>
        <v>1.1017871094494158E-3</v>
      </c>
      <c r="K197" s="407">
        <f>VLOOKUP(B197,'[5]Allocation Factor &amp;Meter Totals'!$A$8:$F$249,6,FALSE)</f>
        <v>15637</v>
      </c>
      <c r="L197" s="406">
        <f>VLOOKUP(B197,'[5]Allocation Factor &amp;Meter Totals'!$A$8:$F$249,4,FALSE)</f>
        <v>3.0216092305843201E-3</v>
      </c>
      <c r="M197" s="407" t="s">
        <v>104</v>
      </c>
      <c r="N197" s="21"/>
      <c r="O197" s="21" t="s">
        <v>103</v>
      </c>
      <c r="P197" s="387">
        <v>0</v>
      </c>
      <c r="Q197" s="387">
        <v>0</v>
      </c>
    </row>
    <row r="198" spans="2:17">
      <c r="B198" s="541" t="s">
        <v>724</v>
      </c>
      <c r="C198" s="381">
        <f>VLOOKUP(B198,'[5]Allocation Factor &amp;Meter Totals'!$A$8:$F$249,6,FALSE)</f>
        <v>38676</v>
      </c>
      <c r="D198" s="381">
        <f>VLOOKUP(B198,'[5]Allocation Factor &amp;Meter Totals'!$A$8:$F$249,5,FALSE)</f>
        <v>531</v>
      </c>
      <c r="E198" s="381">
        <f>VLOOKUP(B198,'[5]Allocation Factor &amp;Meter Totals'!$A$8:$F$249,6,FALSE)</f>
        <v>38676</v>
      </c>
      <c r="F198" s="21" t="s">
        <v>1589</v>
      </c>
      <c r="G198" s="21" t="s">
        <v>103</v>
      </c>
      <c r="H198" s="404">
        <f>VLOOKUP(B198,'[5]Allocation Factor &amp;Meter Totals'!$A$8:$F$249,6,FALSE)</f>
        <v>38676</v>
      </c>
      <c r="I198" s="405">
        <f>VLOOKUP(B198,'[5]Allocation Factor &amp;Meter Totals'!$A$8:$F$249,5,FALSE)</f>
        <v>531</v>
      </c>
      <c r="J198" s="406">
        <f>VLOOKUP(B198,'[5]Allocation Factor &amp;Meter Totals'!$A$8:$F$249,3,FALSE)</f>
        <v>2.3801828930742057E-4</v>
      </c>
      <c r="K198" s="407">
        <f>VLOOKUP(B198,'[5]Allocation Factor &amp;Meter Totals'!$A$8:$F$249,6,FALSE)</f>
        <v>38676</v>
      </c>
      <c r="L198" s="406">
        <f>VLOOKUP(B198,'[5]Allocation Factor &amp;Meter Totals'!$A$8:$F$249,4,FALSE)</f>
        <v>7.4735408711440283E-3</v>
      </c>
      <c r="M198" s="407" t="s">
        <v>110</v>
      </c>
      <c r="N198" s="21"/>
      <c r="O198" s="21" t="s">
        <v>103</v>
      </c>
      <c r="P198" s="387">
        <v>0</v>
      </c>
      <c r="Q198" s="387">
        <v>0</v>
      </c>
    </row>
    <row r="199" spans="2:17" ht="43.5">
      <c r="B199" s="541" t="s">
        <v>728</v>
      </c>
      <c r="C199" s="381">
        <f>VLOOKUP(B199,'[5]Allocation Factor &amp;Meter Totals'!$A$8:$F$249,6,FALSE)</f>
        <v>11322</v>
      </c>
      <c r="D199" s="381">
        <f>VLOOKUP(B199,'[5]Allocation Factor &amp;Meter Totals'!$A$8:$F$249,5,FALSE)</f>
        <v>1684</v>
      </c>
      <c r="E199" s="381">
        <f>VLOOKUP(B199,'[5]Allocation Factor &amp;Meter Totals'!$A$8:$F$249,6,FALSE)</f>
        <v>11322</v>
      </c>
      <c r="F199" s="21" t="s">
        <v>1589</v>
      </c>
      <c r="G199" s="21" t="s">
        <v>103</v>
      </c>
      <c r="H199" s="404">
        <f>VLOOKUP(B199,'[5]Allocation Factor &amp;Meter Totals'!$A$8:$F$249,6,FALSE)</f>
        <v>11322</v>
      </c>
      <c r="I199" s="405">
        <f>VLOOKUP(B199,'[5]Allocation Factor &amp;Meter Totals'!$A$8:$F$249,5,FALSE)</f>
        <v>1684</v>
      </c>
      <c r="J199" s="406">
        <f>VLOOKUP(B199,'[5]Allocation Factor &amp;Meter Totals'!$A$8:$F$249,3,FALSE)</f>
        <v>7.5484519622165012E-4</v>
      </c>
      <c r="K199" s="407">
        <f>VLOOKUP(B199,'[5]Allocation Factor &amp;Meter Totals'!$A$8:$F$249,6,FALSE)</f>
        <v>11322</v>
      </c>
      <c r="L199" s="406">
        <f>VLOOKUP(B199,'[5]Allocation Factor &amp;Meter Totals'!$A$8:$F$249,4,FALSE)</f>
        <v>2.187801989427363E-3</v>
      </c>
      <c r="M199" s="407" t="s">
        <v>110</v>
      </c>
      <c r="N199" s="21"/>
      <c r="O199" s="15" t="s">
        <v>1593</v>
      </c>
      <c r="P199" s="387">
        <v>0</v>
      </c>
      <c r="Q199" s="387">
        <v>0</v>
      </c>
    </row>
    <row r="200" spans="2:17">
      <c r="B200" s="541" t="s">
        <v>729</v>
      </c>
      <c r="C200" s="381">
        <f>VLOOKUP(B200,'[5]Allocation Factor &amp;Meter Totals'!$A$8:$F$249,6,FALSE)</f>
        <v>126331</v>
      </c>
      <c r="D200" s="381">
        <f>VLOOKUP(B200,'[5]Allocation Factor &amp;Meter Totals'!$A$8:$F$249,5,FALSE)</f>
        <v>38489</v>
      </c>
      <c r="E200" s="381">
        <f>VLOOKUP(B200,'[5]Allocation Factor &amp;Meter Totals'!$A$8:$F$249,6,FALSE)</f>
        <v>126331</v>
      </c>
      <c r="F200" s="21" t="s">
        <v>1589</v>
      </c>
      <c r="G200" s="21" t="s">
        <v>103</v>
      </c>
      <c r="H200" s="404">
        <f>VLOOKUP(B200,'[5]Allocation Factor &amp;Meter Totals'!$A$8:$F$249,6,FALSE)</f>
        <v>126331</v>
      </c>
      <c r="I200" s="405">
        <f>VLOOKUP(B200,'[5]Allocation Factor &amp;Meter Totals'!$A$8:$F$249,5,FALSE)</f>
        <v>38489</v>
      </c>
      <c r="J200" s="406">
        <f>VLOOKUP(B200,'[5]Allocation Factor &amp;Meter Totals'!$A$8:$F$249,3,FALSE)</f>
        <v>1.725251588917761E-2</v>
      </c>
      <c r="K200" s="407">
        <f>VLOOKUP(B200,'[5]Allocation Factor &amp;Meter Totals'!$A$8:$F$249,6,FALSE)</f>
        <v>126331</v>
      </c>
      <c r="L200" s="406">
        <f>VLOOKUP(B200,'[5]Allocation Factor &amp;Meter Totals'!$A$8:$F$249,4,FALSE)</f>
        <v>2.4411518559119251E-2</v>
      </c>
      <c r="M200" s="407" t="s">
        <v>104</v>
      </c>
      <c r="N200" s="21"/>
      <c r="O200" s="21" t="s">
        <v>103</v>
      </c>
      <c r="P200" s="387">
        <v>0</v>
      </c>
      <c r="Q200" s="387">
        <v>0</v>
      </c>
    </row>
    <row r="201" spans="2:17" ht="14.45" customHeight="1">
      <c r="B201" s="543" t="s">
        <v>1403</v>
      </c>
      <c r="C201" s="388">
        <f>SUM(C176:C200)</f>
        <v>670095</v>
      </c>
      <c r="D201" s="388">
        <f t="shared" ref="D201:E201" si="16">SUM(D176:D200)</f>
        <v>111683</v>
      </c>
      <c r="E201" s="388">
        <f t="shared" si="16"/>
        <v>670095</v>
      </c>
      <c r="F201" s="1100"/>
      <c r="G201" s="1100"/>
      <c r="H201" s="409">
        <f t="shared" ref="H201:L201" si="17">SUM(H176:H200)</f>
        <v>670095</v>
      </c>
      <c r="I201" s="410">
        <f t="shared" si="17"/>
        <v>111683</v>
      </c>
      <c r="J201" s="411">
        <f t="shared" si="17"/>
        <v>5.0061387202863745E-2</v>
      </c>
      <c r="K201" s="412">
        <f t="shared" si="17"/>
        <v>670095</v>
      </c>
      <c r="L201" s="411">
        <f t="shared" si="17"/>
        <v>0.1294855303043039</v>
      </c>
      <c r="M201" s="412"/>
      <c r="N201" s="1100"/>
      <c r="O201" s="1100"/>
      <c r="P201" s="413">
        <v>0</v>
      </c>
      <c r="Q201" s="413">
        <v>0</v>
      </c>
    </row>
    <row r="202" spans="2:17" ht="58.5" customHeight="1">
      <c r="B202" s="541" t="s">
        <v>1624</v>
      </c>
      <c r="C202" s="1162" t="s">
        <v>1625</v>
      </c>
      <c r="D202" s="1162"/>
      <c r="E202" s="1162"/>
      <c r="F202" s="1162"/>
      <c r="G202" s="1162"/>
      <c r="H202" s="1162"/>
      <c r="I202" s="1162"/>
      <c r="J202" s="1162"/>
      <c r="K202" s="1162"/>
      <c r="L202" s="1162"/>
      <c r="M202" s="1162"/>
      <c r="N202" s="1162"/>
      <c r="O202" s="1162"/>
      <c r="P202" s="1162"/>
      <c r="Q202" s="1162"/>
    </row>
    <row r="203" spans="2:17" ht="43.35" customHeight="1">
      <c r="B203" s="541" t="s">
        <v>1626</v>
      </c>
      <c r="C203" s="1162" t="s">
        <v>1627</v>
      </c>
      <c r="D203" s="1162"/>
      <c r="E203" s="1162"/>
      <c r="F203" s="1162"/>
      <c r="G203" s="1162"/>
      <c r="H203" s="1162"/>
      <c r="I203" s="1162"/>
      <c r="J203" s="1162"/>
      <c r="K203" s="1162"/>
      <c r="L203" s="1162"/>
      <c r="M203" s="1162"/>
      <c r="N203" s="1162"/>
      <c r="O203" s="1162"/>
      <c r="P203" s="1162"/>
      <c r="Q203" s="1162"/>
    </row>
    <row r="204" spans="2:17">
      <c r="B204" s="542" t="s">
        <v>746</v>
      </c>
      <c r="C204" s="379"/>
      <c r="D204" s="379"/>
      <c r="E204" s="379"/>
      <c r="F204" s="401"/>
      <c r="G204" s="401"/>
      <c r="H204" s="402"/>
      <c r="I204" s="401"/>
      <c r="J204" s="401"/>
      <c r="K204" s="401"/>
      <c r="L204" s="401"/>
      <c r="M204" s="401"/>
      <c r="N204" s="401"/>
      <c r="O204" s="401"/>
      <c r="P204" s="403"/>
      <c r="Q204" s="403"/>
    </row>
    <row r="205" spans="2:17">
      <c r="B205" s="541" t="s">
        <v>747</v>
      </c>
      <c r="C205" s="381">
        <f>VLOOKUP(B205,'[5]Allocation Factor &amp;Meter Totals'!$A$8:$F$249,6,FALSE)</f>
        <v>10141</v>
      </c>
      <c r="D205" s="381">
        <f>VLOOKUP(B205,'[5]Allocation Factor &amp;Meter Totals'!$A$8:$F$249,5,FALSE)</f>
        <v>1106</v>
      </c>
      <c r="E205" s="381">
        <f>VLOOKUP(B205,'[5]Allocation Factor &amp;Meter Totals'!$A$8:$F$249,6,FALSE)</f>
        <v>10141</v>
      </c>
      <c r="F205" s="21" t="s">
        <v>1589</v>
      </c>
      <c r="G205" s="21" t="s">
        <v>103</v>
      </c>
      <c r="H205" s="404">
        <f>VLOOKUP(B205,'[5]Allocation Factor &amp;Meter Totals'!$A$8:$F$249,6,FALSE)</f>
        <v>10141</v>
      </c>
      <c r="I205" s="405">
        <f>VLOOKUP(B205,'[5]Allocation Factor &amp;Meter Totals'!$A$8:$F$249,5,FALSE)</f>
        <v>1106</v>
      </c>
      <c r="J205" s="406">
        <f>VLOOKUP(B205,'[5]Allocation Factor &amp;Meter Totals'!$A$8:$F$249,3,FALSE)</f>
        <v>4.9575937471564439E-4</v>
      </c>
      <c r="K205" s="407">
        <f>VLOOKUP(B205,'[5]Allocation Factor &amp;Meter Totals'!$A$8:$F$249,6,FALSE)</f>
        <v>10141</v>
      </c>
      <c r="L205" s="406">
        <f>VLOOKUP(B205,'[5]Allocation Factor &amp;Meter Totals'!$A$8:$F$249,4,FALSE)</f>
        <v>1.9595919426587958E-3</v>
      </c>
      <c r="M205" s="407" t="s">
        <v>104</v>
      </c>
      <c r="N205" s="21"/>
      <c r="O205" s="21" t="s">
        <v>103</v>
      </c>
      <c r="P205" s="387">
        <v>0</v>
      </c>
      <c r="Q205" s="387">
        <v>0</v>
      </c>
    </row>
    <row r="206" spans="2:17">
      <c r="B206" s="541" t="s">
        <v>752</v>
      </c>
      <c r="C206" s="381">
        <f>VLOOKUP(B206,'[5]Allocation Factor &amp;Meter Totals'!$A$8:$F$249,6,FALSE)</f>
        <v>29066</v>
      </c>
      <c r="D206" s="381">
        <f>VLOOKUP(B206,'[5]Allocation Factor &amp;Meter Totals'!$A$8:$F$249,5,FALSE)</f>
        <v>12440</v>
      </c>
      <c r="E206" s="381">
        <f>VLOOKUP(B206,'[5]Allocation Factor &amp;Meter Totals'!$A$8:$F$249,6,FALSE)</f>
        <v>29066</v>
      </c>
      <c r="F206" s="21" t="s">
        <v>1589</v>
      </c>
      <c r="G206" s="21" t="s">
        <v>103</v>
      </c>
      <c r="H206" s="404">
        <f>VLOOKUP(B206,'[5]Allocation Factor &amp;Meter Totals'!$A$8:$F$249,6,FALSE)</f>
        <v>29066</v>
      </c>
      <c r="I206" s="405">
        <f>VLOOKUP(B206,'[5]Allocation Factor &amp;Meter Totals'!$A$8:$F$249,5,FALSE)</f>
        <v>12440</v>
      </c>
      <c r="J206" s="406">
        <f>VLOOKUP(B206,'[5]Allocation Factor &amp;Meter Totals'!$A$8:$F$249,3,FALSE)</f>
        <v>5.5761723521361804E-3</v>
      </c>
      <c r="K206" s="407">
        <f>VLOOKUP(B206,'[5]Allocation Factor &amp;Meter Totals'!$A$8:$F$249,6,FALSE)</f>
        <v>29066</v>
      </c>
      <c r="L206" s="406">
        <f>VLOOKUP(B206,'[5]Allocation Factor &amp;Meter Totals'!$A$8:$F$249,4,FALSE)</f>
        <v>5.6165564939671198E-3</v>
      </c>
      <c r="M206" s="407" t="s">
        <v>110</v>
      </c>
      <c r="N206" s="21"/>
      <c r="O206" s="21" t="s">
        <v>103</v>
      </c>
      <c r="P206" s="387">
        <v>0</v>
      </c>
      <c r="Q206" s="387">
        <v>0</v>
      </c>
    </row>
    <row r="207" spans="2:17" ht="43.5">
      <c r="B207" s="541" t="s">
        <v>759</v>
      </c>
      <c r="C207" s="381">
        <f>VLOOKUP(B207,'[5]Allocation Factor &amp;Meter Totals'!$A$8:$F$249,6,FALSE)</f>
        <v>65</v>
      </c>
      <c r="D207" s="381">
        <f>VLOOKUP(B207,'[5]Allocation Factor &amp;Meter Totals'!$A$8:$F$249,5,FALSE)</f>
        <v>36</v>
      </c>
      <c r="E207" s="381">
        <f>VLOOKUP(B207,'[5]Allocation Factor &amp;Meter Totals'!$A$8:$F$249,6,FALSE)</f>
        <v>65</v>
      </c>
      <c r="F207" s="21" t="s">
        <v>1589</v>
      </c>
      <c r="G207" s="21" t="s">
        <v>103</v>
      </c>
      <c r="H207" s="404">
        <f>VLOOKUP(B207,'[5]Allocation Factor &amp;Meter Totals'!$A$8:$F$249,6,FALSE)</f>
        <v>65</v>
      </c>
      <c r="I207" s="405">
        <f>VLOOKUP(B207,'[5]Allocation Factor &amp;Meter Totals'!$A$8:$F$249,5,FALSE)</f>
        <v>36</v>
      </c>
      <c r="J207" s="406">
        <f>VLOOKUP(B207,'[5]Allocation Factor &amp;Meter Totals'!$A$8:$F$249,3,FALSE)</f>
        <v>1.6136833173384444E-5</v>
      </c>
      <c r="K207" s="407">
        <f>VLOOKUP(B207,'[5]Allocation Factor &amp;Meter Totals'!$A$8:$F$249,6,FALSE)</f>
        <v>65</v>
      </c>
      <c r="L207" s="406">
        <f>VLOOKUP(B207,'[5]Allocation Factor &amp;Meter Totals'!$A$8:$F$249,4,FALSE)</f>
        <v>1.2560248128667955E-5</v>
      </c>
      <c r="M207" s="407" t="s">
        <v>110</v>
      </c>
      <c r="N207" s="21"/>
      <c r="O207" s="15" t="s">
        <v>1593</v>
      </c>
      <c r="P207" s="387">
        <v>0</v>
      </c>
      <c r="Q207" s="387">
        <v>0</v>
      </c>
    </row>
    <row r="208" spans="2:17">
      <c r="B208" s="541" t="s">
        <v>760</v>
      </c>
      <c r="C208" s="381">
        <f>VLOOKUP(B208,'[5]Allocation Factor &amp;Meter Totals'!$A$8:$F$249,6,FALSE)</f>
        <v>10462</v>
      </c>
      <c r="D208" s="381">
        <f>VLOOKUP(B208,'[5]Allocation Factor &amp;Meter Totals'!$A$8:$F$249,5,FALSE)</f>
        <v>5891</v>
      </c>
      <c r="E208" s="381">
        <f>VLOOKUP(B208,'[5]Allocation Factor &amp;Meter Totals'!$A$8:$F$249,6,FALSE)</f>
        <v>10462</v>
      </c>
      <c r="F208" s="21" t="s">
        <v>1589</v>
      </c>
      <c r="G208" s="21" t="s">
        <v>103</v>
      </c>
      <c r="H208" s="404">
        <f>VLOOKUP(B208,'[5]Allocation Factor &amp;Meter Totals'!$A$8:$F$249,6,FALSE)</f>
        <v>10462</v>
      </c>
      <c r="I208" s="405">
        <f>VLOOKUP(B208,'[5]Allocation Factor &amp;Meter Totals'!$A$8:$F$249,5,FALSE)</f>
        <v>5891</v>
      </c>
      <c r="J208" s="406">
        <f>VLOOKUP(B208,'[5]Allocation Factor &amp;Meter Totals'!$A$8:$F$249,3,FALSE)</f>
        <v>2.6406134506779936E-3</v>
      </c>
      <c r="K208" s="407">
        <f>VLOOKUP(B208,'[5]Allocation Factor &amp;Meter Totals'!$A$8:$F$249,6,FALSE)</f>
        <v>10462</v>
      </c>
      <c r="L208" s="406">
        <f>VLOOKUP(B208,'[5]Allocation Factor &amp;Meter Totals'!$A$8:$F$249,4,FALSE)</f>
        <v>2.0216202449557562E-3</v>
      </c>
      <c r="M208" s="407" t="s">
        <v>104</v>
      </c>
      <c r="N208" s="21"/>
      <c r="O208" s="21" t="s">
        <v>103</v>
      </c>
      <c r="P208" s="387">
        <v>0</v>
      </c>
      <c r="Q208" s="387">
        <v>0</v>
      </c>
    </row>
    <row r="209" spans="2:17">
      <c r="B209" s="541" t="s">
        <v>764</v>
      </c>
      <c r="C209" s="381">
        <f>VLOOKUP(B209,'[5]Allocation Factor &amp;Meter Totals'!$A$8:$F$249,6,FALSE)</f>
        <v>31178</v>
      </c>
      <c r="D209" s="381">
        <f>VLOOKUP(B209,'[5]Allocation Factor &amp;Meter Totals'!$A$8:$F$249,5,FALSE)</f>
        <v>5623</v>
      </c>
      <c r="E209" s="381">
        <f>VLOOKUP(B209,'[5]Allocation Factor &amp;Meter Totals'!$A$8:$F$249,6,FALSE)</f>
        <v>31178</v>
      </c>
      <c r="F209" s="21" t="s">
        <v>1589</v>
      </c>
      <c r="G209" s="21" t="s">
        <v>103</v>
      </c>
      <c r="H209" s="404">
        <f>VLOOKUP(B209,'[5]Allocation Factor &amp;Meter Totals'!$A$8:$F$249,6,FALSE)</f>
        <v>31178</v>
      </c>
      <c r="I209" s="405">
        <f>VLOOKUP(B209,'[5]Allocation Factor &amp;Meter Totals'!$A$8:$F$249,5,FALSE)</f>
        <v>5623</v>
      </c>
      <c r="J209" s="406">
        <f>VLOOKUP(B209,'[5]Allocation Factor &amp;Meter Totals'!$A$8:$F$249,3,FALSE)</f>
        <v>2.520483692609465E-3</v>
      </c>
      <c r="K209" s="407">
        <f>VLOOKUP(B209,'[5]Allocation Factor &amp;Meter Totals'!$A$8:$F$249,6,FALSE)</f>
        <v>31178</v>
      </c>
      <c r="L209" s="406">
        <f>VLOOKUP(B209,'[5]Allocation Factor &amp;Meter Totals'!$A$8:$F$249,4,FALSE)</f>
        <v>6.0246679408555307E-3</v>
      </c>
      <c r="M209" s="407" t="s">
        <v>104</v>
      </c>
      <c r="N209" s="21"/>
      <c r="O209" s="21" t="s">
        <v>103</v>
      </c>
      <c r="P209" s="387">
        <v>0</v>
      </c>
      <c r="Q209" s="387">
        <v>0</v>
      </c>
    </row>
    <row r="210" spans="2:17">
      <c r="B210" s="541" t="s">
        <v>772</v>
      </c>
      <c r="C210" s="381">
        <f>VLOOKUP(B210,'[5]Allocation Factor &amp;Meter Totals'!$A$8:$F$249,6,FALSE)</f>
        <v>27434</v>
      </c>
      <c r="D210" s="381">
        <f>VLOOKUP(B210,'[5]Allocation Factor &amp;Meter Totals'!$A$8:$F$249,5,FALSE)</f>
        <v>2052</v>
      </c>
      <c r="E210" s="381">
        <f>VLOOKUP(B210,'[5]Allocation Factor &amp;Meter Totals'!$A$8:$F$249,6,FALSE)</f>
        <v>27434</v>
      </c>
      <c r="F210" s="21" t="s">
        <v>1589</v>
      </c>
      <c r="G210" s="21" t="s">
        <v>103</v>
      </c>
      <c r="H210" s="404">
        <f>VLOOKUP(B210,'[5]Allocation Factor &amp;Meter Totals'!$A$8:$F$249,6,FALSE)</f>
        <v>27434</v>
      </c>
      <c r="I210" s="405">
        <f>VLOOKUP(B210,'[5]Allocation Factor &amp;Meter Totals'!$A$8:$F$249,5,FALSE)</f>
        <v>2052</v>
      </c>
      <c r="J210" s="406">
        <f>VLOOKUP(B210,'[5]Allocation Factor &amp;Meter Totals'!$A$8:$F$249,3,FALSE)</f>
        <v>9.1979949088291343E-4</v>
      </c>
      <c r="K210" s="407">
        <f>VLOOKUP(B210,'[5]Allocation Factor &amp;Meter Totals'!$A$8:$F$249,6,FALSE)</f>
        <v>27434</v>
      </c>
      <c r="L210" s="406">
        <f>VLOOKUP(B210,'[5]Allocation Factor &amp;Meter Totals'!$A$8:$F$249,4,FALSE)</f>
        <v>5.3011976486442569E-3</v>
      </c>
      <c r="M210" s="407" t="s">
        <v>110</v>
      </c>
      <c r="N210" s="21"/>
      <c r="O210" s="21" t="s">
        <v>103</v>
      </c>
      <c r="P210" s="387">
        <v>0</v>
      </c>
      <c r="Q210" s="387">
        <v>0</v>
      </c>
    </row>
    <row r="211" spans="2:17" ht="43.5">
      <c r="B211" s="541" t="s">
        <v>777</v>
      </c>
      <c r="C211" s="381">
        <f>VLOOKUP(B211,'[5]Allocation Factor &amp;Meter Totals'!$A$8:$F$249,6,FALSE)</f>
        <v>349</v>
      </c>
      <c r="D211" s="381">
        <f>VLOOKUP(B211,'[5]Allocation Factor &amp;Meter Totals'!$A$8:$F$249,5,FALSE)</f>
        <v>243</v>
      </c>
      <c r="E211" s="381">
        <f>VLOOKUP(B211,'[5]Allocation Factor &amp;Meter Totals'!$A$8:$F$249,6,FALSE)</f>
        <v>349</v>
      </c>
      <c r="F211" s="21" t="s">
        <v>1589</v>
      </c>
      <c r="G211" s="21" t="s">
        <v>103</v>
      </c>
      <c r="H211" s="404">
        <f>VLOOKUP(B211,'[5]Allocation Factor &amp;Meter Totals'!$A$8:$F$249,6,FALSE)</f>
        <v>349</v>
      </c>
      <c r="I211" s="405">
        <f>VLOOKUP(B211,'[5]Allocation Factor &amp;Meter Totals'!$A$8:$F$249,5,FALSE)</f>
        <v>243</v>
      </c>
      <c r="J211" s="406">
        <f>VLOOKUP(B211,'[5]Allocation Factor &amp;Meter Totals'!$A$8:$F$249,3,FALSE)</f>
        <v>1.0892362392034501E-4</v>
      </c>
      <c r="K211" s="407">
        <f>VLOOKUP(B211,'[5]Allocation Factor &amp;Meter Totals'!$A$8:$F$249,6,FALSE)</f>
        <v>349</v>
      </c>
      <c r="L211" s="406">
        <f>VLOOKUP(B211,'[5]Allocation Factor &amp;Meter Totals'!$A$8:$F$249,4,FALSE)</f>
        <v>6.7438870721617177E-5</v>
      </c>
      <c r="M211" s="407" t="s">
        <v>104</v>
      </c>
      <c r="N211" s="21"/>
      <c r="O211" s="15" t="s">
        <v>1593</v>
      </c>
      <c r="P211" s="387">
        <v>0</v>
      </c>
      <c r="Q211" s="387">
        <v>0</v>
      </c>
    </row>
    <row r="212" spans="2:17">
      <c r="B212" s="541" t="s">
        <v>778</v>
      </c>
      <c r="C212" s="381">
        <f>VLOOKUP(B212,'[5]Allocation Factor &amp;Meter Totals'!$A$8:$F$249,6,FALSE)</f>
        <v>58146</v>
      </c>
      <c r="D212" s="381">
        <f>VLOOKUP(B212,'[5]Allocation Factor &amp;Meter Totals'!$A$8:$F$249,5,FALSE)</f>
        <v>12098</v>
      </c>
      <c r="E212" s="381">
        <f>VLOOKUP(B212,'[5]Allocation Factor &amp;Meter Totals'!$A$8:$F$249,6,FALSE)</f>
        <v>58146</v>
      </c>
      <c r="F212" s="21" t="s">
        <v>1589</v>
      </c>
      <c r="G212" s="21" t="s">
        <v>103</v>
      </c>
      <c r="H212" s="404">
        <f>VLOOKUP(B212,'[5]Allocation Factor &amp;Meter Totals'!$A$8:$F$249,6,FALSE)</f>
        <v>58146</v>
      </c>
      <c r="I212" s="405">
        <f>VLOOKUP(B212,'[5]Allocation Factor &amp;Meter Totals'!$A$8:$F$249,5,FALSE)</f>
        <v>12098</v>
      </c>
      <c r="J212" s="406">
        <f>VLOOKUP(B212,'[5]Allocation Factor &amp;Meter Totals'!$A$8:$F$249,3,FALSE)</f>
        <v>5.4228724369890279E-3</v>
      </c>
      <c r="K212" s="407">
        <f>VLOOKUP(B212,'[5]Allocation Factor &amp;Meter Totals'!$A$8:$F$249,6,FALSE)</f>
        <v>58146</v>
      </c>
      <c r="L212" s="406">
        <f>VLOOKUP(B212,'[5]Allocation Factor &amp;Meter Totals'!$A$8:$F$249,4,FALSE)</f>
        <v>1.1235818272146567E-2</v>
      </c>
      <c r="M212" s="407" t="s">
        <v>104</v>
      </c>
      <c r="N212" s="21"/>
      <c r="O212" s="21" t="s">
        <v>103</v>
      </c>
      <c r="P212" s="387">
        <v>0</v>
      </c>
      <c r="Q212" s="387">
        <v>0</v>
      </c>
    </row>
    <row r="213" spans="2:17">
      <c r="B213" s="541" t="s">
        <v>794</v>
      </c>
      <c r="C213" s="440">
        <f>VLOOKUP(B213,'[5]Allocation Factor &amp;Meter Totals'!$A$8:$F$249,6,FALSE)</f>
        <v>5023</v>
      </c>
      <c r="D213" s="440">
        <f>VLOOKUP(B213,'[5]Allocation Factor &amp;Meter Totals'!$A$8:$F$249,5,FALSE)</f>
        <v>1587</v>
      </c>
      <c r="E213" s="440">
        <f>VLOOKUP(B213,'[5]Allocation Factor &amp;Meter Totals'!$A$8:$F$249,6,FALSE)</f>
        <v>5023</v>
      </c>
      <c r="F213" s="441" t="s">
        <v>1589</v>
      </c>
      <c r="G213" s="441" t="s">
        <v>103</v>
      </c>
      <c r="H213" s="442">
        <f>VLOOKUP(B213,'[5]Allocation Factor &amp;Meter Totals'!$A$8:$F$249,6,FALSE)</f>
        <v>5023</v>
      </c>
      <c r="I213" s="443">
        <f>VLOOKUP(B213,'[5]Allocation Factor &amp;Meter Totals'!$A$8:$F$249,5,FALSE)</f>
        <v>1587</v>
      </c>
      <c r="J213" s="444">
        <f>VLOOKUP(B213,'[5]Allocation Factor &amp;Meter Totals'!$A$8:$F$249,3,FALSE)</f>
        <v>7.1136539572669766E-4</v>
      </c>
      <c r="K213" s="445">
        <f>VLOOKUP(B213,'[5]Allocation Factor &amp;Meter Totals'!$A$8:$F$249,6,FALSE)</f>
        <v>5023</v>
      </c>
      <c r="L213" s="444">
        <f>VLOOKUP(B213,'[5]Allocation Factor &amp;Meter Totals'!$A$8:$F$249,4,FALSE)</f>
        <v>9.7061732846614058E-4</v>
      </c>
      <c r="M213" s="445" t="s">
        <v>104</v>
      </c>
      <c r="N213" s="441"/>
      <c r="O213" s="446" t="s">
        <v>1609</v>
      </c>
      <c r="P213" s="447">
        <v>0</v>
      </c>
      <c r="Q213" s="447">
        <v>0</v>
      </c>
    </row>
    <row r="214" spans="2:17">
      <c r="B214" s="541" t="s">
        <v>795</v>
      </c>
      <c r="C214" s="381">
        <f>VLOOKUP(B214,'[5]Allocation Factor &amp;Meter Totals'!$A$8:$F$249,6,FALSE)</f>
        <v>32981</v>
      </c>
      <c r="D214" s="381">
        <f>VLOOKUP(B214,'[5]Allocation Factor &amp;Meter Totals'!$A$8:$F$249,5,FALSE)</f>
        <v>19272</v>
      </c>
      <c r="E214" s="381">
        <f>VLOOKUP(B214,'[5]Allocation Factor &amp;Meter Totals'!$A$8:$F$249,6,FALSE)</f>
        <v>32981</v>
      </c>
      <c r="F214" s="21" t="s">
        <v>1589</v>
      </c>
      <c r="G214" s="21" t="s">
        <v>103</v>
      </c>
      <c r="H214" s="404">
        <f>VLOOKUP(B214,'[5]Allocation Factor &amp;Meter Totals'!$A$8:$F$249,6,FALSE)</f>
        <v>32981</v>
      </c>
      <c r="I214" s="405">
        <f>VLOOKUP(B214,'[5]Allocation Factor &amp;Meter Totals'!$A$8:$F$249,5,FALSE)</f>
        <v>19272</v>
      </c>
      <c r="J214" s="406">
        <f>VLOOKUP(B214,'[5]Allocation Factor &amp;Meter Totals'!$A$8:$F$249,3,FALSE)</f>
        <v>8.6385846921518059E-3</v>
      </c>
      <c r="K214" s="407">
        <f>VLOOKUP(B214,'[5]Allocation Factor &amp;Meter Totals'!$A$8:$F$249,6,FALSE)</f>
        <v>32981</v>
      </c>
      <c r="L214" s="406">
        <f>VLOOKUP(B214,'[5]Allocation Factor &amp;Meter Totals'!$A$8:$F$249,4,FALSE)</f>
        <v>6.37306990048612E-3</v>
      </c>
      <c r="M214" s="407" t="s">
        <v>104</v>
      </c>
      <c r="N214" s="21"/>
      <c r="O214" s="21" t="s">
        <v>103</v>
      </c>
      <c r="P214" s="387">
        <v>0</v>
      </c>
      <c r="Q214" s="387">
        <v>0</v>
      </c>
    </row>
    <row r="215" spans="2:17">
      <c r="B215" s="541" t="s">
        <v>802</v>
      </c>
      <c r="C215" s="381">
        <f>VLOOKUP(B215,'[5]Allocation Factor &amp;Meter Totals'!$A$8:$F$249,6,FALSE)</f>
        <v>17815</v>
      </c>
      <c r="D215" s="381">
        <f>VLOOKUP(B215,'[5]Allocation Factor &amp;Meter Totals'!$A$8:$F$249,5,FALSE)</f>
        <v>6891</v>
      </c>
      <c r="E215" s="381">
        <f>VLOOKUP(B215,'[5]Allocation Factor &amp;Meter Totals'!$A$8:$F$249,6,FALSE)</f>
        <v>17815</v>
      </c>
      <c r="F215" s="21" t="s">
        <v>1589</v>
      </c>
      <c r="G215" s="21" t="s">
        <v>103</v>
      </c>
      <c r="H215" s="404">
        <f>VLOOKUP(B215,'[5]Allocation Factor &amp;Meter Totals'!$A$8:$F$249,6,FALSE)</f>
        <v>17815</v>
      </c>
      <c r="I215" s="405">
        <f>VLOOKUP(B215,'[5]Allocation Factor &amp;Meter Totals'!$A$8:$F$249,5,FALSE)</f>
        <v>6891</v>
      </c>
      <c r="J215" s="406">
        <f>VLOOKUP(B215,'[5]Allocation Factor &amp;Meter Totals'!$A$8:$F$249,3,FALSE)</f>
        <v>3.0888588166053392E-3</v>
      </c>
      <c r="K215" s="407">
        <f>VLOOKUP(B215,'[5]Allocation Factor &amp;Meter Totals'!$A$8:$F$249,6,FALSE)</f>
        <v>17815</v>
      </c>
      <c r="L215" s="406">
        <f>VLOOKUP(B215,'[5]Allocation Factor &amp;Meter Totals'!$A$8:$F$249,4,FALSE)</f>
        <v>3.442474160187994E-3</v>
      </c>
      <c r="M215" s="407" t="s">
        <v>104</v>
      </c>
      <c r="N215" s="21"/>
      <c r="O215" s="21" t="s">
        <v>103</v>
      </c>
      <c r="P215" s="387">
        <v>0</v>
      </c>
      <c r="Q215" s="387">
        <v>0</v>
      </c>
    </row>
    <row r="216" spans="2:17">
      <c r="B216" s="541" t="s">
        <v>806</v>
      </c>
      <c r="C216" s="381">
        <f>VLOOKUP(B216,'[5]Allocation Factor &amp;Meter Totals'!$A$8:$F$249,6,FALSE)</f>
        <v>10517</v>
      </c>
      <c r="D216" s="381">
        <f>VLOOKUP(B216,'[5]Allocation Factor &amp;Meter Totals'!$A$8:$F$249,5,FALSE)</f>
        <v>2995</v>
      </c>
      <c r="E216" s="381">
        <f>VLOOKUP(B216,'[5]Allocation Factor &amp;Meter Totals'!$A$8:$F$249,6,FALSE)</f>
        <v>10517</v>
      </c>
      <c r="F216" s="21" t="s">
        <v>1589</v>
      </c>
      <c r="G216" s="21" t="s">
        <v>103</v>
      </c>
      <c r="H216" s="404">
        <f>VLOOKUP(B216,'[5]Allocation Factor &amp;Meter Totals'!$A$8:$F$249,6,FALSE)</f>
        <v>10517</v>
      </c>
      <c r="I216" s="405">
        <f>VLOOKUP(B216,'[5]Allocation Factor &amp;Meter Totals'!$A$8:$F$249,5,FALSE)</f>
        <v>2995</v>
      </c>
      <c r="J216" s="406">
        <f>VLOOKUP(B216,'[5]Allocation Factor &amp;Meter Totals'!$A$8:$F$249,3,FALSE)</f>
        <v>1.3424948709524003E-3</v>
      </c>
      <c r="K216" s="407">
        <f>VLOOKUP(B216,'[5]Allocation Factor &amp;Meter Totals'!$A$8:$F$249,6,FALSE)</f>
        <v>10517</v>
      </c>
      <c r="L216" s="406">
        <f>VLOOKUP(B216,'[5]Allocation Factor &amp;Meter Totals'!$A$8:$F$249,4,FALSE)</f>
        <v>2.0322481472184752E-3</v>
      </c>
      <c r="M216" s="407" t="s">
        <v>104</v>
      </c>
      <c r="N216" s="21"/>
      <c r="O216" s="21" t="s">
        <v>103</v>
      </c>
      <c r="P216" s="387">
        <v>0</v>
      </c>
      <c r="Q216" s="387">
        <v>0</v>
      </c>
    </row>
    <row r="217" spans="2:17">
      <c r="B217" s="541" t="s">
        <v>809</v>
      </c>
      <c r="C217" s="381">
        <f>VLOOKUP(B217,'[5]Allocation Factor &amp;Meter Totals'!$A$8:$F$249,6,FALSE)</f>
        <v>12720</v>
      </c>
      <c r="D217" s="381">
        <f>VLOOKUP(B217,'[5]Allocation Factor &amp;Meter Totals'!$A$8:$F$249,5,FALSE)</f>
        <v>6610</v>
      </c>
      <c r="E217" s="381">
        <f>VLOOKUP(B217,'[5]Allocation Factor &amp;Meter Totals'!$A$8:$F$249,6,FALSE)</f>
        <v>12720</v>
      </c>
      <c r="F217" s="21" t="s">
        <v>1589</v>
      </c>
      <c r="G217" s="21" t="s">
        <v>103</v>
      </c>
      <c r="H217" s="404">
        <f>VLOOKUP(B217,'[5]Allocation Factor &amp;Meter Totals'!$A$8:$F$249,6,FALSE)</f>
        <v>12720</v>
      </c>
      <c r="I217" s="405">
        <f>VLOOKUP(B217,'[5]Allocation Factor &amp;Meter Totals'!$A$8:$F$249,5,FALSE)</f>
        <v>6610</v>
      </c>
      <c r="J217" s="406">
        <f>VLOOKUP(B217,'[5]Allocation Factor &amp;Meter Totals'!$A$8:$F$249,3,FALSE)</f>
        <v>2.9629018687797552E-3</v>
      </c>
      <c r="K217" s="407">
        <f>VLOOKUP(B217,'[5]Allocation Factor &amp;Meter Totals'!$A$8:$F$249,6,FALSE)</f>
        <v>12720</v>
      </c>
      <c r="L217" s="406">
        <f>VLOOKUP(B217,'[5]Allocation Factor &amp;Meter Totals'!$A$8:$F$249,4,FALSE)</f>
        <v>2.4579439414870214E-3</v>
      </c>
      <c r="M217" s="407" t="s">
        <v>104</v>
      </c>
      <c r="N217" s="21"/>
      <c r="O217" s="21" t="s">
        <v>103</v>
      </c>
      <c r="P217" s="387">
        <v>0</v>
      </c>
      <c r="Q217" s="387">
        <v>0</v>
      </c>
    </row>
    <row r="218" spans="2:17">
      <c r="B218" s="541" t="s">
        <v>818</v>
      </c>
      <c r="C218" s="381">
        <f>VLOOKUP(B218,'[5]Allocation Factor &amp;Meter Totals'!$A$8:$F$249,6,FALSE)</f>
        <v>59378</v>
      </c>
      <c r="D218" s="381">
        <f>VLOOKUP(B218,'[5]Allocation Factor &amp;Meter Totals'!$A$8:$F$249,5,FALSE)</f>
        <v>20031</v>
      </c>
      <c r="E218" s="381">
        <f>VLOOKUP(B218,'[5]Allocation Factor &amp;Meter Totals'!$A$8:$F$249,6,FALSE)</f>
        <v>59378</v>
      </c>
      <c r="F218" s="21" t="s">
        <v>1589</v>
      </c>
      <c r="G218" s="21" t="s">
        <v>103</v>
      </c>
      <c r="H218" s="404">
        <f>VLOOKUP(B218,'[5]Allocation Factor &amp;Meter Totals'!$A$8:$F$249,6,FALSE)</f>
        <v>59378</v>
      </c>
      <c r="I218" s="405">
        <f>VLOOKUP(B218,'[5]Allocation Factor &amp;Meter Totals'!$A$8:$F$249,5,FALSE)</f>
        <v>20031</v>
      </c>
      <c r="J218" s="406">
        <f>VLOOKUP(B218,'[5]Allocation Factor &amp;Meter Totals'!$A$8:$F$249,3,FALSE)</f>
        <v>8.9788029248906616E-3</v>
      </c>
      <c r="K218" s="407">
        <f>VLOOKUP(B218,'[5]Allocation Factor &amp;Meter Totals'!$A$8:$F$249,6,FALSE)</f>
        <v>59378</v>
      </c>
      <c r="L218" s="406">
        <f>VLOOKUP(B218,'[5]Allocation Factor &amp;Meter Totals'!$A$8:$F$249,4,FALSE)</f>
        <v>1.1473883282831474E-2</v>
      </c>
      <c r="M218" s="407" t="s">
        <v>104</v>
      </c>
      <c r="N218" s="21"/>
      <c r="O218" s="21" t="s">
        <v>103</v>
      </c>
      <c r="P218" s="387">
        <v>0</v>
      </c>
      <c r="Q218" s="387">
        <v>0</v>
      </c>
    </row>
    <row r="219" spans="2:17">
      <c r="B219" s="541" t="s">
        <v>826</v>
      </c>
      <c r="C219" s="381">
        <f>VLOOKUP(B219,'[5]Allocation Factor &amp;Meter Totals'!$A$8:$F$249,6,FALSE)</f>
        <v>66139</v>
      </c>
      <c r="D219" s="381">
        <f>VLOOKUP(B219,'[5]Allocation Factor &amp;Meter Totals'!$A$8:$F$249,5,FALSE)</f>
        <v>5983</v>
      </c>
      <c r="E219" s="381">
        <f>VLOOKUP(B219,'[5]Allocation Factor &amp;Meter Totals'!$A$8:$F$249,6,FALSE)</f>
        <v>66139</v>
      </c>
      <c r="F219" s="21" t="s">
        <v>1589</v>
      </c>
      <c r="G219" s="21" t="s">
        <v>103</v>
      </c>
      <c r="H219" s="404">
        <f>VLOOKUP(B219,'[5]Allocation Factor &amp;Meter Totals'!$A$8:$F$249,6,FALSE)</f>
        <v>66139</v>
      </c>
      <c r="I219" s="405">
        <f>VLOOKUP(B219,'[5]Allocation Factor &amp;Meter Totals'!$A$8:$F$249,5,FALSE)</f>
        <v>5983</v>
      </c>
      <c r="J219" s="406">
        <f>VLOOKUP(B219,'[5]Allocation Factor &amp;Meter Totals'!$A$8:$F$249,3,FALSE)</f>
        <v>2.6818520243433092E-3</v>
      </c>
      <c r="K219" s="407">
        <f>VLOOKUP(B219,'[5]Allocation Factor &amp;Meter Totals'!$A$8:$F$249,6,FALSE)</f>
        <v>66139</v>
      </c>
      <c r="L219" s="406">
        <f>VLOOKUP(B219,'[5]Allocation Factor &amp;Meter Totals'!$A$8:$F$249,4,FALSE)</f>
        <v>1.2780342322799535E-2</v>
      </c>
      <c r="M219" s="407" t="s">
        <v>104</v>
      </c>
      <c r="N219" s="21"/>
      <c r="O219" s="21" t="s">
        <v>103</v>
      </c>
      <c r="P219" s="387">
        <v>0</v>
      </c>
      <c r="Q219" s="387">
        <v>0</v>
      </c>
    </row>
    <row r="220" spans="2:17">
      <c r="B220" s="541" t="s">
        <v>833</v>
      </c>
      <c r="C220" s="381">
        <f>VLOOKUP(B220,'[5]Allocation Factor &amp;Meter Totals'!$A$8:$F$249,6,FALSE)</f>
        <v>30488</v>
      </c>
      <c r="D220" s="381">
        <f>VLOOKUP(B220,'[5]Allocation Factor &amp;Meter Totals'!$A$8:$F$249,5,FALSE)</f>
        <v>11587</v>
      </c>
      <c r="E220" s="381">
        <f>VLOOKUP(B220,'[5]Allocation Factor &amp;Meter Totals'!$A$8:$F$249,6,FALSE)</f>
        <v>30488</v>
      </c>
      <c r="F220" s="21" t="s">
        <v>1589</v>
      </c>
      <c r="G220" s="21" t="s">
        <v>103</v>
      </c>
      <c r="H220" s="404">
        <f>VLOOKUP(B220,'[5]Allocation Factor &amp;Meter Totals'!$A$8:$F$249,6,FALSE)</f>
        <v>30488</v>
      </c>
      <c r="I220" s="405">
        <f>VLOOKUP(B220,'[5]Allocation Factor &amp;Meter Totals'!$A$8:$F$249,5,FALSE)</f>
        <v>11587</v>
      </c>
      <c r="J220" s="406">
        <f>VLOOKUP(B220,'[5]Allocation Factor &amp;Meter Totals'!$A$8:$F$249,3,FALSE)</f>
        <v>5.1938190550001543E-3</v>
      </c>
      <c r="K220" s="407">
        <f>VLOOKUP(B220,'[5]Allocation Factor &amp;Meter Totals'!$A$8:$F$249,6,FALSE)</f>
        <v>30488</v>
      </c>
      <c r="L220" s="406">
        <f>VLOOKUP(B220,'[5]Allocation Factor &amp;Meter Totals'!$A$8:$F$249,4,FALSE)</f>
        <v>5.891336076105055E-3</v>
      </c>
      <c r="M220" s="407" t="s">
        <v>104</v>
      </c>
      <c r="N220" s="21"/>
      <c r="O220" s="21" t="s">
        <v>103</v>
      </c>
      <c r="P220" s="387">
        <v>0</v>
      </c>
      <c r="Q220" s="387">
        <v>0</v>
      </c>
    </row>
    <row r="221" spans="2:17">
      <c r="B221" s="541" t="s">
        <v>838</v>
      </c>
      <c r="C221" s="381">
        <f>VLOOKUP(B221,'[5]Allocation Factor &amp;Meter Totals'!$A$8:$F$249,6,FALSE)</f>
        <v>30221</v>
      </c>
      <c r="D221" s="381">
        <f>VLOOKUP(B221,'[5]Allocation Factor &amp;Meter Totals'!$A$8:$F$249,5,FALSE)</f>
        <v>9126</v>
      </c>
      <c r="E221" s="381">
        <f>VLOOKUP(B221,'[5]Allocation Factor &amp;Meter Totals'!$A$8:$F$249,6,FALSE)</f>
        <v>30221</v>
      </c>
      <c r="F221" s="21" t="s">
        <v>1589</v>
      </c>
      <c r="G221" s="21" t="s">
        <v>103</v>
      </c>
      <c r="H221" s="404">
        <f>VLOOKUP(B221,'[5]Allocation Factor &amp;Meter Totals'!$A$8:$F$249,6,FALSE)</f>
        <v>30221</v>
      </c>
      <c r="I221" s="405">
        <f>VLOOKUP(B221,'[5]Allocation Factor &amp;Meter Totals'!$A$8:$F$249,5,FALSE)</f>
        <v>9126</v>
      </c>
      <c r="J221" s="406">
        <f>VLOOKUP(B221,'[5]Allocation Factor &amp;Meter Totals'!$A$8:$F$249,3,FALSE)</f>
        <v>4.0906872094529567E-3</v>
      </c>
      <c r="K221" s="407">
        <f>VLOOKUP(B221,'[5]Allocation Factor &amp;Meter Totals'!$A$8:$F$249,6,FALSE)</f>
        <v>30221</v>
      </c>
      <c r="L221" s="406">
        <f>VLOOKUP(B221,'[5]Allocation Factor &amp;Meter Totals'!$A$8:$F$249,4,FALSE)</f>
        <v>5.8397424414842192E-3</v>
      </c>
      <c r="M221" s="407" t="s">
        <v>104</v>
      </c>
      <c r="N221" s="21"/>
      <c r="O221" s="21" t="s">
        <v>103</v>
      </c>
      <c r="P221" s="387">
        <v>0</v>
      </c>
      <c r="Q221" s="387">
        <v>0</v>
      </c>
    </row>
    <row r="222" spans="2:17">
      <c r="B222" s="541" t="s">
        <v>841</v>
      </c>
      <c r="C222" s="381">
        <f>VLOOKUP(B222,'[5]Allocation Factor &amp;Meter Totals'!$A$8:$F$249,6,FALSE)</f>
        <v>74411</v>
      </c>
      <c r="D222" s="381">
        <f>VLOOKUP(B222,'[5]Allocation Factor &amp;Meter Totals'!$A$8:$F$249,5,FALSE)</f>
        <v>38817</v>
      </c>
      <c r="E222" s="381">
        <f>VLOOKUP(B222,'[5]Allocation Factor &amp;Meter Totals'!$A$8:$F$249,6,FALSE)</f>
        <v>74411</v>
      </c>
      <c r="F222" s="21" t="s">
        <v>1589</v>
      </c>
      <c r="G222" s="21" t="s">
        <v>103</v>
      </c>
      <c r="H222" s="404">
        <f>VLOOKUP(B222,'[5]Allocation Factor &amp;Meter Totals'!$A$8:$F$249,6,FALSE)</f>
        <v>74411</v>
      </c>
      <c r="I222" s="405">
        <f>VLOOKUP(B222,'[5]Allocation Factor &amp;Meter Totals'!$A$8:$F$249,5,FALSE)</f>
        <v>38817</v>
      </c>
      <c r="J222" s="406">
        <f>VLOOKUP(B222,'[5]Allocation Factor &amp;Meter Totals'!$A$8:$F$249,3,FALSE)</f>
        <v>1.7399540369201778E-2</v>
      </c>
      <c r="K222" s="407">
        <f>VLOOKUP(B222,'[5]Allocation Factor &amp;Meter Totals'!$A$8:$F$249,6,FALSE)</f>
        <v>74411</v>
      </c>
      <c r="L222" s="406">
        <f>VLOOKUP(B222,'[5]Allocation Factor &amp;Meter Totals'!$A$8:$F$249,4,FALSE)</f>
        <v>1.4378778823112479E-2</v>
      </c>
      <c r="M222" s="407" t="s">
        <v>104</v>
      </c>
      <c r="N222" s="21"/>
      <c r="O222" s="21" t="s">
        <v>103</v>
      </c>
      <c r="P222" s="387">
        <v>0</v>
      </c>
      <c r="Q222" s="387">
        <v>0</v>
      </c>
    </row>
    <row r="223" spans="2:17">
      <c r="B223" s="544" t="s">
        <v>853</v>
      </c>
      <c r="C223" s="108">
        <f>VLOOKUP(B223,'[5]Allocation Factor &amp;Meter Totals'!$A$8:$F$249,6,FALSE)</f>
        <v>8128</v>
      </c>
      <c r="D223" s="108">
        <f>VLOOKUP(B223,'[5]Allocation Factor &amp;Meter Totals'!$A$8:$F$249,5,FALSE)</f>
        <v>5652</v>
      </c>
      <c r="E223" s="108">
        <f>VLOOKUP(B223,'[5]Allocation Factor &amp;Meter Totals'!$A$8:$F$249,6,FALSE)</f>
        <v>8128</v>
      </c>
      <c r="F223" s="418" t="s">
        <v>1589</v>
      </c>
      <c r="G223" s="418" t="s">
        <v>103</v>
      </c>
      <c r="H223" s="419">
        <f>VLOOKUP(B223,'[5]Allocation Factor &amp;Meter Totals'!$A$8:$F$249,6,FALSE)</f>
        <v>8128</v>
      </c>
      <c r="I223" s="420">
        <f>VLOOKUP(B223,'[5]Allocation Factor &amp;Meter Totals'!$A$8:$F$249,5,FALSE)</f>
        <v>5652</v>
      </c>
      <c r="J223" s="421">
        <f>VLOOKUP(B223,'[5]Allocation Factor &amp;Meter Totals'!$A$8:$F$249,3,FALSE)</f>
        <v>2.533482808221358E-3</v>
      </c>
      <c r="K223" s="422">
        <f>VLOOKUP(B223,'[5]Allocation Factor &amp;Meter Totals'!$A$8:$F$249,6,FALSE)</f>
        <v>8128</v>
      </c>
      <c r="L223" s="421">
        <f>VLOOKUP(B223,'[5]Allocation Factor &amp;Meter Totals'!$A$8:$F$249,4,FALSE)</f>
        <v>1.570610719843279E-3</v>
      </c>
      <c r="M223" s="422" t="s">
        <v>110</v>
      </c>
      <c r="N223" s="1"/>
      <c r="O223" s="21" t="s">
        <v>103</v>
      </c>
      <c r="P223" s="387">
        <v>0</v>
      </c>
      <c r="Q223" s="387">
        <v>0</v>
      </c>
    </row>
    <row r="224" spans="2:17">
      <c r="B224" s="544" t="s">
        <v>861</v>
      </c>
      <c r="C224" s="108">
        <f>VLOOKUP(B224,'[5]Allocation Factor &amp;Meter Totals'!$A$8:$F$249,6,FALSE)</f>
        <v>33228</v>
      </c>
      <c r="D224" s="108">
        <f>VLOOKUP(B224,'[5]Allocation Factor &amp;Meter Totals'!$A$8:$F$249,5,FALSE)</f>
        <v>10927</v>
      </c>
      <c r="E224" s="108">
        <f>VLOOKUP(B224,'[5]Allocation Factor &amp;Meter Totals'!$A$8:$F$249,6,FALSE)</f>
        <v>33228</v>
      </c>
      <c r="F224" s="418" t="s">
        <v>1589</v>
      </c>
      <c r="G224" s="418" t="s">
        <v>103</v>
      </c>
      <c r="H224" s="419">
        <f>VLOOKUP(B224,'[5]Allocation Factor &amp;Meter Totals'!$A$8:$F$249,6,FALSE)</f>
        <v>33228</v>
      </c>
      <c r="I224" s="420">
        <f>VLOOKUP(B224,'[5]Allocation Factor &amp;Meter Totals'!$A$8:$F$249,5,FALSE)</f>
        <v>10927</v>
      </c>
      <c r="J224" s="421">
        <f>VLOOKUP(B224,'[5]Allocation Factor &amp;Meter Totals'!$A$8:$F$249,3,FALSE)</f>
        <v>4.8979771134881065E-3</v>
      </c>
      <c r="K224" s="422">
        <f>VLOOKUP(B224,'[5]Allocation Factor &amp;Meter Totals'!$A$8:$F$249,6,FALSE)</f>
        <v>33228</v>
      </c>
      <c r="L224" s="421">
        <f>VLOOKUP(B224,'[5]Allocation Factor &amp;Meter Totals'!$A$8:$F$249,4,FALSE)</f>
        <v>6.4207988433750583E-3</v>
      </c>
      <c r="M224" s="422" t="s">
        <v>104</v>
      </c>
      <c r="N224" s="1"/>
      <c r="O224" s="21" t="s">
        <v>103</v>
      </c>
      <c r="P224" s="387">
        <v>0</v>
      </c>
      <c r="Q224" s="387">
        <v>0</v>
      </c>
    </row>
    <row r="225" spans="2:17">
      <c r="B225" s="544" t="s">
        <v>862</v>
      </c>
      <c r="C225" s="108">
        <f>VLOOKUP(B225,'[5]Allocation Factor &amp;Meter Totals'!$A$8:$F$249,6,FALSE)</f>
        <v>42664</v>
      </c>
      <c r="D225" s="108">
        <f>VLOOKUP(B225,'[5]Allocation Factor &amp;Meter Totals'!$A$8:$F$249,5,FALSE)</f>
        <v>6110</v>
      </c>
      <c r="E225" s="108">
        <f>VLOOKUP(B225,'[5]Allocation Factor &amp;Meter Totals'!$A$8:$F$249,6,FALSE)</f>
        <v>42664</v>
      </c>
      <c r="F225" s="418" t="s">
        <v>1589</v>
      </c>
      <c r="G225" s="418" t="s">
        <v>103</v>
      </c>
      <c r="H225" s="419">
        <f>VLOOKUP(B225,'[5]Allocation Factor &amp;Meter Totals'!$A$8:$F$249,6,FALSE)</f>
        <v>42664</v>
      </c>
      <c r="I225" s="420">
        <f>VLOOKUP(B225,'[5]Allocation Factor &amp;Meter Totals'!$A$8:$F$249,5,FALSE)</f>
        <v>6110</v>
      </c>
      <c r="J225" s="421">
        <f>VLOOKUP(B225,'[5]Allocation Factor &amp;Meter Totals'!$A$8:$F$249,3,FALSE)</f>
        <v>2.7387791858160824E-3</v>
      </c>
      <c r="K225" s="422">
        <f>VLOOKUP(B225,'[5]Allocation Factor &amp;Meter Totals'!$A$8:$F$249,6,FALSE)</f>
        <v>42664</v>
      </c>
      <c r="L225" s="421">
        <f>VLOOKUP(B225,'[5]Allocation Factor &amp;Meter Totals'!$A$8:$F$249,4,FALSE)</f>
        <v>8.2441604024844559E-3</v>
      </c>
      <c r="M225" s="422" t="s">
        <v>104</v>
      </c>
      <c r="N225" s="1"/>
      <c r="O225" s="21" t="s">
        <v>103</v>
      </c>
      <c r="P225" s="387">
        <v>0</v>
      </c>
      <c r="Q225" s="387">
        <v>0</v>
      </c>
    </row>
    <row r="226" spans="2:17">
      <c r="B226" s="544" t="s">
        <v>869</v>
      </c>
      <c r="C226" s="108">
        <f>VLOOKUP(B226,'[5]Allocation Factor &amp;Meter Totals'!$A$8:$F$249,6,FALSE)</f>
        <v>19024</v>
      </c>
      <c r="D226" s="108">
        <f>VLOOKUP(B226,'[5]Allocation Factor &amp;Meter Totals'!$A$8:$F$249,5,FALSE)</f>
        <v>8203</v>
      </c>
      <c r="E226" s="108">
        <f>VLOOKUP(B226,'[5]Allocation Factor &amp;Meter Totals'!$A$8:$F$249,6,FALSE)</f>
        <v>19024</v>
      </c>
      <c r="F226" s="418" t="s">
        <v>1589</v>
      </c>
      <c r="G226" s="418" t="s">
        <v>103</v>
      </c>
      <c r="H226" s="419">
        <f>VLOOKUP(B226,'[5]Allocation Factor &amp;Meter Totals'!$A$8:$F$249,6,FALSE)</f>
        <v>19024</v>
      </c>
      <c r="I226" s="420">
        <f>VLOOKUP(B226,'[5]Allocation Factor &amp;Meter Totals'!$A$8:$F$249,5,FALSE)</f>
        <v>8203</v>
      </c>
      <c r="J226" s="421">
        <f>VLOOKUP(B226,'[5]Allocation Factor &amp;Meter Totals'!$A$8:$F$249,3,FALSE)</f>
        <v>3.676956736702017E-3</v>
      </c>
      <c r="K226" s="422">
        <f>VLOOKUP(B226,'[5]Allocation Factor &amp;Meter Totals'!$A$8:$F$249,6,FALSE)</f>
        <v>19024</v>
      </c>
      <c r="L226" s="421">
        <f>VLOOKUP(B226,'[5]Allocation Factor &amp;Meter Totals'!$A$8:$F$249,4,FALSE)</f>
        <v>3.676094775381218E-3</v>
      </c>
      <c r="M226" s="422" t="s">
        <v>110</v>
      </c>
      <c r="N226" s="1"/>
      <c r="O226" s="21" t="s">
        <v>103</v>
      </c>
      <c r="P226" s="387">
        <v>0</v>
      </c>
      <c r="Q226" s="387">
        <v>0</v>
      </c>
    </row>
    <row r="227" spans="2:17">
      <c r="B227" s="544" t="s">
        <v>870</v>
      </c>
      <c r="C227" s="110">
        <f>VLOOKUP(B227,'[5]Allocation Factor &amp;Meter Totals'!$A$8:$F$249,6,FALSE)</f>
        <v>10878</v>
      </c>
      <c r="D227" s="110">
        <f>VLOOKUP(B227,'[5]Allocation Factor &amp;Meter Totals'!$A$8:$F$249,5,FALSE)</f>
        <v>7626</v>
      </c>
      <c r="E227" s="110">
        <f>VLOOKUP(B227,'[5]Allocation Factor &amp;Meter Totals'!$A$8:$F$249,6,FALSE)</f>
        <v>10878</v>
      </c>
      <c r="F227" s="448" t="s">
        <v>1589</v>
      </c>
      <c r="G227" s="448" t="s">
        <v>103</v>
      </c>
      <c r="H227" s="449">
        <f>VLOOKUP(B227,'[5]Allocation Factor &amp;Meter Totals'!$A$8:$F$249,6,FALSE)</f>
        <v>10878</v>
      </c>
      <c r="I227" s="450">
        <f>VLOOKUP(B227,'[5]Allocation Factor &amp;Meter Totals'!$A$8:$F$249,5,FALSE)</f>
        <v>7626</v>
      </c>
      <c r="J227" s="451">
        <f>VLOOKUP(B227,'[5]Allocation Factor &amp;Meter Totals'!$A$8:$F$249,3,FALSE)</f>
        <v>3.4183191605619383E-3</v>
      </c>
      <c r="K227" s="452">
        <f>VLOOKUP(B227,'[5]Allocation Factor &amp;Meter Totals'!$A$8:$F$249,6,FALSE)</f>
        <v>10878</v>
      </c>
      <c r="L227" s="451">
        <f>VLOOKUP(B227,'[5]Allocation Factor &amp;Meter Totals'!$A$8:$F$249,4,FALSE)</f>
        <v>2.1020058329792308E-3</v>
      </c>
      <c r="M227" s="452" t="s">
        <v>110</v>
      </c>
      <c r="N227" s="13"/>
      <c r="O227" s="446" t="s">
        <v>1609</v>
      </c>
      <c r="P227" s="447">
        <v>0</v>
      </c>
      <c r="Q227" s="447">
        <v>0</v>
      </c>
    </row>
    <row r="228" spans="2:17">
      <c r="B228" s="544" t="s">
        <v>871</v>
      </c>
      <c r="C228" s="108">
        <f>VLOOKUP(B228,'[5]Allocation Factor &amp;Meter Totals'!$A$8:$F$249,6,FALSE)</f>
        <v>121741</v>
      </c>
      <c r="D228" s="108">
        <f>VLOOKUP(B228,'[5]Allocation Factor &amp;Meter Totals'!$A$8:$F$249,5,FALSE)</f>
        <v>82489</v>
      </c>
      <c r="E228" s="108">
        <f>VLOOKUP(B228,'[5]Allocation Factor &amp;Meter Totals'!$A$8:$F$249,6,FALSE)</f>
        <v>121741</v>
      </c>
      <c r="F228" s="418" t="s">
        <v>1589</v>
      </c>
      <c r="G228" s="418" t="s">
        <v>103</v>
      </c>
      <c r="H228" s="419">
        <f>VLOOKUP(B228,'[5]Allocation Factor &amp;Meter Totals'!$A$8:$F$249,6,FALSE)</f>
        <v>121741</v>
      </c>
      <c r="I228" s="420">
        <f>VLOOKUP(B228,'[5]Allocation Factor &amp;Meter Totals'!$A$8:$F$249,5,FALSE)</f>
        <v>82489</v>
      </c>
      <c r="J228" s="421">
        <f>VLOOKUP(B228,'[5]Allocation Factor &amp;Meter Totals'!$A$8:$F$249,3,FALSE)</f>
        <v>3.6975311989980816E-2</v>
      </c>
      <c r="K228" s="422">
        <f>VLOOKUP(B228,'[5]Allocation Factor &amp;Meter Totals'!$A$8:$F$249,6,FALSE)</f>
        <v>121741</v>
      </c>
      <c r="L228" s="421">
        <f>VLOOKUP(B228,'[5]Allocation Factor &amp;Meter Totals'!$A$8:$F$249,4,FALSE)</f>
        <v>2.35245718066487E-2</v>
      </c>
      <c r="M228" s="422" t="s">
        <v>104</v>
      </c>
      <c r="N228" s="1"/>
      <c r="O228" s="21" t="s">
        <v>103</v>
      </c>
      <c r="P228" s="387">
        <v>0</v>
      </c>
      <c r="Q228" s="387">
        <v>0</v>
      </c>
    </row>
    <row r="229" spans="2:17" ht="14.45" customHeight="1">
      <c r="B229" s="545" t="s">
        <v>1429</v>
      </c>
      <c r="C229" s="424">
        <f>SUM(C205:C228)</f>
        <v>742197</v>
      </c>
      <c r="D229" s="424">
        <f t="shared" ref="D229:E229" si="18">SUM(D205:D228)</f>
        <v>283395</v>
      </c>
      <c r="E229" s="424">
        <f t="shared" si="18"/>
        <v>742197</v>
      </c>
      <c r="F229" s="425"/>
      <c r="G229" s="423"/>
      <c r="H229" s="426">
        <f t="shared" ref="H229:L229" si="19">SUM(H205:H228)</f>
        <v>742197</v>
      </c>
      <c r="I229" s="427">
        <f t="shared" si="19"/>
        <v>283395</v>
      </c>
      <c r="J229" s="428">
        <f t="shared" si="19"/>
        <v>0.12703049547698014</v>
      </c>
      <c r="K229" s="429">
        <f t="shared" si="19"/>
        <v>742197</v>
      </c>
      <c r="L229" s="428">
        <f t="shared" si="19"/>
        <v>0.14341813046696877</v>
      </c>
      <c r="M229" s="429"/>
      <c r="N229" s="423"/>
      <c r="O229" s="423"/>
      <c r="P229" s="413">
        <v>0</v>
      </c>
      <c r="Q229" s="413">
        <v>0</v>
      </c>
    </row>
    <row r="230" spans="2:17" ht="58.5" customHeight="1">
      <c r="B230" s="541" t="s">
        <v>1628</v>
      </c>
      <c r="C230" s="1162" t="s">
        <v>1629</v>
      </c>
      <c r="D230" s="1162"/>
      <c r="E230" s="1162"/>
      <c r="F230" s="1162"/>
      <c r="G230" s="1162"/>
      <c r="H230" s="1162"/>
      <c r="I230" s="1162"/>
      <c r="J230" s="1162"/>
      <c r="K230" s="1162"/>
      <c r="L230" s="1162"/>
      <c r="M230" s="1162"/>
      <c r="N230" s="1162"/>
      <c r="O230" s="1162"/>
      <c r="P230" s="1162"/>
      <c r="Q230" s="1162"/>
    </row>
    <row r="231" spans="2:17" ht="43.35" customHeight="1">
      <c r="B231" s="541" t="s">
        <v>1630</v>
      </c>
      <c r="C231" s="1162" t="s">
        <v>1631</v>
      </c>
      <c r="D231" s="1162"/>
      <c r="E231" s="1162"/>
      <c r="F231" s="1162"/>
      <c r="G231" s="1162"/>
      <c r="H231" s="1162"/>
      <c r="I231" s="1162"/>
      <c r="J231" s="1162"/>
      <c r="K231" s="1162"/>
      <c r="L231" s="1162"/>
      <c r="M231" s="1162"/>
      <c r="N231" s="1162"/>
      <c r="O231" s="1162"/>
      <c r="P231" s="1162"/>
      <c r="Q231" s="1162"/>
    </row>
    <row r="232" spans="2:17">
      <c r="B232" s="546" t="s">
        <v>880</v>
      </c>
      <c r="C232" s="417"/>
      <c r="D232" s="417"/>
      <c r="E232" s="430"/>
      <c r="F232" s="390"/>
      <c r="G232" s="431"/>
      <c r="H232" s="432"/>
      <c r="I232" s="431"/>
      <c r="J232" s="431"/>
      <c r="K232" s="431"/>
      <c r="L232" s="431"/>
      <c r="M232" s="431"/>
      <c r="N232" s="431"/>
      <c r="O232" s="431"/>
      <c r="P232" s="433"/>
      <c r="Q232" s="433"/>
    </row>
    <row r="233" spans="2:17" ht="43.5">
      <c r="B233" s="434" t="s">
        <v>881</v>
      </c>
      <c r="C233" s="415">
        <f>VLOOKUP(B233,'[5]Allocation Factor &amp;Meter Totals'!$A$8:$F$249,6,FALSE)</f>
        <v>16</v>
      </c>
      <c r="D233" s="415">
        <f>VLOOKUP(B233,'[5]Allocation Factor &amp;Meter Totals'!$A$8:$F$249,5,FALSE)</f>
        <v>11</v>
      </c>
      <c r="E233" s="415">
        <f>VLOOKUP(B233,'[5]Allocation Factor &amp;Meter Totals'!$A$8:$F$249,6,FALSE)</f>
        <v>16</v>
      </c>
      <c r="F233" s="418" t="s">
        <v>1589</v>
      </c>
      <c r="G233" s="418" t="s">
        <v>103</v>
      </c>
      <c r="H233" s="419">
        <f>VLOOKUP(B233,'[5]Allocation Factor &amp;Meter Totals'!$A$8:$F$249,6,FALSE)</f>
        <v>16</v>
      </c>
      <c r="I233" s="420">
        <f>VLOOKUP(B233,'[5]Allocation Factor &amp;Meter Totals'!$A$8:$F$249,5,FALSE)</f>
        <v>11</v>
      </c>
      <c r="J233" s="421">
        <f>VLOOKUP(B233,'[5]Allocation Factor &amp;Meter Totals'!$A$8:$F$249,3,FALSE)</f>
        <v>4.930699025200803E-6</v>
      </c>
      <c r="K233" s="422">
        <f>VLOOKUP(B233,'[5]Allocation Factor &amp;Meter Totals'!$A$8:$F$249,6,FALSE)</f>
        <v>16</v>
      </c>
      <c r="L233" s="421">
        <f>VLOOKUP(B233,'[5]Allocation Factor &amp;Meter Totals'!$A$8:$F$249,4,FALSE)</f>
        <v>3.091753385518266E-6</v>
      </c>
      <c r="M233" s="422" t="s">
        <v>104</v>
      </c>
      <c r="N233" s="1"/>
      <c r="O233" s="435" t="s">
        <v>1593</v>
      </c>
      <c r="P233" s="387">
        <v>0</v>
      </c>
      <c r="Q233" s="387">
        <v>0</v>
      </c>
    </row>
    <row r="234" spans="2:17" ht="14.45" customHeight="1">
      <c r="B234" s="436" t="s">
        <v>1432</v>
      </c>
      <c r="C234" s="416">
        <f>SUM(C233)</f>
        <v>16</v>
      </c>
      <c r="D234" s="416">
        <f t="shared" ref="D234:E234" si="20">SUM(D233)</f>
        <v>11</v>
      </c>
      <c r="E234" s="416">
        <f t="shared" si="20"/>
        <v>16</v>
      </c>
      <c r="F234" s="425"/>
      <c r="G234" s="423"/>
      <c r="H234" s="426">
        <f t="shared" ref="H234:L234" si="21">SUM(H233)</f>
        <v>16</v>
      </c>
      <c r="I234" s="427">
        <f t="shared" si="21"/>
        <v>11</v>
      </c>
      <c r="J234" s="428">
        <f t="shared" si="21"/>
        <v>4.930699025200803E-6</v>
      </c>
      <c r="K234" s="429">
        <f t="shared" si="21"/>
        <v>16</v>
      </c>
      <c r="L234" s="428">
        <f t="shared" si="21"/>
        <v>3.091753385518266E-6</v>
      </c>
      <c r="M234" s="429"/>
      <c r="N234" s="423"/>
      <c r="O234" s="423"/>
      <c r="P234" s="413">
        <v>0</v>
      </c>
      <c r="Q234" s="413">
        <v>0</v>
      </c>
    </row>
    <row r="235" spans="2:17" ht="58.5" customHeight="1">
      <c r="B235" s="541" t="s">
        <v>1632</v>
      </c>
      <c r="C235" s="1162" t="s">
        <v>1633</v>
      </c>
      <c r="D235" s="1162"/>
      <c r="E235" s="1162"/>
      <c r="F235" s="1162"/>
      <c r="G235" s="1162"/>
      <c r="H235" s="1162"/>
      <c r="I235" s="1162"/>
      <c r="J235" s="1162"/>
      <c r="K235" s="1162"/>
      <c r="L235" s="1162"/>
      <c r="M235" s="1162"/>
      <c r="N235" s="1162"/>
      <c r="O235" s="1162"/>
      <c r="P235" s="1162"/>
      <c r="Q235" s="1162"/>
    </row>
    <row r="236" spans="2:17" ht="29.1" customHeight="1">
      <c r="B236" s="541" t="s">
        <v>1634</v>
      </c>
      <c r="C236" s="1162" t="s">
        <v>1633</v>
      </c>
      <c r="D236" s="1162"/>
      <c r="E236" s="1162"/>
      <c r="F236" s="1162"/>
      <c r="G236" s="1162"/>
      <c r="H236" s="1162"/>
      <c r="I236" s="1162"/>
      <c r="J236" s="1162"/>
      <c r="K236" s="1162"/>
      <c r="L236" s="1162"/>
      <c r="M236" s="1162"/>
      <c r="N236" s="1162"/>
      <c r="O236" s="1162"/>
      <c r="P236" s="1162"/>
      <c r="Q236" s="1162"/>
    </row>
    <row r="237" spans="2:17">
      <c r="B237" s="547" t="s">
        <v>882</v>
      </c>
      <c r="C237" s="430"/>
      <c r="D237" s="430"/>
      <c r="E237" s="430"/>
      <c r="F237" s="390"/>
      <c r="G237" s="431"/>
      <c r="H237" s="432"/>
      <c r="I237" s="431"/>
      <c r="J237" s="431"/>
      <c r="K237" s="431"/>
      <c r="L237" s="431"/>
      <c r="M237" s="431"/>
      <c r="N237" s="431"/>
      <c r="O237" s="431"/>
      <c r="P237" s="433"/>
      <c r="Q237" s="433"/>
    </row>
    <row r="238" spans="2:17">
      <c r="B238" s="544" t="s">
        <v>883</v>
      </c>
      <c r="C238" s="108">
        <f>VLOOKUP(B238,'[5]Allocation Factor &amp;Meter Totals'!$A$8:$F$249,6,FALSE)</f>
        <v>6015</v>
      </c>
      <c r="D238" s="108">
        <f>VLOOKUP(B238,'[5]Allocation Factor &amp;Meter Totals'!$A$8:$F$249,5,FALSE)</f>
        <v>1781</v>
      </c>
      <c r="E238" s="108">
        <f>VLOOKUP(B238,'[5]Allocation Factor &amp;Meter Totals'!$A$8:$F$249,6,FALSE)</f>
        <v>6015</v>
      </c>
      <c r="F238" s="418" t="s">
        <v>1589</v>
      </c>
      <c r="G238" s="418" t="s">
        <v>103</v>
      </c>
      <c r="H238" s="419">
        <f>VLOOKUP(B238,'[5]Allocation Factor &amp;Meter Totals'!$A$8:$F$249,6,FALSE)</f>
        <v>6015</v>
      </c>
      <c r="I238" s="420">
        <f>VLOOKUP(B238,'[5]Allocation Factor &amp;Meter Totals'!$A$8:$F$249,5,FALSE)</f>
        <v>1781</v>
      </c>
      <c r="J238" s="421">
        <f>VLOOKUP(B238,'[5]Allocation Factor &amp;Meter Totals'!$A$8:$F$249,3,FALSE)</f>
        <v>7.9832499671660269E-4</v>
      </c>
      <c r="K238" s="422">
        <f>VLOOKUP(B238,'[5]Allocation Factor &amp;Meter Totals'!$A$8:$F$249,6,FALSE)</f>
        <v>6015</v>
      </c>
      <c r="L238" s="421">
        <f>VLOOKUP(B238,'[5]Allocation Factor &amp;Meter Totals'!$A$8:$F$249,4,FALSE)</f>
        <v>1.1623060383682731E-3</v>
      </c>
      <c r="M238" s="422" t="s">
        <v>110</v>
      </c>
      <c r="N238" s="1"/>
      <c r="O238" s="21" t="s">
        <v>103</v>
      </c>
      <c r="P238" s="387">
        <v>0</v>
      </c>
      <c r="Q238" s="387">
        <v>0</v>
      </c>
    </row>
    <row r="239" spans="2:17">
      <c r="B239" s="544" t="s">
        <v>884</v>
      </c>
      <c r="C239" s="110">
        <f>VLOOKUP(B239,'[5]Allocation Factor &amp;Meter Totals'!$A$8:$F$249,6,FALSE)</f>
        <v>13623</v>
      </c>
      <c r="D239" s="110">
        <f>VLOOKUP(B239,'[5]Allocation Factor &amp;Meter Totals'!$A$8:$F$249,5,FALSE)</f>
        <v>3963</v>
      </c>
      <c r="E239" s="110">
        <f>VLOOKUP(B239,'[5]Allocation Factor &amp;Meter Totals'!$A$8:$F$249,6,FALSE)</f>
        <v>13623</v>
      </c>
      <c r="F239" s="448" t="s">
        <v>1589</v>
      </c>
      <c r="G239" s="448" t="s">
        <v>103</v>
      </c>
      <c r="H239" s="449">
        <f>VLOOKUP(B239,'[5]Allocation Factor &amp;Meter Totals'!$A$8:$F$249,6,FALSE)</f>
        <v>13623</v>
      </c>
      <c r="I239" s="450">
        <f>VLOOKUP(B239,'[5]Allocation Factor &amp;Meter Totals'!$A$8:$F$249,5,FALSE)</f>
        <v>3963</v>
      </c>
      <c r="J239" s="451">
        <f>VLOOKUP(B239,'[5]Allocation Factor &amp;Meter Totals'!$A$8:$F$249,3,FALSE)</f>
        <v>1.7763963851700709E-3</v>
      </c>
      <c r="K239" s="452">
        <f>VLOOKUP(B239,'[5]Allocation Factor &amp;Meter Totals'!$A$8:$F$249,6,FALSE)</f>
        <v>13623</v>
      </c>
      <c r="L239" s="451">
        <f>VLOOKUP(B239,'[5]Allocation Factor &amp;Meter Totals'!$A$8:$F$249,4,FALSE)</f>
        <v>2.6324347731822083E-3</v>
      </c>
      <c r="M239" s="452" t="s">
        <v>110</v>
      </c>
      <c r="N239" s="13"/>
      <c r="O239" s="446" t="s">
        <v>1609</v>
      </c>
      <c r="P239" s="447">
        <v>0</v>
      </c>
      <c r="Q239" s="447">
        <v>0</v>
      </c>
    </row>
    <row r="240" spans="2:17">
      <c r="B240" s="544" t="s">
        <v>885</v>
      </c>
      <c r="C240" s="108">
        <f>VLOOKUP(B240,'[5]Allocation Factor &amp;Meter Totals'!$A$8:$F$249,6,FALSE)</f>
        <v>42236</v>
      </c>
      <c r="D240" s="108">
        <f>VLOOKUP(B240,'[5]Allocation Factor &amp;Meter Totals'!$A$8:$F$249,5,FALSE)</f>
        <v>21104</v>
      </c>
      <c r="E240" s="108">
        <f>VLOOKUP(B240,'[5]Allocation Factor &amp;Meter Totals'!$A$8:$F$249,6,FALSE)</f>
        <v>42236</v>
      </c>
      <c r="F240" s="418" t="s">
        <v>1589</v>
      </c>
      <c r="G240" s="418" t="s">
        <v>103</v>
      </c>
      <c r="H240" s="419">
        <f>VLOOKUP(B240,'[5]Allocation Factor &amp;Meter Totals'!$A$8:$F$249,6,FALSE)</f>
        <v>42236</v>
      </c>
      <c r="I240" s="420">
        <f>VLOOKUP(B240,'[5]Allocation Factor &amp;Meter Totals'!$A$8:$F$249,5,FALSE)</f>
        <v>21104</v>
      </c>
      <c r="J240" s="421">
        <f>VLOOKUP(B240,'[5]Allocation Factor &amp;Meter Totals'!$A$8:$F$249,3,FALSE)</f>
        <v>9.4597702025307033E-3</v>
      </c>
      <c r="K240" s="422">
        <f>VLOOKUP(B240,'[5]Allocation Factor &amp;Meter Totals'!$A$8:$F$249,6,FALSE)</f>
        <v>42236</v>
      </c>
      <c r="L240" s="421">
        <f>VLOOKUP(B240,'[5]Allocation Factor &amp;Meter Totals'!$A$8:$F$249,4,FALSE)</f>
        <v>8.1614559994218419E-3</v>
      </c>
      <c r="M240" s="422" t="s">
        <v>110</v>
      </c>
      <c r="N240" s="1"/>
      <c r="O240" s="21" t="s">
        <v>103</v>
      </c>
      <c r="P240" s="387">
        <v>0</v>
      </c>
      <c r="Q240" s="387">
        <v>0</v>
      </c>
    </row>
    <row r="241" spans="2:17">
      <c r="B241" s="544" t="s">
        <v>889</v>
      </c>
      <c r="C241" s="108">
        <f>VLOOKUP(B241,'[5]Allocation Factor &amp;Meter Totals'!$A$8:$F$249,6,FALSE)</f>
        <v>25814</v>
      </c>
      <c r="D241" s="108">
        <f>VLOOKUP(B241,'[5]Allocation Factor &amp;Meter Totals'!$A$8:$F$249,5,FALSE)</f>
        <v>13039</v>
      </c>
      <c r="E241" s="108">
        <f>VLOOKUP(B241,'[5]Allocation Factor &amp;Meter Totals'!$A$8:$F$249,6,FALSE)</f>
        <v>25814</v>
      </c>
      <c r="F241" s="418" t="s">
        <v>1589</v>
      </c>
      <c r="G241" s="418" t="s">
        <v>103</v>
      </c>
      <c r="H241" s="419">
        <f>VLOOKUP(B241,'[5]Allocation Factor &amp;Meter Totals'!$A$8:$F$249,6,FALSE)</f>
        <v>25814</v>
      </c>
      <c r="I241" s="420">
        <f>VLOOKUP(B241,'[5]Allocation Factor &amp;Meter Totals'!$A$8:$F$249,5,FALSE)</f>
        <v>13039</v>
      </c>
      <c r="J241" s="421">
        <f>VLOOKUP(B241,'[5]Allocation Factor &amp;Meter Totals'!$A$8:$F$249,3,FALSE)</f>
        <v>5.8446713263266602E-3</v>
      </c>
      <c r="K241" s="422">
        <f>VLOOKUP(B241,'[5]Allocation Factor &amp;Meter Totals'!$A$8:$F$249,6,FALSE)</f>
        <v>25814</v>
      </c>
      <c r="L241" s="421">
        <f>VLOOKUP(B241,'[5]Allocation Factor &amp;Meter Totals'!$A$8:$F$249,4,FALSE)</f>
        <v>4.9881576183605321E-3</v>
      </c>
      <c r="M241" s="422" t="s">
        <v>110</v>
      </c>
      <c r="N241" s="1"/>
      <c r="O241" s="21" t="s">
        <v>103</v>
      </c>
      <c r="P241" s="387">
        <v>0</v>
      </c>
      <c r="Q241" s="387">
        <v>0</v>
      </c>
    </row>
    <row r="242" spans="2:17" ht="14.45" customHeight="1">
      <c r="B242" s="545" t="s">
        <v>1438</v>
      </c>
      <c r="C242" s="424">
        <f>SUM(C238:C241)</f>
        <v>87688</v>
      </c>
      <c r="D242" s="424">
        <f t="shared" ref="D242:E242" si="22">SUM(D238:D241)</f>
        <v>39887</v>
      </c>
      <c r="E242" s="424">
        <f t="shared" si="22"/>
        <v>87688</v>
      </c>
      <c r="F242" s="425"/>
      <c r="G242" s="423"/>
      <c r="H242" s="426">
        <f t="shared" ref="H242:L242" si="23">SUM(H238:H241)</f>
        <v>87688</v>
      </c>
      <c r="I242" s="427">
        <f t="shared" si="23"/>
        <v>39887</v>
      </c>
      <c r="J242" s="428">
        <f t="shared" si="23"/>
        <v>1.7879162910744036E-2</v>
      </c>
      <c r="K242" s="429">
        <f t="shared" si="23"/>
        <v>87688</v>
      </c>
      <c r="L242" s="428">
        <f t="shared" si="23"/>
        <v>1.6944354429332856E-2</v>
      </c>
      <c r="M242" s="429"/>
      <c r="N242" s="423"/>
      <c r="O242" s="423"/>
      <c r="P242" s="413">
        <v>0</v>
      </c>
      <c r="Q242" s="413">
        <v>0</v>
      </c>
    </row>
    <row r="243" spans="2:17" ht="58.5" customHeight="1">
      <c r="B243" s="541" t="s">
        <v>1635</v>
      </c>
      <c r="C243" s="1162" t="s">
        <v>1599</v>
      </c>
      <c r="D243" s="1162"/>
      <c r="E243" s="1162"/>
      <c r="F243" s="1162"/>
      <c r="G243" s="1162"/>
      <c r="H243" s="1162"/>
      <c r="I243" s="1162"/>
      <c r="J243" s="1162"/>
      <c r="K243" s="1162"/>
      <c r="L243" s="1162"/>
      <c r="M243" s="1162"/>
      <c r="N243" s="1162"/>
      <c r="O243" s="1162"/>
      <c r="P243" s="1162"/>
      <c r="Q243" s="1162"/>
    </row>
    <row r="244" spans="2:17" ht="29.1" customHeight="1">
      <c r="B244" s="541" t="s">
        <v>1636</v>
      </c>
      <c r="C244" s="1162" t="s">
        <v>1637</v>
      </c>
      <c r="D244" s="1162"/>
      <c r="E244" s="1162"/>
      <c r="F244" s="1162"/>
      <c r="G244" s="1162"/>
      <c r="H244" s="1162"/>
      <c r="I244" s="1162"/>
      <c r="J244" s="1162"/>
      <c r="K244" s="1162"/>
      <c r="L244" s="1162"/>
      <c r="M244" s="1162"/>
      <c r="N244" s="1162"/>
      <c r="O244" s="1162"/>
      <c r="P244" s="1162"/>
      <c r="Q244" s="1162"/>
    </row>
    <row r="245" spans="2:17">
      <c r="B245" s="547" t="s">
        <v>897</v>
      </c>
      <c r="C245" s="430"/>
      <c r="D245" s="430"/>
      <c r="E245" s="430"/>
      <c r="F245" s="390"/>
      <c r="G245" s="431"/>
      <c r="H245" s="432"/>
      <c r="I245" s="431"/>
      <c r="J245" s="431"/>
      <c r="K245" s="431"/>
      <c r="L245" s="431"/>
      <c r="M245" s="431"/>
      <c r="N245" s="431"/>
      <c r="O245" s="431"/>
      <c r="P245" s="433"/>
      <c r="Q245" s="433"/>
    </row>
    <row r="246" spans="2:17">
      <c r="B246" s="544" t="s">
        <v>898</v>
      </c>
      <c r="C246" s="108">
        <f>VLOOKUP(B246,'[5]Allocation Factor &amp;Meter Totals'!$A$8:$F$249,6,FALSE)</f>
        <v>3980</v>
      </c>
      <c r="D246" s="108">
        <f>VLOOKUP(B246,'[5]Allocation Factor &amp;Meter Totals'!$A$8:$F$249,5,FALSE)</f>
        <v>1929</v>
      </c>
      <c r="E246" s="108">
        <f>VLOOKUP(B246,'[5]Allocation Factor &amp;Meter Totals'!$A$8:$F$249,6,FALSE)</f>
        <v>3980</v>
      </c>
      <c r="F246" s="418" t="s">
        <v>1589</v>
      </c>
      <c r="G246" s="418" t="s">
        <v>103</v>
      </c>
      <c r="H246" s="419">
        <f>VLOOKUP(B246,'[5]Allocation Factor &amp;Meter Totals'!$A$8:$F$249,6,FALSE)</f>
        <v>3980</v>
      </c>
      <c r="I246" s="420">
        <f>VLOOKUP(B246,'[5]Allocation Factor &amp;Meter Totals'!$A$8:$F$249,5,FALSE)</f>
        <v>1929</v>
      </c>
      <c r="J246" s="421">
        <f>VLOOKUP(B246,'[5]Allocation Factor &amp;Meter Totals'!$A$8:$F$249,3,FALSE)</f>
        <v>8.646653108738498E-4</v>
      </c>
      <c r="K246" s="422">
        <f>VLOOKUP(B246,'[5]Allocation Factor &amp;Meter Totals'!$A$8:$F$249,6,FALSE)</f>
        <v>3980</v>
      </c>
      <c r="L246" s="421">
        <f>VLOOKUP(B246,'[5]Allocation Factor &amp;Meter Totals'!$A$8:$F$249,4,FALSE)</f>
        <v>7.6907365464766865E-4</v>
      </c>
      <c r="M246" s="422" t="s">
        <v>110</v>
      </c>
      <c r="N246" s="1"/>
      <c r="O246" s="21" t="s">
        <v>103</v>
      </c>
      <c r="P246" s="387">
        <v>0</v>
      </c>
      <c r="Q246" s="387">
        <v>0</v>
      </c>
    </row>
    <row r="247" spans="2:17">
      <c r="B247" s="544" t="s">
        <v>902</v>
      </c>
      <c r="C247" s="108">
        <f>VLOOKUP(B247,'[5]Allocation Factor &amp;Meter Totals'!$A$8:$F$249,6,FALSE)</f>
        <v>2760</v>
      </c>
      <c r="D247" s="108">
        <f>VLOOKUP(B247,'[5]Allocation Factor &amp;Meter Totals'!$A$8:$F$249,5,FALSE)</f>
        <v>1174</v>
      </c>
      <c r="E247" s="108">
        <f>VLOOKUP(B247,'[5]Allocation Factor &amp;Meter Totals'!$A$8:$F$249,6,FALSE)</f>
        <v>2760</v>
      </c>
      <c r="F247" s="418" t="s">
        <v>1589</v>
      </c>
      <c r="G247" s="418" t="s">
        <v>103</v>
      </c>
      <c r="H247" s="419">
        <f>VLOOKUP(B247,'[5]Allocation Factor &amp;Meter Totals'!$A$8:$F$249,6,FALSE)</f>
        <v>2760</v>
      </c>
      <c r="I247" s="420">
        <f>VLOOKUP(B247,'[5]Allocation Factor &amp;Meter Totals'!$A$8:$F$249,5,FALSE)</f>
        <v>1174</v>
      </c>
      <c r="J247" s="421">
        <f>VLOOKUP(B247,'[5]Allocation Factor &amp;Meter Totals'!$A$8:$F$249,3,FALSE)</f>
        <v>5.2624005959870388E-4</v>
      </c>
      <c r="K247" s="422">
        <f>VLOOKUP(B247,'[5]Allocation Factor &amp;Meter Totals'!$A$8:$F$249,6,FALSE)</f>
        <v>2760</v>
      </c>
      <c r="L247" s="421">
        <f>VLOOKUP(B247,'[5]Allocation Factor &amp;Meter Totals'!$A$8:$F$249,4,FALSE)</f>
        <v>5.3332745900190083E-4</v>
      </c>
      <c r="M247" s="422" t="s">
        <v>104</v>
      </c>
      <c r="N247" s="1"/>
      <c r="O247" s="21" t="s">
        <v>103</v>
      </c>
      <c r="P247" s="387">
        <v>0</v>
      </c>
      <c r="Q247" s="387">
        <v>0</v>
      </c>
    </row>
    <row r="248" spans="2:17">
      <c r="B248" s="544" t="s">
        <v>905</v>
      </c>
      <c r="C248" s="108">
        <f>VLOOKUP(B248,'[5]Allocation Factor &amp;Meter Totals'!$A$8:$F$249,6,FALSE)</f>
        <v>4302</v>
      </c>
      <c r="D248" s="108">
        <f>VLOOKUP(B248,'[5]Allocation Factor &amp;Meter Totals'!$A$8:$F$249,5,FALSE)</f>
        <v>2203</v>
      </c>
      <c r="E248" s="108">
        <f>VLOOKUP(B248,'[5]Allocation Factor &amp;Meter Totals'!$A$8:$F$249,6,FALSE)</f>
        <v>4302</v>
      </c>
      <c r="F248" s="418" t="s">
        <v>1589</v>
      </c>
      <c r="G248" s="418" t="s">
        <v>103</v>
      </c>
      <c r="H248" s="419">
        <f>VLOOKUP(B248,'[5]Allocation Factor &amp;Meter Totals'!$A$8:$F$249,6,FALSE)</f>
        <v>4302</v>
      </c>
      <c r="I248" s="420">
        <f>VLOOKUP(B248,'[5]Allocation Factor &amp;Meter Totals'!$A$8:$F$249,5,FALSE)</f>
        <v>2203</v>
      </c>
      <c r="J248" s="421">
        <f>VLOOKUP(B248,'[5]Allocation Factor &amp;Meter Totals'!$A$8:$F$249,3,FALSE)</f>
        <v>9.8748454113794268E-4</v>
      </c>
      <c r="K248" s="422">
        <f>VLOOKUP(B248,'[5]Allocation Factor &amp;Meter Totals'!$A$8:$F$249,6,FALSE)</f>
        <v>4302</v>
      </c>
      <c r="L248" s="421">
        <f>VLOOKUP(B248,'[5]Allocation Factor &amp;Meter Totals'!$A$8:$F$249,4,FALSE)</f>
        <v>8.3129519153122373E-4</v>
      </c>
      <c r="M248" s="422" t="s">
        <v>104</v>
      </c>
      <c r="N248" s="1"/>
      <c r="O248" s="21" t="s">
        <v>103</v>
      </c>
      <c r="P248" s="387">
        <v>0</v>
      </c>
      <c r="Q248" s="387">
        <v>0</v>
      </c>
    </row>
    <row r="249" spans="2:17">
      <c r="B249" s="544" t="s">
        <v>908</v>
      </c>
      <c r="C249" s="108">
        <f>VLOOKUP(B249,'[5]Allocation Factor &amp;Meter Totals'!$A$8:$F$249,6,FALSE)</f>
        <v>18877</v>
      </c>
      <c r="D249" s="108">
        <f>VLOOKUP(B249,'[5]Allocation Factor &amp;Meter Totals'!$A$8:$F$249,5,FALSE)</f>
        <v>7099</v>
      </c>
      <c r="E249" s="108">
        <f>VLOOKUP(B249,'[5]Allocation Factor &amp;Meter Totals'!$A$8:$F$249,6,FALSE)</f>
        <v>18877</v>
      </c>
      <c r="F249" s="418" t="s">
        <v>1589</v>
      </c>
      <c r="G249" s="418" t="s">
        <v>103</v>
      </c>
      <c r="H249" s="419">
        <f>VLOOKUP(B249,'[5]Allocation Factor &amp;Meter Totals'!$A$8:$F$249,6,FALSE)</f>
        <v>18877</v>
      </c>
      <c r="I249" s="420">
        <f>VLOOKUP(B249,'[5]Allocation Factor &amp;Meter Totals'!$A$8:$F$249,5,FALSE)</f>
        <v>7099</v>
      </c>
      <c r="J249" s="421">
        <f>VLOOKUP(B249,'[5]Allocation Factor &amp;Meter Totals'!$A$8:$F$249,3,FALSE)</f>
        <v>3.1820938527182272E-3</v>
      </c>
      <c r="K249" s="422">
        <f>VLOOKUP(B249,'[5]Allocation Factor &amp;Meter Totals'!$A$8:$F$249,6,FALSE)</f>
        <v>18877</v>
      </c>
      <c r="L249" s="421">
        <f>VLOOKUP(B249,'[5]Allocation Factor &amp;Meter Totals'!$A$8:$F$249,4,FALSE)</f>
        <v>3.6476892911517689E-3</v>
      </c>
      <c r="M249" s="422" t="s">
        <v>104</v>
      </c>
      <c r="N249" s="1"/>
      <c r="O249" s="21" t="s">
        <v>103</v>
      </c>
      <c r="P249" s="387">
        <v>0</v>
      </c>
      <c r="Q249" s="387">
        <v>0</v>
      </c>
    </row>
    <row r="250" spans="2:17">
      <c r="B250" s="544" t="s">
        <v>911</v>
      </c>
      <c r="C250" s="108">
        <f>VLOOKUP(B250,'[5]Allocation Factor &amp;Meter Totals'!$A$8:$F$249,6,FALSE)</f>
        <v>22901</v>
      </c>
      <c r="D250" s="108">
        <f>VLOOKUP(B250,'[5]Allocation Factor &amp;Meter Totals'!$A$8:$F$249,5,FALSE)</f>
        <v>7441</v>
      </c>
      <c r="E250" s="108">
        <f>VLOOKUP(B250,'[5]Allocation Factor &amp;Meter Totals'!$A$8:$F$249,6,FALSE)</f>
        <v>22901</v>
      </c>
      <c r="F250" s="418" t="s">
        <v>1589</v>
      </c>
      <c r="G250" s="418" t="s">
        <v>103</v>
      </c>
      <c r="H250" s="419">
        <f>VLOOKUP(B250,'[5]Allocation Factor &amp;Meter Totals'!$A$8:$F$249,6,FALSE)</f>
        <v>22901</v>
      </c>
      <c r="I250" s="420">
        <f>VLOOKUP(B250,'[5]Allocation Factor &amp;Meter Totals'!$A$8:$F$249,5,FALSE)</f>
        <v>7441</v>
      </c>
      <c r="J250" s="421">
        <f>VLOOKUP(B250,'[5]Allocation Factor &amp;Meter Totals'!$A$8:$F$249,3,FALSE)</f>
        <v>3.3353937678653792E-3</v>
      </c>
      <c r="K250" s="422">
        <f>VLOOKUP(B250,'[5]Allocation Factor &amp;Meter Totals'!$A$8:$F$249,6,FALSE)</f>
        <v>22901</v>
      </c>
      <c r="L250" s="421">
        <f>VLOOKUP(B250,'[5]Allocation Factor &amp;Meter Totals'!$A$8:$F$249,4,FALSE)</f>
        <v>4.4252652676096127E-3</v>
      </c>
      <c r="M250" s="422" t="s">
        <v>104</v>
      </c>
      <c r="N250" s="1"/>
      <c r="O250" s="21" t="s">
        <v>103</v>
      </c>
      <c r="P250" s="387">
        <v>0</v>
      </c>
      <c r="Q250" s="387">
        <v>0</v>
      </c>
    </row>
    <row r="251" spans="2:17">
      <c r="B251" s="544" t="s">
        <v>912</v>
      </c>
      <c r="C251" s="108">
        <f>VLOOKUP(B251,'[5]Allocation Factor &amp;Meter Totals'!$A$8:$F$249,6,FALSE)</f>
        <v>54460</v>
      </c>
      <c r="D251" s="108">
        <f>VLOOKUP(B251,'[5]Allocation Factor &amp;Meter Totals'!$A$8:$F$249,5,FALSE)</f>
        <v>13818</v>
      </c>
      <c r="E251" s="108">
        <f>VLOOKUP(B251,'[5]Allocation Factor &amp;Meter Totals'!$A$8:$F$249,6,FALSE)</f>
        <v>54460</v>
      </c>
      <c r="F251" s="418" t="s">
        <v>1589</v>
      </c>
      <c r="G251" s="418" t="s">
        <v>103</v>
      </c>
      <c r="H251" s="419">
        <f>VLOOKUP(B251,'[5]Allocation Factor &amp;Meter Totals'!$A$8:$F$249,6,FALSE)</f>
        <v>54460</v>
      </c>
      <c r="I251" s="420">
        <f>VLOOKUP(B251,'[5]Allocation Factor &amp;Meter Totals'!$A$8:$F$249,5,FALSE)</f>
        <v>13818</v>
      </c>
      <c r="J251" s="421">
        <f>VLOOKUP(B251,'[5]Allocation Factor &amp;Meter Totals'!$A$8:$F$249,3,FALSE)</f>
        <v>6.1938544663840628E-3</v>
      </c>
      <c r="K251" s="422">
        <f>VLOOKUP(B251,'[5]Allocation Factor &amp;Meter Totals'!$A$8:$F$249,6,FALSE)</f>
        <v>54460</v>
      </c>
      <c r="L251" s="421">
        <f>VLOOKUP(B251,'[5]Allocation Factor &amp;Meter Totals'!$A$8:$F$249,4,FALSE)</f>
        <v>1.0523555585957797E-2</v>
      </c>
      <c r="M251" s="422" t="s">
        <v>104</v>
      </c>
      <c r="N251" s="1"/>
      <c r="O251" s="21" t="s">
        <v>103</v>
      </c>
      <c r="P251" s="387">
        <v>0</v>
      </c>
      <c r="Q251" s="387">
        <v>0</v>
      </c>
    </row>
    <row r="252" spans="2:17">
      <c r="B252" s="544" t="s">
        <v>920</v>
      </c>
      <c r="C252" s="108">
        <f>VLOOKUP(B252,'[5]Allocation Factor &amp;Meter Totals'!$A$8:$F$249,6,FALSE)</f>
        <v>2481</v>
      </c>
      <c r="D252" s="108">
        <f>VLOOKUP(B252,'[5]Allocation Factor &amp;Meter Totals'!$A$8:$F$249,5,FALSE)</f>
        <v>1341</v>
      </c>
      <c r="E252" s="108">
        <f>VLOOKUP(B252,'[5]Allocation Factor &amp;Meter Totals'!$A$8:$F$249,6,FALSE)</f>
        <v>2481</v>
      </c>
      <c r="F252" s="418" t="s">
        <v>1589</v>
      </c>
      <c r="G252" s="418" t="s">
        <v>103</v>
      </c>
      <c r="H252" s="419">
        <f>VLOOKUP(B252,'[5]Allocation Factor &amp;Meter Totals'!$A$8:$F$249,6,FALSE)</f>
        <v>2481</v>
      </c>
      <c r="I252" s="420">
        <f>VLOOKUP(B252,'[5]Allocation Factor &amp;Meter Totals'!$A$8:$F$249,5,FALSE)</f>
        <v>1341</v>
      </c>
      <c r="J252" s="421">
        <f>VLOOKUP(B252,'[5]Allocation Factor &amp;Meter Totals'!$A$8:$F$249,3,FALSE)</f>
        <v>6.0109703570857063E-4</v>
      </c>
      <c r="K252" s="422">
        <f>VLOOKUP(B252,'[5]Allocation Factor &amp;Meter Totals'!$A$8:$F$249,6,FALSE)</f>
        <v>2481</v>
      </c>
      <c r="L252" s="421">
        <f>VLOOKUP(B252,'[5]Allocation Factor &amp;Meter Totals'!$A$8:$F$249,4,FALSE)</f>
        <v>4.7941500934192607E-4</v>
      </c>
      <c r="M252" s="422" t="s">
        <v>110</v>
      </c>
      <c r="N252" s="1"/>
      <c r="O252" s="21" t="s">
        <v>103</v>
      </c>
      <c r="P252" s="387">
        <v>0</v>
      </c>
      <c r="Q252" s="387">
        <v>0</v>
      </c>
    </row>
    <row r="253" spans="2:17">
      <c r="B253" s="544" t="s">
        <v>921</v>
      </c>
      <c r="C253" s="108">
        <f>VLOOKUP(B253,'[5]Allocation Factor &amp;Meter Totals'!$A$8:$F$249,6,FALSE)</f>
        <v>59982</v>
      </c>
      <c r="D253" s="108">
        <f>VLOOKUP(B253,'[5]Allocation Factor &amp;Meter Totals'!$A$8:$F$249,5,FALSE)</f>
        <v>45319</v>
      </c>
      <c r="E253" s="108">
        <f>VLOOKUP(B253,'[5]Allocation Factor &amp;Meter Totals'!$A$8:$F$249,6,FALSE)</f>
        <v>59982</v>
      </c>
      <c r="F253" s="418" t="s">
        <v>1589</v>
      </c>
      <c r="G253" s="418" t="s">
        <v>103</v>
      </c>
      <c r="H253" s="419">
        <f>VLOOKUP(B253,'[5]Allocation Factor &amp;Meter Totals'!$A$8:$F$249,6,FALSE)</f>
        <v>59982</v>
      </c>
      <c r="I253" s="420">
        <f>VLOOKUP(B253,'[5]Allocation Factor &amp;Meter Totals'!$A$8:$F$249,5,FALSE)</f>
        <v>45319</v>
      </c>
      <c r="J253" s="421">
        <f>VLOOKUP(B253,'[5]Allocation Factor &amp;Meter Totals'!$A$8:$F$249,3,FALSE)</f>
        <v>2.0314031738461379E-2</v>
      </c>
      <c r="K253" s="422">
        <f>VLOOKUP(B253,'[5]Allocation Factor &amp;Meter Totals'!$A$8:$F$249,6,FALSE)</f>
        <v>59982</v>
      </c>
      <c r="L253" s="421">
        <f>VLOOKUP(B253,'[5]Allocation Factor &amp;Meter Totals'!$A$8:$F$249,4,FALSE)</f>
        <v>1.1590596973134788E-2</v>
      </c>
      <c r="M253" s="422" t="s">
        <v>104</v>
      </c>
      <c r="N253" s="1"/>
      <c r="O253" s="21" t="s">
        <v>103</v>
      </c>
      <c r="P253" s="387">
        <v>0</v>
      </c>
      <c r="Q253" s="387">
        <v>0</v>
      </c>
    </row>
    <row r="254" spans="2:17" ht="14.45" customHeight="1">
      <c r="B254" s="545" t="s">
        <v>1448</v>
      </c>
      <c r="C254" s="424">
        <f>SUM(C246:C253)</f>
        <v>169743</v>
      </c>
      <c r="D254" s="424">
        <f t="shared" ref="D254:E254" si="24">SUM(D246:D253)</f>
        <v>80324</v>
      </c>
      <c r="E254" s="424">
        <f t="shared" si="24"/>
        <v>169743</v>
      </c>
      <c r="F254" s="425"/>
      <c r="G254" s="423"/>
      <c r="H254" s="426">
        <f t="shared" ref="H254:L254" si="25">SUM(H246:H253)</f>
        <v>169743</v>
      </c>
      <c r="I254" s="427">
        <f t="shared" si="25"/>
        <v>80324</v>
      </c>
      <c r="J254" s="428">
        <f t="shared" si="25"/>
        <v>3.6004860772748115E-2</v>
      </c>
      <c r="K254" s="429">
        <f t="shared" si="25"/>
        <v>169743</v>
      </c>
      <c r="L254" s="428">
        <f t="shared" si="25"/>
        <v>3.2800218432376689E-2</v>
      </c>
      <c r="M254" s="429"/>
      <c r="N254" s="423"/>
      <c r="O254" s="423"/>
      <c r="P254" s="413">
        <v>0</v>
      </c>
      <c r="Q254" s="413">
        <v>0</v>
      </c>
    </row>
    <row r="255" spans="2:17" ht="58.5" customHeight="1">
      <c r="B255" s="541" t="s">
        <v>1638</v>
      </c>
      <c r="C255" s="1162" t="s">
        <v>1639</v>
      </c>
      <c r="D255" s="1162"/>
      <c r="E255" s="1162"/>
      <c r="F255" s="1162"/>
      <c r="G255" s="1162"/>
      <c r="H255" s="1162"/>
      <c r="I255" s="1162"/>
      <c r="J255" s="1162"/>
      <c r="K255" s="1162"/>
      <c r="L255" s="1162"/>
      <c r="M255" s="1162"/>
      <c r="N255" s="1162"/>
      <c r="O255" s="1162"/>
      <c r="P255" s="1162"/>
      <c r="Q255" s="1162"/>
    </row>
    <row r="256" spans="2:17" ht="29.1" customHeight="1">
      <c r="B256" s="541" t="s">
        <v>1640</v>
      </c>
      <c r="C256" s="1162" t="s">
        <v>1641</v>
      </c>
      <c r="D256" s="1162"/>
      <c r="E256" s="1162"/>
      <c r="F256" s="1162"/>
      <c r="G256" s="1162"/>
      <c r="H256" s="1162"/>
      <c r="I256" s="1162"/>
      <c r="J256" s="1162"/>
      <c r="K256" s="1162"/>
      <c r="L256" s="1162"/>
      <c r="M256" s="1162"/>
      <c r="N256" s="1162"/>
      <c r="O256" s="1162"/>
      <c r="P256" s="1162"/>
      <c r="Q256" s="1162"/>
    </row>
    <row r="257" spans="2:17">
      <c r="B257" s="547" t="s">
        <v>926</v>
      </c>
      <c r="C257" s="430"/>
      <c r="D257" s="430"/>
      <c r="E257" s="430"/>
      <c r="F257" s="390"/>
      <c r="G257" s="431"/>
      <c r="H257" s="432"/>
      <c r="I257" s="431"/>
      <c r="J257" s="431"/>
      <c r="K257" s="431"/>
      <c r="L257" s="431"/>
      <c r="M257" s="431"/>
      <c r="N257" s="431"/>
      <c r="O257" s="431"/>
      <c r="P257" s="433"/>
      <c r="Q257" s="433"/>
    </row>
    <row r="258" spans="2:17" ht="43.5">
      <c r="B258" s="437" t="s">
        <v>1642</v>
      </c>
      <c r="C258" s="108">
        <f>VLOOKUP(B258,'[5]Allocation Factor &amp;Meter Totals'!$A$8:$F$249,6,FALSE)</f>
        <v>29</v>
      </c>
      <c r="D258" s="108">
        <f>VLOOKUP(B258,'[5]Allocation Factor &amp;Meter Totals'!$A$8:$F$249,5,FALSE)</f>
        <v>2</v>
      </c>
      <c r="E258" s="108">
        <f>VLOOKUP(B258,'[5]Allocation Factor &amp;Meter Totals'!$A$8:$F$249,6,FALSE)</f>
        <v>29</v>
      </c>
      <c r="F258" s="418" t="s">
        <v>1589</v>
      </c>
      <c r="G258" s="418" t="s">
        <v>103</v>
      </c>
      <c r="H258" s="419">
        <f>VLOOKUP(B258,'[5]Allocation Factor &amp;Meter Totals'!$A$8:$F$249,6,FALSE)</f>
        <v>29</v>
      </c>
      <c r="I258" s="420">
        <f>VLOOKUP(B258,'[5]Allocation Factor &amp;Meter Totals'!$A$8:$F$249,5,FALSE)</f>
        <v>2</v>
      </c>
      <c r="J258" s="421">
        <f>VLOOKUP(B258,'[5]Allocation Factor &amp;Meter Totals'!$A$8:$F$249,3,FALSE)</f>
        <v>8.9649073185469146E-7</v>
      </c>
      <c r="K258" s="422">
        <f>VLOOKUP(B258,'[5]Allocation Factor &amp;Meter Totals'!$A$8:$F$249,6,FALSE)</f>
        <v>29</v>
      </c>
      <c r="L258" s="421">
        <f>VLOOKUP(B258,'[5]Allocation Factor &amp;Meter Totals'!$A$8:$F$249,4,FALSE)</f>
        <v>5.6038030112518564E-6</v>
      </c>
      <c r="M258" s="422" t="s">
        <v>110</v>
      </c>
      <c r="N258" s="1"/>
      <c r="O258" s="435" t="s">
        <v>1593</v>
      </c>
      <c r="P258" s="387">
        <v>0</v>
      </c>
      <c r="Q258" s="387">
        <v>0</v>
      </c>
    </row>
    <row r="259" spans="2:17" ht="14.45" customHeight="1">
      <c r="B259" s="545" t="s">
        <v>1451</v>
      </c>
      <c r="C259" s="424">
        <f>SUM(C258)</f>
        <v>29</v>
      </c>
      <c r="D259" s="424">
        <f t="shared" ref="D259:E259" si="26">SUM(D258)</f>
        <v>2</v>
      </c>
      <c r="E259" s="424">
        <f t="shared" si="26"/>
        <v>29</v>
      </c>
      <c r="F259" s="425"/>
      <c r="G259" s="423"/>
      <c r="H259" s="426">
        <f t="shared" ref="H259:L259" si="27">SUM(H258)</f>
        <v>29</v>
      </c>
      <c r="I259" s="427">
        <f t="shared" si="27"/>
        <v>2</v>
      </c>
      <c r="J259" s="428">
        <f t="shared" si="27"/>
        <v>8.9649073185469146E-7</v>
      </c>
      <c r="K259" s="429">
        <f t="shared" si="27"/>
        <v>29</v>
      </c>
      <c r="L259" s="428">
        <f t="shared" si="27"/>
        <v>5.6038030112518564E-6</v>
      </c>
      <c r="M259" s="429"/>
      <c r="N259" s="423"/>
      <c r="O259" s="423"/>
      <c r="P259" s="413">
        <v>0</v>
      </c>
      <c r="Q259" s="413">
        <v>0</v>
      </c>
    </row>
    <row r="260" spans="2:17" ht="58.5" customHeight="1">
      <c r="B260" s="541" t="s">
        <v>1643</v>
      </c>
      <c r="C260" s="1162" t="s">
        <v>1599</v>
      </c>
      <c r="D260" s="1162"/>
      <c r="E260" s="1162"/>
      <c r="F260" s="1162"/>
      <c r="G260" s="1162"/>
      <c r="H260" s="1162"/>
      <c r="I260" s="1162"/>
      <c r="J260" s="1162"/>
      <c r="K260" s="1162"/>
      <c r="L260" s="1162"/>
      <c r="M260" s="1162"/>
      <c r="N260" s="1162"/>
      <c r="O260" s="1162"/>
      <c r="P260" s="1162"/>
      <c r="Q260" s="1162"/>
    </row>
    <row r="261" spans="2:17" ht="29.1" customHeight="1">
      <c r="B261" s="541" t="s">
        <v>1644</v>
      </c>
      <c r="C261" s="1162" t="s">
        <v>1645</v>
      </c>
      <c r="D261" s="1162"/>
      <c r="E261" s="1162"/>
      <c r="F261" s="1162"/>
      <c r="G261" s="1162"/>
      <c r="H261" s="1162"/>
      <c r="I261" s="1162"/>
      <c r="J261" s="1162"/>
      <c r="K261" s="1162"/>
      <c r="L261" s="1162"/>
      <c r="M261" s="1162"/>
      <c r="N261" s="1162"/>
      <c r="O261" s="1162"/>
      <c r="P261" s="1162"/>
      <c r="Q261" s="1162"/>
    </row>
    <row r="262" spans="2:17">
      <c r="B262" s="547" t="s">
        <v>928</v>
      </c>
      <c r="C262" s="430"/>
      <c r="D262" s="430"/>
      <c r="E262" s="430"/>
      <c r="F262" s="390"/>
      <c r="G262" s="431"/>
      <c r="H262" s="432"/>
      <c r="I262" s="431"/>
      <c r="J262" s="431"/>
      <c r="K262" s="431"/>
      <c r="L262" s="431"/>
      <c r="M262" s="431"/>
      <c r="N262" s="431"/>
      <c r="O262" s="431"/>
      <c r="P262" s="433"/>
      <c r="Q262" s="433"/>
    </row>
    <row r="263" spans="2:17">
      <c r="B263" s="544" t="s">
        <v>929</v>
      </c>
      <c r="C263" s="108">
        <f>VLOOKUP(B263,'[5]Allocation Factor &amp;Meter Totals'!$A$8:$F$249,6,FALSE)</f>
        <v>30913</v>
      </c>
      <c r="D263" s="108">
        <f>VLOOKUP(B263,'[5]Allocation Factor &amp;Meter Totals'!$A$8:$F$249,5,FALSE)</f>
        <v>5559</v>
      </c>
      <c r="E263" s="108">
        <f>VLOOKUP(B263,'[5]Allocation Factor &amp;Meter Totals'!$A$8:$F$249,6,FALSE)</f>
        <v>30913</v>
      </c>
      <c r="F263" s="418" t="s">
        <v>1589</v>
      </c>
      <c r="G263" s="418" t="s">
        <v>103</v>
      </c>
      <c r="H263" s="419">
        <f>VLOOKUP(B263,'[5]Allocation Factor &amp;Meter Totals'!$A$8:$F$249,6,FALSE)</f>
        <v>30913</v>
      </c>
      <c r="I263" s="420">
        <f>VLOOKUP(B263,'[5]Allocation Factor &amp;Meter Totals'!$A$8:$F$249,5,FALSE)</f>
        <v>5559</v>
      </c>
      <c r="J263" s="421">
        <f>VLOOKUP(B263,'[5]Allocation Factor &amp;Meter Totals'!$A$8:$F$249,3,FALSE)</f>
        <v>2.4917959891901146E-3</v>
      </c>
      <c r="K263" s="422">
        <f>VLOOKUP(B263,'[5]Allocation Factor &amp;Meter Totals'!$A$8:$F$249,6,FALSE)</f>
        <v>30913</v>
      </c>
      <c r="L263" s="421">
        <f>VLOOKUP(B263,'[5]Allocation Factor &amp;Meter Totals'!$A$8:$F$249,4,FALSE)</f>
        <v>5.9734607754078845E-3</v>
      </c>
      <c r="M263" s="422" t="s">
        <v>110</v>
      </c>
      <c r="N263" s="1"/>
      <c r="O263" s="21" t="s">
        <v>103</v>
      </c>
      <c r="P263" s="387">
        <v>0</v>
      </c>
      <c r="Q263" s="387">
        <v>0</v>
      </c>
    </row>
    <row r="264" spans="2:17">
      <c r="B264" s="544" t="s">
        <v>939</v>
      </c>
      <c r="C264" s="108">
        <f>VLOOKUP(B264,'[5]Allocation Factor &amp;Meter Totals'!$A$8:$F$249,6,FALSE)</f>
        <v>4816</v>
      </c>
      <c r="D264" s="108">
        <f>VLOOKUP(B264,'[5]Allocation Factor &amp;Meter Totals'!$A$8:$F$249,5,FALSE)</f>
        <v>1955</v>
      </c>
      <c r="E264" s="108">
        <f>VLOOKUP(B264,'[5]Allocation Factor &amp;Meter Totals'!$A$8:$F$249,6,FALSE)</f>
        <v>4816</v>
      </c>
      <c r="F264" s="418" t="s">
        <v>1589</v>
      </c>
      <c r="G264" s="418" t="s">
        <v>103</v>
      </c>
      <c r="H264" s="419">
        <f>VLOOKUP(B264,'[5]Allocation Factor &amp;Meter Totals'!$A$8:$F$249,6,FALSE)</f>
        <v>4816</v>
      </c>
      <c r="I264" s="420">
        <f>VLOOKUP(B264,'[5]Allocation Factor &amp;Meter Totals'!$A$8:$F$249,5,FALSE)</f>
        <v>1955</v>
      </c>
      <c r="J264" s="421">
        <f>VLOOKUP(B264,'[5]Allocation Factor &amp;Meter Totals'!$A$8:$F$249,3,FALSE)</f>
        <v>8.7631969038796085E-4</v>
      </c>
      <c r="K264" s="422">
        <f>VLOOKUP(B264,'[5]Allocation Factor &amp;Meter Totals'!$A$8:$F$249,6,FALSE)</f>
        <v>4816</v>
      </c>
      <c r="L264" s="421">
        <f>VLOOKUP(B264,'[5]Allocation Factor &amp;Meter Totals'!$A$8:$F$249,4,FALSE)</f>
        <v>9.3061776904099799E-4</v>
      </c>
      <c r="M264" s="422" t="s">
        <v>110</v>
      </c>
      <c r="N264" s="1"/>
      <c r="O264" s="21" t="s">
        <v>103</v>
      </c>
      <c r="P264" s="387">
        <v>0</v>
      </c>
      <c r="Q264" s="387">
        <v>0</v>
      </c>
    </row>
    <row r="265" spans="2:17">
      <c r="B265" s="544" t="s">
        <v>940</v>
      </c>
      <c r="C265" s="108">
        <f>VLOOKUP(B265,'[5]Allocation Factor &amp;Meter Totals'!$A$8:$F$249,6,FALSE)</f>
        <v>13477</v>
      </c>
      <c r="D265" s="108">
        <f>VLOOKUP(B265,'[5]Allocation Factor &amp;Meter Totals'!$A$8:$F$249,5,FALSE)</f>
        <v>1211</v>
      </c>
      <c r="E265" s="108">
        <f>VLOOKUP(B265,'[5]Allocation Factor &amp;Meter Totals'!$A$8:$F$249,6,FALSE)</f>
        <v>13477</v>
      </c>
      <c r="F265" s="418" t="s">
        <v>1589</v>
      </c>
      <c r="G265" s="418" t="s">
        <v>103</v>
      </c>
      <c r="H265" s="419">
        <f>VLOOKUP(B265,'[5]Allocation Factor &amp;Meter Totals'!$A$8:$F$249,6,FALSE)</f>
        <v>13477</v>
      </c>
      <c r="I265" s="420">
        <f>VLOOKUP(B265,'[5]Allocation Factor &amp;Meter Totals'!$A$8:$F$249,5,FALSE)</f>
        <v>1211</v>
      </c>
      <c r="J265" s="421">
        <f>VLOOKUP(B265,'[5]Allocation Factor &amp;Meter Totals'!$A$8:$F$249,3,FALSE)</f>
        <v>5.428251381380156E-4</v>
      </c>
      <c r="K265" s="422">
        <f>VLOOKUP(B265,'[5]Allocation Factor &amp;Meter Totals'!$A$8:$F$249,6,FALSE)</f>
        <v>13477</v>
      </c>
      <c r="L265" s="421">
        <f>VLOOKUP(B265,'[5]Allocation Factor &amp;Meter Totals'!$A$8:$F$249,4,FALSE)</f>
        <v>2.6042225235393545E-3</v>
      </c>
      <c r="M265" s="422" t="s">
        <v>110</v>
      </c>
      <c r="N265" s="1"/>
      <c r="O265" s="21" t="s">
        <v>103</v>
      </c>
      <c r="P265" s="387">
        <v>0</v>
      </c>
      <c r="Q265" s="387">
        <v>0</v>
      </c>
    </row>
    <row r="266" spans="2:17">
      <c r="B266" s="544" t="s">
        <v>941</v>
      </c>
      <c r="C266" s="108">
        <f>VLOOKUP(B266,'[5]Allocation Factor &amp;Meter Totals'!$A$8:$F$249,6,FALSE)</f>
        <v>3950</v>
      </c>
      <c r="D266" s="108">
        <f>VLOOKUP(B266,'[5]Allocation Factor &amp;Meter Totals'!$A$8:$F$249,5,FALSE)</f>
        <v>2182</v>
      </c>
      <c r="E266" s="108">
        <f>VLOOKUP(B266,'[5]Allocation Factor &amp;Meter Totals'!$A$8:$F$249,6,FALSE)</f>
        <v>3950</v>
      </c>
      <c r="F266" s="418" t="s">
        <v>1589</v>
      </c>
      <c r="G266" s="418" t="s">
        <v>103</v>
      </c>
      <c r="H266" s="419">
        <f>VLOOKUP(B266,'[5]Allocation Factor &amp;Meter Totals'!$A$8:$F$249,6,FALSE)</f>
        <v>3950</v>
      </c>
      <c r="I266" s="420">
        <f>VLOOKUP(B266,'[5]Allocation Factor &amp;Meter Totals'!$A$8:$F$249,5,FALSE)</f>
        <v>2182</v>
      </c>
      <c r="J266" s="421">
        <f>VLOOKUP(B266,'[5]Allocation Factor &amp;Meter Totals'!$A$8:$F$249,3,FALSE)</f>
        <v>9.7807138845346824E-4</v>
      </c>
      <c r="K266" s="422">
        <f>VLOOKUP(B266,'[5]Allocation Factor &amp;Meter Totals'!$A$8:$F$249,6,FALSE)</f>
        <v>3950</v>
      </c>
      <c r="L266" s="421">
        <f>VLOOKUP(B266,'[5]Allocation Factor &amp;Meter Totals'!$A$8:$F$249,4,FALSE)</f>
        <v>7.6327661704982184E-4</v>
      </c>
      <c r="M266" s="422" t="s">
        <v>110</v>
      </c>
      <c r="N266" s="1"/>
      <c r="O266" s="21" t="s">
        <v>103</v>
      </c>
      <c r="P266" s="387">
        <v>0</v>
      </c>
      <c r="Q266" s="387">
        <v>0</v>
      </c>
    </row>
    <row r="267" spans="2:17">
      <c r="B267" s="544" t="s">
        <v>945</v>
      </c>
      <c r="C267" s="108">
        <f>VLOOKUP(B267,'[5]Allocation Factor &amp;Meter Totals'!$A$8:$F$249,6,FALSE)</f>
        <v>59235</v>
      </c>
      <c r="D267" s="108">
        <f>VLOOKUP(B267,'[5]Allocation Factor &amp;Meter Totals'!$A$8:$F$249,5,FALSE)</f>
        <v>21149</v>
      </c>
      <c r="E267" s="108">
        <f>VLOOKUP(B267,'[5]Allocation Factor &amp;Meter Totals'!$A$8:$F$249,6,FALSE)</f>
        <v>59235</v>
      </c>
      <c r="F267" s="418" t="s">
        <v>1589</v>
      </c>
      <c r="G267" s="418" t="s">
        <v>103</v>
      </c>
      <c r="H267" s="419">
        <f>VLOOKUP(B267,'[5]Allocation Factor &amp;Meter Totals'!$A$8:$F$249,6,FALSE)</f>
        <v>59235</v>
      </c>
      <c r="I267" s="420">
        <f>VLOOKUP(B267,'[5]Allocation Factor &amp;Meter Totals'!$A$8:$F$249,5,FALSE)</f>
        <v>21149</v>
      </c>
      <c r="J267" s="421">
        <f>VLOOKUP(B267,'[5]Allocation Factor &amp;Meter Totals'!$A$8:$F$249,3,FALSE)</f>
        <v>9.4799412439974338E-3</v>
      </c>
      <c r="K267" s="422">
        <f>VLOOKUP(B267,'[5]Allocation Factor &amp;Meter Totals'!$A$8:$F$249,6,FALSE)</f>
        <v>59235</v>
      </c>
      <c r="L267" s="421">
        <f>VLOOKUP(B267,'[5]Allocation Factor &amp;Meter Totals'!$A$8:$F$249,4,FALSE)</f>
        <v>1.1446250736948405E-2</v>
      </c>
      <c r="M267" s="422" t="s">
        <v>104</v>
      </c>
      <c r="N267" s="1"/>
      <c r="O267" s="21" t="s">
        <v>103</v>
      </c>
      <c r="P267" s="387">
        <v>0</v>
      </c>
      <c r="Q267" s="387">
        <v>0</v>
      </c>
    </row>
    <row r="268" spans="2:17">
      <c r="B268" s="544" t="s">
        <v>953</v>
      </c>
      <c r="C268" s="108">
        <f>VLOOKUP(B268,'[5]Allocation Factor &amp;Meter Totals'!$A$8:$F$249,6,FALSE)</f>
        <v>8721</v>
      </c>
      <c r="D268" s="108">
        <f>VLOOKUP(B268,'[5]Allocation Factor &amp;Meter Totals'!$A$8:$F$249,5,FALSE)</f>
        <v>2591</v>
      </c>
      <c r="E268" s="108">
        <f>VLOOKUP(B268,'[5]Allocation Factor &amp;Meter Totals'!$A$8:$F$249,6,FALSE)</f>
        <v>8721</v>
      </c>
      <c r="F268" s="418" t="s">
        <v>1589</v>
      </c>
      <c r="G268" s="418" t="s">
        <v>103</v>
      </c>
      <c r="H268" s="419">
        <f>VLOOKUP(B268,'[5]Allocation Factor &amp;Meter Totals'!$A$8:$F$249,6,FALSE)</f>
        <v>8721</v>
      </c>
      <c r="I268" s="420">
        <f>VLOOKUP(B268,'[5]Allocation Factor &amp;Meter Totals'!$A$8:$F$249,5,FALSE)</f>
        <v>2591</v>
      </c>
      <c r="J268" s="421">
        <f>VLOOKUP(B268,'[5]Allocation Factor &amp;Meter Totals'!$A$8:$F$249,3,FALSE)</f>
        <v>1.1614037431177528E-3</v>
      </c>
      <c r="K268" s="422">
        <f>VLOOKUP(B268,'[5]Allocation Factor &amp;Meter Totals'!$A$8:$F$249,6,FALSE)</f>
        <v>8721</v>
      </c>
      <c r="L268" s="421">
        <f>VLOOKUP(B268,'[5]Allocation Factor &amp;Meter Totals'!$A$8:$F$249,4,FALSE)</f>
        <v>1.6851988296940497E-3</v>
      </c>
      <c r="M268" s="422" t="s">
        <v>110</v>
      </c>
      <c r="N268" s="1"/>
      <c r="O268" s="21" t="s">
        <v>103</v>
      </c>
      <c r="P268" s="387">
        <v>0</v>
      </c>
      <c r="Q268" s="387">
        <v>0</v>
      </c>
    </row>
    <row r="269" spans="2:17">
      <c r="B269" s="544" t="s">
        <v>958</v>
      </c>
      <c r="C269" s="108">
        <f>VLOOKUP(B269,'[5]Allocation Factor &amp;Meter Totals'!$A$8:$F$249,6,FALSE)</f>
        <v>9745</v>
      </c>
      <c r="D269" s="108">
        <f>VLOOKUP(B269,'[5]Allocation Factor &amp;Meter Totals'!$A$8:$F$249,5,FALSE)</f>
        <v>5634</v>
      </c>
      <c r="E269" s="108">
        <f>VLOOKUP(B269,'[5]Allocation Factor &amp;Meter Totals'!$A$8:$F$249,6,FALSE)</f>
        <v>9745</v>
      </c>
      <c r="F269" s="418" t="s">
        <v>1589</v>
      </c>
      <c r="G269" s="418" t="s">
        <v>103</v>
      </c>
      <c r="H269" s="419">
        <f>VLOOKUP(B269,'[5]Allocation Factor &amp;Meter Totals'!$A$8:$F$249,6,FALSE)</f>
        <v>9745</v>
      </c>
      <c r="I269" s="420">
        <f>VLOOKUP(B269,'[5]Allocation Factor &amp;Meter Totals'!$A$8:$F$249,5,FALSE)</f>
        <v>5634</v>
      </c>
      <c r="J269" s="421">
        <f>VLOOKUP(B269,'[5]Allocation Factor &amp;Meter Totals'!$A$8:$F$249,3,FALSE)</f>
        <v>2.5254143916346658E-3</v>
      </c>
      <c r="K269" s="422">
        <f>VLOOKUP(B269,'[5]Allocation Factor &amp;Meter Totals'!$A$8:$F$249,6,FALSE)</f>
        <v>9745</v>
      </c>
      <c r="L269" s="421">
        <f>VLOOKUP(B269,'[5]Allocation Factor &amp;Meter Totals'!$A$8:$F$249,4,FALSE)</f>
        <v>1.8830710463672187E-3</v>
      </c>
      <c r="M269" s="422" t="s">
        <v>110</v>
      </c>
      <c r="N269" s="1"/>
      <c r="O269" s="21" t="s">
        <v>103</v>
      </c>
      <c r="P269" s="387">
        <v>0</v>
      </c>
      <c r="Q269" s="387">
        <v>0</v>
      </c>
    </row>
    <row r="270" spans="2:17">
      <c r="B270" s="544" t="s">
        <v>961</v>
      </c>
      <c r="C270" s="108">
        <f>VLOOKUP(B270,'[5]Allocation Factor &amp;Meter Totals'!$A$8:$F$249,6,FALSE)</f>
        <v>47978</v>
      </c>
      <c r="D270" s="108">
        <f>VLOOKUP(B270,'[5]Allocation Factor &amp;Meter Totals'!$A$8:$F$249,5,FALSE)</f>
        <v>12490</v>
      </c>
      <c r="E270" s="108">
        <f>VLOOKUP(B270,'[5]Allocation Factor &amp;Meter Totals'!$A$8:$F$249,6,FALSE)</f>
        <v>47978</v>
      </c>
      <c r="F270" s="418" t="s">
        <v>1589</v>
      </c>
      <c r="G270" s="418" t="s">
        <v>103</v>
      </c>
      <c r="H270" s="419">
        <f>VLOOKUP(B270,'[5]Allocation Factor &amp;Meter Totals'!$A$8:$F$249,6,FALSE)</f>
        <v>47978</v>
      </c>
      <c r="I270" s="420">
        <f>VLOOKUP(B270,'[5]Allocation Factor &amp;Meter Totals'!$A$8:$F$249,5,FALSE)</f>
        <v>12490</v>
      </c>
      <c r="J270" s="421">
        <f>VLOOKUP(B270,'[5]Allocation Factor &amp;Meter Totals'!$A$8:$F$249,3,FALSE)</f>
        <v>5.5985846204325476E-3</v>
      </c>
      <c r="K270" s="422">
        <f>VLOOKUP(B270,'[5]Allocation Factor &amp;Meter Totals'!$A$8:$F$249,6,FALSE)</f>
        <v>47978</v>
      </c>
      <c r="L270" s="421">
        <f>VLOOKUP(B270,'[5]Allocation Factor &amp;Meter Totals'!$A$8:$F$249,4,FALSE)</f>
        <v>9.2710089956497092E-3</v>
      </c>
      <c r="M270" s="422" t="s">
        <v>110</v>
      </c>
      <c r="N270" s="1"/>
      <c r="O270" s="21" t="s">
        <v>103</v>
      </c>
      <c r="P270" s="387">
        <v>0</v>
      </c>
      <c r="Q270" s="387">
        <v>0</v>
      </c>
    </row>
    <row r="271" spans="2:17">
      <c r="B271" s="544" t="s">
        <v>968</v>
      </c>
      <c r="C271" s="108">
        <f>VLOOKUP(B271,'[5]Allocation Factor &amp;Meter Totals'!$A$8:$F$249,6,FALSE)</f>
        <v>53549</v>
      </c>
      <c r="D271" s="108">
        <f>VLOOKUP(B271,'[5]Allocation Factor &amp;Meter Totals'!$A$8:$F$249,5,FALSE)</f>
        <v>7314</v>
      </c>
      <c r="E271" s="108">
        <f>VLOOKUP(B271,'[5]Allocation Factor &amp;Meter Totals'!$A$8:$F$249,6,FALSE)</f>
        <v>53549</v>
      </c>
      <c r="F271" s="418" t="s">
        <v>1589</v>
      </c>
      <c r="G271" s="418" t="s">
        <v>103</v>
      </c>
      <c r="H271" s="419">
        <f>VLOOKUP(B271,'[5]Allocation Factor &amp;Meter Totals'!$A$8:$F$249,6,FALSE)</f>
        <v>53549</v>
      </c>
      <c r="I271" s="420">
        <f>VLOOKUP(B271,'[5]Allocation Factor &amp;Meter Totals'!$A$8:$F$249,5,FALSE)</f>
        <v>7314</v>
      </c>
      <c r="J271" s="421">
        <f>VLOOKUP(B271,'[5]Allocation Factor &amp;Meter Totals'!$A$8:$F$249,3,FALSE)</f>
        <v>3.2784666063926065E-3</v>
      </c>
      <c r="K271" s="422">
        <f>VLOOKUP(B271,'[5]Allocation Factor &amp;Meter Totals'!$A$8:$F$249,6,FALSE)</f>
        <v>53549</v>
      </c>
      <c r="L271" s="421">
        <f>VLOOKUP(B271,'[5]Allocation Factor &amp;Meter Totals'!$A$8:$F$249,4,FALSE)</f>
        <v>1.034751887756985E-2</v>
      </c>
      <c r="M271" s="422" t="s">
        <v>110</v>
      </c>
      <c r="N271" s="1"/>
      <c r="O271" s="21" t="s">
        <v>103</v>
      </c>
      <c r="P271" s="387">
        <v>0</v>
      </c>
      <c r="Q271" s="387">
        <v>0</v>
      </c>
    </row>
    <row r="272" spans="2:17">
      <c r="B272" s="544" t="s">
        <v>1563</v>
      </c>
      <c r="C272" s="108">
        <f>VLOOKUP(B272,'[5]Allocation Factor &amp;Meter Totals'!$A$8:$F$249,6,FALSE)</f>
        <v>48513</v>
      </c>
      <c r="D272" s="108">
        <f>VLOOKUP(B272,'[5]Allocation Factor &amp;Meter Totals'!$A$8:$F$249,5,FALSE)</f>
        <v>20222</v>
      </c>
      <c r="E272" s="108">
        <f>VLOOKUP(B272,'[5]Allocation Factor &amp;Meter Totals'!$A$8:$F$249,6,FALSE)</f>
        <v>48513</v>
      </c>
      <c r="F272" s="418" t="s">
        <v>1589</v>
      </c>
      <c r="G272" s="418" t="s">
        <v>103</v>
      </c>
      <c r="H272" s="419">
        <f>VLOOKUP(B272,'[5]Allocation Factor &amp;Meter Totals'!$A$8:$F$249,6,FALSE)</f>
        <v>48513</v>
      </c>
      <c r="I272" s="420">
        <f>VLOOKUP(B272,'[5]Allocation Factor &amp;Meter Totals'!$A$8:$F$249,5,FALSE)</f>
        <v>20222</v>
      </c>
      <c r="J272" s="421">
        <f>VLOOKUP(B272,'[5]Allocation Factor &amp;Meter Totals'!$A$8:$F$249,3,FALSE)</f>
        <v>9.0644177897827843E-3</v>
      </c>
      <c r="K272" s="422">
        <f>VLOOKUP(B272,'[5]Allocation Factor &amp;Meter Totals'!$A$8:$F$249,6,FALSE)</f>
        <v>48513</v>
      </c>
      <c r="L272" s="421">
        <f>VLOOKUP(B272,'[5]Allocation Factor &amp;Meter Totals'!$A$8:$F$249,4,FALSE)</f>
        <v>9.3743894994779767E-3</v>
      </c>
      <c r="M272" s="422" t="s">
        <v>104</v>
      </c>
      <c r="N272" s="1"/>
      <c r="O272" s="21" t="s">
        <v>103</v>
      </c>
      <c r="P272" s="387">
        <v>0</v>
      </c>
      <c r="Q272" s="387">
        <v>0</v>
      </c>
    </row>
    <row r="273" spans="2:17">
      <c r="B273" s="544" t="s">
        <v>973</v>
      </c>
      <c r="C273" s="108">
        <f>VLOOKUP(B273,'[5]Allocation Factor &amp;Meter Totals'!$A$8:$F$249,6,FALSE)</f>
        <v>38765</v>
      </c>
      <c r="D273" s="108">
        <f>VLOOKUP(B273,'[5]Allocation Factor &amp;Meter Totals'!$A$8:$F$249,5,FALSE)</f>
        <v>20389</v>
      </c>
      <c r="E273" s="108">
        <f>VLOOKUP(B273,'[5]Allocation Factor &amp;Meter Totals'!$A$8:$F$249,6,FALSE)</f>
        <v>38765</v>
      </c>
      <c r="F273" s="418" t="s">
        <v>1589</v>
      </c>
      <c r="G273" s="418" t="s">
        <v>103</v>
      </c>
      <c r="H273" s="419">
        <f>VLOOKUP(B273,'[5]Allocation Factor &amp;Meter Totals'!$A$8:$F$249,6,FALSE)</f>
        <v>38765</v>
      </c>
      <c r="I273" s="420">
        <f>VLOOKUP(B273,'[5]Allocation Factor &amp;Meter Totals'!$A$8:$F$249,5,FALSE)</f>
        <v>20389</v>
      </c>
      <c r="J273" s="421">
        <f>VLOOKUP(B273,'[5]Allocation Factor &amp;Meter Totals'!$A$8:$F$249,3,FALSE)</f>
        <v>9.1392747658926507E-3</v>
      </c>
      <c r="K273" s="422">
        <f>VLOOKUP(B273,'[5]Allocation Factor &amp;Meter Totals'!$A$8:$F$249,6,FALSE)</f>
        <v>38765</v>
      </c>
      <c r="L273" s="421">
        <f>VLOOKUP(B273,'[5]Allocation Factor &amp;Meter Totals'!$A$8:$F$249,4,FALSE)</f>
        <v>7.490738749350973E-3</v>
      </c>
      <c r="M273" s="422" t="s">
        <v>104</v>
      </c>
      <c r="N273" s="1"/>
      <c r="O273" s="21" t="s">
        <v>103</v>
      </c>
      <c r="P273" s="387">
        <v>0</v>
      </c>
      <c r="Q273" s="387">
        <v>0</v>
      </c>
    </row>
    <row r="274" spans="2:17" ht="14.45" customHeight="1">
      <c r="B274" s="545" t="s">
        <v>1464</v>
      </c>
      <c r="C274" s="424">
        <f>SUM(C263:C273)</f>
        <v>319662</v>
      </c>
      <c r="D274" s="424">
        <f t="shared" ref="D274:E274" si="28">SUM(D263:D273)</f>
        <v>100696</v>
      </c>
      <c r="E274" s="424">
        <f t="shared" si="28"/>
        <v>319662</v>
      </c>
      <c r="F274" s="425"/>
      <c r="G274" s="423"/>
      <c r="H274" s="426">
        <f t="shared" ref="H274:L274" si="29">SUM(H263:H273)</f>
        <v>319662</v>
      </c>
      <c r="I274" s="427">
        <f t="shared" si="29"/>
        <v>100696</v>
      </c>
      <c r="J274" s="428">
        <f t="shared" si="29"/>
        <v>4.5136515367419999E-2</v>
      </c>
      <c r="K274" s="429">
        <f t="shared" si="29"/>
        <v>319662</v>
      </c>
      <c r="L274" s="428">
        <f t="shared" si="29"/>
        <v>6.1769754420096239E-2</v>
      </c>
      <c r="M274" s="429"/>
      <c r="N274" s="423"/>
      <c r="O274" s="423"/>
      <c r="P274" s="413">
        <v>0</v>
      </c>
      <c r="Q274" s="413">
        <v>0</v>
      </c>
    </row>
    <row r="275" spans="2:17" ht="58.5" customHeight="1">
      <c r="B275" s="541" t="s">
        <v>1646</v>
      </c>
      <c r="C275" s="1162" t="s">
        <v>1647</v>
      </c>
      <c r="D275" s="1162"/>
      <c r="E275" s="1162"/>
      <c r="F275" s="1162"/>
      <c r="G275" s="1162"/>
      <c r="H275" s="1162"/>
      <c r="I275" s="1162"/>
      <c r="J275" s="1162"/>
      <c r="K275" s="1162"/>
      <c r="L275" s="1162"/>
      <c r="M275" s="1162"/>
      <c r="N275" s="1162"/>
      <c r="O275" s="1162"/>
      <c r="P275" s="1162"/>
      <c r="Q275" s="1162"/>
    </row>
    <row r="276" spans="2:17" ht="29.1" customHeight="1">
      <c r="B276" s="541" t="s">
        <v>1648</v>
      </c>
      <c r="C276" s="1162" t="s">
        <v>1649</v>
      </c>
      <c r="D276" s="1162"/>
      <c r="E276" s="1162"/>
      <c r="F276" s="1162"/>
      <c r="G276" s="1162"/>
      <c r="H276" s="1162"/>
      <c r="I276" s="1162"/>
      <c r="J276" s="1162"/>
      <c r="K276" s="1162"/>
      <c r="L276" s="1162"/>
      <c r="M276" s="1162"/>
      <c r="N276" s="1162"/>
      <c r="O276" s="1162"/>
      <c r="P276" s="1162"/>
      <c r="Q276" s="1162"/>
    </row>
    <row r="277" spans="2:17" ht="14.45" customHeight="1">
      <c r="B277" s="545" t="s">
        <v>1465</v>
      </c>
      <c r="C277" s="424">
        <f>SUM(C274,C259,C254,C242,C234,C229,C201,C172,C136,C130,C125,C34,C28,C18,C12,C7)</f>
        <v>5175057</v>
      </c>
      <c r="D277" s="424">
        <f t="shared" ref="D277:E277" si="30">SUM(D274,D259,D254,D242,D234,D229,D201,D172,D136,D130,D125,D34,D28,D18,D12,D7)</f>
        <v>2230921</v>
      </c>
      <c r="E277" s="424">
        <f t="shared" si="30"/>
        <v>5175057</v>
      </c>
      <c r="F277" s="425"/>
      <c r="G277" s="423"/>
      <c r="H277" s="426">
        <f t="shared" ref="H277:L277" si="31">SUM(H274,H259,H254,H242,H234,H229,H201,H172,H136,H130,H125,H34,H28,H18,H12,H7)</f>
        <v>5175057</v>
      </c>
      <c r="I277" s="427">
        <f t="shared" si="31"/>
        <v>2230921</v>
      </c>
      <c r="J277" s="438">
        <f t="shared" si="31"/>
        <v>0.99999999999999989</v>
      </c>
      <c r="K277" s="429">
        <f t="shared" si="31"/>
        <v>5175057</v>
      </c>
      <c r="L277" s="438">
        <f t="shared" si="31"/>
        <v>1.0000000000000002</v>
      </c>
      <c r="M277" s="429"/>
      <c r="N277" s="423"/>
      <c r="O277" s="423"/>
      <c r="P277" s="413">
        <v>0</v>
      </c>
      <c r="Q277" s="413">
        <v>0</v>
      </c>
    </row>
  </sheetData>
  <autoFilter ref="B3:Q277" xr:uid="{00000000-0009-0000-0000-000006000000}"/>
  <mergeCells count="33">
    <mergeCell ref="C261:Q261"/>
    <mergeCell ref="C275:Q275"/>
    <mergeCell ref="C276:Q276"/>
    <mergeCell ref="C236:Q236"/>
    <mergeCell ref="C243:Q243"/>
    <mergeCell ref="C244:Q244"/>
    <mergeCell ref="C255:Q255"/>
    <mergeCell ref="C256:Q256"/>
    <mergeCell ref="C260:Q260"/>
    <mergeCell ref="C235:Q235"/>
    <mergeCell ref="C127:Q127"/>
    <mergeCell ref="C131:Q131"/>
    <mergeCell ref="C132:Q132"/>
    <mergeCell ref="C137:Q137"/>
    <mergeCell ref="C138:Q138"/>
    <mergeCell ref="C173:Q173"/>
    <mergeCell ref="C174:Q174"/>
    <mergeCell ref="C202:Q202"/>
    <mergeCell ref="C203:Q203"/>
    <mergeCell ref="C230:Q230"/>
    <mergeCell ref="C231:Q231"/>
    <mergeCell ref="C126:Q126"/>
    <mergeCell ref="C2:Q2"/>
    <mergeCell ref="C8:Q8"/>
    <mergeCell ref="C9:Q9"/>
    <mergeCell ref="C13:Q13"/>
    <mergeCell ref="C14:Q14"/>
    <mergeCell ref="C19:Q19"/>
    <mergeCell ref="C20:Q20"/>
    <mergeCell ref="C29:Q29"/>
    <mergeCell ref="C30:Q30"/>
    <mergeCell ref="C35:Q35"/>
    <mergeCell ref="C36:Q36"/>
  </mergeCells>
  <dataValidations count="1">
    <dataValidation type="list" allowBlank="1" showInputMessage="1" showErrorMessage="1" sqref="N5:N7 N11" xr:uid="{F8A4A776-D08D-4E9F-93C3-EE07791C31AE}">
      <formula1>Urbanetc.</formula1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FDBC-1FB3-4D03-8176-6654ADEC9279}">
  <sheetPr filterMode="1"/>
  <dimension ref="A1:I157"/>
  <sheetViews>
    <sheetView workbookViewId="0">
      <pane ySplit="5" topLeftCell="A6" activePane="bottomLeft" state="frozen"/>
      <selection pane="bottomLeft" activeCell="F164" sqref="F164:F165"/>
    </sheetView>
  </sheetViews>
  <sheetFormatPr defaultColWidth="8.85546875" defaultRowHeight="26.1" customHeight="1"/>
  <cols>
    <col min="1" max="1" width="8.85546875" style="35"/>
    <col min="2" max="2" width="46.42578125" style="35" bestFit="1" customWidth="1"/>
    <col min="3" max="3" width="27.140625" style="566" bestFit="1" customWidth="1"/>
    <col min="4" max="4" width="14.42578125" style="555" customWidth="1"/>
    <col min="5" max="5" width="14.42578125" style="35" customWidth="1"/>
    <col min="6" max="6" width="19" style="556" customWidth="1"/>
    <col min="7" max="7" width="12.5703125" style="557" customWidth="1"/>
    <col min="8" max="8" width="11.42578125" style="558" bestFit="1" customWidth="1"/>
    <col min="9" max="9" width="10.5703125" style="35" customWidth="1"/>
    <col min="10" max="16384" width="8.85546875" style="35"/>
  </cols>
  <sheetData>
    <row r="1" spans="1:9" ht="26.1" customHeight="1" thickBot="1">
      <c r="A1" s="853"/>
    </row>
    <row r="2" spans="1:9" ht="26.1" customHeight="1">
      <c r="C2" s="1169" t="s">
        <v>1650</v>
      </c>
      <c r="D2" s="1170"/>
      <c r="E2" s="1170"/>
      <c r="F2" s="1170"/>
      <c r="G2" s="1170"/>
      <c r="H2" s="1171"/>
      <c r="I2" s="878"/>
    </row>
    <row r="3" spans="1:9" ht="26.1" customHeight="1">
      <c r="B3" s="850"/>
      <c r="C3" s="559" t="s">
        <v>86</v>
      </c>
      <c r="D3" s="559" t="s">
        <v>86</v>
      </c>
      <c r="E3" s="559" t="s">
        <v>86</v>
      </c>
      <c r="F3" s="560" t="s">
        <v>99</v>
      </c>
      <c r="G3" s="561" t="s">
        <v>1201</v>
      </c>
      <c r="H3" s="562" t="s">
        <v>95</v>
      </c>
    </row>
    <row r="4" spans="1:9" ht="26.1" customHeight="1">
      <c r="B4" s="833" t="s">
        <v>4</v>
      </c>
      <c r="C4" s="833" t="s">
        <v>1651</v>
      </c>
      <c r="D4" s="833" t="s">
        <v>1652</v>
      </c>
      <c r="E4" s="833" t="s">
        <v>1653</v>
      </c>
      <c r="F4" s="583" t="s">
        <v>1654</v>
      </c>
      <c r="G4" s="584" t="s">
        <v>1655</v>
      </c>
      <c r="H4" s="585" t="s">
        <v>1656</v>
      </c>
      <c r="I4" s="879"/>
    </row>
    <row r="5" spans="1:9" ht="26.1" hidden="1" customHeight="1">
      <c r="B5" s="48" t="s">
        <v>146</v>
      </c>
      <c r="C5" s="568" t="s">
        <v>145</v>
      </c>
      <c r="D5" s="75" t="s">
        <v>147</v>
      </c>
      <c r="E5" s="48" t="s">
        <v>1657</v>
      </c>
      <c r="F5" s="553">
        <v>398583.47</v>
      </c>
      <c r="G5" s="554">
        <v>2005</v>
      </c>
      <c r="H5" s="552" t="s">
        <v>150</v>
      </c>
      <c r="I5" s="880"/>
    </row>
    <row r="6" spans="1:9" ht="26.1" hidden="1" customHeight="1">
      <c r="B6" s="46" t="s">
        <v>302</v>
      </c>
      <c r="C6" s="569" t="s">
        <v>295</v>
      </c>
      <c r="D6" s="75" t="s">
        <v>300</v>
      </c>
      <c r="E6" s="46" t="s">
        <v>1657</v>
      </c>
      <c r="F6" s="563">
        <v>3549013</v>
      </c>
      <c r="G6" s="564">
        <v>2005</v>
      </c>
      <c r="H6" s="565" t="s">
        <v>150</v>
      </c>
      <c r="I6" s="78"/>
    </row>
    <row r="7" spans="1:9" ht="26.1" hidden="1" customHeight="1">
      <c r="B7" s="46" t="s">
        <v>310</v>
      </c>
      <c r="C7" s="569" t="s">
        <v>309</v>
      </c>
      <c r="D7" s="75" t="s">
        <v>1658</v>
      </c>
      <c r="E7" s="46" t="s">
        <v>1657</v>
      </c>
      <c r="F7" s="563">
        <v>5129512.88</v>
      </c>
      <c r="G7" s="564">
        <v>2005</v>
      </c>
      <c r="H7" s="565">
        <v>37810</v>
      </c>
      <c r="I7" s="78"/>
    </row>
    <row r="8" spans="1:9" ht="26.1" hidden="1" customHeight="1">
      <c r="B8" s="46" t="s">
        <v>369</v>
      </c>
      <c r="C8" s="569" t="s">
        <v>366</v>
      </c>
      <c r="D8" s="75" t="s">
        <v>370</v>
      </c>
      <c r="E8" s="46" t="s">
        <v>1657</v>
      </c>
      <c r="F8" s="563">
        <v>1285973</v>
      </c>
      <c r="G8" s="564">
        <v>2005</v>
      </c>
      <c r="H8" s="565">
        <v>37257</v>
      </c>
      <c r="I8" s="78"/>
    </row>
    <row r="9" spans="1:9" ht="26.1" hidden="1" customHeight="1">
      <c r="B9" s="46" t="s">
        <v>499</v>
      </c>
      <c r="C9" s="569" t="s">
        <v>469</v>
      </c>
      <c r="D9" s="75" t="s">
        <v>500</v>
      </c>
      <c r="E9" s="46" t="s">
        <v>1657</v>
      </c>
      <c r="F9" s="563">
        <v>1226293</v>
      </c>
      <c r="G9" s="564">
        <v>2005</v>
      </c>
      <c r="H9" s="565">
        <v>37763</v>
      </c>
      <c r="I9" s="78"/>
    </row>
    <row r="10" spans="1:9" ht="26.1" hidden="1" customHeight="1">
      <c r="B10" s="46" t="s">
        <v>511</v>
      </c>
      <c r="C10" s="569" t="s">
        <v>510</v>
      </c>
      <c r="D10" s="75" t="s">
        <v>512</v>
      </c>
      <c r="E10" s="46" t="s">
        <v>1659</v>
      </c>
      <c r="F10" s="563">
        <v>518951</v>
      </c>
      <c r="G10" s="564">
        <v>2005</v>
      </c>
      <c r="H10" s="565" t="s">
        <v>150</v>
      </c>
      <c r="I10" s="78"/>
    </row>
    <row r="11" spans="1:9" ht="26.1" hidden="1" customHeight="1">
      <c r="B11" s="46" t="s">
        <v>922</v>
      </c>
      <c r="C11" s="569" t="s">
        <v>921</v>
      </c>
      <c r="D11" s="75" t="s">
        <v>923</v>
      </c>
      <c r="E11" s="46" t="s">
        <v>1563</v>
      </c>
      <c r="F11" s="563">
        <v>3584834</v>
      </c>
      <c r="G11" s="564">
        <v>2005</v>
      </c>
      <c r="H11" s="565" t="s">
        <v>150</v>
      </c>
    </row>
    <row r="12" spans="1:9" ht="26.1" hidden="1" customHeight="1">
      <c r="B12" s="46" t="s">
        <v>942</v>
      </c>
      <c r="C12" s="569" t="s">
        <v>941</v>
      </c>
      <c r="D12" s="75" t="s">
        <v>943</v>
      </c>
      <c r="E12" s="46" t="s">
        <v>1563</v>
      </c>
      <c r="F12" s="563">
        <v>1012090</v>
      </c>
      <c r="G12" s="564">
        <v>2005</v>
      </c>
      <c r="H12" s="565">
        <v>2004</v>
      </c>
    </row>
    <row r="13" spans="1:9" ht="26.1" hidden="1" customHeight="1">
      <c r="B13" s="46" t="s">
        <v>965</v>
      </c>
      <c r="C13" s="569" t="s">
        <v>961</v>
      </c>
      <c r="D13" s="75" t="s">
        <v>966</v>
      </c>
      <c r="E13" s="46" t="s">
        <v>1563</v>
      </c>
      <c r="F13" s="563">
        <v>1248941</v>
      </c>
      <c r="G13" s="564">
        <v>2005</v>
      </c>
      <c r="H13" s="565">
        <v>38047</v>
      </c>
    </row>
    <row r="14" spans="1:9" ht="26.1" hidden="1" customHeight="1">
      <c r="B14" s="46" t="s">
        <v>969</v>
      </c>
      <c r="C14" s="569" t="s">
        <v>968</v>
      </c>
      <c r="D14" s="75" t="s">
        <v>970</v>
      </c>
      <c r="E14" s="46" t="s">
        <v>1563</v>
      </c>
      <c r="F14" s="563">
        <v>5138153</v>
      </c>
      <c r="G14" s="564">
        <v>2005</v>
      </c>
      <c r="H14" s="565" t="s">
        <v>150</v>
      </c>
    </row>
    <row r="15" spans="1:9" ht="26.1" hidden="1" customHeight="1">
      <c r="B15" s="46" t="s">
        <v>977</v>
      </c>
      <c r="C15" s="569" t="s">
        <v>973</v>
      </c>
      <c r="D15" s="75" t="s">
        <v>978</v>
      </c>
      <c r="E15" s="46" t="s">
        <v>1563</v>
      </c>
      <c r="F15" s="563">
        <v>892333</v>
      </c>
      <c r="G15" s="564">
        <v>2005</v>
      </c>
      <c r="H15" s="565" t="s">
        <v>150</v>
      </c>
    </row>
    <row r="16" spans="1:9" ht="26.1" hidden="1" customHeight="1">
      <c r="B16" s="46" t="s">
        <v>253</v>
      </c>
      <c r="C16" s="569" t="s">
        <v>248</v>
      </c>
      <c r="D16" s="75" t="s">
        <v>254</v>
      </c>
      <c r="E16" s="46" t="s">
        <v>1657</v>
      </c>
      <c r="F16" s="563">
        <v>3392541</v>
      </c>
      <c r="G16" s="564">
        <v>2006</v>
      </c>
      <c r="H16" s="565">
        <v>36861</v>
      </c>
    </row>
    <row r="17" spans="2:8" ht="26.1" hidden="1" customHeight="1">
      <c r="B17" s="46" t="s">
        <v>263</v>
      </c>
      <c r="C17" s="569" t="s">
        <v>260</v>
      </c>
      <c r="D17" s="75">
        <v>800060258</v>
      </c>
      <c r="E17" s="46" t="s">
        <v>1657</v>
      </c>
      <c r="F17" s="563">
        <v>1420483</v>
      </c>
      <c r="G17" s="564">
        <v>2006</v>
      </c>
      <c r="H17" s="565">
        <v>39890</v>
      </c>
    </row>
    <row r="18" spans="2:8" ht="26.1" hidden="1" customHeight="1">
      <c r="B18" s="46" t="s">
        <v>350</v>
      </c>
      <c r="C18" s="569" t="s">
        <v>341</v>
      </c>
      <c r="D18" s="75" t="s">
        <v>103</v>
      </c>
      <c r="E18" s="46" t="s">
        <v>1657</v>
      </c>
      <c r="F18" s="563">
        <v>776380.49999999988</v>
      </c>
      <c r="G18" s="564">
        <v>2006</v>
      </c>
      <c r="H18" s="565">
        <v>37377</v>
      </c>
    </row>
    <row r="19" spans="2:8" ht="26.1" hidden="1" customHeight="1">
      <c r="B19" s="46" t="s">
        <v>432</v>
      </c>
      <c r="C19" s="569" t="s">
        <v>429</v>
      </c>
      <c r="D19" s="75">
        <v>800083972</v>
      </c>
      <c r="E19" s="46" t="s">
        <v>1657</v>
      </c>
      <c r="F19" s="563">
        <v>1075430</v>
      </c>
      <c r="G19" s="564">
        <v>2006</v>
      </c>
      <c r="H19" s="565">
        <v>38169</v>
      </c>
    </row>
    <row r="20" spans="2:8" ht="26.1" hidden="1" customHeight="1">
      <c r="B20" s="46" t="s">
        <v>434</v>
      </c>
      <c r="C20" s="569" t="s">
        <v>433</v>
      </c>
      <c r="D20" s="75" t="s">
        <v>435</v>
      </c>
      <c r="E20" s="46" t="s">
        <v>1657</v>
      </c>
      <c r="F20" s="563">
        <v>6081727.0899999999</v>
      </c>
      <c r="G20" s="564">
        <v>2006</v>
      </c>
      <c r="H20" s="565">
        <v>37926</v>
      </c>
    </row>
    <row r="21" spans="2:8" ht="26.1" hidden="1" customHeight="1">
      <c r="B21" s="46" t="s">
        <v>593</v>
      </c>
      <c r="C21" s="569" t="s">
        <v>589</v>
      </c>
      <c r="D21" s="75" t="s">
        <v>594</v>
      </c>
      <c r="E21" s="46" t="s">
        <v>596</v>
      </c>
      <c r="F21" s="563">
        <v>1339034</v>
      </c>
      <c r="G21" s="564">
        <v>2006</v>
      </c>
      <c r="H21" s="565">
        <v>36795</v>
      </c>
    </row>
    <row r="22" spans="2:8" ht="26.1" hidden="1" customHeight="1">
      <c r="B22" s="46" t="s">
        <v>674</v>
      </c>
      <c r="C22" s="569" t="s">
        <v>670</v>
      </c>
      <c r="D22" s="75" t="s">
        <v>672</v>
      </c>
      <c r="E22" s="46" t="s">
        <v>1660</v>
      </c>
      <c r="F22" s="563">
        <v>2357476</v>
      </c>
      <c r="G22" s="564">
        <v>2006</v>
      </c>
      <c r="H22" s="565">
        <v>37609</v>
      </c>
    </row>
    <row r="23" spans="2:8" ht="26.1" hidden="1" customHeight="1">
      <c r="B23" s="46" t="s">
        <v>209</v>
      </c>
      <c r="C23" s="569" t="s">
        <v>208</v>
      </c>
      <c r="D23" s="75" t="s">
        <v>210</v>
      </c>
      <c r="E23" s="46" t="s">
        <v>1657</v>
      </c>
      <c r="F23" s="563">
        <v>5660935</v>
      </c>
      <c r="G23" s="564">
        <v>2007</v>
      </c>
      <c r="H23" s="565">
        <v>38390</v>
      </c>
    </row>
    <row r="24" spans="2:8" ht="26.1" hidden="1" customHeight="1">
      <c r="B24" s="46" t="s">
        <v>231</v>
      </c>
      <c r="C24" s="569" t="s">
        <v>227</v>
      </c>
      <c r="D24" s="75" t="s">
        <v>1661</v>
      </c>
      <c r="E24" s="46" t="s">
        <v>1657</v>
      </c>
      <c r="F24" s="563">
        <v>685314.73</v>
      </c>
      <c r="G24" s="564">
        <v>2007</v>
      </c>
      <c r="H24" s="565">
        <v>38195</v>
      </c>
    </row>
    <row r="25" spans="2:8" ht="26.1" hidden="1" customHeight="1">
      <c r="B25" s="46" t="s">
        <v>275</v>
      </c>
      <c r="C25" s="569" t="s">
        <v>272</v>
      </c>
      <c r="D25" s="75">
        <v>800060196</v>
      </c>
      <c r="E25" s="46" t="s">
        <v>1657</v>
      </c>
      <c r="F25" s="563">
        <v>6548605</v>
      </c>
      <c r="G25" s="564">
        <v>2007</v>
      </c>
      <c r="H25" s="565">
        <v>38201</v>
      </c>
    </row>
    <row r="26" spans="2:8" ht="26.1" hidden="1" customHeight="1">
      <c r="B26" s="46" t="s">
        <v>332</v>
      </c>
      <c r="C26" s="569" t="s">
        <v>331</v>
      </c>
      <c r="D26" s="75" t="s">
        <v>333</v>
      </c>
      <c r="E26" s="46" t="s">
        <v>1657</v>
      </c>
      <c r="F26" s="563">
        <v>9520594</v>
      </c>
      <c r="G26" s="564">
        <v>2007</v>
      </c>
      <c r="H26" s="565">
        <v>38201</v>
      </c>
    </row>
    <row r="27" spans="2:8" ht="26.1" hidden="1" customHeight="1">
      <c r="B27" s="46" t="s">
        <v>348</v>
      </c>
      <c r="C27" s="569" t="s">
        <v>341</v>
      </c>
      <c r="D27" s="75" t="s">
        <v>346</v>
      </c>
      <c r="E27" s="46" t="s">
        <v>1657</v>
      </c>
      <c r="F27" s="563">
        <v>1536556</v>
      </c>
      <c r="G27" s="564">
        <v>2007</v>
      </c>
      <c r="H27" s="565">
        <v>37377</v>
      </c>
    </row>
    <row r="28" spans="2:8" ht="26.1" hidden="1" customHeight="1">
      <c r="B28" s="46" t="s">
        <v>367</v>
      </c>
      <c r="C28" s="569" t="s">
        <v>366</v>
      </c>
      <c r="D28" s="75" t="s">
        <v>368</v>
      </c>
      <c r="E28" s="46" t="s">
        <v>1657</v>
      </c>
      <c r="F28" s="563">
        <v>691755.05</v>
      </c>
      <c r="G28" s="564">
        <v>2007</v>
      </c>
      <c r="H28" s="565">
        <v>38292</v>
      </c>
    </row>
    <row r="29" spans="2:8" ht="26.1" hidden="1" customHeight="1">
      <c r="B29" s="46" t="s">
        <v>445</v>
      </c>
      <c r="C29" s="569" t="s">
        <v>444</v>
      </c>
      <c r="D29" s="75" t="s">
        <v>1662</v>
      </c>
      <c r="E29" s="46" t="s">
        <v>1657</v>
      </c>
      <c r="F29" s="563">
        <v>847461</v>
      </c>
      <c r="G29" s="564">
        <v>2007</v>
      </c>
      <c r="H29" s="565">
        <v>37433</v>
      </c>
    </row>
    <row r="30" spans="2:8" ht="26.1" hidden="1" customHeight="1">
      <c r="B30" s="46" t="s">
        <v>493</v>
      </c>
      <c r="C30" s="569" t="s">
        <v>469</v>
      </c>
      <c r="D30" s="75" t="s">
        <v>494</v>
      </c>
      <c r="E30" s="46" t="s">
        <v>1657</v>
      </c>
      <c r="F30" s="563">
        <v>2076355</v>
      </c>
      <c r="G30" s="564">
        <v>2007</v>
      </c>
      <c r="H30" s="565">
        <v>31106</v>
      </c>
    </row>
    <row r="31" spans="2:8" ht="26.1" hidden="1" customHeight="1">
      <c r="B31" s="46" t="s">
        <v>496</v>
      </c>
      <c r="C31" s="569" t="s">
        <v>469</v>
      </c>
      <c r="D31" s="75" t="s">
        <v>497</v>
      </c>
      <c r="E31" s="46" t="s">
        <v>1657</v>
      </c>
      <c r="F31" s="563">
        <v>2430758</v>
      </c>
      <c r="G31" s="564">
        <v>2007</v>
      </c>
      <c r="H31" s="565" t="s">
        <v>150</v>
      </c>
    </row>
    <row r="32" spans="2:8" ht="26.1" hidden="1" customHeight="1">
      <c r="B32" s="46" t="s">
        <v>773</v>
      </c>
      <c r="C32" s="569" t="s">
        <v>772</v>
      </c>
      <c r="D32" s="75" t="s">
        <v>774</v>
      </c>
      <c r="E32" s="46" t="s">
        <v>1663</v>
      </c>
      <c r="F32" s="563">
        <v>388652</v>
      </c>
      <c r="G32" s="564">
        <v>2007</v>
      </c>
      <c r="H32" s="565">
        <v>38405</v>
      </c>
    </row>
    <row r="33" spans="2:8" ht="26.1" hidden="1" customHeight="1">
      <c r="B33" s="46" t="s">
        <v>962</v>
      </c>
      <c r="C33" s="569" t="s">
        <v>961</v>
      </c>
      <c r="D33" s="75" t="s">
        <v>963</v>
      </c>
      <c r="E33" s="46" t="s">
        <v>1563</v>
      </c>
      <c r="F33" s="563">
        <v>1082713</v>
      </c>
      <c r="G33" s="564">
        <v>2007</v>
      </c>
      <c r="H33" s="565">
        <v>38047</v>
      </c>
    </row>
    <row r="34" spans="2:8" ht="26.1" hidden="1" customHeight="1">
      <c r="B34" s="46" t="s">
        <v>158</v>
      </c>
      <c r="C34" s="569" t="s">
        <v>145</v>
      </c>
      <c r="D34" s="75" t="s">
        <v>159</v>
      </c>
      <c r="E34" s="46" t="s">
        <v>1657</v>
      </c>
      <c r="F34" s="553">
        <v>5187831</v>
      </c>
      <c r="G34" s="554">
        <v>2008</v>
      </c>
      <c r="H34" s="552">
        <v>38006</v>
      </c>
    </row>
    <row r="35" spans="2:8" ht="26.1" hidden="1" customHeight="1">
      <c r="B35" s="46" t="s">
        <v>172</v>
      </c>
      <c r="C35" s="569" t="s">
        <v>168</v>
      </c>
      <c r="D35" s="75">
        <v>800060254</v>
      </c>
      <c r="E35" s="46" t="s">
        <v>1657</v>
      </c>
      <c r="F35" s="563">
        <v>1877845</v>
      </c>
      <c r="G35" s="564">
        <v>2008</v>
      </c>
      <c r="H35" s="565">
        <v>37879</v>
      </c>
    </row>
    <row r="36" spans="2:8" ht="26.1" hidden="1" customHeight="1">
      <c r="B36" s="46" t="s">
        <v>321</v>
      </c>
      <c r="C36" s="569" t="s">
        <v>314</v>
      </c>
      <c r="D36" s="75" t="s">
        <v>322</v>
      </c>
      <c r="E36" s="46" t="s">
        <v>1657</v>
      </c>
      <c r="F36" s="563">
        <v>12786024</v>
      </c>
      <c r="G36" s="564">
        <v>2008</v>
      </c>
      <c r="H36" s="565">
        <v>36526</v>
      </c>
    </row>
    <row r="37" spans="2:8" ht="26.1" hidden="1" customHeight="1">
      <c r="B37" s="46" t="s">
        <v>416</v>
      </c>
      <c r="C37" s="569" t="s">
        <v>411</v>
      </c>
      <c r="D37" s="75">
        <v>800060253</v>
      </c>
      <c r="E37" s="46" t="s">
        <v>1657</v>
      </c>
      <c r="F37" s="563">
        <v>2532673</v>
      </c>
      <c r="G37" s="564">
        <v>2008</v>
      </c>
      <c r="H37" s="565">
        <v>37810</v>
      </c>
    </row>
    <row r="38" spans="2:8" ht="26.1" hidden="1" customHeight="1">
      <c r="B38" s="46" t="s">
        <v>586</v>
      </c>
      <c r="C38" s="569" t="s">
        <v>585</v>
      </c>
      <c r="D38" s="75" t="s">
        <v>587</v>
      </c>
      <c r="E38" s="46" t="s">
        <v>596</v>
      </c>
      <c r="F38" s="563">
        <v>1025881</v>
      </c>
      <c r="G38" s="564">
        <v>2008</v>
      </c>
      <c r="H38" s="565">
        <v>35123</v>
      </c>
    </row>
    <row r="39" spans="2:8" ht="26.1" hidden="1" customHeight="1">
      <c r="B39" s="46" t="s">
        <v>713</v>
      </c>
      <c r="C39" s="569" t="s">
        <v>710</v>
      </c>
      <c r="D39" s="75" t="s">
        <v>714</v>
      </c>
      <c r="E39" s="46" t="s">
        <v>1660</v>
      </c>
      <c r="F39" s="563">
        <v>2410299</v>
      </c>
      <c r="G39" s="564">
        <v>2008</v>
      </c>
      <c r="H39" s="565">
        <v>38986</v>
      </c>
    </row>
    <row r="40" spans="2:8" ht="26.1" hidden="1" customHeight="1">
      <c r="B40" s="46" t="s">
        <v>725</v>
      </c>
      <c r="C40" s="569" t="s">
        <v>724</v>
      </c>
      <c r="D40" s="75" t="s">
        <v>726</v>
      </c>
      <c r="E40" s="46" t="s">
        <v>1660</v>
      </c>
      <c r="F40" s="563">
        <v>1236276</v>
      </c>
      <c r="G40" s="564">
        <v>2008</v>
      </c>
      <c r="H40" s="565">
        <v>38986</v>
      </c>
    </row>
    <row r="41" spans="2:8" ht="26.1" hidden="1" customHeight="1">
      <c r="B41" s="46" t="s">
        <v>743</v>
      </c>
      <c r="C41" s="569" t="s">
        <v>729</v>
      </c>
      <c r="D41" s="75" t="s">
        <v>744</v>
      </c>
      <c r="E41" s="46" t="s">
        <v>1660</v>
      </c>
      <c r="F41" s="563">
        <v>3623721</v>
      </c>
      <c r="G41" s="564">
        <v>2008</v>
      </c>
      <c r="H41" s="565">
        <v>37628</v>
      </c>
    </row>
    <row r="42" spans="2:8" ht="26.1" hidden="1" customHeight="1">
      <c r="B42" s="46" t="s">
        <v>799</v>
      </c>
      <c r="C42" s="569" t="s">
        <v>795</v>
      </c>
      <c r="D42" s="75" t="s">
        <v>800</v>
      </c>
      <c r="E42" s="46" t="s">
        <v>1663</v>
      </c>
      <c r="F42" s="563">
        <v>1887247.5999999996</v>
      </c>
      <c r="G42" s="564">
        <v>2008</v>
      </c>
      <c r="H42" s="565">
        <v>38630</v>
      </c>
    </row>
    <row r="43" spans="2:8" ht="26.1" hidden="1" customHeight="1">
      <c r="B43" s="46" t="s">
        <v>803</v>
      </c>
      <c r="C43" s="569" t="s">
        <v>802</v>
      </c>
      <c r="D43" s="75" t="s">
        <v>804</v>
      </c>
      <c r="E43" s="46" t="s">
        <v>1663</v>
      </c>
      <c r="F43" s="563">
        <v>1034793</v>
      </c>
      <c r="G43" s="564">
        <v>2008</v>
      </c>
      <c r="H43" s="565">
        <v>36809</v>
      </c>
    </row>
    <row r="44" spans="2:8" ht="26.1" hidden="1" customHeight="1">
      <c r="B44" s="46" t="s">
        <v>807</v>
      </c>
      <c r="C44" s="569" t="s">
        <v>806</v>
      </c>
      <c r="D44" s="75" t="s">
        <v>808</v>
      </c>
      <c r="E44" s="46" t="s">
        <v>1663</v>
      </c>
      <c r="F44" s="563">
        <v>962235</v>
      </c>
      <c r="G44" s="564">
        <v>2008</v>
      </c>
      <c r="H44" s="565">
        <v>38363</v>
      </c>
    </row>
    <row r="45" spans="2:8" ht="26.1" hidden="1" customHeight="1">
      <c r="B45" s="46" t="s">
        <v>847</v>
      </c>
      <c r="C45" s="569" t="s">
        <v>841</v>
      </c>
      <c r="D45" s="75" t="s">
        <v>848</v>
      </c>
      <c r="E45" s="46" t="s">
        <v>1663</v>
      </c>
      <c r="F45" s="563">
        <v>665365</v>
      </c>
      <c r="G45" s="564">
        <v>2008</v>
      </c>
      <c r="H45" s="565">
        <v>38666</v>
      </c>
    </row>
    <row r="46" spans="2:8" ht="26.1" hidden="1" customHeight="1">
      <c r="B46" s="46" t="s">
        <v>893</v>
      </c>
      <c r="C46" s="569" t="s">
        <v>889</v>
      </c>
      <c r="D46" s="75" t="s">
        <v>894</v>
      </c>
      <c r="E46" s="46" t="s">
        <v>885</v>
      </c>
      <c r="F46" s="563">
        <v>3675583</v>
      </c>
      <c r="G46" s="564">
        <v>2008</v>
      </c>
      <c r="H46" s="565">
        <v>38034</v>
      </c>
    </row>
    <row r="47" spans="2:8" ht="26.1" hidden="1" customHeight="1">
      <c r="B47" s="46" t="s">
        <v>952</v>
      </c>
      <c r="C47" s="569" t="s">
        <v>945</v>
      </c>
      <c r="D47" s="75" t="s">
        <v>951</v>
      </c>
      <c r="E47" s="46" t="s">
        <v>1563</v>
      </c>
      <c r="F47" s="563">
        <v>1644152.4</v>
      </c>
      <c r="G47" s="564">
        <v>2008</v>
      </c>
      <c r="H47" s="565">
        <v>37782</v>
      </c>
    </row>
    <row r="48" spans="2:8" ht="26.1" hidden="1" customHeight="1">
      <c r="B48" s="48" t="s">
        <v>136</v>
      </c>
      <c r="C48" s="568" t="s">
        <v>135</v>
      </c>
      <c r="D48" s="75" t="s">
        <v>1664</v>
      </c>
      <c r="E48" s="48" t="s">
        <v>1665</v>
      </c>
      <c r="F48" s="553">
        <v>1523324</v>
      </c>
      <c r="G48" s="554">
        <v>2009</v>
      </c>
      <c r="H48" s="552">
        <v>36781</v>
      </c>
    </row>
    <row r="49" spans="2:8" ht="26.1" hidden="1" customHeight="1">
      <c r="B49" s="48" t="s">
        <v>153</v>
      </c>
      <c r="C49" s="567" t="s">
        <v>145</v>
      </c>
      <c r="D49" s="75" t="s">
        <v>154</v>
      </c>
      <c r="E49" s="48" t="s">
        <v>1657</v>
      </c>
      <c r="F49" s="553">
        <v>1369528</v>
      </c>
      <c r="G49" s="554">
        <v>2009</v>
      </c>
      <c r="H49" s="552">
        <v>39377</v>
      </c>
    </row>
    <row r="50" spans="2:8" ht="26.1" hidden="1" customHeight="1">
      <c r="B50" s="46" t="s">
        <v>339</v>
      </c>
      <c r="C50" s="569" t="s">
        <v>336</v>
      </c>
      <c r="D50" s="75" t="s">
        <v>340</v>
      </c>
      <c r="E50" s="46" t="s">
        <v>1657</v>
      </c>
      <c r="F50" s="563">
        <v>1731971</v>
      </c>
      <c r="G50" s="564">
        <v>2009</v>
      </c>
      <c r="H50" s="565">
        <v>39301</v>
      </c>
    </row>
    <row r="51" spans="2:8" ht="26.1" hidden="1" customHeight="1">
      <c r="B51" s="46" t="s">
        <v>491</v>
      </c>
      <c r="C51" s="569" t="s">
        <v>469</v>
      </c>
      <c r="D51" s="75" t="s">
        <v>492</v>
      </c>
      <c r="E51" s="46" t="s">
        <v>1657</v>
      </c>
      <c r="F51" s="563">
        <v>3116086</v>
      </c>
      <c r="G51" s="564">
        <v>2009</v>
      </c>
      <c r="H51" s="565">
        <v>38258</v>
      </c>
    </row>
    <row r="52" spans="2:8" ht="26.1" hidden="1" customHeight="1">
      <c r="B52" s="46" t="s">
        <v>528</v>
      </c>
      <c r="C52" s="569" t="s">
        <v>527</v>
      </c>
      <c r="D52" s="75" t="s">
        <v>529</v>
      </c>
      <c r="E52" s="46" t="s">
        <v>596</v>
      </c>
      <c r="F52" s="563">
        <v>1047062</v>
      </c>
      <c r="G52" s="564">
        <v>2009</v>
      </c>
      <c r="H52" s="565">
        <v>39679</v>
      </c>
    </row>
    <row r="53" spans="2:8" ht="26.1" hidden="1" customHeight="1">
      <c r="B53" s="46" t="s">
        <v>607</v>
      </c>
      <c r="C53" s="569" t="s">
        <v>604</v>
      </c>
      <c r="D53" s="75" t="s">
        <v>608</v>
      </c>
      <c r="E53" s="46" t="s">
        <v>596</v>
      </c>
      <c r="F53" s="563">
        <v>2428301</v>
      </c>
      <c r="G53" s="564">
        <v>2009</v>
      </c>
      <c r="H53" s="565"/>
    </row>
    <row r="54" spans="2:8" ht="26.1" hidden="1" customHeight="1">
      <c r="B54" s="46" t="s">
        <v>717</v>
      </c>
      <c r="C54" s="569" t="s">
        <v>715</v>
      </c>
      <c r="D54" s="75" t="s">
        <v>718</v>
      </c>
      <c r="E54" s="46" t="s">
        <v>1660</v>
      </c>
      <c r="F54" s="563">
        <v>1642029</v>
      </c>
      <c r="G54" s="564">
        <v>2009</v>
      </c>
      <c r="H54" s="565">
        <v>38986</v>
      </c>
    </row>
    <row r="55" spans="2:8" ht="26.1" hidden="1" customHeight="1">
      <c r="B55" s="46" t="s">
        <v>740</v>
      </c>
      <c r="C55" s="569" t="s">
        <v>729</v>
      </c>
      <c r="D55" s="75" t="s">
        <v>741</v>
      </c>
      <c r="E55" s="46" t="s">
        <v>1660</v>
      </c>
      <c r="F55" s="563">
        <v>1100691</v>
      </c>
      <c r="G55" s="564">
        <v>2009</v>
      </c>
      <c r="H55" s="565">
        <v>38664</v>
      </c>
    </row>
    <row r="56" spans="2:8" ht="26.1" hidden="1" customHeight="1">
      <c r="B56" s="46" t="s">
        <v>816</v>
      </c>
      <c r="C56" s="569" t="s">
        <v>809</v>
      </c>
      <c r="D56" s="75" t="s">
        <v>817</v>
      </c>
      <c r="E56" s="46" t="s">
        <v>1663</v>
      </c>
      <c r="F56" s="563">
        <v>970870</v>
      </c>
      <c r="G56" s="564">
        <v>2009</v>
      </c>
      <c r="H56" s="565" t="s">
        <v>150</v>
      </c>
    </row>
    <row r="57" spans="2:8" ht="26.1" hidden="1" customHeight="1">
      <c r="B57" s="46" t="s">
        <v>837</v>
      </c>
      <c r="C57" s="569" t="s">
        <v>833</v>
      </c>
      <c r="D57" s="75" t="s">
        <v>836</v>
      </c>
      <c r="E57" s="46" t="s">
        <v>1663</v>
      </c>
      <c r="F57" s="563">
        <v>747296</v>
      </c>
      <c r="G57" s="564">
        <v>2009</v>
      </c>
      <c r="H57" s="565">
        <v>40084</v>
      </c>
    </row>
    <row r="58" spans="2:8" ht="26.1" hidden="1" customHeight="1">
      <c r="B58" s="46" t="s">
        <v>845</v>
      </c>
      <c r="C58" s="569" t="s">
        <v>841</v>
      </c>
      <c r="D58" s="75" t="s">
        <v>846</v>
      </c>
      <c r="E58" s="46" t="s">
        <v>1663</v>
      </c>
      <c r="F58" s="563">
        <v>1274526</v>
      </c>
      <c r="G58" s="564">
        <v>2009</v>
      </c>
      <c r="H58" s="565">
        <v>38161</v>
      </c>
    </row>
    <row r="59" spans="2:8" ht="26.1" hidden="1" customHeight="1">
      <c r="B59" s="46" t="s">
        <v>863</v>
      </c>
      <c r="C59" s="569" t="s">
        <v>862</v>
      </c>
      <c r="D59" s="75" t="s">
        <v>864</v>
      </c>
      <c r="E59" s="46" t="s">
        <v>1663</v>
      </c>
      <c r="F59" s="563">
        <v>1300537</v>
      </c>
      <c r="G59" s="564">
        <v>2009</v>
      </c>
      <c r="H59" s="565">
        <v>38461</v>
      </c>
    </row>
    <row r="60" spans="2:8" ht="26.1" hidden="1" customHeight="1">
      <c r="B60" s="46" t="s">
        <v>223</v>
      </c>
      <c r="C60" s="569" t="s">
        <v>218</v>
      </c>
      <c r="D60" s="75">
        <v>800060266</v>
      </c>
      <c r="E60" s="46" t="s">
        <v>1657</v>
      </c>
      <c r="F60" s="563">
        <v>1920221</v>
      </c>
      <c r="G60" s="564">
        <v>2010</v>
      </c>
      <c r="H60" s="565">
        <v>39090</v>
      </c>
    </row>
    <row r="61" spans="2:8" ht="26.1" hidden="1" customHeight="1">
      <c r="B61" s="46" t="s">
        <v>261</v>
      </c>
      <c r="C61" s="569" t="s">
        <v>260</v>
      </c>
      <c r="D61" s="75" t="s">
        <v>262</v>
      </c>
      <c r="E61" s="46" t="s">
        <v>1657</v>
      </c>
      <c r="F61" s="563">
        <v>4927524</v>
      </c>
      <c r="G61" s="564">
        <v>2010</v>
      </c>
      <c r="H61" s="565">
        <v>39890</v>
      </c>
    </row>
    <row r="62" spans="2:8" ht="26.1" hidden="1" customHeight="1">
      <c r="B62" s="46" t="s">
        <v>427</v>
      </c>
      <c r="C62" s="569" t="s">
        <v>423</v>
      </c>
      <c r="D62" s="75" t="s">
        <v>428</v>
      </c>
      <c r="E62" s="46" t="s">
        <v>1657</v>
      </c>
      <c r="F62" s="563">
        <v>1577649</v>
      </c>
      <c r="G62" s="564">
        <v>2010</v>
      </c>
      <c r="H62" s="565">
        <v>38937</v>
      </c>
    </row>
    <row r="63" spans="2:8" ht="26.1" hidden="1" customHeight="1">
      <c r="B63" s="46" t="s">
        <v>462</v>
      </c>
      <c r="C63" s="569" t="s">
        <v>457</v>
      </c>
      <c r="D63" s="75" t="s">
        <v>1666</v>
      </c>
      <c r="E63" s="46" t="s">
        <v>1657</v>
      </c>
      <c r="F63" s="563">
        <v>2479259</v>
      </c>
      <c r="G63" s="564">
        <v>2010</v>
      </c>
      <c r="H63" s="565">
        <v>37390</v>
      </c>
    </row>
    <row r="64" spans="2:8" ht="26.1" hidden="1" customHeight="1">
      <c r="B64" s="46" t="s">
        <v>544</v>
      </c>
      <c r="C64" s="569" t="s">
        <v>540</v>
      </c>
      <c r="D64" s="75" t="s">
        <v>545</v>
      </c>
      <c r="E64" s="46" t="s">
        <v>596</v>
      </c>
      <c r="F64" s="563">
        <v>814917</v>
      </c>
      <c r="G64" s="564">
        <v>2010</v>
      </c>
      <c r="H64" s="565">
        <v>39609</v>
      </c>
    </row>
    <row r="65" spans="2:8" ht="26.1" hidden="1" customHeight="1">
      <c r="B65" s="46" t="s">
        <v>565</v>
      </c>
      <c r="C65" s="569" t="s">
        <v>562</v>
      </c>
      <c r="D65" s="75" t="s">
        <v>566</v>
      </c>
      <c r="E65" s="46" t="s">
        <v>596</v>
      </c>
      <c r="F65" s="563">
        <v>2725454</v>
      </c>
      <c r="G65" s="564">
        <v>2010</v>
      </c>
      <c r="H65" s="565">
        <v>38341</v>
      </c>
    </row>
    <row r="66" spans="2:8" ht="26.1" hidden="1" customHeight="1">
      <c r="B66" s="46" t="s">
        <v>613</v>
      </c>
      <c r="C66" s="569" t="s">
        <v>604</v>
      </c>
      <c r="D66" s="75" t="s">
        <v>614</v>
      </c>
      <c r="E66" s="46" t="s">
        <v>596</v>
      </c>
      <c r="F66" s="563">
        <v>2498464</v>
      </c>
      <c r="G66" s="564">
        <v>2010</v>
      </c>
      <c r="H66" s="565">
        <v>34127</v>
      </c>
    </row>
    <row r="67" spans="2:8" ht="26.1" hidden="1" customHeight="1">
      <c r="B67" s="46" t="s">
        <v>627</v>
      </c>
      <c r="C67" s="569" t="s">
        <v>622</v>
      </c>
      <c r="D67" s="75" t="s">
        <v>628</v>
      </c>
      <c r="E67" s="46" t="s">
        <v>596</v>
      </c>
      <c r="F67" s="563">
        <v>959707.61</v>
      </c>
      <c r="G67" s="564">
        <v>2010</v>
      </c>
      <c r="H67" s="565">
        <v>39489</v>
      </c>
    </row>
    <row r="68" spans="2:8" ht="26.1" hidden="1" customHeight="1">
      <c r="B68" s="46" t="s">
        <v>701</v>
      </c>
      <c r="C68" s="569" t="s">
        <v>698</v>
      </c>
      <c r="D68" s="75" t="s">
        <v>702</v>
      </c>
      <c r="E68" s="46" t="s">
        <v>1660</v>
      </c>
      <c r="F68" s="563">
        <v>990929</v>
      </c>
      <c r="G68" s="564">
        <v>2010</v>
      </c>
      <c r="H68" s="565">
        <v>39427</v>
      </c>
    </row>
    <row r="69" spans="2:8" ht="26.1" hidden="1" customHeight="1">
      <c r="B69" s="46" t="s">
        <v>813</v>
      </c>
      <c r="C69" s="569" t="s">
        <v>809</v>
      </c>
      <c r="D69" s="75" t="s">
        <v>814</v>
      </c>
      <c r="E69" s="46" t="s">
        <v>1663</v>
      </c>
      <c r="F69" s="563">
        <v>1018040</v>
      </c>
      <c r="G69" s="564">
        <v>2010</v>
      </c>
      <c r="H69" s="565" t="s">
        <v>150</v>
      </c>
    </row>
    <row r="70" spans="2:8" ht="26.1" hidden="1" customHeight="1">
      <c r="B70" s="46" t="s">
        <v>823</v>
      </c>
      <c r="C70" s="569" t="s">
        <v>818</v>
      </c>
      <c r="D70" s="75" t="s">
        <v>824</v>
      </c>
      <c r="E70" s="46" t="s">
        <v>1663</v>
      </c>
      <c r="F70" s="563">
        <v>1343831</v>
      </c>
      <c r="G70" s="564">
        <v>2010</v>
      </c>
      <c r="H70" s="565">
        <v>39847</v>
      </c>
    </row>
    <row r="71" spans="2:8" ht="26.1" hidden="1" customHeight="1">
      <c r="B71" s="46" t="s">
        <v>886</v>
      </c>
      <c r="C71" s="569" t="s">
        <v>885</v>
      </c>
      <c r="D71" s="75" t="s">
        <v>887</v>
      </c>
      <c r="E71" s="46" t="s">
        <v>885</v>
      </c>
      <c r="F71" s="563">
        <v>5188642</v>
      </c>
      <c r="G71" s="564">
        <v>2010</v>
      </c>
      <c r="H71" s="565">
        <v>38951</v>
      </c>
    </row>
    <row r="72" spans="2:8" ht="26.1" hidden="1" customHeight="1">
      <c r="B72" s="46" t="s">
        <v>974</v>
      </c>
      <c r="C72" s="569" t="s">
        <v>973</v>
      </c>
      <c r="D72" s="75" t="s">
        <v>975</v>
      </c>
      <c r="E72" s="46" t="s">
        <v>1563</v>
      </c>
      <c r="F72" s="563">
        <v>1612662</v>
      </c>
      <c r="G72" s="564">
        <v>2010</v>
      </c>
      <c r="H72" s="565">
        <v>37516</v>
      </c>
    </row>
    <row r="73" spans="2:8" ht="26.1" hidden="1" customHeight="1">
      <c r="B73" s="46" t="s">
        <v>980</v>
      </c>
      <c r="C73" s="569" t="s">
        <v>973</v>
      </c>
      <c r="D73" s="75" t="s">
        <v>981</v>
      </c>
      <c r="E73" s="46" t="s">
        <v>1563</v>
      </c>
      <c r="F73" s="563">
        <v>2890354</v>
      </c>
      <c r="G73" s="564">
        <v>2010</v>
      </c>
      <c r="H73" s="565">
        <v>37516</v>
      </c>
    </row>
    <row r="74" spans="2:8" ht="26.1" hidden="1" customHeight="1">
      <c r="B74" s="46" t="s">
        <v>169</v>
      </c>
      <c r="C74" s="569" t="s">
        <v>168</v>
      </c>
      <c r="D74" s="75" t="s">
        <v>170</v>
      </c>
      <c r="E74" s="46" t="s">
        <v>1657</v>
      </c>
      <c r="F74" s="563">
        <v>1701176</v>
      </c>
      <c r="G74" s="564">
        <v>2011</v>
      </c>
      <c r="H74" s="565">
        <v>39510</v>
      </c>
    </row>
    <row r="75" spans="2:8" ht="26.1" hidden="1" customHeight="1">
      <c r="B75" s="46" t="s">
        <v>197</v>
      </c>
      <c r="C75" s="569" t="s">
        <v>190</v>
      </c>
      <c r="D75" s="75" t="s">
        <v>198</v>
      </c>
      <c r="E75" s="46" t="s">
        <v>1657</v>
      </c>
      <c r="F75" s="563">
        <v>1075643</v>
      </c>
      <c r="G75" s="564">
        <v>2011</v>
      </c>
      <c r="H75" s="565">
        <v>39910</v>
      </c>
    </row>
    <row r="76" spans="2:8" ht="26.1" hidden="1" customHeight="1">
      <c r="B76" s="46" t="s">
        <v>228</v>
      </c>
      <c r="C76" s="569" t="s">
        <v>227</v>
      </c>
      <c r="D76" s="75" t="s">
        <v>229</v>
      </c>
      <c r="E76" s="46" t="s">
        <v>1657</v>
      </c>
      <c r="F76" s="563">
        <v>1493888</v>
      </c>
      <c r="G76" s="564">
        <v>2011</v>
      </c>
      <c r="H76" s="565">
        <v>38860</v>
      </c>
    </row>
    <row r="77" spans="2:8" ht="26.1" hidden="1" customHeight="1">
      <c r="B77" s="46" t="s">
        <v>279</v>
      </c>
      <c r="C77" s="569" t="s">
        <v>278</v>
      </c>
      <c r="D77" s="75" t="s">
        <v>280</v>
      </c>
      <c r="E77" s="46" t="s">
        <v>1657</v>
      </c>
      <c r="F77" s="563">
        <v>636723</v>
      </c>
      <c r="G77" s="564">
        <v>2011</v>
      </c>
      <c r="H77" s="565">
        <v>39429</v>
      </c>
    </row>
    <row r="78" spans="2:8" ht="26.1" hidden="1" customHeight="1">
      <c r="B78" s="46" t="s">
        <v>372</v>
      </c>
      <c r="C78" s="569" t="s">
        <v>371</v>
      </c>
      <c r="D78" s="75" t="s">
        <v>373</v>
      </c>
      <c r="E78" s="46" t="s">
        <v>1657</v>
      </c>
      <c r="F78" s="563">
        <v>926832</v>
      </c>
      <c r="G78" s="564">
        <v>2011</v>
      </c>
      <c r="H78" s="565">
        <v>39006</v>
      </c>
    </row>
    <row r="79" spans="2:8" ht="26.1" hidden="1" customHeight="1">
      <c r="B79" s="46" t="s">
        <v>485</v>
      </c>
      <c r="C79" s="569" t="s">
        <v>469</v>
      </c>
      <c r="D79" s="75" t="s">
        <v>486</v>
      </c>
      <c r="E79" s="46" t="s">
        <v>1657</v>
      </c>
      <c r="F79" s="563">
        <v>8009210</v>
      </c>
      <c r="G79" s="564">
        <v>2011</v>
      </c>
      <c r="H79" s="565">
        <v>38951</v>
      </c>
    </row>
    <row r="80" spans="2:8" ht="26.1" hidden="1" customHeight="1">
      <c r="B80" s="46" t="s">
        <v>488</v>
      </c>
      <c r="C80" s="569" t="s">
        <v>469</v>
      </c>
      <c r="D80" s="75" t="s">
        <v>489</v>
      </c>
      <c r="E80" s="46" t="s">
        <v>1657</v>
      </c>
      <c r="F80" s="563">
        <v>2748087</v>
      </c>
      <c r="G80" s="564">
        <v>2011</v>
      </c>
      <c r="H80" s="565">
        <v>38258</v>
      </c>
    </row>
    <row r="81" spans="2:8" ht="26.1" hidden="1" customHeight="1">
      <c r="B81" s="46" t="s">
        <v>553</v>
      </c>
      <c r="C81" s="569" t="s">
        <v>552</v>
      </c>
      <c r="D81" s="75" t="s">
        <v>554</v>
      </c>
      <c r="E81" s="46" t="s">
        <v>596</v>
      </c>
      <c r="F81" s="563">
        <v>6224124</v>
      </c>
      <c r="G81" s="564">
        <v>2011</v>
      </c>
      <c r="H81" s="565">
        <v>36815</v>
      </c>
    </row>
    <row r="82" spans="2:8" ht="26.1" hidden="1" customHeight="1">
      <c r="B82" s="46" t="s">
        <v>568</v>
      </c>
      <c r="C82" s="569" t="s">
        <v>567</v>
      </c>
      <c r="D82" s="75" t="s">
        <v>569</v>
      </c>
      <c r="E82" s="46" t="s">
        <v>596</v>
      </c>
      <c r="F82" s="563">
        <v>655824</v>
      </c>
      <c r="G82" s="564">
        <v>2011</v>
      </c>
      <c r="H82" s="565">
        <v>39980</v>
      </c>
    </row>
    <row r="83" spans="2:8" ht="26.1" hidden="1" customHeight="1">
      <c r="B83" s="46" t="s">
        <v>635</v>
      </c>
      <c r="C83" s="569" t="s">
        <v>634</v>
      </c>
      <c r="D83" s="75" t="s">
        <v>636</v>
      </c>
      <c r="E83" s="46" t="s">
        <v>596</v>
      </c>
      <c r="F83" s="563">
        <v>395357</v>
      </c>
      <c r="G83" s="564">
        <v>2011</v>
      </c>
      <c r="H83" s="565">
        <v>40162</v>
      </c>
    </row>
    <row r="84" spans="2:8" ht="26.1" hidden="1" customHeight="1">
      <c r="B84" s="46" t="s">
        <v>639</v>
      </c>
      <c r="C84" s="569" t="s">
        <v>638</v>
      </c>
      <c r="D84" s="75" t="s">
        <v>640</v>
      </c>
      <c r="E84" s="46" t="s">
        <v>596</v>
      </c>
      <c r="F84" s="563">
        <v>4730150</v>
      </c>
      <c r="G84" s="564">
        <v>2011</v>
      </c>
      <c r="H84" s="565">
        <v>39673</v>
      </c>
    </row>
    <row r="85" spans="2:8" ht="26.1" hidden="1" customHeight="1">
      <c r="B85" s="46" t="s">
        <v>660</v>
      </c>
      <c r="C85" s="569" t="s">
        <v>659</v>
      </c>
      <c r="D85" s="75" t="s">
        <v>661</v>
      </c>
      <c r="E85" s="46" t="s">
        <v>1660</v>
      </c>
      <c r="F85" s="563">
        <v>605874</v>
      </c>
      <c r="G85" s="564">
        <v>2011</v>
      </c>
      <c r="H85" s="565">
        <v>38524</v>
      </c>
    </row>
    <row r="86" spans="2:8" ht="26.1" hidden="1" customHeight="1">
      <c r="B86" s="46" t="s">
        <v>667</v>
      </c>
      <c r="C86" s="569" t="s">
        <v>666</v>
      </c>
      <c r="D86" s="75" t="s">
        <v>668</v>
      </c>
      <c r="E86" s="46" t="s">
        <v>1660</v>
      </c>
      <c r="F86" s="563">
        <v>478821</v>
      </c>
      <c r="G86" s="564">
        <v>2011</v>
      </c>
      <c r="H86" s="565">
        <v>38980</v>
      </c>
    </row>
    <row r="87" spans="2:8" ht="26.1" hidden="1" customHeight="1">
      <c r="B87" s="46" t="s">
        <v>748</v>
      </c>
      <c r="C87" s="569" t="s">
        <v>747</v>
      </c>
      <c r="D87" s="75" t="s">
        <v>749</v>
      </c>
      <c r="E87" s="46" t="s">
        <v>1663</v>
      </c>
      <c r="F87" s="563">
        <v>575354</v>
      </c>
      <c r="G87" s="564">
        <v>2011</v>
      </c>
      <c r="H87" s="565">
        <v>39673</v>
      </c>
    </row>
    <row r="88" spans="2:8" ht="26.1" hidden="1" customHeight="1">
      <c r="B88" s="46" t="s">
        <v>769</v>
      </c>
      <c r="C88" s="569" t="s">
        <v>764</v>
      </c>
      <c r="D88" s="75" t="s">
        <v>770</v>
      </c>
      <c r="E88" s="46" t="s">
        <v>1663</v>
      </c>
      <c r="F88" s="563">
        <v>690676</v>
      </c>
      <c r="G88" s="564">
        <v>2011</v>
      </c>
      <c r="H88" s="565">
        <v>39217</v>
      </c>
    </row>
    <row r="89" spans="2:8" ht="26.1" hidden="1" customHeight="1">
      <c r="B89" s="46" t="s">
        <v>779</v>
      </c>
      <c r="C89" s="569" t="s">
        <v>778</v>
      </c>
      <c r="D89" s="75" t="s">
        <v>780</v>
      </c>
      <c r="E89" s="46" t="s">
        <v>1663</v>
      </c>
      <c r="F89" s="563">
        <v>1652316</v>
      </c>
      <c r="G89" s="564">
        <v>2011</v>
      </c>
      <c r="H89" s="565">
        <v>39035</v>
      </c>
    </row>
    <row r="90" spans="2:8" ht="26.1" hidden="1" customHeight="1">
      <c r="B90" s="46" t="s">
        <v>839</v>
      </c>
      <c r="C90" s="569" t="s">
        <v>838</v>
      </c>
      <c r="D90" s="75" t="s">
        <v>840</v>
      </c>
      <c r="E90" s="46" t="s">
        <v>1663</v>
      </c>
      <c r="F90" s="563">
        <v>1732160</v>
      </c>
      <c r="G90" s="564">
        <v>2011</v>
      </c>
      <c r="H90" s="565">
        <v>39772</v>
      </c>
    </row>
    <row r="91" spans="2:8" ht="26.1" hidden="1" customHeight="1">
      <c r="B91" s="46" t="s">
        <v>899</v>
      </c>
      <c r="C91" s="569" t="s">
        <v>898</v>
      </c>
      <c r="D91" s="75" t="s">
        <v>900</v>
      </c>
      <c r="E91" s="46" t="s">
        <v>911</v>
      </c>
      <c r="F91" s="563">
        <v>936103</v>
      </c>
      <c r="G91" s="564">
        <v>2011</v>
      </c>
      <c r="H91" s="565">
        <v>39882</v>
      </c>
    </row>
    <row r="92" spans="2:8" ht="26.1" hidden="1" customHeight="1">
      <c r="B92" s="46" t="s">
        <v>194</v>
      </c>
      <c r="C92" s="569" t="s">
        <v>190</v>
      </c>
      <c r="D92" s="75" t="s">
        <v>195</v>
      </c>
      <c r="E92" s="46" t="s">
        <v>1657</v>
      </c>
      <c r="F92" s="563">
        <v>3877519</v>
      </c>
      <c r="G92" s="564">
        <v>2012</v>
      </c>
      <c r="H92" s="565">
        <v>39890</v>
      </c>
    </row>
    <row r="93" spans="2:8" ht="26.1" hidden="1" customHeight="1">
      <c r="B93" s="46" t="s">
        <v>267</v>
      </c>
      <c r="C93" s="569" t="s">
        <v>266</v>
      </c>
      <c r="D93" s="75" t="s">
        <v>268</v>
      </c>
      <c r="E93" s="46" t="s">
        <v>1657</v>
      </c>
      <c r="F93" s="563">
        <v>993591</v>
      </c>
      <c r="G93" s="564">
        <v>2012</v>
      </c>
      <c r="H93" s="565">
        <v>40365</v>
      </c>
    </row>
    <row r="94" spans="2:8" ht="26.1" hidden="1" customHeight="1">
      <c r="B94" s="46" t="s">
        <v>304</v>
      </c>
      <c r="C94" s="569" t="s">
        <v>303</v>
      </c>
      <c r="D94" s="75" t="s">
        <v>305</v>
      </c>
      <c r="E94" s="46" t="s">
        <v>1657</v>
      </c>
      <c r="F94" s="563">
        <v>1698447</v>
      </c>
      <c r="G94" s="564">
        <v>2012</v>
      </c>
      <c r="H94" s="565">
        <v>39764</v>
      </c>
    </row>
    <row r="95" spans="2:8" ht="26.1" hidden="1" customHeight="1">
      <c r="B95" s="46" t="s">
        <v>326</v>
      </c>
      <c r="C95" s="569" t="s">
        <v>325</v>
      </c>
      <c r="D95" s="75" t="s">
        <v>327</v>
      </c>
      <c r="E95" s="46" t="s">
        <v>1657</v>
      </c>
      <c r="F95" s="563">
        <v>2290697.27</v>
      </c>
      <c r="G95" s="564">
        <v>2012</v>
      </c>
      <c r="H95" s="565">
        <v>39924</v>
      </c>
    </row>
    <row r="96" spans="2:8" ht="26.1" hidden="1" customHeight="1">
      <c r="B96" s="46" t="s">
        <v>412</v>
      </c>
      <c r="C96" s="569" t="s">
        <v>411</v>
      </c>
      <c r="D96" s="75" t="s">
        <v>413</v>
      </c>
      <c r="E96" s="46" t="s">
        <v>1657</v>
      </c>
      <c r="F96" s="563">
        <v>5947824</v>
      </c>
      <c r="G96" s="564">
        <v>2012</v>
      </c>
      <c r="H96" s="565">
        <v>38258</v>
      </c>
    </row>
    <row r="97" spans="2:8" ht="26.1" hidden="1" customHeight="1">
      <c r="B97" s="46" t="s">
        <v>722</v>
      </c>
      <c r="C97" s="569" t="s">
        <v>721</v>
      </c>
      <c r="D97" s="75" t="s">
        <v>723</v>
      </c>
      <c r="E97" s="46" t="s">
        <v>1660</v>
      </c>
      <c r="F97" s="563">
        <v>1237193</v>
      </c>
      <c r="G97" s="564">
        <v>2012</v>
      </c>
      <c r="H97" s="565">
        <v>38986</v>
      </c>
    </row>
    <row r="98" spans="2:8" ht="26.1" hidden="1" customHeight="1">
      <c r="B98" s="46" t="s">
        <v>765</v>
      </c>
      <c r="C98" s="569" t="s">
        <v>764</v>
      </c>
      <c r="D98" s="75" t="s">
        <v>766</v>
      </c>
      <c r="E98" s="46" t="s">
        <v>1663</v>
      </c>
      <c r="F98" s="563">
        <v>474455</v>
      </c>
      <c r="G98" s="564">
        <v>2012</v>
      </c>
      <c r="H98" s="565">
        <v>40379</v>
      </c>
    </row>
    <row r="99" spans="2:8" ht="26.1" hidden="1" customHeight="1">
      <c r="B99" s="46" t="s">
        <v>796</v>
      </c>
      <c r="C99" s="569" t="s">
        <v>795</v>
      </c>
      <c r="D99" s="75" t="s">
        <v>797</v>
      </c>
      <c r="E99" s="46" t="s">
        <v>1663</v>
      </c>
      <c r="F99" s="563">
        <v>1334145</v>
      </c>
      <c r="G99" s="564">
        <v>2012</v>
      </c>
      <c r="H99" s="565">
        <v>40288</v>
      </c>
    </row>
    <row r="100" spans="2:8" ht="26.1" hidden="1" customHeight="1">
      <c r="B100" s="46" t="s">
        <v>819</v>
      </c>
      <c r="C100" s="569" t="s">
        <v>818</v>
      </c>
      <c r="D100" s="75" t="s">
        <v>1667</v>
      </c>
      <c r="E100" s="46" t="s">
        <v>1663</v>
      </c>
      <c r="F100" s="563">
        <v>3460992.91</v>
      </c>
      <c r="G100" s="564">
        <v>2012</v>
      </c>
      <c r="H100" s="565">
        <v>38615</v>
      </c>
    </row>
    <row r="101" spans="2:8" ht="26.1" hidden="1" customHeight="1">
      <c r="B101" s="46" t="s">
        <v>842</v>
      </c>
      <c r="C101" s="569" t="s">
        <v>841</v>
      </c>
      <c r="D101" s="75" t="s">
        <v>843</v>
      </c>
      <c r="E101" s="46" t="s">
        <v>1663</v>
      </c>
      <c r="F101" s="563">
        <v>1198257</v>
      </c>
      <c r="G101" s="564">
        <v>2012</v>
      </c>
      <c r="H101" s="565">
        <v>38161</v>
      </c>
    </row>
    <row r="102" spans="2:8" ht="26.1" hidden="1" customHeight="1">
      <c r="B102" s="46" t="s">
        <v>913</v>
      </c>
      <c r="C102" s="569" t="s">
        <v>912</v>
      </c>
      <c r="D102" s="75" t="s">
        <v>914</v>
      </c>
      <c r="E102" s="46" t="s">
        <v>911</v>
      </c>
      <c r="F102" s="563">
        <v>1679730</v>
      </c>
      <c r="G102" s="564">
        <v>2012</v>
      </c>
      <c r="H102" s="565">
        <v>39356</v>
      </c>
    </row>
    <row r="103" spans="2:8" ht="26.1" hidden="1" customHeight="1">
      <c r="B103" s="46" t="s">
        <v>191</v>
      </c>
      <c r="C103" s="569" t="s">
        <v>190</v>
      </c>
      <c r="D103" s="75">
        <v>800060255</v>
      </c>
      <c r="E103" s="46" t="s">
        <v>1657</v>
      </c>
      <c r="F103" s="563">
        <v>3561518</v>
      </c>
      <c r="G103" s="564">
        <v>2013</v>
      </c>
      <c r="H103" s="565">
        <v>39890</v>
      </c>
    </row>
    <row r="104" spans="2:8" ht="26.1" hidden="1" customHeight="1">
      <c r="B104" s="46" t="s">
        <v>296</v>
      </c>
      <c r="C104" s="569" t="s">
        <v>295</v>
      </c>
      <c r="D104" s="75" t="s">
        <v>1668</v>
      </c>
      <c r="E104" s="46" t="s">
        <v>1657</v>
      </c>
      <c r="F104" s="563">
        <v>2576332</v>
      </c>
      <c r="G104" s="564">
        <v>2013</v>
      </c>
      <c r="H104" s="565">
        <v>39210</v>
      </c>
    </row>
    <row r="105" spans="2:8" ht="26.1" hidden="1" customHeight="1">
      <c r="B105" s="46" t="s">
        <v>522</v>
      </c>
      <c r="C105" s="569" t="s">
        <v>521</v>
      </c>
      <c r="D105" s="75" t="s">
        <v>523</v>
      </c>
      <c r="E105" s="46" t="s">
        <v>596</v>
      </c>
      <c r="F105" s="563">
        <v>2646995</v>
      </c>
      <c r="G105" s="564">
        <v>2013</v>
      </c>
      <c r="H105" s="565">
        <v>40414</v>
      </c>
    </row>
    <row r="106" spans="2:8" ht="26.1" hidden="1" customHeight="1">
      <c r="B106" s="46" t="s">
        <v>541</v>
      </c>
      <c r="C106" s="569" t="s">
        <v>540</v>
      </c>
      <c r="D106" s="75" t="s">
        <v>542</v>
      </c>
      <c r="E106" s="46" t="s">
        <v>596</v>
      </c>
      <c r="F106" s="563">
        <v>3552072</v>
      </c>
      <c r="G106" s="564">
        <v>2013</v>
      </c>
      <c r="H106" s="565">
        <v>40309</v>
      </c>
    </row>
    <row r="107" spans="2:8" ht="26.1" hidden="1" customHeight="1">
      <c r="B107" s="46" t="s">
        <v>689</v>
      </c>
      <c r="C107" s="569" t="s">
        <v>688</v>
      </c>
      <c r="D107" s="75" t="s">
        <v>690</v>
      </c>
      <c r="E107" s="46" t="s">
        <v>1660</v>
      </c>
      <c r="F107" s="563">
        <v>1824468</v>
      </c>
      <c r="G107" s="564">
        <v>2013</v>
      </c>
      <c r="H107" s="565">
        <v>40528</v>
      </c>
    </row>
    <row r="108" spans="2:8" ht="26.1" hidden="1" customHeight="1">
      <c r="B108" s="46" t="s">
        <v>735</v>
      </c>
      <c r="C108" s="569" t="s">
        <v>729</v>
      </c>
      <c r="D108" s="75" t="s">
        <v>736</v>
      </c>
      <c r="E108" s="46" t="s">
        <v>1660</v>
      </c>
      <c r="F108" s="563">
        <v>2287994</v>
      </c>
      <c r="G108" s="564">
        <v>2013</v>
      </c>
      <c r="H108" s="565">
        <v>36592</v>
      </c>
    </row>
    <row r="109" spans="2:8" ht="26.1" hidden="1" customHeight="1">
      <c r="B109" s="46" t="s">
        <v>737</v>
      </c>
      <c r="C109" s="569" t="s">
        <v>729</v>
      </c>
      <c r="D109" s="75" t="s">
        <v>738</v>
      </c>
      <c r="E109" s="46" t="s">
        <v>1660</v>
      </c>
      <c r="F109" s="563">
        <v>3889228</v>
      </c>
      <c r="G109" s="564">
        <v>2013</v>
      </c>
      <c r="H109" s="565">
        <v>38510</v>
      </c>
    </row>
    <row r="110" spans="2:8" ht="26.1" hidden="1" customHeight="1">
      <c r="B110" s="46" t="s">
        <v>756</v>
      </c>
      <c r="C110" s="569" t="s">
        <v>752</v>
      </c>
      <c r="D110" s="75" t="s">
        <v>757</v>
      </c>
      <c r="E110" s="46" t="s">
        <v>1663</v>
      </c>
      <c r="F110" s="563">
        <v>1937644.46</v>
      </c>
      <c r="G110" s="564">
        <v>2013</v>
      </c>
      <c r="H110" s="565">
        <v>40736</v>
      </c>
    </row>
    <row r="111" spans="2:8" ht="26.1" hidden="1" customHeight="1">
      <c r="B111" s="46" t="s">
        <v>872</v>
      </c>
      <c r="C111" s="569" t="s">
        <v>871</v>
      </c>
      <c r="D111" s="75" t="s">
        <v>873</v>
      </c>
      <c r="E111" s="46" t="s">
        <v>1663</v>
      </c>
      <c r="F111" s="563">
        <v>5428307</v>
      </c>
      <c r="G111" s="564">
        <v>2013</v>
      </c>
      <c r="H111" s="565">
        <v>38447</v>
      </c>
    </row>
    <row r="112" spans="2:8" ht="26.1" hidden="1" customHeight="1">
      <c r="B112" s="46" t="s">
        <v>239</v>
      </c>
      <c r="C112" s="569" t="s">
        <v>238</v>
      </c>
      <c r="D112" s="75" t="s">
        <v>240</v>
      </c>
      <c r="E112" s="46" t="s">
        <v>1657</v>
      </c>
      <c r="F112" s="563">
        <v>9025315</v>
      </c>
      <c r="G112" s="564">
        <v>2014</v>
      </c>
      <c r="H112" s="565">
        <v>36508</v>
      </c>
    </row>
    <row r="113" spans="2:8" ht="26.1" hidden="1" customHeight="1">
      <c r="B113" s="46" t="s">
        <v>337</v>
      </c>
      <c r="C113" s="569" t="s">
        <v>336</v>
      </c>
      <c r="D113" s="75">
        <v>800060191</v>
      </c>
      <c r="E113" s="46" t="s">
        <v>1657</v>
      </c>
      <c r="F113" s="563">
        <v>3734440</v>
      </c>
      <c r="G113" s="564">
        <v>2014</v>
      </c>
      <c r="H113" s="565">
        <v>39301</v>
      </c>
    </row>
    <row r="114" spans="2:8" ht="26.1" hidden="1" customHeight="1">
      <c r="B114" s="46" t="s">
        <v>535</v>
      </c>
      <c r="C114" s="569" t="s">
        <v>530</v>
      </c>
      <c r="D114" s="75" t="s">
        <v>536</v>
      </c>
      <c r="E114" s="46" t="s">
        <v>596</v>
      </c>
      <c r="F114" s="563">
        <v>733204</v>
      </c>
      <c r="G114" s="564">
        <v>2014</v>
      </c>
      <c r="H114" s="565">
        <v>40316</v>
      </c>
    </row>
    <row r="115" spans="2:8" ht="26.1" hidden="1" customHeight="1">
      <c r="B115" s="46" t="s">
        <v>597</v>
      </c>
      <c r="C115" s="569" t="s">
        <v>596</v>
      </c>
      <c r="D115" s="75" t="s">
        <v>598</v>
      </c>
      <c r="E115" s="46" t="s">
        <v>596</v>
      </c>
      <c r="F115" s="563">
        <v>5286650</v>
      </c>
      <c r="G115" s="564">
        <v>2014</v>
      </c>
      <c r="H115" s="565">
        <v>40708</v>
      </c>
    </row>
    <row r="116" spans="2:8" ht="26.1" hidden="1" customHeight="1">
      <c r="B116" s="46" t="s">
        <v>654</v>
      </c>
      <c r="C116" s="569" t="s">
        <v>647</v>
      </c>
      <c r="D116" s="75" t="s">
        <v>655</v>
      </c>
      <c r="E116" s="46" t="s">
        <v>596</v>
      </c>
      <c r="F116" s="563">
        <v>3692398</v>
      </c>
      <c r="G116" s="564">
        <v>2014</v>
      </c>
      <c r="H116" s="565">
        <v>38776</v>
      </c>
    </row>
    <row r="117" spans="2:8" ht="26.1" hidden="1" customHeight="1">
      <c r="B117" s="46" t="s">
        <v>699</v>
      </c>
      <c r="C117" s="569" t="s">
        <v>698</v>
      </c>
      <c r="D117" s="75" t="s">
        <v>1669</v>
      </c>
      <c r="E117" s="46" t="s">
        <v>1660</v>
      </c>
      <c r="F117" s="563">
        <v>890159</v>
      </c>
      <c r="G117" s="564">
        <v>2014</v>
      </c>
      <c r="H117" s="565">
        <v>41009</v>
      </c>
    </row>
    <row r="118" spans="2:8" ht="26.1" hidden="1" customHeight="1">
      <c r="B118" s="46" t="s">
        <v>732</v>
      </c>
      <c r="C118" s="569" t="s">
        <v>729</v>
      </c>
      <c r="D118" s="75" t="s">
        <v>733</v>
      </c>
      <c r="E118" s="46" t="s">
        <v>1660</v>
      </c>
      <c r="F118" s="563">
        <v>1309414.82</v>
      </c>
      <c r="G118" s="564">
        <v>2014</v>
      </c>
      <c r="H118" s="565">
        <v>36592</v>
      </c>
    </row>
    <row r="119" spans="2:8" ht="26.1" hidden="1" customHeight="1">
      <c r="B119" s="46" t="s">
        <v>753</v>
      </c>
      <c r="C119" s="569" t="s">
        <v>752</v>
      </c>
      <c r="D119" s="75" t="s">
        <v>754</v>
      </c>
      <c r="E119" s="46" t="s">
        <v>1663</v>
      </c>
      <c r="F119" s="563">
        <v>614563.76000000024</v>
      </c>
      <c r="G119" s="564">
        <v>2014</v>
      </c>
      <c r="H119" s="565">
        <v>41100</v>
      </c>
    </row>
    <row r="120" spans="2:8" ht="26.1" hidden="1" customHeight="1">
      <c r="B120" s="46" t="s">
        <v>959</v>
      </c>
      <c r="C120" s="569" t="s">
        <v>958</v>
      </c>
      <c r="D120" s="75" t="s">
        <v>960</v>
      </c>
      <c r="E120" s="46" t="s">
        <v>1563</v>
      </c>
      <c r="F120" s="563">
        <v>1156796</v>
      </c>
      <c r="G120" s="564">
        <v>2014</v>
      </c>
      <c r="H120" s="565">
        <v>40955</v>
      </c>
    </row>
    <row r="121" spans="2:8" ht="26.1" hidden="1" customHeight="1">
      <c r="B121" s="46" t="s">
        <v>185</v>
      </c>
      <c r="C121" s="569" t="s">
        <v>184</v>
      </c>
      <c r="D121" s="75" t="s">
        <v>186</v>
      </c>
      <c r="E121" s="46" t="s">
        <v>1657</v>
      </c>
      <c r="F121" s="563">
        <v>2695268.22</v>
      </c>
      <c r="G121" s="564">
        <v>2015</v>
      </c>
      <c r="H121" s="565">
        <v>40239</v>
      </c>
    </row>
    <row r="122" spans="2:8" ht="26.1" hidden="1" customHeight="1">
      <c r="B122" s="46" t="s">
        <v>315</v>
      </c>
      <c r="C122" s="569" t="s">
        <v>314</v>
      </c>
      <c r="D122" s="75" t="s">
        <v>316</v>
      </c>
      <c r="E122" s="46" t="s">
        <v>1657</v>
      </c>
      <c r="F122" s="563">
        <v>5221752</v>
      </c>
      <c r="G122" s="564">
        <v>2015</v>
      </c>
      <c r="H122" s="565">
        <v>39007</v>
      </c>
    </row>
    <row r="123" spans="2:8" ht="26.1" hidden="1" customHeight="1">
      <c r="B123" s="46" t="s">
        <v>390</v>
      </c>
      <c r="C123" s="569" t="s">
        <v>389</v>
      </c>
      <c r="D123" s="75" t="s">
        <v>391</v>
      </c>
      <c r="E123" s="46" t="s">
        <v>1657</v>
      </c>
      <c r="F123" s="563">
        <v>1714981</v>
      </c>
      <c r="G123" s="564">
        <v>2015</v>
      </c>
      <c r="H123" s="565">
        <v>39749</v>
      </c>
    </row>
    <row r="124" spans="2:8" ht="26.1" hidden="1" customHeight="1">
      <c r="B124" s="46" t="s">
        <v>531</v>
      </c>
      <c r="C124" s="569" t="s">
        <v>530</v>
      </c>
      <c r="D124" s="75" t="s">
        <v>532</v>
      </c>
      <c r="E124" s="46" t="s">
        <v>596</v>
      </c>
      <c r="F124" s="563">
        <v>2348409.4400000004</v>
      </c>
      <c r="G124" s="564">
        <v>2015</v>
      </c>
      <c r="H124" s="565">
        <v>40666</v>
      </c>
    </row>
    <row r="125" spans="2:8" ht="26.1" hidden="1" customHeight="1">
      <c r="B125" s="46" t="s">
        <v>583</v>
      </c>
      <c r="C125" s="569" t="s">
        <v>582</v>
      </c>
      <c r="D125" s="75" t="s">
        <v>584</v>
      </c>
      <c r="E125" s="46" t="s">
        <v>596</v>
      </c>
      <c r="F125" s="563">
        <v>1530842.87</v>
      </c>
      <c r="G125" s="564">
        <v>2015</v>
      </c>
      <c r="H125" s="565">
        <v>37650</v>
      </c>
    </row>
    <row r="126" spans="2:8" ht="26.1" hidden="1" customHeight="1">
      <c r="B126" s="46" t="s">
        <v>680</v>
      </c>
      <c r="C126" s="569" t="s">
        <v>679</v>
      </c>
      <c r="D126" s="75" t="s">
        <v>681</v>
      </c>
      <c r="E126" s="46" t="s">
        <v>1660</v>
      </c>
      <c r="F126" s="563">
        <v>805929</v>
      </c>
      <c r="G126" s="564">
        <v>2015</v>
      </c>
      <c r="H126" s="565">
        <v>40988</v>
      </c>
    </row>
    <row r="127" spans="2:8" ht="26.1" hidden="1" customHeight="1">
      <c r="B127" s="46" t="s">
        <v>946</v>
      </c>
      <c r="C127" s="569" t="s">
        <v>945</v>
      </c>
      <c r="D127" s="75" t="s">
        <v>947</v>
      </c>
      <c r="E127" s="46" t="s">
        <v>1563</v>
      </c>
      <c r="F127" s="563">
        <v>1085701.95</v>
      </c>
      <c r="G127" s="564">
        <v>2015</v>
      </c>
      <c r="H127" s="565">
        <v>40652</v>
      </c>
    </row>
    <row r="128" spans="2:8" ht="26.1" hidden="1" customHeight="1">
      <c r="B128" s="46" t="s">
        <v>948</v>
      </c>
      <c r="C128" s="569" t="s">
        <v>945</v>
      </c>
      <c r="D128" s="75" t="s">
        <v>949</v>
      </c>
      <c r="E128" s="46" t="s">
        <v>1563</v>
      </c>
      <c r="F128" s="563">
        <v>838920</v>
      </c>
      <c r="G128" s="564">
        <v>2015</v>
      </c>
      <c r="H128" s="565">
        <v>40652</v>
      </c>
    </row>
    <row r="129" spans="2:8" ht="26.1" hidden="1" customHeight="1">
      <c r="B129" s="46" t="s">
        <v>954</v>
      </c>
      <c r="C129" s="569" t="s">
        <v>953</v>
      </c>
      <c r="D129" s="75" t="s">
        <v>955</v>
      </c>
      <c r="E129" s="46" t="s">
        <v>1563</v>
      </c>
      <c r="F129" s="563">
        <v>1093393</v>
      </c>
      <c r="G129" s="564">
        <v>2015</v>
      </c>
      <c r="H129" s="565">
        <v>40770</v>
      </c>
    </row>
    <row r="130" spans="2:8" ht="26.1" hidden="1" customHeight="1">
      <c r="B130" s="46" t="s">
        <v>180</v>
      </c>
      <c r="C130" s="569" t="s">
        <v>179</v>
      </c>
      <c r="D130" s="75" t="s">
        <v>181</v>
      </c>
      <c r="E130" s="46" t="s">
        <v>1657</v>
      </c>
      <c r="F130" s="563">
        <v>3511691.9199999636</v>
      </c>
      <c r="G130" s="564">
        <v>2016</v>
      </c>
      <c r="H130" s="565">
        <v>39349</v>
      </c>
    </row>
    <row r="131" spans="2:8" ht="26.1" hidden="1" customHeight="1">
      <c r="B131" s="46" t="s">
        <v>399</v>
      </c>
      <c r="C131" s="569" t="s">
        <v>398</v>
      </c>
      <c r="D131" s="75" t="s">
        <v>400</v>
      </c>
      <c r="E131" s="46" t="s">
        <v>1657</v>
      </c>
      <c r="F131" s="563">
        <v>2943457.359999978</v>
      </c>
      <c r="G131" s="564">
        <v>2016</v>
      </c>
      <c r="H131" s="565">
        <v>40407</v>
      </c>
    </row>
    <row r="132" spans="2:8" ht="26.1" hidden="1" customHeight="1">
      <c r="B132" s="46" t="s">
        <v>402</v>
      </c>
      <c r="C132" s="569" t="s">
        <v>398</v>
      </c>
      <c r="D132" s="75" t="s">
        <v>403</v>
      </c>
      <c r="E132" s="46" t="s">
        <v>1657</v>
      </c>
      <c r="F132" s="563">
        <v>2132407.4999999814</v>
      </c>
      <c r="G132" s="564">
        <v>2016</v>
      </c>
      <c r="H132" s="565">
        <v>40407</v>
      </c>
    </row>
    <row r="133" spans="2:8" ht="26.1" hidden="1" customHeight="1">
      <c r="B133" s="46" t="s">
        <v>414</v>
      </c>
      <c r="C133" s="569" t="s">
        <v>411</v>
      </c>
      <c r="D133" s="75" t="s">
        <v>415</v>
      </c>
      <c r="E133" s="46" t="s">
        <v>1657</v>
      </c>
      <c r="F133" s="563">
        <v>2362639</v>
      </c>
      <c r="G133" s="564">
        <v>2016</v>
      </c>
      <c r="H133" s="565">
        <v>38258</v>
      </c>
    </row>
    <row r="134" spans="2:8" ht="26.1" hidden="1" customHeight="1">
      <c r="B134" s="46" t="s">
        <v>470</v>
      </c>
      <c r="C134" s="569" t="s">
        <v>469</v>
      </c>
      <c r="D134" s="75" t="s">
        <v>471</v>
      </c>
      <c r="E134" s="46" t="s">
        <v>1657</v>
      </c>
      <c r="F134" s="563">
        <v>1142553.68</v>
      </c>
      <c r="G134" s="564">
        <v>2016</v>
      </c>
      <c r="H134" s="565">
        <v>41240</v>
      </c>
    </row>
    <row r="135" spans="2:8" ht="26.1" hidden="1" customHeight="1">
      <c r="B135" s="46" t="s">
        <v>473</v>
      </c>
      <c r="C135" s="569" t="s">
        <v>469</v>
      </c>
      <c r="D135" s="75" t="s">
        <v>474</v>
      </c>
      <c r="E135" s="46" t="s">
        <v>1657</v>
      </c>
      <c r="F135" s="563">
        <v>2050012.73</v>
      </c>
      <c r="G135" s="564">
        <v>2016</v>
      </c>
      <c r="H135" s="565">
        <v>41240</v>
      </c>
    </row>
    <row r="136" spans="2:8" ht="26.1" hidden="1" customHeight="1">
      <c r="B136" s="46" t="s">
        <v>506</v>
      </c>
      <c r="C136" s="569" t="s">
        <v>505</v>
      </c>
      <c r="D136" s="75" t="s">
        <v>507</v>
      </c>
      <c r="E136" s="46" t="s">
        <v>1659</v>
      </c>
      <c r="F136" s="563">
        <v>473446.0400000005</v>
      </c>
      <c r="G136" s="564">
        <v>2016</v>
      </c>
      <c r="H136" s="565">
        <v>41493</v>
      </c>
    </row>
    <row r="137" spans="2:8" ht="26.1" hidden="1" customHeight="1">
      <c r="B137" s="46" t="s">
        <v>572</v>
      </c>
      <c r="C137" s="569" t="s">
        <v>571</v>
      </c>
      <c r="D137" s="75" t="s">
        <v>573</v>
      </c>
      <c r="E137" s="46" t="s">
        <v>596</v>
      </c>
      <c r="F137" s="563">
        <v>1842408.17</v>
      </c>
      <c r="G137" s="564">
        <v>2016</v>
      </c>
      <c r="H137" s="565">
        <v>40932</v>
      </c>
    </row>
    <row r="138" spans="2:8" ht="26.1" hidden="1" customHeight="1">
      <c r="B138" s="46" t="s">
        <v>694</v>
      </c>
      <c r="C138" s="569" t="s">
        <v>693</v>
      </c>
      <c r="D138" s="75" t="s">
        <v>695</v>
      </c>
      <c r="E138" s="46" t="s">
        <v>1660</v>
      </c>
      <c r="F138" s="563">
        <v>1267249.8199999998</v>
      </c>
      <c r="G138" s="564">
        <v>2016</v>
      </c>
      <c r="H138" s="565">
        <v>41499</v>
      </c>
    </row>
    <row r="139" spans="2:8" ht="26.1" hidden="1" customHeight="1">
      <c r="B139" s="48" t="s">
        <v>127</v>
      </c>
      <c r="C139" s="568" t="s">
        <v>126</v>
      </c>
      <c r="D139" s="75" t="s">
        <v>1670</v>
      </c>
      <c r="E139" s="48" t="s">
        <v>1665</v>
      </c>
      <c r="F139" s="553">
        <v>1267817.81</v>
      </c>
      <c r="G139" s="554">
        <v>2017</v>
      </c>
      <c r="H139" s="552">
        <v>40805</v>
      </c>
    </row>
    <row r="140" spans="2:8" ht="26.1" hidden="1" customHeight="1">
      <c r="B140" s="46" t="s">
        <v>538</v>
      </c>
      <c r="C140" s="569" t="s">
        <v>530</v>
      </c>
      <c r="D140" s="75" t="s">
        <v>1671</v>
      </c>
      <c r="E140" s="46" t="s">
        <v>596</v>
      </c>
      <c r="F140" s="563">
        <v>1386625.0299999998</v>
      </c>
      <c r="G140" s="564">
        <v>2017</v>
      </c>
      <c r="H140" s="565">
        <v>40316</v>
      </c>
    </row>
    <row r="141" spans="2:8" ht="26.1" hidden="1" customHeight="1">
      <c r="B141" s="46" t="s">
        <v>557</v>
      </c>
      <c r="C141" s="569" t="s">
        <v>552</v>
      </c>
      <c r="D141" s="75" t="s">
        <v>558</v>
      </c>
      <c r="E141" s="46" t="s">
        <v>596</v>
      </c>
      <c r="F141" s="563">
        <v>7576596.370000001</v>
      </c>
      <c r="G141" s="564">
        <v>2017</v>
      </c>
      <c r="H141" s="565">
        <v>41533</v>
      </c>
    </row>
    <row r="142" spans="2:8" ht="26.1" hidden="1" customHeight="1">
      <c r="B142" s="46" t="s">
        <v>705</v>
      </c>
      <c r="C142" s="569" t="s">
        <v>704</v>
      </c>
      <c r="D142" s="75" t="s">
        <v>706</v>
      </c>
      <c r="E142" s="46" t="s">
        <v>1660</v>
      </c>
      <c r="F142" s="563">
        <v>867757</v>
      </c>
      <c r="G142" s="564">
        <v>2017</v>
      </c>
      <c r="H142" s="565">
        <v>41919</v>
      </c>
    </row>
    <row r="143" spans="2:8" ht="26.1" hidden="1" customHeight="1">
      <c r="B143" s="46" t="s">
        <v>916</v>
      </c>
      <c r="C143" s="569" t="s">
        <v>912</v>
      </c>
      <c r="D143" s="75" t="s">
        <v>1672</v>
      </c>
      <c r="E143" s="46" t="s">
        <v>911</v>
      </c>
      <c r="F143" s="563">
        <v>2999304.34</v>
      </c>
      <c r="G143" s="564">
        <v>2017</v>
      </c>
      <c r="H143" s="565">
        <v>41428</v>
      </c>
    </row>
    <row r="144" spans="2:8" ht="26.1" customHeight="1">
      <c r="B144" s="847" t="s">
        <v>450</v>
      </c>
      <c r="C144" s="847" t="s">
        <v>449</v>
      </c>
      <c r="D144" s="849" t="s">
        <v>451</v>
      </c>
      <c r="E144" s="46" t="s">
        <v>1657</v>
      </c>
      <c r="F144" s="563">
        <v>2392069.4800000004</v>
      </c>
      <c r="G144" s="564">
        <v>2018</v>
      </c>
      <c r="H144" s="565">
        <v>40833</v>
      </c>
    </row>
    <row r="145" spans="2:8" ht="26.1" customHeight="1">
      <c r="B145" s="848" t="s">
        <v>623</v>
      </c>
      <c r="C145" s="848" t="s">
        <v>622</v>
      </c>
      <c r="D145" s="849" t="s">
        <v>1673</v>
      </c>
      <c r="E145" s="46" t="s">
        <v>1657</v>
      </c>
      <c r="F145" s="563">
        <v>1336813.95</v>
      </c>
      <c r="G145" s="564">
        <v>2018</v>
      </c>
      <c r="H145" s="565">
        <v>41561</v>
      </c>
    </row>
    <row r="146" spans="2:8" ht="26.1" customHeight="1">
      <c r="B146" s="848" t="s">
        <v>318</v>
      </c>
      <c r="C146" s="848" t="s">
        <v>314</v>
      </c>
      <c r="D146" s="75" t="s">
        <v>1674</v>
      </c>
      <c r="E146" s="46" t="s">
        <v>1657</v>
      </c>
      <c r="F146" s="563">
        <v>7021971.1199999992</v>
      </c>
      <c r="G146" s="564">
        <v>2018</v>
      </c>
      <c r="H146" s="565">
        <v>39539</v>
      </c>
    </row>
    <row r="147" spans="2:8" ht="26.1" customHeight="1">
      <c r="B147" s="848" t="s">
        <v>518</v>
      </c>
      <c r="C147" s="848" t="s">
        <v>517</v>
      </c>
      <c r="D147" s="75" t="s">
        <v>519</v>
      </c>
      <c r="E147" s="46" t="s">
        <v>596</v>
      </c>
      <c r="F147" s="563">
        <v>3786485.73</v>
      </c>
      <c r="G147" s="564">
        <v>2018</v>
      </c>
      <c r="H147" s="565">
        <v>41583</v>
      </c>
    </row>
    <row r="148" spans="2:8" ht="26.1" customHeight="1">
      <c r="B148" s="848" t="s">
        <v>175</v>
      </c>
      <c r="C148" s="848" t="s">
        <v>1675</v>
      </c>
      <c r="D148" s="75" t="s">
        <v>176</v>
      </c>
      <c r="E148" s="46" t="s">
        <v>1657</v>
      </c>
      <c r="F148" s="563">
        <v>2071075.5</v>
      </c>
      <c r="G148" s="564">
        <v>2019</v>
      </c>
      <c r="H148" s="565">
        <v>40189</v>
      </c>
    </row>
    <row r="149" spans="2:8" ht="26.1" customHeight="1">
      <c r="B149" s="848" t="s">
        <v>1676</v>
      </c>
      <c r="C149" s="848" t="s">
        <v>469</v>
      </c>
      <c r="D149" s="75" t="s">
        <v>476</v>
      </c>
      <c r="E149" s="46" t="s">
        <v>1657</v>
      </c>
      <c r="F149" s="563">
        <v>865365</v>
      </c>
      <c r="G149" s="564">
        <v>2019</v>
      </c>
      <c r="H149" s="565">
        <v>42535</v>
      </c>
    </row>
    <row r="150" spans="2:8" ht="26.1" customHeight="1">
      <c r="B150" s="848" t="s">
        <v>1677</v>
      </c>
      <c r="C150" s="848" t="s">
        <v>469</v>
      </c>
      <c r="D150" s="75" t="s">
        <v>1678</v>
      </c>
      <c r="E150" s="46" t="s">
        <v>1657</v>
      </c>
      <c r="F150" s="563">
        <v>629391.65999999992</v>
      </c>
      <c r="G150" s="564">
        <v>2019</v>
      </c>
      <c r="H150" s="565">
        <v>42535</v>
      </c>
    </row>
    <row r="151" spans="2:8" ht="26.1" customHeight="1">
      <c r="B151" s="46" t="s">
        <v>675</v>
      </c>
      <c r="C151" s="569" t="s">
        <v>670</v>
      </c>
      <c r="D151" s="75" t="s">
        <v>676</v>
      </c>
      <c r="E151" s="46" t="s">
        <v>1660</v>
      </c>
      <c r="F151" s="563">
        <v>616808.95999999996</v>
      </c>
      <c r="G151" s="564">
        <v>2019</v>
      </c>
      <c r="H151" s="565">
        <v>42912</v>
      </c>
    </row>
    <row r="152" spans="2:8" ht="26.1" customHeight="1">
      <c r="B152" s="46" t="s">
        <v>875</v>
      </c>
      <c r="C152" s="569" t="s">
        <v>871</v>
      </c>
      <c r="D152" s="75" t="s">
        <v>1679</v>
      </c>
      <c r="E152" s="46" t="s">
        <v>1663</v>
      </c>
      <c r="F152" s="563">
        <v>2002885.6300000001</v>
      </c>
      <c r="G152" s="564">
        <v>2019</v>
      </c>
      <c r="H152" s="565">
        <v>43410</v>
      </c>
    </row>
    <row r="153" spans="2:8" ht="26.1" customHeight="1">
      <c r="B153" s="46" t="s">
        <v>249</v>
      </c>
      <c r="C153" s="569" t="s">
        <v>248</v>
      </c>
      <c r="D153" s="75" t="s">
        <v>250</v>
      </c>
      <c r="E153" s="46" t="s">
        <v>1657</v>
      </c>
      <c r="F153" s="563">
        <v>1166406.98</v>
      </c>
      <c r="G153" s="564">
        <v>2019</v>
      </c>
      <c r="H153" s="565">
        <v>42179</v>
      </c>
    </row>
    <row r="154" spans="2:8" ht="26.1" customHeight="1">
      <c r="B154" s="46" t="s">
        <v>810</v>
      </c>
      <c r="C154" s="569" t="s">
        <v>809</v>
      </c>
      <c r="D154" s="75" t="s">
        <v>811</v>
      </c>
      <c r="E154" s="46" t="s">
        <v>1657</v>
      </c>
      <c r="F154" s="563">
        <v>560390</v>
      </c>
      <c r="G154" s="564">
        <v>2019</v>
      </c>
      <c r="H154" s="565">
        <v>43329</v>
      </c>
    </row>
    <row r="155" spans="2:8" ht="26.1" customHeight="1">
      <c r="B155" s="46" t="s">
        <v>286</v>
      </c>
      <c r="C155" s="569" t="s">
        <v>285</v>
      </c>
      <c r="D155" s="75" t="s">
        <v>1680</v>
      </c>
      <c r="E155" s="46" t="s">
        <v>1657</v>
      </c>
      <c r="F155" s="563">
        <v>1760371.81</v>
      </c>
      <c r="G155" s="564">
        <v>2019</v>
      </c>
      <c r="H155" s="565">
        <v>42269</v>
      </c>
    </row>
    <row r="156" spans="2:8" ht="26.1" hidden="1" customHeight="1">
      <c r="B156" s="852"/>
      <c r="C156" s="569"/>
      <c r="D156" s="75"/>
      <c r="E156" s="46"/>
      <c r="F156" s="563"/>
      <c r="G156" s="564"/>
      <c r="H156" s="565"/>
    </row>
    <row r="157" spans="2:8" ht="26.1" hidden="1" customHeight="1">
      <c r="B157" s="46"/>
      <c r="C157" s="569"/>
      <c r="D157" s="75"/>
      <c r="E157" s="46"/>
      <c r="F157" s="563"/>
      <c r="G157" s="564"/>
      <c r="H157" s="565"/>
    </row>
  </sheetData>
  <autoFilter ref="B4:H157" xr:uid="{5312CD07-1597-43E6-995F-1DFEDBF5072F}">
    <filterColumn colId="5">
      <filters>
        <filter val="2018"/>
        <filter val="2019"/>
      </filters>
    </filterColumn>
  </autoFilter>
  <mergeCells count="1">
    <mergeCell ref="C2:H2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B1:S12"/>
  <sheetViews>
    <sheetView workbookViewId="0">
      <selection activeCell="I26" sqref="I26"/>
    </sheetView>
  </sheetViews>
  <sheetFormatPr defaultRowHeight="14.45"/>
  <cols>
    <col min="1" max="1" width="7.140625" customWidth="1"/>
    <col min="2" max="2" width="26.5703125" bestFit="1" customWidth="1"/>
    <col min="3" max="3" width="17.42578125" bestFit="1" customWidth="1"/>
    <col min="4" max="4" width="16.5703125" bestFit="1" customWidth="1"/>
    <col min="5" max="5" width="15.42578125" bestFit="1" customWidth="1"/>
    <col min="6" max="6" width="14.5703125" bestFit="1" customWidth="1"/>
    <col min="7" max="7" width="16" bestFit="1" customWidth="1"/>
    <col min="8" max="8" width="14.5703125" bestFit="1" customWidth="1"/>
    <col min="9" max="9" width="15.5703125" bestFit="1" customWidth="1"/>
    <col min="10" max="10" width="16.5703125" customWidth="1"/>
    <col min="11" max="11" width="18.140625" bestFit="1" customWidth="1"/>
    <col min="12" max="12" width="12" customWidth="1"/>
    <col min="13" max="13" width="12.140625" customWidth="1"/>
    <col min="14" max="14" width="12.5703125" customWidth="1"/>
    <col min="15" max="15" width="12" customWidth="1"/>
    <col min="16" max="16" width="10" customWidth="1"/>
    <col min="17" max="17" width="17.5703125" customWidth="1"/>
    <col min="18" max="18" width="14.42578125" customWidth="1"/>
    <col min="19" max="19" width="13.85546875" customWidth="1"/>
  </cols>
  <sheetData>
    <row r="1" spans="2:19" ht="15" thickBot="1"/>
    <row r="2" spans="2:19" ht="15" thickBot="1">
      <c r="C2" s="1163" t="s">
        <v>1681</v>
      </c>
      <c r="D2" s="1164"/>
      <c r="E2" s="1164"/>
      <c r="F2" s="1164"/>
      <c r="G2" s="1164"/>
      <c r="H2" s="1164"/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5"/>
    </row>
    <row r="3" spans="2:19" ht="87.95" thickBot="1">
      <c r="B3" s="3" t="s">
        <v>3</v>
      </c>
      <c r="C3" s="24" t="s">
        <v>4</v>
      </c>
      <c r="D3" s="28" t="s">
        <v>1682</v>
      </c>
      <c r="E3" s="30" t="s">
        <v>1683</v>
      </c>
      <c r="F3" s="30" t="s">
        <v>46</v>
      </c>
      <c r="G3" s="30" t="s">
        <v>47</v>
      </c>
      <c r="H3" s="30" t="s">
        <v>48</v>
      </c>
      <c r="I3" s="30" t="s">
        <v>1684</v>
      </c>
      <c r="J3" s="30" t="s">
        <v>54</v>
      </c>
      <c r="K3" s="31" t="s">
        <v>1685</v>
      </c>
      <c r="L3" s="31" t="s">
        <v>1686</v>
      </c>
      <c r="M3" s="31" t="s">
        <v>61</v>
      </c>
      <c r="N3" s="31" t="s">
        <v>1687</v>
      </c>
      <c r="O3" s="31" t="s">
        <v>1688</v>
      </c>
      <c r="P3" s="31" t="s">
        <v>1689</v>
      </c>
      <c r="Q3" s="31" t="s">
        <v>1690</v>
      </c>
      <c r="R3" s="31" t="s">
        <v>1691</v>
      </c>
      <c r="S3" s="34" t="s">
        <v>1692</v>
      </c>
    </row>
    <row r="4" spans="2:19">
      <c r="B4" s="18" t="s">
        <v>1343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0"/>
      <c r="P4" s="20"/>
      <c r="Q4" s="20"/>
      <c r="R4" s="20"/>
      <c r="S4" s="22"/>
    </row>
    <row r="5" spans="2:19">
      <c r="B5" s="25" t="s">
        <v>1494</v>
      </c>
      <c r="C5" s="17" t="s">
        <v>1495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2:19">
      <c r="B6" s="25" t="s">
        <v>1494</v>
      </c>
      <c r="C6" s="17" t="s">
        <v>1498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</row>
    <row r="7" spans="2:19">
      <c r="B7" s="25" t="s">
        <v>1494</v>
      </c>
      <c r="C7" s="17" t="s">
        <v>1500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</row>
    <row r="8" spans="2:19">
      <c r="B8" s="25" t="s">
        <v>1501</v>
      </c>
      <c r="C8" s="17" t="s">
        <v>1502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</row>
    <row r="9" spans="2:19">
      <c r="B9" s="26" t="s">
        <v>1503</v>
      </c>
      <c r="C9" s="27" t="s">
        <v>150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</row>
    <row r="10" spans="2:19">
      <c r="B10" s="5" t="s">
        <v>1430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7"/>
      <c r="P10" s="7"/>
      <c r="Q10" s="7"/>
      <c r="R10" s="7"/>
      <c r="S10" s="23"/>
    </row>
    <row r="11" spans="2:19">
      <c r="B11" s="25" t="s">
        <v>1504</v>
      </c>
      <c r="C11" s="17" t="s">
        <v>1505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</row>
    <row r="12" spans="2:19">
      <c r="B12" s="21" t="s">
        <v>1506</v>
      </c>
      <c r="C12" s="27" t="s">
        <v>150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</row>
  </sheetData>
  <mergeCells count="1">
    <mergeCell ref="C2:S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BE64B-4662-4F34-95AC-1C23DCBB5E77}">
  <dimension ref="A1:R2543"/>
  <sheetViews>
    <sheetView tabSelected="1" zoomScale="80" zoomScaleNormal="80" workbookViewId="0">
      <pane xSplit="2" ySplit="4" topLeftCell="C5" activePane="bottomRight" state="frozen"/>
      <selection pane="bottomRight" sqref="A1:XFD1"/>
      <selection pane="bottomLeft" activeCell="A5" sqref="A5"/>
      <selection pane="topRight" activeCell="C1" sqref="C1"/>
    </sheetView>
  </sheetViews>
  <sheetFormatPr defaultColWidth="8.85546875" defaultRowHeight="14.45"/>
  <cols>
    <col min="1" max="1" width="8.85546875" style="619"/>
    <col min="2" max="2" width="21.5703125" style="619" bestFit="1" customWidth="1"/>
    <col min="3" max="3" width="22.5703125" style="620" customWidth="1"/>
    <col min="4" max="5" width="22.5703125" style="619" customWidth="1"/>
    <col min="6" max="7" width="19.5703125" style="619" customWidth="1"/>
    <col min="8" max="8" width="14.5703125" style="619" bestFit="1" customWidth="1"/>
    <col min="9" max="9" width="32" style="650" customWidth="1"/>
    <col min="10" max="10" width="16.140625" style="619" bestFit="1" customWidth="1"/>
    <col min="11" max="12" width="15.85546875" style="619" customWidth="1"/>
    <col min="13" max="13" width="16.42578125" style="619" bestFit="1" customWidth="1"/>
    <col min="14" max="14" width="78.5703125" style="687" bestFit="1" customWidth="1"/>
    <col min="15" max="16384" width="8.85546875" style="619"/>
  </cols>
  <sheetData>
    <row r="1" spans="1:14" ht="15" thickBot="1">
      <c r="A1" s="678"/>
    </row>
    <row r="2" spans="1:14">
      <c r="B2" s="651"/>
      <c r="C2" s="1172" t="s">
        <v>1693</v>
      </c>
      <c r="D2" s="1173"/>
      <c r="E2" s="1173"/>
      <c r="F2" s="1173"/>
      <c r="G2" s="1173"/>
      <c r="H2" s="1173"/>
      <c r="I2" s="1174"/>
      <c r="J2" s="1173"/>
      <c r="K2" s="1173"/>
      <c r="L2" s="1173"/>
      <c r="M2" s="1175"/>
    </row>
    <row r="3" spans="1:14" s="654" customFormat="1" ht="84">
      <c r="B3" s="1176" t="s">
        <v>3</v>
      </c>
      <c r="C3" s="881" t="s">
        <v>1201</v>
      </c>
      <c r="D3" s="652" t="s">
        <v>1694</v>
      </c>
      <c r="E3" s="652" t="s">
        <v>1695</v>
      </c>
      <c r="F3" s="652" t="s">
        <v>1696</v>
      </c>
      <c r="G3" s="652" t="s">
        <v>1697</v>
      </c>
      <c r="H3" s="652" t="s">
        <v>1698</v>
      </c>
      <c r="I3" s="652" t="s">
        <v>1699</v>
      </c>
      <c r="J3" s="652" t="s">
        <v>1700</v>
      </c>
      <c r="K3" s="652" t="s">
        <v>1701</v>
      </c>
      <c r="L3" s="652" t="s">
        <v>1702</v>
      </c>
      <c r="M3" s="652" t="s">
        <v>1703</v>
      </c>
      <c r="N3" s="653" t="s">
        <v>1704</v>
      </c>
    </row>
    <row r="4" spans="1:14">
      <c r="B4" s="1176"/>
      <c r="C4" s="561" t="s">
        <v>95</v>
      </c>
      <c r="D4" s="882" t="s">
        <v>99</v>
      </c>
      <c r="E4" s="882" t="s">
        <v>99</v>
      </c>
      <c r="F4" s="882" t="s">
        <v>99</v>
      </c>
      <c r="G4" s="882" t="s">
        <v>99</v>
      </c>
      <c r="H4" s="882" t="s">
        <v>99</v>
      </c>
      <c r="I4" s="883" t="s">
        <v>1705</v>
      </c>
      <c r="J4" s="882" t="s">
        <v>99</v>
      </c>
      <c r="K4" s="882" t="s">
        <v>99</v>
      </c>
      <c r="L4" s="882"/>
      <c r="M4" s="882" t="s">
        <v>99</v>
      </c>
      <c r="N4" s="882"/>
    </row>
    <row r="5" spans="1:14">
      <c r="B5" s="884"/>
      <c r="C5" s="885"/>
      <c r="D5" s="884"/>
      <c r="E5" s="884"/>
      <c r="F5" s="884"/>
      <c r="G5" s="884"/>
      <c r="H5" s="884"/>
      <c r="I5" s="886"/>
      <c r="J5" s="884"/>
      <c r="K5" s="884"/>
      <c r="L5" s="884"/>
      <c r="M5" s="884"/>
      <c r="N5" s="886"/>
    </row>
    <row r="6" spans="1:14">
      <c r="B6" s="887" t="s">
        <v>101</v>
      </c>
      <c r="C6" s="655"/>
      <c r="D6" s="656"/>
      <c r="E6" s="656"/>
      <c r="F6" s="656"/>
      <c r="G6" s="656"/>
      <c r="H6" s="656"/>
      <c r="I6" s="657"/>
      <c r="J6" s="656"/>
      <c r="K6" s="656"/>
      <c r="L6" s="656"/>
      <c r="M6" s="656"/>
      <c r="N6" s="656"/>
    </row>
    <row r="7" spans="1:14">
      <c r="B7" s="513" t="s">
        <v>102</v>
      </c>
      <c r="C7" s="658">
        <v>2008</v>
      </c>
      <c r="D7" s="513">
        <v>563767.10100000002</v>
      </c>
      <c r="E7" s="512">
        <v>30162.418567894863</v>
      </c>
      <c r="F7" s="513">
        <v>30162.418567894863</v>
      </c>
      <c r="G7" s="512">
        <v>0</v>
      </c>
      <c r="H7" s="512">
        <v>-53632</v>
      </c>
      <c r="I7" s="659" t="s">
        <v>562</v>
      </c>
      <c r="J7" s="513">
        <v>0</v>
      </c>
      <c r="K7" s="513">
        <v>0</v>
      </c>
      <c r="L7" s="513">
        <v>0</v>
      </c>
      <c r="M7" s="513">
        <v>540297.51956789487</v>
      </c>
      <c r="N7" s="622"/>
    </row>
    <row r="8" spans="1:14">
      <c r="B8" s="513" t="s">
        <v>102</v>
      </c>
      <c r="C8" s="658">
        <v>2009</v>
      </c>
      <c r="D8" s="513">
        <v>540297.51956789487</v>
      </c>
      <c r="E8" s="512">
        <v>24376.535442135635</v>
      </c>
      <c r="F8" s="513">
        <v>24376.535442135635</v>
      </c>
      <c r="G8" s="512">
        <v>0</v>
      </c>
      <c r="H8" s="512">
        <v>0</v>
      </c>
      <c r="I8" s="659" t="s">
        <v>103</v>
      </c>
      <c r="J8" s="513">
        <v>0</v>
      </c>
      <c r="K8" s="513">
        <v>0</v>
      </c>
      <c r="L8" s="513">
        <v>0</v>
      </c>
      <c r="M8" s="513">
        <v>564674.05501003051</v>
      </c>
      <c r="N8" s="622"/>
    </row>
    <row r="9" spans="1:14">
      <c r="B9" s="513" t="s">
        <v>102</v>
      </c>
      <c r="C9" s="658">
        <v>2010</v>
      </c>
      <c r="D9" s="513">
        <v>564674.05501003051</v>
      </c>
      <c r="E9" s="512">
        <v>24366.66</v>
      </c>
      <c r="F9" s="513">
        <v>24366.66</v>
      </c>
      <c r="G9" s="512">
        <v>0</v>
      </c>
      <c r="H9" s="512">
        <v>0</v>
      </c>
      <c r="I9" s="659" t="s">
        <v>103</v>
      </c>
      <c r="J9" s="513">
        <v>0</v>
      </c>
      <c r="K9" s="513">
        <v>0</v>
      </c>
      <c r="L9" s="513">
        <v>0</v>
      </c>
      <c r="M9" s="513">
        <v>589040.71501003054</v>
      </c>
      <c r="N9" s="622"/>
    </row>
    <row r="10" spans="1:14">
      <c r="B10" s="513" t="s">
        <v>102</v>
      </c>
      <c r="C10" s="658">
        <v>2011</v>
      </c>
      <c r="D10" s="513">
        <v>589040.71552159893</v>
      </c>
      <c r="E10" s="512">
        <v>24772.712229401666</v>
      </c>
      <c r="F10" s="513">
        <v>24772.712229401666</v>
      </c>
      <c r="G10" s="512">
        <v>0</v>
      </c>
      <c r="H10" s="512">
        <v>0</v>
      </c>
      <c r="I10" s="659" t="s">
        <v>103</v>
      </c>
      <c r="J10" s="513">
        <v>0</v>
      </c>
      <c r="K10" s="513">
        <v>0</v>
      </c>
      <c r="L10" s="513">
        <v>0</v>
      </c>
      <c r="M10" s="513">
        <v>613813.42775100062</v>
      </c>
      <c r="N10" s="622"/>
    </row>
    <row r="11" spans="1:14">
      <c r="B11" s="513" t="s">
        <v>102</v>
      </c>
      <c r="C11" s="658">
        <v>2012</v>
      </c>
      <c r="D11" s="513">
        <v>613813.42775100062</v>
      </c>
      <c r="E11" s="512">
        <v>18036.128675916814</v>
      </c>
      <c r="F11" s="513">
        <v>18036.128675916814</v>
      </c>
      <c r="G11" s="512">
        <v>0</v>
      </c>
      <c r="H11" s="512">
        <v>0</v>
      </c>
      <c r="I11" s="659" t="s">
        <v>103</v>
      </c>
      <c r="J11" s="513">
        <v>0</v>
      </c>
      <c r="K11" s="513">
        <v>0</v>
      </c>
      <c r="L11" s="513">
        <v>0</v>
      </c>
      <c r="M11" s="513">
        <v>631849.55642691744</v>
      </c>
      <c r="N11" s="622"/>
    </row>
    <row r="12" spans="1:14">
      <c r="B12" s="513" t="s">
        <v>102</v>
      </c>
      <c r="C12" s="658">
        <v>2013</v>
      </c>
      <c r="D12" s="513">
        <v>631849.55642691744</v>
      </c>
      <c r="E12" s="512">
        <v>27339.020008904481</v>
      </c>
      <c r="F12" s="513">
        <v>27339.020008904481</v>
      </c>
      <c r="G12" s="512">
        <v>0</v>
      </c>
      <c r="H12" s="512">
        <v>0</v>
      </c>
      <c r="I12" s="659" t="s">
        <v>103</v>
      </c>
      <c r="J12" s="513">
        <v>0</v>
      </c>
      <c r="K12" s="513">
        <v>0</v>
      </c>
      <c r="L12" s="513">
        <v>0</v>
      </c>
      <c r="M12" s="513">
        <v>659188.57643582195</v>
      </c>
      <c r="N12" s="622"/>
    </row>
    <row r="13" spans="1:14">
      <c r="B13" s="513" t="s">
        <v>102</v>
      </c>
      <c r="C13" s="658">
        <v>2014</v>
      </c>
      <c r="D13" s="513">
        <v>659188.57643582195</v>
      </c>
      <c r="E13" s="513">
        <v>28420.712879537641</v>
      </c>
      <c r="F13" s="513">
        <v>28420.712879537641</v>
      </c>
      <c r="G13" s="512">
        <v>0</v>
      </c>
      <c r="H13" s="512">
        <v>0</v>
      </c>
      <c r="I13" s="659" t="s">
        <v>103</v>
      </c>
      <c r="J13" s="513">
        <v>0</v>
      </c>
      <c r="K13" s="513">
        <v>0</v>
      </c>
      <c r="L13" s="513">
        <v>0</v>
      </c>
      <c r="M13" s="513">
        <v>687609.28931535955</v>
      </c>
      <c r="N13" s="622"/>
    </row>
    <row r="14" spans="1:14">
      <c r="B14" s="513" t="s">
        <v>102</v>
      </c>
      <c r="C14" s="658">
        <v>2015</v>
      </c>
      <c r="D14" s="513">
        <v>687609.28931535955</v>
      </c>
      <c r="E14" s="513">
        <v>28844.842122038448</v>
      </c>
      <c r="F14" s="513">
        <v>28844.842122038448</v>
      </c>
      <c r="G14" s="512">
        <v>0</v>
      </c>
      <c r="H14" s="512">
        <v>0</v>
      </c>
      <c r="I14" s="659" t="s">
        <v>103</v>
      </c>
      <c r="J14" s="513">
        <v>0</v>
      </c>
      <c r="K14" s="513">
        <v>0</v>
      </c>
      <c r="L14" s="513">
        <v>0</v>
      </c>
      <c r="M14" s="513">
        <v>716454.13143739803</v>
      </c>
      <c r="N14" s="622"/>
    </row>
    <row r="15" spans="1:14">
      <c r="B15" s="513" t="s">
        <v>102</v>
      </c>
      <c r="C15" s="658">
        <v>2016</v>
      </c>
      <c r="D15" s="513">
        <v>716454.13143739803</v>
      </c>
      <c r="E15" s="513">
        <v>20834.836098079501</v>
      </c>
      <c r="F15" s="513">
        <v>20834.836098079501</v>
      </c>
      <c r="G15" s="512">
        <v>0</v>
      </c>
      <c r="H15" s="512">
        <v>0</v>
      </c>
      <c r="I15" s="659" t="s">
        <v>103</v>
      </c>
      <c r="J15" s="513">
        <v>0</v>
      </c>
      <c r="K15" s="513">
        <v>0</v>
      </c>
      <c r="L15" s="513">
        <v>0</v>
      </c>
      <c r="M15" s="513">
        <v>737288.96753547748</v>
      </c>
      <c r="N15" s="622"/>
    </row>
    <row r="16" spans="1:14">
      <c r="B16" s="513" t="s">
        <v>102</v>
      </c>
      <c r="C16" s="658">
        <v>2017</v>
      </c>
      <c r="D16" s="513">
        <v>737288.9675354776</v>
      </c>
      <c r="E16" s="513">
        <v>19249.574171460714</v>
      </c>
      <c r="F16" s="513">
        <v>19249.574171460714</v>
      </c>
      <c r="G16" s="660">
        <v>0</v>
      </c>
      <c r="H16" s="660">
        <v>0</v>
      </c>
      <c r="I16" s="659" t="s">
        <v>103</v>
      </c>
      <c r="J16" s="513">
        <v>0</v>
      </c>
      <c r="K16" s="513">
        <v>0</v>
      </c>
      <c r="L16" s="513">
        <v>0</v>
      </c>
      <c r="M16" s="513">
        <v>756538.5417069383</v>
      </c>
      <c r="N16" s="622"/>
    </row>
    <row r="17" spans="2:15">
      <c r="B17" s="513" t="s">
        <v>102</v>
      </c>
      <c r="C17" s="658">
        <v>2018</v>
      </c>
      <c r="D17" s="513">
        <v>756538.5417069383</v>
      </c>
      <c r="E17" s="513">
        <f>VLOOKUP(B17,'[6]2018 allocation'!$A$11:$B$218,2, FALSE)</f>
        <v>20584.868215458926</v>
      </c>
      <c r="F17" s="513">
        <f>E17</f>
        <v>20584.868215458926</v>
      </c>
      <c r="G17" s="512">
        <v>0</v>
      </c>
      <c r="H17" s="512">
        <v>0</v>
      </c>
      <c r="I17" s="659" t="s">
        <v>103</v>
      </c>
      <c r="J17" s="513">
        <f>VLOOKUP(B17,'[6]Annual Spending Worksheet '!$C$6:$AG$250,28,FALSE)</f>
        <v>0</v>
      </c>
      <c r="K17" s="513">
        <f>VLOOKUP(B17,'[6]Annual Spending Worksheet '!$C$6:$AG$250,29,FALSE)</f>
        <v>0</v>
      </c>
      <c r="L17" s="513">
        <v>0</v>
      </c>
      <c r="M17" s="513">
        <f>D17+E17+H17-J17</f>
        <v>777123.40992239723</v>
      </c>
      <c r="N17" s="513"/>
      <c r="O17" s="888"/>
    </row>
    <row r="18" spans="2:15">
      <c r="B18" s="513" t="s">
        <v>102</v>
      </c>
      <c r="C18" s="889">
        <v>2019</v>
      </c>
      <c r="D18" s="513">
        <v>777123.40992239723</v>
      </c>
      <c r="E18" s="513">
        <v>21990.970294664148</v>
      </c>
      <c r="F18" s="513">
        <v>21990.970294664148</v>
      </c>
      <c r="G18" s="513">
        <v>0</v>
      </c>
      <c r="H18" s="513">
        <v>0</v>
      </c>
      <c r="I18" s="622" t="s">
        <v>103</v>
      </c>
      <c r="J18" s="513">
        <v>0</v>
      </c>
      <c r="K18" s="513">
        <v>0</v>
      </c>
      <c r="L18" s="513">
        <v>0</v>
      </c>
      <c r="M18" s="513">
        <v>799114.38021706138</v>
      </c>
      <c r="N18" s="513"/>
    </row>
    <row r="19" spans="2:15">
      <c r="B19" s="890" t="s">
        <v>101</v>
      </c>
      <c r="C19" s="891"/>
      <c r="D19" s="890">
        <f>SUM(D7:D18)</f>
        <v>7837645.2916308343</v>
      </c>
      <c r="E19" s="890">
        <f t="shared" ref="E19:H19" si="0">SUM(E7:E18)</f>
        <v>288979.27870549285</v>
      </c>
      <c r="F19" s="890">
        <f t="shared" si="0"/>
        <v>288979.27870549285</v>
      </c>
      <c r="G19" s="890">
        <f t="shared" si="0"/>
        <v>0</v>
      </c>
      <c r="H19" s="890">
        <f t="shared" si="0"/>
        <v>-53632</v>
      </c>
      <c r="I19" s="892">
        <f t="shared" ref="I19" si="1">SUM(I7:I16)</f>
        <v>0</v>
      </c>
      <c r="J19" s="890">
        <f t="shared" ref="J19:L19" si="2">SUM(J7:J18)</f>
        <v>0</v>
      </c>
      <c r="K19" s="890">
        <f t="shared" si="2"/>
        <v>0</v>
      </c>
      <c r="L19" s="890">
        <f t="shared" si="2"/>
        <v>0</v>
      </c>
      <c r="M19" s="890">
        <f>SUM(M7:M18)</f>
        <v>8072992.5703363279</v>
      </c>
      <c r="N19" s="893"/>
    </row>
    <row r="20" spans="2:15">
      <c r="B20" s="513" t="s">
        <v>107</v>
      </c>
      <c r="C20" s="658">
        <v>2008</v>
      </c>
      <c r="D20" s="513">
        <v>147356.61300000001</v>
      </c>
      <c r="E20" s="512">
        <v>5364.4150328171054</v>
      </c>
      <c r="F20" s="513">
        <v>5364.4150328171054</v>
      </c>
      <c r="G20" s="512">
        <v>0</v>
      </c>
      <c r="H20" s="512">
        <v>-13791</v>
      </c>
      <c r="I20" s="659" t="s">
        <v>562</v>
      </c>
      <c r="J20" s="513">
        <v>0</v>
      </c>
      <c r="K20" s="513">
        <v>0</v>
      </c>
      <c r="L20" s="513">
        <v>0</v>
      </c>
      <c r="M20" s="513">
        <v>138930.02803281712</v>
      </c>
      <c r="N20" s="622"/>
    </row>
    <row r="21" spans="2:15">
      <c r="B21" s="513" t="s">
        <v>107</v>
      </c>
      <c r="C21" s="658">
        <v>2009</v>
      </c>
      <c r="D21" s="513">
        <v>138930.02803281712</v>
      </c>
      <c r="E21" s="512">
        <v>4474.7472213378478</v>
      </c>
      <c r="F21" s="513">
        <v>4474.7472213378478</v>
      </c>
      <c r="G21" s="512">
        <v>0</v>
      </c>
      <c r="H21" s="512">
        <v>0</v>
      </c>
      <c r="I21" s="659" t="s">
        <v>103</v>
      </c>
      <c r="J21" s="513">
        <v>0</v>
      </c>
      <c r="K21" s="513">
        <v>0</v>
      </c>
      <c r="L21" s="513">
        <v>0</v>
      </c>
      <c r="M21" s="513">
        <v>143404.77525415496</v>
      </c>
      <c r="N21" s="622"/>
    </row>
    <row r="22" spans="2:15">
      <c r="B22" s="513" t="s">
        <v>107</v>
      </c>
      <c r="C22" s="658">
        <v>2010</v>
      </c>
      <c r="D22" s="513">
        <v>143404.77525415496</v>
      </c>
      <c r="E22" s="512">
        <v>4472.08</v>
      </c>
      <c r="F22" s="513">
        <v>4472.08</v>
      </c>
      <c r="G22" s="512">
        <v>0</v>
      </c>
      <c r="H22" s="512">
        <v>0</v>
      </c>
      <c r="I22" s="659" t="s">
        <v>103</v>
      </c>
      <c r="J22" s="513">
        <v>0</v>
      </c>
      <c r="K22" s="513">
        <v>0</v>
      </c>
      <c r="L22" s="513">
        <v>0</v>
      </c>
      <c r="M22" s="513">
        <v>147876.85525415494</v>
      </c>
      <c r="N22" s="622"/>
    </row>
    <row r="23" spans="2:15">
      <c r="B23" s="513" t="s">
        <v>107</v>
      </c>
      <c r="C23" s="658">
        <v>2011</v>
      </c>
      <c r="D23" s="513">
        <v>147876.85211538096</v>
      </c>
      <c r="E23" s="512">
        <v>4535.1349454391502</v>
      </c>
      <c r="F23" s="513">
        <v>4535.1349454391502</v>
      </c>
      <c r="G23" s="512">
        <v>0</v>
      </c>
      <c r="H23" s="512">
        <v>0</v>
      </c>
      <c r="I23" s="659" t="s">
        <v>103</v>
      </c>
      <c r="J23" s="513">
        <v>0</v>
      </c>
      <c r="K23" s="513">
        <v>0</v>
      </c>
      <c r="L23" s="513">
        <v>0</v>
      </c>
      <c r="M23" s="513">
        <v>152411.9870608201</v>
      </c>
      <c r="N23" s="622"/>
    </row>
    <row r="24" spans="2:15">
      <c r="B24" s="513" t="s">
        <v>107</v>
      </c>
      <c r="C24" s="658">
        <v>2012</v>
      </c>
      <c r="D24" s="513">
        <v>152411.9870608201</v>
      </c>
      <c r="E24" s="512">
        <v>3500.6915829893269</v>
      </c>
      <c r="F24" s="513">
        <v>3500.6915829893269</v>
      </c>
      <c r="G24" s="512">
        <v>0</v>
      </c>
      <c r="H24" s="512">
        <v>0</v>
      </c>
      <c r="I24" s="659" t="s">
        <v>103</v>
      </c>
      <c r="J24" s="513">
        <v>0</v>
      </c>
      <c r="K24" s="513">
        <v>0</v>
      </c>
      <c r="L24" s="513">
        <v>0</v>
      </c>
      <c r="M24" s="513">
        <v>155912.67864380943</v>
      </c>
      <c r="N24" s="622"/>
    </row>
    <row r="25" spans="2:15">
      <c r="B25" s="513" t="s">
        <v>107</v>
      </c>
      <c r="C25" s="658">
        <v>2013</v>
      </c>
      <c r="D25" s="513">
        <v>155912.67864380943</v>
      </c>
      <c r="E25" s="513">
        <v>4925.8241355372065</v>
      </c>
      <c r="F25" s="513">
        <v>4925.8241355372065</v>
      </c>
      <c r="G25" s="512">
        <v>0</v>
      </c>
      <c r="H25" s="512">
        <v>0</v>
      </c>
      <c r="I25" s="659" t="s">
        <v>103</v>
      </c>
      <c r="J25" s="513">
        <v>0</v>
      </c>
      <c r="K25" s="513">
        <v>0</v>
      </c>
      <c r="L25" s="513">
        <v>0</v>
      </c>
      <c r="M25" s="513">
        <v>160838.50277934663</v>
      </c>
      <c r="N25" s="622"/>
    </row>
    <row r="26" spans="2:15">
      <c r="B26" s="513" t="s">
        <v>107</v>
      </c>
      <c r="C26" s="658">
        <v>2014</v>
      </c>
      <c r="D26" s="513">
        <v>160838.50277934663</v>
      </c>
      <c r="E26" s="513">
        <v>5082.2902479121285</v>
      </c>
      <c r="F26" s="513">
        <v>5082.2902479121285</v>
      </c>
      <c r="G26" s="512">
        <v>0</v>
      </c>
      <c r="H26" s="512">
        <v>0</v>
      </c>
      <c r="I26" s="659" t="s">
        <v>103</v>
      </c>
      <c r="J26" s="513">
        <v>0</v>
      </c>
      <c r="K26" s="513">
        <v>0</v>
      </c>
      <c r="L26" s="513">
        <v>0</v>
      </c>
      <c r="M26" s="513">
        <v>165920.79302725877</v>
      </c>
      <c r="N26" s="622"/>
    </row>
    <row r="27" spans="2:15">
      <c r="B27" s="513" t="s">
        <v>107</v>
      </c>
      <c r="C27" s="658">
        <v>2015</v>
      </c>
      <c r="D27" s="513">
        <v>165920.79302725877</v>
      </c>
      <c r="E27" s="513">
        <v>5148.5501619197148</v>
      </c>
      <c r="F27" s="513">
        <v>5148.5501619197148</v>
      </c>
      <c r="G27" s="512">
        <v>0</v>
      </c>
      <c r="H27" s="512">
        <v>0</v>
      </c>
      <c r="I27" s="659" t="s">
        <v>103</v>
      </c>
      <c r="J27" s="513">
        <v>0</v>
      </c>
      <c r="K27" s="513">
        <v>0</v>
      </c>
      <c r="L27" s="513">
        <v>0</v>
      </c>
      <c r="M27" s="513">
        <v>171069.34318917847</v>
      </c>
      <c r="N27" s="622"/>
    </row>
    <row r="28" spans="2:15">
      <c r="B28" s="513" t="s">
        <v>107</v>
      </c>
      <c r="C28" s="658">
        <v>2016</v>
      </c>
      <c r="D28" s="513">
        <v>171069.34318917847</v>
      </c>
      <c r="E28" s="513">
        <v>3954.7259232310907</v>
      </c>
      <c r="F28" s="513">
        <v>3954.7259232310907</v>
      </c>
      <c r="G28" s="660">
        <v>0</v>
      </c>
      <c r="H28" s="660">
        <v>0</v>
      </c>
      <c r="I28" s="659" t="s">
        <v>103</v>
      </c>
      <c r="J28" s="513">
        <v>0</v>
      </c>
      <c r="K28" s="513">
        <v>0</v>
      </c>
      <c r="L28" s="513">
        <v>0</v>
      </c>
      <c r="M28" s="513">
        <v>175024.06911240958</v>
      </c>
      <c r="N28" s="622"/>
    </row>
    <row r="29" spans="2:15">
      <c r="B29" s="513" t="s">
        <v>107</v>
      </c>
      <c r="C29" s="658">
        <v>2017</v>
      </c>
      <c r="D29" s="513">
        <v>175024.06911240958</v>
      </c>
      <c r="E29" s="513">
        <v>3722.97927975329</v>
      </c>
      <c r="F29" s="513">
        <v>3722.97927975329</v>
      </c>
      <c r="G29" s="660">
        <v>0</v>
      </c>
      <c r="H29" s="660">
        <v>0</v>
      </c>
      <c r="I29" s="659" t="s">
        <v>103</v>
      </c>
      <c r="J29" s="513">
        <v>0</v>
      </c>
      <c r="K29" s="513">
        <v>0</v>
      </c>
      <c r="L29" s="513">
        <v>0</v>
      </c>
      <c r="M29" s="513">
        <v>178747.04839216286</v>
      </c>
      <c r="N29" s="622"/>
    </row>
    <row r="30" spans="2:15">
      <c r="B30" s="513" t="s">
        <v>107</v>
      </c>
      <c r="C30" s="889">
        <v>2018</v>
      </c>
      <c r="D30" s="513">
        <v>178747.04839216286</v>
      </c>
      <c r="E30" s="513">
        <f>VLOOKUP(B30,'[6]2018 allocation'!$A$11:$B$218,2, FALSE)</f>
        <v>3922.0330713470289</v>
      </c>
      <c r="F30" s="513">
        <f>E30</f>
        <v>3922.0330713470289</v>
      </c>
      <c r="G30" s="513">
        <v>0</v>
      </c>
      <c r="H30" s="513">
        <v>0</v>
      </c>
      <c r="I30" s="622" t="s">
        <v>103</v>
      </c>
      <c r="J30" s="513">
        <f>VLOOKUP(B30,'[6]Annual Spending Worksheet '!$C$6:$AG$250,28,FALSE)</f>
        <v>0</v>
      </c>
      <c r="K30" s="513">
        <f>VLOOKUP(B30,'[6]Annual Spending Worksheet '!$C$6:$AG$250,29,FALSE)</f>
        <v>0</v>
      </c>
      <c r="L30" s="513">
        <v>0</v>
      </c>
      <c r="M30" s="513">
        <f>D30+E30+H30-J30</f>
        <v>182669.08146350988</v>
      </c>
      <c r="N30" s="513"/>
    </row>
    <row r="31" spans="2:15">
      <c r="B31" s="513" t="s">
        <v>107</v>
      </c>
      <c r="C31" s="889">
        <v>2019</v>
      </c>
      <c r="D31" s="513">
        <v>182669.08146350988</v>
      </c>
      <c r="E31" s="513">
        <v>4136.7977475532471</v>
      </c>
      <c r="F31" s="513">
        <v>4136.7977475532471</v>
      </c>
      <c r="G31" s="513">
        <v>0</v>
      </c>
      <c r="H31" s="513">
        <v>0</v>
      </c>
      <c r="I31" s="622" t="s">
        <v>103</v>
      </c>
      <c r="J31" s="513">
        <v>0</v>
      </c>
      <c r="K31" s="513">
        <v>0</v>
      </c>
      <c r="L31" s="513">
        <v>0</v>
      </c>
      <c r="M31" s="513">
        <v>186805.87921106312</v>
      </c>
      <c r="N31" s="513"/>
    </row>
    <row r="32" spans="2:15">
      <c r="B32" s="890" t="s">
        <v>1228</v>
      </c>
      <c r="C32" s="894"/>
      <c r="D32" s="895">
        <f>SUM(D20:D31)</f>
        <v>1920161.7720708488</v>
      </c>
      <c r="E32" s="895">
        <f t="shared" ref="E32:H32" si="3">SUM(E20:E31)</f>
        <v>53240.26934983713</v>
      </c>
      <c r="F32" s="895">
        <f t="shared" si="3"/>
        <v>53240.26934983713</v>
      </c>
      <c r="G32" s="895">
        <f t="shared" si="3"/>
        <v>0</v>
      </c>
      <c r="H32" s="895">
        <f t="shared" si="3"/>
        <v>-13791</v>
      </c>
      <c r="I32" s="896"/>
      <c r="J32" s="895">
        <f t="shared" ref="J32:M32" si="4">SUM(J20:J31)</f>
        <v>0</v>
      </c>
      <c r="K32" s="895">
        <f t="shared" si="4"/>
        <v>0</v>
      </c>
      <c r="L32" s="895">
        <f t="shared" si="4"/>
        <v>0</v>
      </c>
      <c r="M32" s="895">
        <f t="shared" si="4"/>
        <v>1959611.0414206858</v>
      </c>
      <c r="N32" s="897"/>
    </row>
    <row r="33" spans="2:14">
      <c r="B33" s="887" t="s">
        <v>108</v>
      </c>
      <c r="C33" s="655"/>
      <c r="D33" s="513"/>
      <c r="E33" s="513"/>
      <c r="F33" s="513"/>
      <c r="G33" s="513"/>
      <c r="H33" s="513"/>
      <c r="I33" s="659"/>
      <c r="J33" s="513"/>
      <c r="K33" s="513"/>
      <c r="L33" s="513"/>
      <c r="M33" s="513"/>
      <c r="N33" s="622"/>
    </row>
    <row r="34" spans="2:14">
      <c r="B34" s="513" t="s">
        <v>109</v>
      </c>
      <c r="C34" s="658">
        <v>2008</v>
      </c>
      <c r="D34" s="513">
        <v>79620.335999999996</v>
      </c>
      <c r="E34" s="512">
        <v>4471.4212019366523</v>
      </c>
      <c r="F34" s="513">
        <v>4471.4212019366523</v>
      </c>
      <c r="G34" s="512">
        <v>0</v>
      </c>
      <c r="H34" s="512">
        <v>-7593</v>
      </c>
      <c r="I34" s="659" t="s">
        <v>562</v>
      </c>
      <c r="J34" s="513">
        <v>0</v>
      </c>
      <c r="K34" s="513">
        <v>0</v>
      </c>
      <c r="L34" s="513">
        <v>0</v>
      </c>
      <c r="M34" s="513">
        <v>76498.757201936649</v>
      </c>
      <c r="N34" s="622"/>
    </row>
    <row r="35" spans="2:14">
      <c r="B35" s="513" t="s">
        <v>109</v>
      </c>
      <c r="C35" s="658">
        <v>2009</v>
      </c>
      <c r="D35" s="513">
        <v>76498.757201936649</v>
      </c>
      <c r="E35" s="512">
        <v>3587.6422248826079</v>
      </c>
      <c r="F35" s="513">
        <v>3587.6422248826079</v>
      </c>
      <c r="G35" s="512">
        <v>0</v>
      </c>
      <c r="H35" s="512">
        <v>0</v>
      </c>
      <c r="I35" s="659" t="s">
        <v>103</v>
      </c>
      <c r="J35" s="513">
        <v>0</v>
      </c>
      <c r="K35" s="513">
        <v>0</v>
      </c>
      <c r="L35" s="513">
        <v>0</v>
      </c>
      <c r="M35" s="513">
        <v>80086.399426819262</v>
      </c>
      <c r="N35" s="622"/>
    </row>
    <row r="36" spans="2:14">
      <c r="B36" s="513" t="s">
        <v>109</v>
      </c>
      <c r="C36" s="658">
        <v>2010</v>
      </c>
      <c r="D36" s="513">
        <v>80086.399426819247</v>
      </c>
      <c r="E36" s="512">
        <v>3589.13</v>
      </c>
      <c r="F36" s="513">
        <v>3589.13</v>
      </c>
      <c r="G36" s="512">
        <v>0</v>
      </c>
      <c r="H36" s="512">
        <v>0</v>
      </c>
      <c r="I36" s="659" t="s">
        <v>103</v>
      </c>
      <c r="J36" s="513">
        <v>0</v>
      </c>
      <c r="K36" s="513">
        <v>0</v>
      </c>
      <c r="L36" s="513">
        <v>0</v>
      </c>
      <c r="M36" s="513">
        <v>83675.529426819252</v>
      </c>
      <c r="N36" s="622"/>
    </row>
    <row r="37" spans="2:14">
      <c r="B37" s="513" t="s">
        <v>109</v>
      </c>
      <c r="C37" s="658">
        <v>2011</v>
      </c>
      <c r="D37" s="513">
        <v>83675.528937657131</v>
      </c>
      <c r="E37" s="512">
        <v>3647.3353755600497</v>
      </c>
      <c r="F37" s="513">
        <v>3647.3353755600497</v>
      </c>
      <c r="G37" s="512">
        <v>0</v>
      </c>
      <c r="H37" s="512">
        <v>0</v>
      </c>
      <c r="I37" s="659" t="s">
        <v>103</v>
      </c>
      <c r="J37" s="513">
        <v>0</v>
      </c>
      <c r="K37" s="513">
        <v>0</v>
      </c>
      <c r="L37" s="513">
        <v>0</v>
      </c>
      <c r="M37" s="513">
        <v>87322.864313217186</v>
      </c>
      <c r="N37" s="622"/>
    </row>
    <row r="38" spans="2:14">
      <c r="B38" s="513" t="s">
        <v>109</v>
      </c>
      <c r="C38" s="658">
        <v>2012</v>
      </c>
      <c r="D38" s="513">
        <v>87322.864313217171</v>
      </c>
      <c r="E38" s="513">
        <v>2627.2313896568949</v>
      </c>
      <c r="F38" s="513">
        <v>2627.2313896568949</v>
      </c>
      <c r="G38" s="512">
        <v>0</v>
      </c>
      <c r="H38" s="512">
        <v>0</v>
      </c>
      <c r="I38" s="659" t="s">
        <v>103</v>
      </c>
      <c r="J38" s="513">
        <v>0</v>
      </c>
      <c r="K38" s="513">
        <v>0</v>
      </c>
      <c r="L38" s="513">
        <v>0</v>
      </c>
      <c r="M38" s="513">
        <v>89950.095702874067</v>
      </c>
      <c r="N38" s="622"/>
    </row>
    <row r="39" spans="2:14">
      <c r="B39" s="513" t="s">
        <v>109</v>
      </c>
      <c r="C39" s="658">
        <v>2013</v>
      </c>
      <c r="D39" s="513">
        <v>89950.095702874067</v>
      </c>
      <c r="E39" s="513">
        <v>4034.1858481728091</v>
      </c>
      <c r="F39" s="513">
        <v>4034.1858481728091</v>
      </c>
      <c r="G39" s="512">
        <v>0</v>
      </c>
      <c r="H39" s="512">
        <v>0</v>
      </c>
      <c r="I39" s="659" t="s">
        <v>103</v>
      </c>
      <c r="J39" s="513">
        <v>0</v>
      </c>
      <c r="K39" s="513">
        <v>0</v>
      </c>
      <c r="L39" s="513">
        <v>0</v>
      </c>
      <c r="M39" s="513">
        <v>93984.281551046879</v>
      </c>
      <c r="N39" s="622"/>
    </row>
    <row r="40" spans="2:14">
      <c r="B40" s="513" t="s">
        <v>109</v>
      </c>
      <c r="C40" s="658">
        <v>2014</v>
      </c>
      <c r="D40" s="513">
        <v>93984.281551046879</v>
      </c>
      <c r="E40" s="513">
        <v>4192.6631457708827</v>
      </c>
      <c r="F40" s="513">
        <v>4192.6631457708827</v>
      </c>
      <c r="G40" s="512">
        <v>0</v>
      </c>
      <c r="H40" s="512">
        <v>0</v>
      </c>
      <c r="I40" s="659" t="s">
        <v>103</v>
      </c>
      <c r="J40" s="513">
        <v>0</v>
      </c>
      <c r="K40" s="513">
        <v>0</v>
      </c>
      <c r="L40" s="513">
        <v>0</v>
      </c>
      <c r="M40" s="513">
        <v>98176.944696817765</v>
      </c>
      <c r="N40" s="622"/>
    </row>
    <row r="41" spans="2:14">
      <c r="B41" s="513" t="s">
        <v>109</v>
      </c>
      <c r="C41" s="658">
        <v>2015</v>
      </c>
      <c r="D41" s="513">
        <v>98176.944696817751</v>
      </c>
      <c r="E41" s="513">
        <v>4257.8786353200012</v>
      </c>
      <c r="F41" s="513">
        <v>4257.8786353200012</v>
      </c>
      <c r="G41" s="512">
        <v>0</v>
      </c>
      <c r="H41" s="660">
        <v>0</v>
      </c>
      <c r="I41" s="659" t="s">
        <v>103</v>
      </c>
      <c r="J41" s="513">
        <v>0</v>
      </c>
      <c r="K41" s="513">
        <v>0</v>
      </c>
      <c r="L41" s="513">
        <v>0</v>
      </c>
      <c r="M41" s="513">
        <v>102434.82333213775</v>
      </c>
      <c r="N41" s="622"/>
    </row>
    <row r="42" spans="2:14">
      <c r="B42" s="513" t="s">
        <v>109</v>
      </c>
      <c r="C42" s="658">
        <v>2016</v>
      </c>
      <c r="D42" s="513">
        <v>102434.82333213775</v>
      </c>
      <c r="E42" s="513">
        <v>3069.0874053458492</v>
      </c>
      <c r="F42" s="513">
        <v>3069.0874053458492</v>
      </c>
      <c r="G42" s="660">
        <v>0</v>
      </c>
      <c r="H42" s="660">
        <v>0</v>
      </c>
      <c r="I42" s="659" t="s">
        <v>103</v>
      </c>
      <c r="J42" s="513">
        <v>0</v>
      </c>
      <c r="K42" s="513">
        <v>0</v>
      </c>
      <c r="L42" s="513">
        <v>0</v>
      </c>
      <c r="M42" s="513">
        <v>105503.9107374836</v>
      </c>
      <c r="N42" s="622"/>
    </row>
    <row r="43" spans="2:14">
      <c r="B43" s="513" t="s">
        <v>109</v>
      </c>
      <c r="C43" s="658">
        <v>2017</v>
      </c>
      <c r="D43" s="513">
        <v>105503.91073748359</v>
      </c>
      <c r="E43" s="513">
        <v>2846.1186717901569</v>
      </c>
      <c r="F43" s="513">
        <v>2846.1186717901569</v>
      </c>
      <c r="G43" s="513">
        <v>0</v>
      </c>
      <c r="H43" s="513">
        <v>0</v>
      </c>
      <c r="I43" s="659" t="s">
        <v>103</v>
      </c>
      <c r="J43" s="513">
        <v>0</v>
      </c>
      <c r="K43" s="513">
        <v>0</v>
      </c>
      <c r="L43" s="513">
        <v>0</v>
      </c>
      <c r="M43" s="513">
        <v>108350.02940927375</v>
      </c>
      <c r="N43" s="622"/>
    </row>
    <row r="44" spans="2:14">
      <c r="B44" s="513" t="s">
        <v>109</v>
      </c>
      <c r="C44" s="889">
        <v>2018</v>
      </c>
      <c r="D44" s="513">
        <v>108350.02940927375</v>
      </c>
      <c r="E44" s="513">
        <f>VLOOKUP(B44,'[6]2018 allocation'!$A$11:$B$218,2, FALSE)</f>
        <v>3039.2876758862462</v>
      </c>
      <c r="F44" s="513">
        <f>E44</f>
        <v>3039.2876758862462</v>
      </c>
      <c r="G44" s="513">
        <v>0</v>
      </c>
      <c r="H44" s="513">
        <v>0</v>
      </c>
      <c r="I44" s="622" t="s">
        <v>103</v>
      </c>
      <c r="J44" s="513">
        <f>VLOOKUP(B44,'[6]Annual Spending Worksheet '!$C$6:$AG$250,28,FALSE)</f>
        <v>0</v>
      </c>
      <c r="K44" s="513">
        <f>VLOOKUP(B44,'[6]Annual Spending Worksheet '!$C$6:$AG$250,29,FALSE)</f>
        <v>0</v>
      </c>
      <c r="L44" s="513">
        <v>0</v>
      </c>
      <c r="M44" s="513">
        <f>D44+E44+H44-J44</f>
        <v>111389.31708515999</v>
      </c>
      <c r="N44" s="513"/>
    </row>
    <row r="45" spans="2:14">
      <c r="B45" s="513" t="s">
        <v>109</v>
      </c>
      <c r="C45" s="889">
        <v>2019</v>
      </c>
      <c r="D45" s="513">
        <v>111389.31708515999</v>
      </c>
      <c r="E45" s="513">
        <v>3246.4867665170968</v>
      </c>
      <c r="F45" s="513">
        <v>3246.4867665170968</v>
      </c>
      <c r="G45" s="513">
        <v>0</v>
      </c>
      <c r="H45" s="513">
        <v>0</v>
      </c>
      <c r="I45" s="622" t="s">
        <v>103</v>
      </c>
      <c r="J45" s="513">
        <v>0</v>
      </c>
      <c r="K45" s="513">
        <v>0</v>
      </c>
      <c r="L45" s="513">
        <v>0</v>
      </c>
      <c r="M45" s="513">
        <v>114635.80385167708</v>
      </c>
      <c r="N45" s="513"/>
    </row>
    <row r="46" spans="2:14">
      <c r="B46" s="513" t="s">
        <v>111</v>
      </c>
      <c r="C46" s="658">
        <v>2008</v>
      </c>
      <c r="D46" s="513">
        <v>244283.9659999999</v>
      </c>
      <c r="E46" s="512">
        <v>44676.914045786551</v>
      </c>
      <c r="F46" s="513">
        <v>44676.914045786551</v>
      </c>
      <c r="G46" s="512">
        <v>0</v>
      </c>
      <c r="H46" s="512">
        <v>0</v>
      </c>
      <c r="I46" s="659" t="s">
        <v>103</v>
      </c>
      <c r="J46" s="513">
        <v>0</v>
      </c>
      <c r="K46" s="513">
        <v>0</v>
      </c>
      <c r="L46" s="513">
        <v>0</v>
      </c>
      <c r="M46" s="513">
        <v>288960.88004578644</v>
      </c>
      <c r="N46" s="622"/>
    </row>
    <row r="47" spans="2:14">
      <c r="B47" s="513" t="s">
        <v>111</v>
      </c>
      <c r="C47" s="658">
        <v>2009</v>
      </c>
      <c r="D47" s="513">
        <v>288960.88004578638</v>
      </c>
      <c r="E47" s="512">
        <v>36090.856555785613</v>
      </c>
      <c r="F47" s="513">
        <v>36090.856555785613</v>
      </c>
      <c r="G47" s="512">
        <v>0</v>
      </c>
      <c r="H47" s="512">
        <v>0</v>
      </c>
      <c r="I47" s="659" t="s">
        <v>103</v>
      </c>
      <c r="J47" s="513">
        <v>0</v>
      </c>
      <c r="K47" s="513">
        <v>0</v>
      </c>
      <c r="L47" s="513">
        <v>0</v>
      </c>
      <c r="M47" s="513">
        <v>325051.73660157202</v>
      </c>
      <c r="N47" s="622"/>
    </row>
    <row r="48" spans="2:14">
      <c r="B48" s="513" t="s">
        <v>111</v>
      </c>
      <c r="C48" s="658">
        <v>2010</v>
      </c>
      <c r="D48" s="513">
        <v>325051.7366015719</v>
      </c>
      <c r="E48" s="512">
        <v>36039.339999999997</v>
      </c>
      <c r="F48" s="513">
        <v>36039.339999999997</v>
      </c>
      <c r="G48" s="512">
        <v>0</v>
      </c>
      <c r="H48" s="512">
        <v>0</v>
      </c>
      <c r="I48" s="659" t="s">
        <v>103</v>
      </c>
      <c r="J48" s="513">
        <v>0</v>
      </c>
      <c r="K48" s="513">
        <v>0</v>
      </c>
      <c r="L48" s="513">
        <v>0</v>
      </c>
      <c r="M48" s="513">
        <v>361091.07660157187</v>
      </c>
      <c r="N48" s="622"/>
    </row>
    <row r="49" spans="2:14">
      <c r="B49" s="513" t="s">
        <v>111</v>
      </c>
      <c r="C49" s="658">
        <v>2011</v>
      </c>
      <c r="D49" s="513">
        <v>361091.07965642784</v>
      </c>
      <c r="E49" s="512">
        <v>36644.627065604669</v>
      </c>
      <c r="F49" s="513">
        <v>36644.627065604669</v>
      </c>
      <c r="G49" s="512">
        <v>0</v>
      </c>
      <c r="H49" s="512">
        <v>0</v>
      </c>
      <c r="I49" s="659" t="s">
        <v>103</v>
      </c>
      <c r="J49" s="513">
        <v>0</v>
      </c>
      <c r="K49" s="513">
        <v>0</v>
      </c>
      <c r="L49" s="513">
        <v>0</v>
      </c>
      <c r="M49" s="513">
        <v>397735.70672203251</v>
      </c>
      <c r="N49" s="622"/>
    </row>
    <row r="50" spans="2:14">
      <c r="B50" s="513" t="s">
        <v>111</v>
      </c>
      <c r="C50" s="658">
        <v>2012</v>
      </c>
      <c r="D50" s="513">
        <v>397735.7067220324</v>
      </c>
      <c r="E50" s="513">
        <v>26312.837850758213</v>
      </c>
      <c r="F50" s="513">
        <v>26312.837850758213</v>
      </c>
      <c r="G50" s="512">
        <v>0</v>
      </c>
      <c r="H50" s="512">
        <v>0</v>
      </c>
      <c r="I50" s="659" t="s">
        <v>103</v>
      </c>
      <c r="J50" s="513">
        <v>0</v>
      </c>
      <c r="K50" s="513">
        <v>0</v>
      </c>
      <c r="L50" s="513">
        <v>0</v>
      </c>
      <c r="M50" s="513">
        <v>424048.54457279062</v>
      </c>
      <c r="N50" s="622"/>
    </row>
    <row r="51" spans="2:14">
      <c r="B51" s="513" t="s">
        <v>111</v>
      </c>
      <c r="C51" s="658">
        <v>2013</v>
      </c>
      <c r="D51" s="513">
        <v>424048.5445727905</v>
      </c>
      <c r="E51" s="513">
        <v>40526.417294732993</v>
      </c>
      <c r="F51" s="513">
        <v>40526.417294732993</v>
      </c>
      <c r="G51" s="512">
        <v>0</v>
      </c>
      <c r="H51" s="512">
        <v>0</v>
      </c>
      <c r="I51" s="659" t="s">
        <v>103</v>
      </c>
      <c r="J51" s="513">
        <v>0</v>
      </c>
      <c r="K51" s="513">
        <v>0</v>
      </c>
      <c r="L51" s="513">
        <v>0</v>
      </c>
      <c r="M51" s="513">
        <v>464574.9618675235</v>
      </c>
      <c r="N51" s="622"/>
    </row>
    <row r="52" spans="2:14">
      <c r="B52" s="513" t="s">
        <v>111</v>
      </c>
      <c r="C52" s="658">
        <v>2014</v>
      </c>
      <c r="D52" s="513">
        <v>464574.9618675235</v>
      </c>
      <c r="E52" s="513">
        <v>42170.143469220806</v>
      </c>
      <c r="F52" s="513">
        <v>42170.143469220806</v>
      </c>
      <c r="G52" s="512">
        <v>0</v>
      </c>
      <c r="H52" s="512">
        <v>0</v>
      </c>
      <c r="I52" s="659" t="s">
        <v>103</v>
      </c>
      <c r="J52" s="513">
        <v>0</v>
      </c>
      <c r="K52" s="513">
        <v>0</v>
      </c>
      <c r="L52" s="513">
        <v>0</v>
      </c>
      <c r="M52" s="513">
        <v>506745.10533674428</v>
      </c>
      <c r="N52" s="622"/>
    </row>
    <row r="53" spans="2:14">
      <c r="B53" s="513" t="s">
        <v>111</v>
      </c>
      <c r="C53" s="658">
        <v>2015</v>
      </c>
      <c r="D53" s="513">
        <v>506745.10533674422</v>
      </c>
      <c r="E53" s="513">
        <v>42831.382022787773</v>
      </c>
      <c r="F53" s="513">
        <v>42831.382022787773</v>
      </c>
      <c r="G53" s="660">
        <v>0</v>
      </c>
      <c r="H53" s="660">
        <v>0</v>
      </c>
      <c r="I53" s="659" t="s">
        <v>103</v>
      </c>
      <c r="J53" s="513">
        <v>0</v>
      </c>
      <c r="K53" s="513">
        <v>0</v>
      </c>
      <c r="L53" s="513">
        <v>0</v>
      </c>
      <c r="M53" s="513">
        <v>549576.48735953204</v>
      </c>
      <c r="N53" s="622"/>
    </row>
    <row r="54" spans="2:14">
      <c r="B54" s="513" t="s">
        <v>111</v>
      </c>
      <c r="C54" s="658">
        <v>2016</v>
      </c>
      <c r="D54" s="513">
        <v>549576.48735953204</v>
      </c>
      <c r="E54" s="513">
        <v>30725.068191779341</v>
      </c>
      <c r="F54" s="513">
        <v>30725.068191779341</v>
      </c>
      <c r="G54" s="660">
        <v>0</v>
      </c>
      <c r="H54" s="660">
        <v>0</v>
      </c>
      <c r="I54" s="659" t="s">
        <v>103</v>
      </c>
      <c r="J54" s="513">
        <v>0</v>
      </c>
      <c r="K54" s="513">
        <v>0</v>
      </c>
      <c r="L54" s="513">
        <v>0</v>
      </c>
      <c r="M54" s="513">
        <v>580301.55555131135</v>
      </c>
      <c r="N54" s="622"/>
    </row>
    <row r="55" spans="2:14" ht="14.1" customHeight="1">
      <c r="B55" s="513" t="s">
        <v>111</v>
      </c>
      <c r="C55" s="658">
        <v>2017</v>
      </c>
      <c r="D55" s="513">
        <v>580301.55555131135</v>
      </c>
      <c r="E55" s="513">
        <v>28398.660605358575</v>
      </c>
      <c r="F55" s="513">
        <v>28398.660605358575</v>
      </c>
      <c r="G55" s="513">
        <v>0</v>
      </c>
      <c r="H55" s="513">
        <v>0</v>
      </c>
      <c r="I55" s="659" t="s">
        <v>103</v>
      </c>
      <c r="J55" s="513">
        <v>0</v>
      </c>
      <c r="K55" s="513">
        <v>0</v>
      </c>
      <c r="L55" s="513">
        <v>0</v>
      </c>
      <c r="M55" s="513">
        <v>608700.21615666989</v>
      </c>
      <c r="N55" s="622"/>
    </row>
    <row r="56" spans="2:14">
      <c r="B56" s="513" t="s">
        <v>111</v>
      </c>
      <c r="C56" s="889">
        <v>2018</v>
      </c>
      <c r="D56" s="513">
        <v>608700.21615666989</v>
      </c>
      <c r="E56" s="513">
        <f>VLOOKUP(B56,'[6]2018 allocation'!$A$11:$B$218,2, FALSE)</f>
        <v>30414.505822347866</v>
      </c>
      <c r="F56" s="513">
        <f>E56</f>
        <v>30414.505822347866</v>
      </c>
      <c r="G56" s="513">
        <v>0</v>
      </c>
      <c r="H56" s="513">
        <v>0</v>
      </c>
      <c r="I56" s="622" t="s">
        <v>103</v>
      </c>
      <c r="J56" s="513">
        <f>VLOOKUP(B56,'[6]Annual Spending Worksheet '!$C$6:$AG$250,28,FALSE)</f>
        <v>0</v>
      </c>
      <c r="K56" s="513">
        <f>VLOOKUP(B56,'[6]Annual Spending Worksheet '!$C$6:$AG$250,29,FALSE)</f>
        <v>0</v>
      </c>
      <c r="L56" s="513">
        <v>0</v>
      </c>
      <c r="M56" s="513">
        <f>D56+E56+H56-J56</f>
        <v>639114.72197901772</v>
      </c>
      <c r="N56" s="513"/>
    </row>
    <row r="57" spans="2:14">
      <c r="B57" s="513" t="s">
        <v>111</v>
      </c>
      <c r="C57" s="889">
        <v>2019</v>
      </c>
      <c r="D57" s="513">
        <v>639114.72197901772</v>
      </c>
      <c r="E57" s="513">
        <v>32539.57236851746</v>
      </c>
      <c r="F57" s="513">
        <v>32539.57236851746</v>
      </c>
      <c r="G57" s="513">
        <v>0</v>
      </c>
      <c r="H57" s="513">
        <v>0</v>
      </c>
      <c r="I57" s="622" t="s">
        <v>103</v>
      </c>
      <c r="J57" s="513">
        <v>0</v>
      </c>
      <c r="K57" s="513">
        <v>0</v>
      </c>
      <c r="L57" s="513">
        <v>0</v>
      </c>
      <c r="M57" s="513">
        <v>671654.29434753512</v>
      </c>
      <c r="N57" s="513"/>
    </row>
    <row r="58" spans="2:14">
      <c r="B58" s="890" t="s">
        <v>1231</v>
      </c>
      <c r="C58" s="898"/>
      <c r="D58" s="899">
        <f>SUM(D34:D57)</f>
        <v>6507178.2502438305</v>
      </c>
      <c r="E58" s="899">
        <f t="shared" ref="E58:H58" si="5">SUM(E34:E57)</f>
        <v>469978.79363351915</v>
      </c>
      <c r="F58" s="899">
        <f t="shared" si="5"/>
        <v>469978.79363351915</v>
      </c>
      <c r="G58" s="899">
        <f t="shared" si="5"/>
        <v>0</v>
      </c>
      <c r="H58" s="899">
        <f t="shared" si="5"/>
        <v>-7593</v>
      </c>
      <c r="I58" s="900"/>
      <c r="J58" s="899">
        <f t="shared" ref="J58:M58" si="6">SUM(J34:J57)</f>
        <v>0</v>
      </c>
      <c r="K58" s="899">
        <f t="shared" si="6"/>
        <v>0</v>
      </c>
      <c r="L58" s="899">
        <f t="shared" si="6"/>
        <v>0</v>
      </c>
      <c r="M58" s="899">
        <f t="shared" si="6"/>
        <v>6969564.0438773492</v>
      </c>
      <c r="N58" s="901"/>
    </row>
    <row r="59" spans="2:14">
      <c r="B59" s="887" t="s">
        <v>112</v>
      </c>
      <c r="C59" s="655"/>
      <c r="D59" s="513"/>
      <c r="E59" s="513"/>
      <c r="F59" s="513"/>
      <c r="G59" s="513"/>
      <c r="H59" s="513"/>
      <c r="I59" s="659"/>
      <c r="J59" s="513"/>
      <c r="K59" s="513"/>
      <c r="L59" s="513"/>
      <c r="M59" s="513"/>
      <c r="N59" s="622"/>
    </row>
    <row r="60" spans="2:14">
      <c r="B60" s="513" t="s">
        <v>113</v>
      </c>
      <c r="C60" s="658">
        <v>2008</v>
      </c>
      <c r="D60" s="513">
        <v>501787.37</v>
      </c>
      <c r="E60" s="512">
        <v>30387.514131716118</v>
      </c>
      <c r="F60" s="513">
        <v>30387.514131716118</v>
      </c>
      <c r="G60" s="512">
        <v>0</v>
      </c>
      <c r="H60" s="512">
        <v>-48055</v>
      </c>
      <c r="I60" s="659" t="s">
        <v>562</v>
      </c>
      <c r="J60" s="513">
        <v>0</v>
      </c>
      <c r="K60" s="513">
        <v>0</v>
      </c>
      <c r="L60" s="513">
        <v>0</v>
      </c>
      <c r="M60" s="513">
        <v>484119.8841317161</v>
      </c>
      <c r="N60" s="622"/>
    </row>
    <row r="61" spans="2:14">
      <c r="B61" s="513" t="s">
        <v>113</v>
      </c>
      <c r="C61" s="658">
        <v>2009</v>
      </c>
      <c r="D61" s="513">
        <v>484119.88413171622</v>
      </c>
      <c r="E61" s="512">
        <v>22907.859023442081</v>
      </c>
      <c r="F61" s="513">
        <v>22907.859023442081</v>
      </c>
      <c r="G61" s="512">
        <v>0</v>
      </c>
      <c r="H61" s="512">
        <v>0</v>
      </c>
      <c r="I61" s="659" t="s">
        <v>103</v>
      </c>
      <c r="J61" s="513">
        <v>0</v>
      </c>
      <c r="K61" s="513">
        <v>0</v>
      </c>
      <c r="L61" s="513">
        <v>0</v>
      </c>
      <c r="M61" s="513">
        <v>507027.7431551583</v>
      </c>
      <c r="N61" s="622"/>
    </row>
    <row r="62" spans="2:14">
      <c r="B62" s="513" t="s">
        <v>113</v>
      </c>
      <c r="C62" s="658">
        <v>2010</v>
      </c>
      <c r="D62" s="513">
        <v>507027.74315515801</v>
      </c>
      <c r="E62" s="512">
        <v>22835.29</v>
      </c>
      <c r="F62" s="513">
        <v>22835.29</v>
      </c>
      <c r="G62" s="512">
        <v>0</v>
      </c>
      <c r="H62" s="512">
        <v>0</v>
      </c>
      <c r="I62" s="659" t="s">
        <v>103</v>
      </c>
      <c r="J62" s="513">
        <v>0</v>
      </c>
      <c r="K62" s="513">
        <v>0</v>
      </c>
      <c r="L62" s="513">
        <v>0</v>
      </c>
      <c r="M62" s="513">
        <v>529863.03315515805</v>
      </c>
      <c r="N62" s="622"/>
    </row>
    <row r="63" spans="2:14">
      <c r="B63" s="513" t="s">
        <v>113</v>
      </c>
      <c r="C63" s="658">
        <v>2011</v>
      </c>
      <c r="D63" s="513">
        <v>529863.03557599813</v>
      </c>
      <c r="E63" s="512">
        <v>23384.224807912346</v>
      </c>
      <c r="F63" s="513">
        <v>23384.224807912346</v>
      </c>
      <c r="G63" s="512">
        <v>0</v>
      </c>
      <c r="H63" s="512">
        <v>0</v>
      </c>
      <c r="I63" s="659" t="s">
        <v>103</v>
      </c>
      <c r="J63" s="513">
        <v>0</v>
      </c>
      <c r="K63" s="513">
        <v>0</v>
      </c>
      <c r="L63" s="513">
        <v>0</v>
      </c>
      <c r="M63" s="513">
        <v>553247.2603839105</v>
      </c>
      <c r="N63" s="622"/>
    </row>
    <row r="64" spans="2:14">
      <c r="B64" s="513" t="s">
        <v>113</v>
      </c>
      <c r="C64" s="658">
        <v>2012</v>
      </c>
      <c r="D64" s="513">
        <v>553247.26038391062</v>
      </c>
      <c r="E64" s="513">
        <v>14066.623835579052</v>
      </c>
      <c r="F64" s="513">
        <v>14066.623835579052</v>
      </c>
      <c r="G64" s="512">
        <v>0</v>
      </c>
      <c r="H64" s="512">
        <v>0</v>
      </c>
      <c r="I64" s="659" t="s">
        <v>103</v>
      </c>
      <c r="J64" s="513">
        <v>0</v>
      </c>
      <c r="K64" s="513">
        <v>0</v>
      </c>
      <c r="L64" s="513">
        <v>0</v>
      </c>
      <c r="M64" s="513">
        <v>567313.88421948964</v>
      </c>
      <c r="N64" s="622"/>
    </row>
    <row r="65" spans="2:14">
      <c r="B65" s="513" t="s">
        <v>113</v>
      </c>
      <c r="C65" s="658">
        <v>2013</v>
      </c>
      <c r="D65" s="513">
        <v>567313.88421948964</v>
      </c>
      <c r="E65" s="513">
        <v>26922.91659706855</v>
      </c>
      <c r="F65" s="513">
        <v>26922.91659706855</v>
      </c>
      <c r="G65" s="512">
        <v>0</v>
      </c>
      <c r="H65" s="512">
        <v>0</v>
      </c>
      <c r="I65" s="659" t="s">
        <v>103</v>
      </c>
      <c r="J65" s="513">
        <v>0</v>
      </c>
      <c r="K65" s="513">
        <v>0</v>
      </c>
      <c r="L65" s="513">
        <v>0</v>
      </c>
      <c r="M65" s="513">
        <v>594236.80081655819</v>
      </c>
      <c r="N65" s="622"/>
    </row>
    <row r="66" spans="2:14">
      <c r="B66" s="513" t="s">
        <v>113</v>
      </c>
      <c r="C66" s="658">
        <v>2014</v>
      </c>
      <c r="D66" s="513">
        <v>594236.80081655795</v>
      </c>
      <c r="E66" s="513">
        <v>28414.404399914056</v>
      </c>
      <c r="F66" s="513">
        <v>28414.404399914056</v>
      </c>
      <c r="G66" s="512">
        <v>0</v>
      </c>
      <c r="H66" s="512">
        <v>0</v>
      </c>
      <c r="I66" s="659" t="s">
        <v>103</v>
      </c>
      <c r="J66" s="513">
        <v>0</v>
      </c>
      <c r="K66" s="513">
        <v>0</v>
      </c>
      <c r="L66" s="513">
        <v>0</v>
      </c>
      <c r="M66" s="513">
        <v>622651.20521647204</v>
      </c>
      <c r="N66" s="622"/>
    </row>
    <row r="67" spans="2:14">
      <c r="B67" s="513" t="s">
        <v>113</v>
      </c>
      <c r="C67" s="658">
        <v>2015</v>
      </c>
      <c r="D67" s="513">
        <v>622651.20521647215</v>
      </c>
      <c r="E67" s="513">
        <v>29024.024796489044</v>
      </c>
      <c r="F67" s="513">
        <v>29024.024796489044</v>
      </c>
      <c r="G67" s="512">
        <v>0</v>
      </c>
      <c r="H67" s="660">
        <v>0</v>
      </c>
      <c r="I67" s="659" t="s">
        <v>103</v>
      </c>
      <c r="J67" s="513">
        <v>0</v>
      </c>
      <c r="K67" s="513">
        <v>0</v>
      </c>
      <c r="L67" s="513">
        <v>0</v>
      </c>
      <c r="M67" s="513">
        <v>651675.2300129612</v>
      </c>
      <c r="N67" s="622"/>
    </row>
    <row r="68" spans="2:14">
      <c r="B68" s="513" t="s">
        <v>113</v>
      </c>
      <c r="C68" s="658">
        <v>2016</v>
      </c>
      <c r="D68" s="513">
        <v>651675.23001296131</v>
      </c>
      <c r="E68" s="513">
        <v>17958.357186836969</v>
      </c>
      <c r="F68" s="513">
        <v>17958.357186836969</v>
      </c>
      <c r="G68" s="660">
        <v>0</v>
      </c>
      <c r="H68" s="660">
        <v>0</v>
      </c>
      <c r="I68" s="659" t="s">
        <v>103</v>
      </c>
      <c r="J68" s="513">
        <v>0</v>
      </c>
      <c r="K68" s="513">
        <v>0</v>
      </c>
      <c r="L68" s="513">
        <v>0</v>
      </c>
      <c r="M68" s="513">
        <v>669633.58719979832</v>
      </c>
      <c r="N68" s="622"/>
    </row>
    <row r="69" spans="2:14">
      <c r="B69" s="513" t="s">
        <v>113</v>
      </c>
      <c r="C69" s="658">
        <v>2017</v>
      </c>
      <c r="D69" s="513">
        <v>669633.5871997982</v>
      </c>
      <c r="E69" s="513">
        <v>15826.450351540741</v>
      </c>
      <c r="F69" s="513">
        <v>15826.450351540741</v>
      </c>
      <c r="G69" s="513">
        <v>0</v>
      </c>
      <c r="H69" s="513">
        <v>0</v>
      </c>
      <c r="I69" s="659" t="s">
        <v>103</v>
      </c>
      <c r="J69" s="513">
        <v>0</v>
      </c>
      <c r="K69" s="513">
        <v>0</v>
      </c>
      <c r="L69" s="513">
        <v>0</v>
      </c>
      <c r="M69" s="513">
        <v>685460.0375513389</v>
      </c>
      <c r="N69" s="622"/>
    </row>
    <row r="70" spans="2:14">
      <c r="B70" s="513" t="s">
        <v>113</v>
      </c>
      <c r="C70" s="889">
        <v>2018</v>
      </c>
      <c r="D70" s="513">
        <v>685460.0375513389</v>
      </c>
      <c r="E70" s="513">
        <f>VLOOKUP(B70,'[6]2018 allocation'!$A$11:$B$218,2, FALSE)</f>
        <v>17673.527483074868</v>
      </c>
      <c r="F70" s="513">
        <f>E70</f>
        <v>17673.527483074868</v>
      </c>
      <c r="G70" s="513">
        <v>0</v>
      </c>
      <c r="H70" s="513">
        <v>0</v>
      </c>
      <c r="I70" s="622" t="s">
        <v>103</v>
      </c>
      <c r="J70" s="513">
        <f>VLOOKUP(B70,'[6]Annual Spending Worksheet '!$C$6:$AG$250,28,FALSE)</f>
        <v>0</v>
      </c>
      <c r="K70" s="513">
        <f>VLOOKUP(B70,'[6]Annual Spending Worksheet '!$C$6:$AG$250,29,FALSE)</f>
        <v>0</v>
      </c>
      <c r="L70" s="513">
        <v>0</v>
      </c>
      <c r="M70" s="513">
        <f>D70+E70+H70-J70</f>
        <v>703133.56503441371</v>
      </c>
      <c r="N70" s="513"/>
    </row>
    <row r="71" spans="2:14">
      <c r="B71" s="513" t="s">
        <v>113</v>
      </c>
      <c r="C71" s="889">
        <v>2019</v>
      </c>
      <c r="D71" s="513">
        <v>703133.56503441371</v>
      </c>
      <c r="E71" s="513">
        <v>19615.368527634266</v>
      </c>
      <c r="F71" s="513">
        <v>19615.368527634266</v>
      </c>
      <c r="G71" s="513">
        <v>0</v>
      </c>
      <c r="H71" s="513">
        <v>0</v>
      </c>
      <c r="I71" s="622" t="s">
        <v>103</v>
      </c>
      <c r="J71" s="513">
        <v>0</v>
      </c>
      <c r="K71" s="513">
        <v>0</v>
      </c>
      <c r="L71" s="513">
        <v>0</v>
      </c>
      <c r="M71" s="513">
        <v>722748.93356204801</v>
      </c>
      <c r="N71" s="513"/>
    </row>
    <row r="72" spans="2:14">
      <c r="B72" s="513" t="s">
        <v>126</v>
      </c>
      <c r="C72" s="658">
        <v>2008</v>
      </c>
      <c r="D72" s="513">
        <v>556259.51800000016</v>
      </c>
      <c r="E72" s="512">
        <v>78590.778461263006</v>
      </c>
      <c r="F72" s="513">
        <v>78590.778461263006</v>
      </c>
      <c r="G72" s="512">
        <v>0</v>
      </c>
      <c r="H72" s="512">
        <v>0</v>
      </c>
      <c r="I72" s="659" t="s">
        <v>103</v>
      </c>
      <c r="J72" s="513">
        <v>0</v>
      </c>
      <c r="K72" s="513">
        <v>0</v>
      </c>
      <c r="L72" s="513">
        <v>0</v>
      </c>
      <c r="M72" s="513">
        <v>634850.29646126321</v>
      </c>
      <c r="N72" s="622"/>
    </row>
    <row r="73" spans="2:14">
      <c r="B73" s="513" t="s">
        <v>126</v>
      </c>
      <c r="C73" s="658">
        <v>2009</v>
      </c>
      <c r="D73" s="513">
        <v>634850.29646126274</v>
      </c>
      <c r="E73" s="512">
        <v>60268.631166165585</v>
      </c>
      <c r="F73" s="513">
        <v>60268.631166165585</v>
      </c>
      <c r="G73" s="512">
        <v>0</v>
      </c>
      <c r="H73" s="512">
        <v>0</v>
      </c>
      <c r="I73" s="659" t="s">
        <v>103</v>
      </c>
      <c r="J73" s="513">
        <v>0</v>
      </c>
      <c r="K73" s="513">
        <v>0</v>
      </c>
      <c r="L73" s="513">
        <v>0</v>
      </c>
      <c r="M73" s="513">
        <v>695118.92762742832</v>
      </c>
      <c r="N73" s="622"/>
    </row>
    <row r="74" spans="2:14">
      <c r="B74" s="513" t="s">
        <v>126</v>
      </c>
      <c r="C74" s="658">
        <v>2010</v>
      </c>
      <c r="D74" s="513">
        <v>695118.92762742843</v>
      </c>
      <c r="E74" s="512">
        <v>60170.77</v>
      </c>
      <c r="F74" s="513">
        <v>60170.77</v>
      </c>
      <c r="G74" s="512">
        <v>0</v>
      </c>
      <c r="H74" s="512">
        <v>0</v>
      </c>
      <c r="I74" s="659" t="s">
        <v>103</v>
      </c>
      <c r="J74" s="513">
        <v>0</v>
      </c>
      <c r="K74" s="513">
        <v>0</v>
      </c>
      <c r="L74" s="513">
        <v>0</v>
      </c>
      <c r="M74" s="513">
        <v>755289.69762742845</v>
      </c>
      <c r="N74" s="622"/>
    </row>
    <row r="75" spans="2:14">
      <c r="B75" s="513" t="s">
        <v>126</v>
      </c>
      <c r="C75" s="658">
        <v>2011</v>
      </c>
      <c r="D75" s="513">
        <v>755289.69337773975</v>
      </c>
      <c r="E75" s="512">
        <v>61465.385887068238</v>
      </c>
      <c r="F75" s="513">
        <v>61465.385887068238</v>
      </c>
      <c r="G75" s="512">
        <v>0</v>
      </c>
      <c r="H75" s="512">
        <v>0</v>
      </c>
      <c r="I75" s="659" t="s">
        <v>103</v>
      </c>
      <c r="J75" s="513">
        <v>0</v>
      </c>
      <c r="K75" s="513">
        <v>0</v>
      </c>
      <c r="L75" s="513">
        <v>0</v>
      </c>
      <c r="M75" s="513">
        <v>816755.07926480798</v>
      </c>
      <c r="N75" s="622"/>
    </row>
    <row r="76" spans="2:14">
      <c r="B76" s="513" t="s">
        <v>126</v>
      </c>
      <c r="C76" s="658">
        <v>2012</v>
      </c>
      <c r="D76" s="513">
        <v>816755.07926480751</v>
      </c>
      <c r="E76" s="513">
        <v>39423.485228359023</v>
      </c>
      <c r="F76" s="513">
        <v>39423.485228359023</v>
      </c>
      <c r="G76" s="660">
        <v>0</v>
      </c>
      <c r="H76" s="512">
        <v>0</v>
      </c>
      <c r="I76" s="659" t="s">
        <v>103</v>
      </c>
      <c r="J76" s="513">
        <v>0</v>
      </c>
      <c r="K76" s="513">
        <v>0</v>
      </c>
      <c r="L76" s="513">
        <v>0</v>
      </c>
      <c r="M76" s="513">
        <v>856178.56449316652</v>
      </c>
      <c r="N76" s="622"/>
    </row>
    <row r="77" spans="2:14">
      <c r="B77" s="513" t="s">
        <v>126</v>
      </c>
      <c r="C77" s="658">
        <v>2013</v>
      </c>
      <c r="D77" s="513">
        <v>856178.56449316721</v>
      </c>
      <c r="E77" s="513">
        <v>69850.040213770801</v>
      </c>
      <c r="F77" s="513">
        <v>69850.040213770801</v>
      </c>
      <c r="G77" s="660">
        <v>0</v>
      </c>
      <c r="H77" s="512">
        <v>0</v>
      </c>
      <c r="I77" s="659" t="s">
        <v>103</v>
      </c>
      <c r="J77" s="513">
        <v>0</v>
      </c>
      <c r="K77" s="513">
        <v>0</v>
      </c>
      <c r="L77" s="513">
        <v>0</v>
      </c>
      <c r="M77" s="513">
        <v>926028.60470693803</v>
      </c>
      <c r="N77" s="622"/>
    </row>
    <row r="78" spans="2:14">
      <c r="B78" s="513" t="s">
        <v>126</v>
      </c>
      <c r="C78" s="658">
        <v>2014</v>
      </c>
      <c r="D78" s="513">
        <v>926028.60470693745</v>
      </c>
      <c r="E78" s="513">
        <v>73383.388237819134</v>
      </c>
      <c r="F78" s="513">
        <v>73383.388237819134</v>
      </c>
      <c r="G78" s="660">
        <v>0</v>
      </c>
      <c r="H78" s="512">
        <v>0</v>
      </c>
      <c r="I78" s="659" t="s">
        <v>103</v>
      </c>
      <c r="J78" s="513">
        <v>0</v>
      </c>
      <c r="K78" s="513">
        <v>0</v>
      </c>
      <c r="L78" s="513">
        <v>0</v>
      </c>
      <c r="M78" s="513">
        <v>999411.99294475652</v>
      </c>
      <c r="N78" s="622"/>
    </row>
    <row r="79" spans="2:14">
      <c r="B79" s="513" t="s">
        <v>126</v>
      </c>
      <c r="C79" s="658">
        <v>2015</v>
      </c>
      <c r="D79" s="513">
        <v>999411.99294475652</v>
      </c>
      <c r="E79" s="513">
        <v>74822.293294945412</v>
      </c>
      <c r="F79" s="513">
        <v>74822.293294945412</v>
      </c>
      <c r="G79" s="660">
        <v>0</v>
      </c>
      <c r="H79" s="660">
        <v>0</v>
      </c>
      <c r="I79" s="659" t="s">
        <v>103</v>
      </c>
      <c r="J79" s="513">
        <v>2126.96</v>
      </c>
      <c r="K79" s="513">
        <v>0</v>
      </c>
      <c r="L79" s="513">
        <v>0</v>
      </c>
      <c r="M79" s="513">
        <v>1072107.3262397021</v>
      </c>
      <c r="N79" s="622"/>
    </row>
    <row r="80" spans="2:14">
      <c r="B80" s="513" t="s">
        <v>126</v>
      </c>
      <c r="C80" s="658">
        <v>2016</v>
      </c>
      <c r="D80" s="513">
        <v>1072107.3262397014</v>
      </c>
      <c r="E80" s="513">
        <v>48529.564586950728</v>
      </c>
      <c r="F80" s="513">
        <v>48529.564586950728</v>
      </c>
      <c r="G80" s="660">
        <v>0</v>
      </c>
      <c r="H80" s="660">
        <v>0</v>
      </c>
      <c r="I80" s="659" t="s">
        <v>103</v>
      </c>
      <c r="J80" s="513">
        <v>1548.88</v>
      </c>
      <c r="K80" s="513">
        <v>0</v>
      </c>
      <c r="L80" s="513">
        <v>0</v>
      </c>
      <c r="M80" s="513">
        <v>1119088.0108266522</v>
      </c>
      <c r="N80" s="622"/>
    </row>
    <row r="81" spans="2:14" ht="29.1">
      <c r="B81" s="513" t="s">
        <v>126</v>
      </c>
      <c r="C81" s="658">
        <v>2017</v>
      </c>
      <c r="D81" s="513">
        <v>1119088.0108266529</v>
      </c>
      <c r="E81" s="513">
        <v>43417.923235766197</v>
      </c>
      <c r="F81" s="513">
        <v>43417.923235766197</v>
      </c>
      <c r="G81" s="513">
        <v>0</v>
      </c>
      <c r="H81" s="513">
        <v>0</v>
      </c>
      <c r="I81" s="659" t="s">
        <v>103</v>
      </c>
      <c r="J81" s="513">
        <v>1264141.97</v>
      </c>
      <c r="K81" s="513">
        <v>1267817.81</v>
      </c>
      <c r="L81" s="513">
        <v>0</v>
      </c>
      <c r="M81" s="513">
        <v>-101636.03593758098</v>
      </c>
      <c r="N81" s="622" t="s">
        <v>1706</v>
      </c>
    </row>
    <row r="82" spans="2:14">
      <c r="B82" s="513" t="s">
        <v>126</v>
      </c>
      <c r="C82" s="889">
        <v>2018</v>
      </c>
      <c r="D82" s="513">
        <v>-101636.03593758098</v>
      </c>
      <c r="E82" s="513">
        <f>VLOOKUP(B82,'[6]2018 allocation'!$A$11:$B$218,2, FALSE)</f>
        <v>47784.443151378611</v>
      </c>
      <c r="F82" s="513">
        <f>E82</f>
        <v>47784.443151378611</v>
      </c>
      <c r="G82" s="513">
        <f>D82+E82</f>
        <v>-53851.592786202367</v>
      </c>
      <c r="H82" s="513">
        <v>0</v>
      </c>
      <c r="I82" s="622" t="s">
        <v>103</v>
      </c>
      <c r="J82" s="513">
        <f>VLOOKUP(B82,'[6]Annual Spending Worksheet '!$C$6:$AG$250,28,FALSE)</f>
        <v>91609.559999999983</v>
      </c>
      <c r="K82" s="513">
        <f>VLOOKUP(B82,'[6]Annual Spending Worksheet '!$C$6:$AG$250,29,FALSE)</f>
        <v>0</v>
      </c>
      <c r="L82" s="513">
        <v>0</v>
      </c>
      <c r="M82" s="513">
        <f>D82+E82+H82-J82</f>
        <v>-145461.15278620235</v>
      </c>
      <c r="N82" s="513" t="s">
        <v>1706</v>
      </c>
    </row>
    <row r="83" spans="2:14">
      <c r="B83" s="513" t="s">
        <v>126</v>
      </c>
      <c r="C83" s="889">
        <v>2019</v>
      </c>
      <c r="D83" s="513">
        <v>-145461.15278620235</v>
      </c>
      <c r="E83" s="513">
        <v>52381.542250622369</v>
      </c>
      <c r="F83" s="513">
        <v>52381.542250622369</v>
      </c>
      <c r="G83" s="513">
        <v>-93079.610535579981</v>
      </c>
      <c r="H83" s="513">
        <v>0</v>
      </c>
      <c r="I83" s="622" t="s">
        <v>103</v>
      </c>
      <c r="J83" s="513">
        <v>0</v>
      </c>
      <c r="K83" s="513">
        <v>0</v>
      </c>
      <c r="L83" s="513">
        <v>0</v>
      </c>
      <c r="M83" s="513">
        <v>-93079.610535579981</v>
      </c>
      <c r="N83" s="513" t="s">
        <v>1706</v>
      </c>
    </row>
    <row r="84" spans="2:14">
      <c r="B84" s="513" t="s">
        <v>1707</v>
      </c>
      <c r="C84" s="658">
        <v>2008</v>
      </c>
      <c r="D84" s="513">
        <v>52441.755999999994</v>
      </c>
      <c r="E84" s="512">
        <v>10383.253745247843</v>
      </c>
      <c r="F84" s="513">
        <v>10383.253745247843</v>
      </c>
      <c r="G84" s="512">
        <v>0</v>
      </c>
      <c r="H84" s="512">
        <v>-5673</v>
      </c>
      <c r="I84" s="659" t="s">
        <v>562</v>
      </c>
      <c r="J84" s="513">
        <v>0</v>
      </c>
      <c r="K84" s="513">
        <v>0</v>
      </c>
      <c r="L84" s="513">
        <v>0</v>
      </c>
      <c r="M84" s="513">
        <v>57152.009745247837</v>
      </c>
      <c r="N84" s="622"/>
    </row>
    <row r="85" spans="2:14">
      <c r="B85" s="513" t="s">
        <v>1707</v>
      </c>
      <c r="C85" s="658">
        <v>2009</v>
      </c>
      <c r="D85" s="513">
        <v>57152.009745247837</v>
      </c>
      <c r="E85" s="512">
        <v>8352.7974791480592</v>
      </c>
      <c r="F85" s="513">
        <v>8352.7974791480592</v>
      </c>
      <c r="G85" s="512">
        <v>0</v>
      </c>
      <c r="H85" s="512">
        <v>0</v>
      </c>
      <c r="I85" s="659" t="s">
        <v>103</v>
      </c>
      <c r="J85" s="513">
        <v>0</v>
      </c>
      <c r="K85" s="513">
        <v>0</v>
      </c>
      <c r="L85" s="513">
        <v>0</v>
      </c>
      <c r="M85" s="513">
        <v>65504.807224395896</v>
      </c>
      <c r="N85" s="622"/>
    </row>
    <row r="86" spans="2:14">
      <c r="B86" s="513" t="s">
        <v>1707</v>
      </c>
      <c r="C86" s="658">
        <v>2010</v>
      </c>
      <c r="D86" s="513">
        <v>65504.807224395918</v>
      </c>
      <c r="E86" s="512">
        <v>8340.39</v>
      </c>
      <c r="F86" s="513">
        <v>8340.39</v>
      </c>
      <c r="G86" s="512">
        <v>0</v>
      </c>
      <c r="H86" s="512">
        <v>0</v>
      </c>
      <c r="I86" s="659" t="s">
        <v>103</v>
      </c>
      <c r="J86" s="513">
        <v>0</v>
      </c>
      <c r="K86" s="513">
        <v>0</v>
      </c>
      <c r="L86" s="513">
        <v>0</v>
      </c>
      <c r="M86" s="513">
        <v>73845.197224395917</v>
      </c>
      <c r="N86" s="622"/>
    </row>
    <row r="87" spans="2:14">
      <c r="B87" s="513" t="s">
        <v>1707</v>
      </c>
      <c r="C87" s="658">
        <v>2011</v>
      </c>
      <c r="D87" s="513">
        <v>73845.195069640176</v>
      </c>
      <c r="E87" s="512">
        <v>8485.8621777735771</v>
      </c>
      <c r="F87" s="513">
        <v>8485.8621777735771</v>
      </c>
      <c r="G87" s="512">
        <v>0</v>
      </c>
      <c r="H87" s="512">
        <v>0</v>
      </c>
      <c r="I87" s="659" t="s">
        <v>103</v>
      </c>
      <c r="J87" s="513">
        <v>0</v>
      </c>
      <c r="K87" s="513">
        <v>0</v>
      </c>
      <c r="L87" s="513">
        <v>0</v>
      </c>
      <c r="M87" s="513">
        <v>82331.057247413759</v>
      </c>
      <c r="N87" s="622"/>
    </row>
    <row r="88" spans="2:14">
      <c r="B88" s="513" t="s">
        <v>1707</v>
      </c>
      <c r="C88" s="658">
        <v>2012</v>
      </c>
      <c r="D88" s="513">
        <v>82331.05724741373</v>
      </c>
      <c r="E88" s="513">
        <v>6028.7616850806589</v>
      </c>
      <c r="F88" s="513">
        <v>6028.7616850806589</v>
      </c>
      <c r="G88" s="512">
        <v>0</v>
      </c>
      <c r="H88" s="512">
        <v>0</v>
      </c>
      <c r="I88" s="659" t="s">
        <v>103</v>
      </c>
      <c r="J88" s="513">
        <v>0</v>
      </c>
      <c r="K88" s="513">
        <v>0</v>
      </c>
      <c r="L88" s="513">
        <v>0</v>
      </c>
      <c r="M88" s="513">
        <v>88359.818932494381</v>
      </c>
      <c r="N88" s="622"/>
    </row>
    <row r="89" spans="2:14">
      <c r="B89" s="513" t="s">
        <v>1707</v>
      </c>
      <c r="C89" s="658">
        <v>2013</v>
      </c>
      <c r="D89" s="513">
        <v>88359.818932494381</v>
      </c>
      <c r="E89" s="513">
        <v>9418.4812044290957</v>
      </c>
      <c r="F89" s="513">
        <v>9418.4812044290957</v>
      </c>
      <c r="G89" s="512">
        <v>0</v>
      </c>
      <c r="H89" s="512">
        <v>0</v>
      </c>
      <c r="I89" s="659" t="s">
        <v>103</v>
      </c>
      <c r="J89" s="513">
        <v>0</v>
      </c>
      <c r="K89" s="513">
        <v>0</v>
      </c>
      <c r="L89" s="513">
        <v>0</v>
      </c>
      <c r="M89" s="513">
        <v>97778.30013692347</v>
      </c>
      <c r="N89" s="622"/>
    </row>
    <row r="90" spans="2:14">
      <c r="B90" s="513" t="s">
        <v>1707</v>
      </c>
      <c r="C90" s="658">
        <v>2014</v>
      </c>
      <c r="D90" s="513">
        <v>97778.300136923499</v>
      </c>
      <c r="E90" s="513">
        <v>9814.5466307654879</v>
      </c>
      <c r="F90" s="513">
        <v>9814.5466307654879</v>
      </c>
      <c r="G90" s="512">
        <v>0</v>
      </c>
      <c r="H90" s="512">
        <v>0</v>
      </c>
      <c r="I90" s="659" t="s">
        <v>103</v>
      </c>
      <c r="J90" s="513">
        <v>0</v>
      </c>
      <c r="K90" s="513">
        <v>0</v>
      </c>
      <c r="L90" s="513">
        <v>0</v>
      </c>
      <c r="M90" s="513">
        <v>107592.84676768898</v>
      </c>
      <c r="N90" s="622"/>
    </row>
    <row r="91" spans="2:14">
      <c r="B91" s="513" t="s">
        <v>1707</v>
      </c>
      <c r="C91" s="658">
        <v>2015</v>
      </c>
      <c r="D91" s="513">
        <v>107592.84676768898</v>
      </c>
      <c r="E91" s="513">
        <v>9974.0274693649844</v>
      </c>
      <c r="F91" s="513">
        <v>9974.0274693649844</v>
      </c>
      <c r="G91" s="660">
        <v>0</v>
      </c>
      <c r="H91" s="660">
        <v>0</v>
      </c>
      <c r="I91" s="659" t="s">
        <v>103</v>
      </c>
      <c r="J91" s="513">
        <v>0</v>
      </c>
      <c r="K91" s="513">
        <v>0</v>
      </c>
      <c r="L91" s="513">
        <v>0</v>
      </c>
      <c r="M91" s="513">
        <v>117566.87423705397</v>
      </c>
      <c r="N91" s="622"/>
    </row>
    <row r="92" spans="2:14">
      <c r="B92" s="513" t="s">
        <v>1707</v>
      </c>
      <c r="C92" s="658">
        <v>2016</v>
      </c>
      <c r="D92" s="513">
        <v>117566.87423705397</v>
      </c>
      <c r="E92" s="513">
        <v>7042.9345941353176</v>
      </c>
      <c r="F92" s="513">
        <v>7042.9345941353176</v>
      </c>
      <c r="G92" s="660">
        <v>0</v>
      </c>
      <c r="H92" s="660">
        <v>0</v>
      </c>
      <c r="I92" s="659" t="s">
        <v>103</v>
      </c>
      <c r="J92" s="513">
        <v>0</v>
      </c>
      <c r="K92" s="513">
        <v>0</v>
      </c>
      <c r="L92" s="513">
        <v>0</v>
      </c>
      <c r="M92" s="513">
        <v>124609.80883118929</v>
      </c>
      <c r="N92" s="622"/>
    </row>
    <row r="93" spans="2:14">
      <c r="B93" s="513" t="s">
        <v>1707</v>
      </c>
      <c r="C93" s="658">
        <v>2017</v>
      </c>
      <c r="D93" s="513">
        <v>124609.80883118929</v>
      </c>
      <c r="E93" s="513">
        <v>6465.99932806996</v>
      </c>
      <c r="F93" s="513">
        <v>6465.99932806996</v>
      </c>
      <c r="G93" s="513">
        <v>0</v>
      </c>
      <c r="H93" s="513">
        <v>0</v>
      </c>
      <c r="I93" s="659" t="s">
        <v>103</v>
      </c>
      <c r="J93" s="513">
        <v>0</v>
      </c>
      <c r="K93" s="513">
        <v>0</v>
      </c>
      <c r="L93" s="513">
        <v>0</v>
      </c>
      <c r="M93" s="513">
        <v>131075.80815925926</v>
      </c>
      <c r="N93" s="622"/>
    </row>
    <row r="94" spans="2:14">
      <c r="B94" s="513" t="s">
        <v>1707</v>
      </c>
      <c r="C94" s="889">
        <v>2018</v>
      </c>
      <c r="D94" s="513">
        <v>131075.80815925926</v>
      </c>
      <c r="E94" s="513">
        <f>VLOOKUP(B94,'[6]2018 allocation'!$A$11:$B$218,2, FALSE)</f>
        <v>6962.0163267587996</v>
      </c>
      <c r="F94" s="513">
        <f>E94</f>
        <v>6962.0163267587996</v>
      </c>
      <c r="G94" s="513">
        <v>0</v>
      </c>
      <c r="H94" s="513">
        <v>0</v>
      </c>
      <c r="I94" s="622" t="s">
        <v>103</v>
      </c>
      <c r="J94" s="513">
        <f>VLOOKUP(B94,'[6]Annual Spending Worksheet '!$C$6:$AG$250,28,FALSE)</f>
        <v>0</v>
      </c>
      <c r="K94" s="513">
        <f>VLOOKUP(B94,'[6]Annual Spending Worksheet '!$C$6:$AG$250,29,FALSE)</f>
        <v>0</v>
      </c>
      <c r="L94" s="513">
        <v>0</v>
      </c>
      <c r="M94" s="513">
        <f>D94+E94+H94-J94</f>
        <v>138037.82448601807</v>
      </c>
      <c r="N94" s="513"/>
    </row>
    <row r="95" spans="2:14">
      <c r="B95" s="513" t="s">
        <v>1707</v>
      </c>
      <c r="C95" s="889">
        <v>2019</v>
      </c>
      <c r="D95" s="513">
        <v>138037.82448601807</v>
      </c>
      <c r="E95" s="513">
        <v>7474.0608844109338</v>
      </c>
      <c r="F95" s="513">
        <v>7474.0608844109338</v>
      </c>
      <c r="G95" s="513">
        <v>0</v>
      </c>
      <c r="H95" s="513">
        <v>0</v>
      </c>
      <c r="I95" s="622" t="s">
        <v>103</v>
      </c>
      <c r="J95" s="513">
        <v>0</v>
      </c>
      <c r="K95" s="513">
        <v>0</v>
      </c>
      <c r="L95" s="513">
        <v>0</v>
      </c>
      <c r="M95" s="513">
        <v>145511.88537042899</v>
      </c>
      <c r="N95" s="513"/>
    </row>
    <row r="96" spans="2:14">
      <c r="B96" s="513" t="s">
        <v>133</v>
      </c>
      <c r="C96" s="658">
        <v>2008</v>
      </c>
      <c r="D96" s="513">
        <v>2551005.588</v>
      </c>
      <c r="E96" s="512">
        <v>92402.342538576617</v>
      </c>
      <c r="F96" s="513">
        <v>92402.342538576617</v>
      </c>
      <c r="G96" s="512">
        <v>0</v>
      </c>
      <c r="H96" s="512">
        <v>0</v>
      </c>
      <c r="I96" s="659" t="s">
        <v>103</v>
      </c>
      <c r="J96" s="513">
        <v>0</v>
      </c>
      <c r="K96" s="513">
        <v>0</v>
      </c>
      <c r="L96" s="513">
        <v>0</v>
      </c>
      <c r="M96" s="513">
        <v>2643407.9305385766</v>
      </c>
      <c r="N96" s="622"/>
    </row>
    <row r="97" spans="2:14">
      <c r="B97" s="513" t="s">
        <v>133</v>
      </c>
      <c r="C97" s="658">
        <v>2009</v>
      </c>
      <c r="D97" s="513">
        <v>2643407.9305385766</v>
      </c>
      <c r="E97" s="512">
        <v>74866.309017278661</v>
      </c>
      <c r="F97" s="513">
        <v>74866.309017278661</v>
      </c>
      <c r="G97" s="512">
        <v>0</v>
      </c>
      <c r="H97" s="512">
        <v>0</v>
      </c>
      <c r="I97" s="659" t="s">
        <v>103</v>
      </c>
      <c r="J97" s="513">
        <v>0</v>
      </c>
      <c r="K97" s="513">
        <v>0</v>
      </c>
      <c r="L97" s="513">
        <v>0</v>
      </c>
      <c r="M97" s="513">
        <v>2718274.2395558553</v>
      </c>
      <c r="N97" s="622"/>
    </row>
    <row r="98" spans="2:14">
      <c r="B98" s="513" t="s">
        <v>133</v>
      </c>
      <c r="C98" s="658">
        <v>2010</v>
      </c>
      <c r="D98" s="513">
        <v>2718274.2395558548</v>
      </c>
      <c r="E98" s="512">
        <v>74750.95</v>
      </c>
      <c r="F98" s="513">
        <v>74750.95</v>
      </c>
      <c r="G98" s="512">
        <v>0</v>
      </c>
      <c r="H98" s="512">
        <v>0</v>
      </c>
      <c r="I98" s="659" t="s">
        <v>103</v>
      </c>
      <c r="J98" s="513">
        <v>0</v>
      </c>
      <c r="K98" s="513">
        <v>0</v>
      </c>
      <c r="L98" s="513">
        <v>0</v>
      </c>
      <c r="M98" s="513">
        <v>2793025.189555855</v>
      </c>
      <c r="N98" s="622"/>
    </row>
    <row r="99" spans="2:14">
      <c r="B99" s="513" t="s">
        <v>133</v>
      </c>
      <c r="C99" s="658">
        <v>2011</v>
      </c>
      <c r="D99" s="513">
        <v>2793025.1891665556</v>
      </c>
      <c r="E99" s="512">
        <v>76010.36877563977</v>
      </c>
      <c r="F99" s="513">
        <v>76010.36877563977</v>
      </c>
      <c r="G99" s="512">
        <v>0</v>
      </c>
      <c r="H99" s="512">
        <v>0</v>
      </c>
      <c r="I99" s="659" t="s">
        <v>103</v>
      </c>
      <c r="J99" s="513">
        <v>0</v>
      </c>
      <c r="K99" s="513">
        <v>0</v>
      </c>
      <c r="L99" s="513">
        <v>0</v>
      </c>
      <c r="M99" s="513">
        <v>2869035.5579421953</v>
      </c>
      <c r="N99" s="622"/>
    </row>
    <row r="100" spans="2:14">
      <c r="B100" s="513" t="s">
        <v>133</v>
      </c>
      <c r="C100" s="658">
        <v>2012</v>
      </c>
      <c r="D100" s="513">
        <v>2869035.5579421953</v>
      </c>
      <c r="E100" s="513">
        <v>54863.670414040898</v>
      </c>
      <c r="F100" s="513">
        <v>54863.670414040898</v>
      </c>
      <c r="G100" s="512">
        <v>0</v>
      </c>
      <c r="H100" s="512">
        <v>0</v>
      </c>
      <c r="I100" s="659" t="s">
        <v>103</v>
      </c>
      <c r="J100" s="513">
        <v>0</v>
      </c>
      <c r="K100" s="513">
        <v>0</v>
      </c>
      <c r="L100" s="513">
        <v>0</v>
      </c>
      <c r="M100" s="513">
        <v>2923899.2283562361</v>
      </c>
      <c r="N100" s="622"/>
    </row>
    <row r="101" spans="2:14">
      <c r="B101" s="513" t="s">
        <v>133</v>
      </c>
      <c r="C101" s="658">
        <v>2013</v>
      </c>
      <c r="D101" s="513">
        <v>2923899.2283562361</v>
      </c>
      <c r="E101" s="513">
        <v>84079.890236925508</v>
      </c>
      <c r="F101" s="513">
        <v>84079.890236925508</v>
      </c>
      <c r="G101" s="512">
        <v>0</v>
      </c>
      <c r="H101" s="512">
        <v>0</v>
      </c>
      <c r="I101" s="659" t="s">
        <v>103</v>
      </c>
      <c r="J101" s="513">
        <v>0</v>
      </c>
      <c r="K101" s="513">
        <v>0</v>
      </c>
      <c r="L101" s="513">
        <v>0</v>
      </c>
      <c r="M101" s="513">
        <v>3007979.1185931615</v>
      </c>
      <c r="N101" s="622"/>
    </row>
    <row r="102" spans="2:14">
      <c r="B102" s="513" t="s">
        <v>133</v>
      </c>
      <c r="C102" s="658">
        <v>2014</v>
      </c>
      <c r="D102" s="513">
        <v>3007979.1185931615</v>
      </c>
      <c r="E102" s="513">
        <v>87492.265414056281</v>
      </c>
      <c r="F102" s="513">
        <v>87492.265414056281</v>
      </c>
      <c r="G102" s="512">
        <v>0</v>
      </c>
      <c r="H102" s="512">
        <v>0</v>
      </c>
      <c r="I102" s="659" t="s">
        <v>103</v>
      </c>
      <c r="J102" s="513">
        <v>0</v>
      </c>
      <c r="K102" s="513">
        <v>0</v>
      </c>
      <c r="L102" s="513">
        <v>0</v>
      </c>
      <c r="M102" s="513">
        <v>3095471.3840072178</v>
      </c>
      <c r="N102" s="622"/>
    </row>
    <row r="103" spans="2:14">
      <c r="B103" s="513" t="s">
        <v>133</v>
      </c>
      <c r="C103" s="658">
        <v>2015</v>
      </c>
      <c r="D103" s="513">
        <v>3095471.3840072178</v>
      </c>
      <c r="E103" s="513">
        <v>88878.154553350134</v>
      </c>
      <c r="F103" s="513">
        <v>88878.154553350134</v>
      </c>
      <c r="G103" s="660">
        <v>0</v>
      </c>
      <c r="H103" s="660">
        <v>0</v>
      </c>
      <c r="I103" s="659" t="s">
        <v>103</v>
      </c>
      <c r="J103" s="513">
        <v>0</v>
      </c>
      <c r="K103" s="513">
        <v>0</v>
      </c>
      <c r="L103" s="513">
        <v>0</v>
      </c>
      <c r="M103" s="513">
        <v>3184349.5385605679</v>
      </c>
      <c r="N103" s="622"/>
    </row>
    <row r="104" spans="2:14">
      <c r="B104" s="513" t="s">
        <v>133</v>
      </c>
      <c r="C104" s="658">
        <v>2016</v>
      </c>
      <c r="D104" s="513">
        <v>3184349.5385605679</v>
      </c>
      <c r="E104" s="513">
        <v>63483.591304246307</v>
      </c>
      <c r="F104" s="513">
        <v>63483.591304246307</v>
      </c>
      <c r="G104" s="660">
        <v>0</v>
      </c>
      <c r="H104" s="660">
        <v>0</v>
      </c>
      <c r="I104" s="659" t="s">
        <v>103</v>
      </c>
      <c r="J104" s="513">
        <v>0</v>
      </c>
      <c r="K104" s="513">
        <v>0</v>
      </c>
      <c r="L104" s="513">
        <v>0</v>
      </c>
      <c r="M104" s="513">
        <v>3247833.1298648142</v>
      </c>
      <c r="N104" s="622"/>
    </row>
    <row r="105" spans="2:14">
      <c r="B105" s="513" t="s">
        <v>133</v>
      </c>
      <c r="C105" s="658">
        <v>2017</v>
      </c>
      <c r="D105" s="513">
        <v>3247833.1298648142</v>
      </c>
      <c r="E105" s="513">
        <v>58524.100751665144</v>
      </c>
      <c r="F105" s="513">
        <v>58524.100751665144</v>
      </c>
      <c r="G105" s="513">
        <v>0</v>
      </c>
      <c r="H105" s="513">
        <v>0</v>
      </c>
      <c r="I105" s="659" t="s">
        <v>103</v>
      </c>
      <c r="J105" s="513">
        <v>0</v>
      </c>
      <c r="K105" s="513">
        <v>0</v>
      </c>
      <c r="L105" s="513">
        <v>0</v>
      </c>
      <c r="M105" s="513">
        <v>3306357.2306164792</v>
      </c>
      <c r="N105" s="622"/>
    </row>
    <row r="106" spans="2:14">
      <c r="B106" s="513" t="s">
        <v>133</v>
      </c>
      <c r="C106" s="889">
        <v>2018</v>
      </c>
      <c r="D106" s="513">
        <v>3306357.2306164792</v>
      </c>
      <c r="E106" s="513">
        <f>VLOOKUP(B106,'[6]2018 allocation'!$A$11:$B$218,2, FALSE)</f>
        <v>62800.605135098231</v>
      </c>
      <c r="F106" s="513">
        <f>E106</f>
        <v>62800.605135098231</v>
      </c>
      <c r="G106" s="513">
        <v>0</v>
      </c>
      <c r="H106" s="513">
        <v>0</v>
      </c>
      <c r="I106" s="622" t="s">
        <v>103</v>
      </c>
      <c r="J106" s="513">
        <f>VLOOKUP(B106,'[6]Annual Spending Worksheet '!$C$6:$AG$250,28,FALSE)</f>
        <v>0</v>
      </c>
      <c r="K106" s="513">
        <f>VLOOKUP(B106,'[6]Annual Spending Worksheet '!$C$6:$AG$250,29,FALSE)</f>
        <v>0</v>
      </c>
      <c r="L106" s="513">
        <v>0</v>
      </c>
      <c r="M106" s="513">
        <f>D106+E106+H106-J106</f>
        <v>3369157.8357515773</v>
      </c>
      <c r="N106" s="513"/>
    </row>
    <row r="107" spans="2:14">
      <c r="B107" s="513" t="s">
        <v>133</v>
      </c>
      <c r="C107" s="889">
        <v>2019</v>
      </c>
      <c r="D107" s="513">
        <v>3369157.8357515773</v>
      </c>
      <c r="E107" s="513">
        <v>67257.676666893633</v>
      </c>
      <c r="F107" s="513">
        <v>67257.676666893633</v>
      </c>
      <c r="G107" s="513">
        <v>0</v>
      </c>
      <c r="H107" s="513">
        <v>0</v>
      </c>
      <c r="I107" s="622" t="s">
        <v>103</v>
      </c>
      <c r="J107" s="513">
        <v>0</v>
      </c>
      <c r="K107" s="513">
        <v>0</v>
      </c>
      <c r="L107" s="513">
        <v>0</v>
      </c>
      <c r="M107" s="513">
        <v>3436415.5124184708</v>
      </c>
      <c r="N107" s="513"/>
    </row>
    <row r="108" spans="2:14">
      <c r="B108" s="513" t="s">
        <v>134</v>
      </c>
      <c r="C108" s="658">
        <v>2008</v>
      </c>
      <c r="D108" s="513">
        <v>614478.49</v>
      </c>
      <c r="E108" s="512">
        <v>25218.482367040036</v>
      </c>
      <c r="F108" s="513">
        <v>25218.482367040036</v>
      </c>
      <c r="G108" s="512">
        <v>0</v>
      </c>
      <c r="H108" s="512">
        <v>0</v>
      </c>
      <c r="I108" s="659" t="s">
        <v>103</v>
      </c>
      <c r="J108" s="513">
        <v>0</v>
      </c>
      <c r="K108" s="513">
        <v>0</v>
      </c>
      <c r="L108" s="513">
        <v>0</v>
      </c>
      <c r="M108" s="513">
        <v>639696.97236704</v>
      </c>
      <c r="N108" s="622"/>
    </row>
    <row r="109" spans="2:14">
      <c r="B109" s="513" t="s">
        <v>134</v>
      </c>
      <c r="C109" s="658">
        <v>2009</v>
      </c>
      <c r="D109" s="513">
        <v>639696.97236704</v>
      </c>
      <c r="E109" s="512">
        <v>19003.729204480755</v>
      </c>
      <c r="F109" s="513">
        <v>19003.729204480755</v>
      </c>
      <c r="G109" s="512">
        <v>0</v>
      </c>
      <c r="H109" s="512">
        <v>0</v>
      </c>
      <c r="I109" s="659" t="s">
        <v>103</v>
      </c>
      <c r="J109" s="513">
        <v>0</v>
      </c>
      <c r="K109" s="513">
        <v>0</v>
      </c>
      <c r="L109" s="513">
        <v>0</v>
      </c>
      <c r="M109" s="513">
        <v>658700.70157152077</v>
      </c>
      <c r="N109" s="622"/>
    </row>
    <row r="110" spans="2:14">
      <c r="B110" s="513" t="s">
        <v>134</v>
      </c>
      <c r="C110" s="658">
        <v>2010</v>
      </c>
      <c r="D110" s="513">
        <v>658700.70157152077</v>
      </c>
      <c r="E110" s="512">
        <v>18959.28</v>
      </c>
      <c r="F110" s="513">
        <v>18959.28</v>
      </c>
      <c r="G110" s="512">
        <v>0</v>
      </c>
      <c r="H110" s="512">
        <v>0</v>
      </c>
      <c r="I110" s="659" t="s">
        <v>103</v>
      </c>
      <c r="J110" s="513">
        <v>0</v>
      </c>
      <c r="K110" s="513">
        <v>0</v>
      </c>
      <c r="L110" s="513">
        <v>0</v>
      </c>
      <c r="M110" s="513">
        <v>677659.9815715208</v>
      </c>
      <c r="N110" s="622"/>
    </row>
    <row r="111" spans="2:14">
      <c r="B111" s="513" t="s">
        <v>134</v>
      </c>
      <c r="C111" s="658">
        <v>2011</v>
      </c>
      <c r="D111" s="513">
        <v>677659.97744799207</v>
      </c>
      <c r="E111" s="512">
        <v>19410.11750372911</v>
      </c>
      <c r="F111" s="513">
        <v>19410.11750372911</v>
      </c>
      <c r="G111" s="512">
        <v>0</v>
      </c>
      <c r="H111" s="512">
        <v>0</v>
      </c>
      <c r="I111" s="659" t="s">
        <v>103</v>
      </c>
      <c r="J111" s="513">
        <v>0</v>
      </c>
      <c r="K111" s="513">
        <v>0</v>
      </c>
      <c r="L111" s="513">
        <v>0</v>
      </c>
      <c r="M111" s="513">
        <v>697070.09495172114</v>
      </c>
      <c r="N111" s="622"/>
    </row>
    <row r="112" spans="2:14">
      <c r="B112" s="513" t="s">
        <v>134</v>
      </c>
      <c r="C112" s="658">
        <v>2012</v>
      </c>
      <c r="D112" s="513">
        <v>697070.09495172126</v>
      </c>
      <c r="E112" s="513">
        <v>11734.804201060477</v>
      </c>
      <c r="F112" s="513">
        <v>11734.804201060477</v>
      </c>
      <c r="G112" s="512">
        <v>0</v>
      </c>
      <c r="H112" s="512">
        <v>0</v>
      </c>
      <c r="I112" s="659" t="s">
        <v>103</v>
      </c>
      <c r="J112" s="513">
        <v>0</v>
      </c>
      <c r="K112" s="513">
        <v>0</v>
      </c>
      <c r="L112" s="513">
        <v>0</v>
      </c>
      <c r="M112" s="513">
        <v>708804.8991527817</v>
      </c>
      <c r="N112" s="622"/>
    </row>
    <row r="113" spans="2:14">
      <c r="B113" s="513" t="s">
        <v>134</v>
      </c>
      <c r="C113" s="658">
        <v>2013</v>
      </c>
      <c r="D113" s="513">
        <v>708804.8991527817</v>
      </c>
      <c r="E113" s="513">
        <v>22310.884239162879</v>
      </c>
      <c r="F113" s="513">
        <v>22310.884239162879</v>
      </c>
      <c r="G113" s="512">
        <v>0</v>
      </c>
      <c r="H113" s="512">
        <v>0</v>
      </c>
      <c r="I113" s="659" t="s">
        <v>103</v>
      </c>
      <c r="J113" s="513">
        <v>0</v>
      </c>
      <c r="K113" s="513">
        <v>0</v>
      </c>
      <c r="L113" s="513">
        <v>0</v>
      </c>
      <c r="M113" s="513">
        <v>731115.7833919446</v>
      </c>
      <c r="N113" s="622"/>
    </row>
    <row r="114" spans="2:14">
      <c r="B114" s="513" t="s">
        <v>134</v>
      </c>
      <c r="C114" s="658">
        <v>2014</v>
      </c>
      <c r="D114" s="513">
        <v>731115.78339194448</v>
      </c>
      <c r="E114" s="513">
        <v>23540.073422356487</v>
      </c>
      <c r="F114" s="513">
        <v>23540.073422356487</v>
      </c>
      <c r="G114" s="512">
        <v>0</v>
      </c>
      <c r="H114" s="512">
        <v>0</v>
      </c>
      <c r="I114" s="659" t="s">
        <v>103</v>
      </c>
      <c r="J114" s="513">
        <v>0</v>
      </c>
      <c r="K114" s="513">
        <v>0</v>
      </c>
      <c r="L114" s="513">
        <v>0</v>
      </c>
      <c r="M114" s="513">
        <v>754655.85681430099</v>
      </c>
      <c r="N114" s="622"/>
    </row>
    <row r="115" spans="2:14">
      <c r="B115" s="513" t="s">
        <v>134</v>
      </c>
      <c r="C115" s="658">
        <v>2015</v>
      </c>
      <c r="D115" s="513">
        <v>754655.85681430099</v>
      </c>
      <c r="E115" s="513">
        <v>24055.593555257157</v>
      </c>
      <c r="F115" s="513">
        <v>24055.593555257157</v>
      </c>
      <c r="G115" s="660">
        <v>0</v>
      </c>
      <c r="H115" s="660">
        <v>0</v>
      </c>
      <c r="I115" s="659" t="s">
        <v>103</v>
      </c>
      <c r="J115" s="513">
        <v>0</v>
      </c>
      <c r="K115" s="513">
        <v>0</v>
      </c>
      <c r="L115" s="513">
        <v>0</v>
      </c>
      <c r="M115" s="513">
        <v>778711.45036955818</v>
      </c>
      <c r="N115" s="622"/>
    </row>
    <row r="116" spans="2:14">
      <c r="B116" s="513" t="s">
        <v>134</v>
      </c>
      <c r="C116" s="658">
        <v>2016</v>
      </c>
      <c r="D116" s="513">
        <v>778711.45036955818</v>
      </c>
      <c r="E116" s="513">
        <v>14852.084318085708</v>
      </c>
      <c r="F116" s="513">
        <v>14852.084318085708</v>
      </c>
      <c r="G116" s="660">
        <v>0</v>
      </c>
      <c r="H116" s="660">
        <v>0</v>
      </c>
      <c r="I116" s="659" t="s">
        <v>103</v>
      </c>
      <c r="J116" s="513">
        <v>0</v>
      </c>
      <c r="K116" s="513">
        <v>0</v>
      </c>
      <c r="L116" s="513">
        <v>0</v>
      </c>
      <c r="M116" s="513">
        <v>793563.53468764387</v>
      </c>
      <c r="N116" s="622"/>
    </row>
    <row r="117" spans="2:14">
      <c r="B117" s="513" t="s">
        <v>134</v>
      </c>
      <c r="C117" s="658">
        <v>2017</v>
      </c>
      <c r="D117" s="513">
        <v>793563.53468764375</v>
      </c>
      <c r="E117" s="513">
        <v>13045.582848901007</v>
      </c>
      <c r="F117" s="513">
        <v>13045.582848901007</v>
      </c>
      <c r="G117" s="513">
        <v>0</v>
      </c>
      <c r="H117" s="513">
        <v>0</v>
      </c>
      <c r="I117" s="659" t="s">
        <v>103</v>
      </c>
      <c r="J117" s="513">
        <v>0</v>
      </c>
      <c r="K117" s="513">
        <v>0</v>
      </c>
      <c r="L117" s="513">
        <v>0</v>
      </c>
      <c r="M117" s="513">
        <v>806609.1175365448</v>
      </c>
      <c r="N117" s="622"/>
    </row>
    <row r="118" spans="2:14">
      <c r="B118" s="513" t="s">
        <v>134</v>
      </c>
      <c r="C118" s="889">
        <v>2018</v>
      </c>
      <c r="D118" s="513">
        <v>806609.1175365448</v>
      </c>
      <c r="E118" s="513">
        <f>VLOOKUP(B118,'[6]2018 allocation'!$A$11:$B$218,2, FALSE)</f>
        <v>14569.491698819122</v>
      </c>
      <c r="F118" s="513">
        <f>E118</f>
        <v>14569.491698819122</v>
      </c>
      <c r="G118" s="513">
        <v>0</v>
      </c>
      <c r="H118" s="513">
        <v>0</v>
      </c>
      <c r="I118" s="622" t="s">
        <v>103</v>
      </c>
      <c r="J118" s="513">
        <f>VLOOKUP(B118,'[6]Annual Spending Worksheet '!$C$6:$AG$250,28,FALSE)</f>
        <v>0</v>
      </c>
      <c r="K118" s="513">
        <f>VLOOKUP(B118,'[6]Annual Spending Worksheet '!$C$6:$AG$250,29,FALSE)</f>
        <v>0</v>
      </c>
      <c r="L118" s="513">
        <v>0</v>
      </c>
      <c r="M118" s="513">
        <f>D118+E118+H118-J118</f>
        <v>821178.6092353639</v>
      </c>
      <c r="N118" s="513"/>
    </row>
    <row r="119" spans="2:14">
      <c r="B119" s="513" t="s">
        <v>134</v>
      </c>
      <c r="C119" s="889">
        <v>2019</v>
      </c>
      <c r="D119" s="513">
        <v>821178.6092353639</v>
      </c>
      <c r="E119" s="513">
        <v>16189.681119820138</v>
      </c>
      <c r="F119" s="513">
        <v>16189.681119820138</v>
      </c>
      <c r="G119" s="513">
        <v>0</v>
      </c>
      <c r="H119" s="513">
        <v>0</v>
      </c>
      <c r="I119" s="622" t="s">
        <v>103</v>
      </c>
      <c r="J119" s="513">
        <v>0</v>
      </c>
      <c r="K119" s="513">
        <v>0</v>
      </c>
      <c r="L119" s="513">
        <v>0</v>
      </c>
      <c r="M119" s="513">
        <v>837368.290355184</v>
      </c>
      <c r="N119" s="513"/>
    </row>
    <row r="120" spans="2:14" ht="16.350000000000001" customHeight="1">
      <c r="B120" s="513" t="s">
        <v>135</v>
      </c>
      <c r="C120" s="658">
        <v>2008</v>
      </c>
      <c r="D120" s="513">
        <v>2762528.199</v>
      </c>
      <c r="E120" s="512">
        <v>460231.96038034977</v>
      </c>
      <c r="F120" s="513">
        <v>460231.96038034977</v>
      </c>
      <c r="G120" s="512">
        <v>0</v>
      </c>
      <c r="H120" s="512">
        <v>0</v>
      </c>
      <c r="I120" s="659" t="s">
        <v>103</v>
      </c>
      <c r="J120" s="513">
        <v>149308.58000000002</v>
      </c>
      <c r="K120" s="513">
        <v>1523324</v>
      </c>
      <c r="L120" s="513">
        <v>0</v>
      </c>
      <c r="M120" s="513">
        <v>3073451.5793803497</v>
      </c>
      <c r="N120" s="622"/>
    </row>
    <row r="121" spans="2:14" ht="16.350000000000001" customHeight="1">
      <c r="B121" s="513" t="s">
        <v>135</v>
      </c>
      <c r="C121" s="658">
        <v>2009</v>
      </c>
      <c r="D121" s="513">
        <v>3073451.5793803493</v>
      </c>
      <c r="E121" s="512">
        <v>373919.15912785474</v>
      </c>
      <c r="F121" s="513">
        <v>373919.15912785474</v>
      </c>
      <c r="G121" s="512">
        <v>0</v>
      </c>
      <c r="H121" s="512">
        <v>0</v>
      </c>
      <c r="I121" s="659" t="s">
        <v>103</v>
      </c>
      <c r="J121" s="513">
        <v>1134570.4000000029</v>
      </c>
      <c r="K121" s="513">
        <v>1523324</v>
      </c>
      <c r="L121" s="513">
        <v>0</v>
      </c>
      <c r="M121" s="513">
        <v>2312800.3385082008</v>
      </c>
      <c r="N121" s="622"/>
    </row>
    <row r="122" spans="2:14" ht="16.350000000000001" customHeight="1">
      <c r="B122" s="513" t="s">
        <v>135</v>
      </c>
      <c r="C122" s="658">
        <v>2010</v>
      </c>
      <c r="D122" s="513">
        <v>2312800.3385082027</v>
      </c>
      <c r="E122" s="512">
        <v>373312.58</v>
      </c>
      <c r="F122" s="513">
        <v>373312.58</v>
      </c>
      <c r="G122" s="512">
        <v>0</v>
      </c>
      <c r="H122" s="512">
        <v>0</v>
      </c>
      <c r="I122" s="659" t="s">
        <v>103</v>
      </c>
      <c r="J122" s="513">
        <v>-154372.66999999998</v>
      </c>
      <c r="K122" s="513">
        <v>0</v>
      </c>
      <c r="L122" s="513">
        <v>0</v>
      </c>
      <c r="M122" s="513">
        <v>2840485.5885082027</v>
      </c>
      <c r="N122" s="622"/>
    </row>
    <row r="123" spans="2:14" ht="16.350000000000001" customHeight="1">
      <c r="B123" s="513" t="s">
        <v>135</v>
      </c>
      <c r="C123" s="658">
        <v>2011</v>
      </c>
      <c r="D123" s="513">
        <v>2840485.5924200742</v>
      </c>
      <c r="E123" s="512">
        <v>379452.11552929191</v>
      </c>
      <c r="F123" s="513">
        <v>379452.11552929191</v>
      </c>
      <c r="G123" s="512">
        <v>0</v>
      </c>
      <c r="H123" s="512">
        <v>0</v>
      </c>
      <c r="I123" s="659" t="s">
        <v>103</v>
      </c>
      <c r="J123" s="513">
        <v>0</v>
      </c>
      <c r="K123" s="513">
        <v>0</v>
      </c>
      <c r="L123" s="513">
        <v>26017.54</v>
      </c>
      <c r="M123" s="513">
        <v>3193920.1679493659</v>
      </c>
      <c r="N123" s="622"/>
    </row>
    <row r="124" spans="2:14" ht="16.350000000000001" customHeight="1">
      <c r="B124" s="513" t="s">
        <v>135</v>
      </c>
      <c r="C124" s="658">
        <v>2012</v>
      </c>
      <c r="D124" s="513">
        <v>3193920.1679493659</v>
      </c>
      <c r="E124" s="513">
        <v>274782.36458306585</v>
      </c>
      <c r="F124" s="513">
        <v>274782.36458306585</v>
      </c>
      <c r="G124" s="512">
        <v>0</v>
      </c>
      <c r="H124" s="512">
        <v>0</v>
      </c>
      <c r="I124" s="659" t="s">
        <v>103</v>
      </c>
      <c r="J124" s="513">
        <v>0</v>
      </c>
      <c r="K124" s="513">
        <v>0</v>
      </c>
      <c r="L124" s="513">
        <v>0</v>
      </c>
      <c r="M124" s="513">
        <v>3468702.5325324317</v>
      </c>
      <c r="N124" s="622"/>
    </row>
    <row r="125" spans="2:14" ht="16.350000000000001" customHeight="1">
      <c r="B125" s="513" t="s">
        <v>135</v>
      </c>
      <c r="C125" s="658">
        <v>2013</v>
      </c>
      <c r="D125" s="513">
        <v>3468702.5325324317</v>
      </c>
      <c r="E125" s="513">
        <v>419247.36568020564</v>
      </c>
      <c r="F125" s="513">
        <v>419247.36568020564</v>
      </c>
      <c r="G125" s="512">
        <v>0</v>
      </c>
      <c r="H125" s="512">
        <v>0</v>
      </c>
      <c r="I125" s="659" t="s">
        <v>103</v>
      </c>
      <c r="J125" s="513">
        <v>0</v>
      </c>
      <c r="K125" s="513">
        <v>0</v>
      </c>
      <c r="L125" s="513">
        <v>0</v>
      </c>
      <c r="M125" s="513">
        <v>3887949.8982126373</v>
      </c>
      <c r="N125" s="622"/>
    </row>
    <row r="126" spans="2:14" ht="16.350000000000001" customHeight="1">
      <c r="B126" s="513" t="s">
        <v>135</v>
      </c>
      <c r="C126" s="658">
        <v>2014</v>
      </c>
      <c r="D126" s="513">
        <v>3887949.8982126382</v>
      </c>
      <c r="E126" s="513">
        <v>436004.52524234942</v>
      </c>
      <c r="F126" s="513">
        <v>436004.52524234942</v>
      </c>
      <c r="G126" s="512">
        <v>0</v>
      </c>
      <c r="H126" s="512">
        <v>0</v>
      </c>
      <c r="I126" s="659" t="s">
        <v>103</v>
      </c>
      <c r="J126" s="513">
        <v>0</v>
      </c>
      <c r="K126" s="513">
        <v>0</v>
      </c>
      <c r="L126" s="513">
        <v>0</v>
      </c>
      <c r="M126" s="513">
        <v>4323954.4234549878</v>
      </c>
      <c r="N126" s="622"/>
    </row>
    <row r="127" spans="2:14" ht="16.350000000000001" customHeight="1">
      <c r="B127" s="513" t="s">
        <v>135</v>
      </c>
      <c r="C127" s="658">
        <v>2015</v>
      </c>
      <c r="D127" s="513">
        <v>4323954.4234549869</v>
      </c>
      <c r="E127" s="513">
        <v>442784.25363944343</v>
      </c>
      <c r="F127" s="513">
        <v>442784.25363944343</v>
      </c>
      <c r="G127" s="660">
        <v>0</v>
      </c>
      <c r="H127" s="660">
        <v>0</v>
      </c>
      <c r="I127" s="659" t="s">
        <v>103</v>
      </c>
      <c r="J127" s="513">
        <v>0</v>
      </c>
      <c r="K127" s="513">
        <v>0</v>
      </c>
      <c r="L127" s="513">
        <v>0</v>
      </c>
      <c r="M127" s="513">
        <v>4766738.6770944307</v>
      </c>
      <c r="N127" s="622"/>
    </row>
    <row r="128" spans="2:14" ht="16.350000000000001" customHeight="1">
      <c r="B128" s="513" t="s">
        <v>135</v>
      </c>
      <c r="C128" s="658">
        <v>2016</v>
      </c>
      <c r="D128" s="513">
        <v>4766738.6770944297</v>
      </c>
      <c r="E128" s="513">
        <v>318122.07459829899</v>
      </c>
      <c r="F128" s="513">
        <v>318122.07459829899</v>
      </c>
      <c r="G128" s="660">
        <v>0</v>
      </c>
      <c r="H128" s="660">
        <v>0</v>
      </c>
      <c r="I128" s="659" t="s">
        <v>103</v>
      </c>
      <c r="J128" s="513">
        <v>0</v>
      </c>
      <c r="K128" s="513">
        <v>0</v>
      </c>
      <c r="L128" s="513">
        <v>0</v>
      </c>
      <c r="M128" s="513">
        <v>5084860.7516927291</v>
      </c>
      <c r="N128" s="622"/>
    </row>
    <row r="129" spans="2:14" ht="16.350000000000001" customHeight="1">
      <c r="B129" s="513" t="s">
        <v>135</v>
      </c>
      <c r="C129" s="658">
        <v>2017</v>
      </c>
      <c r="D129" s="513">
        <v>5084860.7516927291</v>
      </c>
      <c r="E129" s="513">
        <v>294399.73751357116</v>
      </c>
      <c r="F129" s="513">
        <v>294399.73751357116</v>
      </c>
      <c r="G129" s="513">
        <v>0</v>
      </c>
      <c r="H129" s="513">
        <v>0</v>
      </c>
      <c r="I129" s="659" t="s">
        <v>103</v>
      </c>
      <c r="J129" s="513">
        <v>0</v>
      </c>
      <c r="K129" s="513">
        <v>0</v>
      </c>
      <c r="L129" s="513">
        <v>0</v>
      </c>
      <c r="M129" s="513">
        <v>5379260.4892063001</v>
      </c>
      <c r="N129" s="622"/>
    </row>
    <row r="130" spans="2:14">
      <c r="B130" s="513" t="s">
        <v>135</v>
      </c>
      <c r="C130" s="889">
        <v>2018</v>
      </c>
      <c r="D130" s="513">
        <v>5379260.4892063001</v>
      </c>
      <c r="E130" s="513">
        <f>VLOOKUP(B130,'[6]2018 allocation'!$A$11:$B$218,2, FALSE)</f>
        <v>314981.32435894589</v>
      </c>
      <c r="F130" s="513">
        <f>E130</f>
        <v>314981.32435894589</v>
      </c>
      <c r="G130" s="513">
        <v>0</v>
      </c>
      <c r="H130" s="513">
        <v>0</v>
      </c>
      <c r="I130" s="622" t="s">
        <v>103</v>
      </c>
      <c r="J130" s="513">
        <f>VLOOKUP(B130,'[6]Annual Spending Worksheet '!$C$6:$AG$250,28,FALSE)</f>
        <v>0</v>
      </c>
      <c r="K130" s="513">
        <f>VLOOKUP(B130,'[6]Annual Spending Worksheet '!$C$6:$AG$250,29,FALSE)</f>
        <v>0</v>
      </c>
      <c r="L130" s="513">
        <v>0</v>
      </c>
      <c r="M130" s="513">
        <f>D130+E130+H130-J130</f>
        <v>5694241.8135652458</v>
      </c>
      <c r="N130" s="513"/>
    </row>
    <row r="131" spans="2:14">
      <c r="B131" s="513" t="s">
        <v>135</v>
      </c>
      <c r="C131" s="889">
        <v>2019</v>
      </c>
      <c r="D131" s="513">
        <v>5694241.8135652458</v>
      </c>
      <c r="E131" s="513">
        <v>336744.75959244178</v>
      </c>
      <c r="F131" s="513">
        <v>336744.75959244178</v>
      </c>
      <c r="G131" s="513">
        <v>0</v>
      </c>
      <c r="H131" s="513">
        <v>0</v>
      </c>
      <c r="I131" s="622" t="s">
        <v>103</v>
      </c>
      <c r="J131" s="513">
        <v>0</v>
      </c>
      <c r="K131" s="513">
        <v>0</v>
      </c>
      <c r="L131" s="513">
        <v>0</v>
      </c>
      <c r="M131" s="513">
        <v>6030986.5731576877</v>
      </c>
      <c r="N131" s="513"/>
    </row>
    <row r="132" spans="2:14">
      <c r="B132" s="890" t="s">
        <v>1235</v>
      </c>
      <c r="C132" s="902"/>
      <c r="D132" s="899">
        <f>SUM(D60:D131)</f>
        <v>107571372.4568502</v>
      </c>
      <c r="E132" s="899">
        <f t="shared" ref="E132:H132" si="7">SUM(E60:E131)</f>
        <v>6610129.8879128043</v>
      </c>
      <c r="F132" s="899">
        <f t="shared" si="7"/>
        <v>6610129.8879128043</v>
      </c>
      <c r="G132" s="899">
        <f t="shared" si="7"/>
        <v>-146931.20332178235</v>
      </c>
      <c r="H132" s="899">
        <f t="shared" si="7"/>
        <v>-53728</v>
      </c>
      <c r="I132" s="900">
        <f t="shared" ref="I132:M132" si="8">SUM(I60:I131)</f>
        <v>0</v>
      </c>
      <c r="J132" s="899">
        <f t="shared" si="8"/>
        <v>2488933.6800000034</v>
      </c>
      <c r="K132" s="899">
        <f t="shared" si="8"/>
        <v>4314465.8100000005</v>
      </c>
      <c r="L132" s="899">
        <f t="shared" si="8"/>
        <v>26017.54</v>
      </c>
      <c r="M132" s="899">
        <f t="shared" si="8"/>
        <v>111612823.124763</v>
      </c>
      <c r="N132" s="903"/>
    </row>
    <row r="133" spans="2:14">
      <c r="B133" s="887" t="s">
        <v>140</v>
      </c>
      <c r="C133" s="655"/>
      <c r="D133" s="513"/>
      <c r="E133" s="513"/>
      <c r="F133" s="513"/>
      <c r="G133" s="513"/>
      <c r="H133" s="513"/>
      <c r="I133" s="659"/>
      <c r="J133" s="513"/>
      <c r="K133" s="513"/>
      <c r="L133" s="513"/>
      <c r="M133" s="513"/>
      <c r="N133" s="622"/>
    </row>
    <row r="134" spans="2:14" ht="29.1">
      <c r="B134" s="513" t="s">
        <v>141</v>
      </c>
      <c r="C134" s="658">
        <v>2008</v>
      </c>
      <c r="D134" s="513">
        <v>-305001.93500000052</v>
      </c>
      <c r="E134" s="512">
        <v>128312.23400722134</v>
      </c>
      <c r="F134" s="513">
        <v>128312.23400722134</v>
      </c>
      <c r="G134" s="512">
        <v>-176689.70099277917</v>
      </c>
      <c r="H134" s="512">
        <v>641718</v>
      </c>
      <c r="I134" s="659" t="s">
        <v>1708</v>
      </c>
      <c r="J134" s="513">
        <v>0</v>
      </c>
      <c r="K134" s="513">
        <v>0</v>
      </c>
      <c r="L134" s="513">
        <v>0</v>
      </c>
      <c r="M134" s="513">
        <v>465028.29900722083</v>
      </c>
      <c r="N134" s="622"/>
    </row>
    <row r="135" spans="2:14">
      <c r="B135" s="513" t="s">
        <v>141</v>
      </c>
      <c r="C135" s="658">
        <v>2009</v>
      </c>
      <c r="D135" s="513">
        <v>465028.29900722113</v>
      </c>
      <c r="E135" s="512">
        <v>97938.331978831629</v>
      </c>
      <c r="F135" s="513">
        <v>97938.331978831629</v>
      </c>
      <c r="G135" s="512">
        <v>0</v>
      </c>
      <c r="H135" s="512">
        <v>0</v>
      </c>
      <c r="I135" s="659" t="s">
        <v>103</v>
      </c>
      <c r="J135" s="513">
        <v>0</v>
      </c>
      <c r="K135" s="513">
        <v>0</v>
      </c>
      <c r="L135" s="513">
        <v>0</v>
      </c>
      <c r="M135" s="513">
        <v>562966.6309860528</v>
      </c>
      <c r="N135" s="622"/>
    </row>
    <row r="136" spans="2:14">
      <c r="B136" s="513" t="s">
        <v>141</v>
      </c>
      <c r="C136" s="658">
        <v>2010</v>
      </c>
      <c r="D136" s="513">
        <v>562966.63098605257</v>
      </c>
      <c r="E136" s="512">
        <v>97765.02</v>
      </c>
      <c r="F136" s="513">
        <v>97765.02</v>
      </c>
      <c r="G136" s="512">
        <v>0</v>
      </c>
      <c r="H136" s="512">
        <v>0</v>
      </c>
      <c r="I136" s="659" t="s">
        <v>103</v>
      </c>
      <c r="J136" s="513">
        <v>0</v>
      </c>
      <c r="K136" s="513">
        <v>0</v>
      </c>
      <c r="L136" s="513">
        <v>0</v>
      </c>
      <c r="M136" s="513">
        <v>660731.65098605258</v>
      </c>
      <c r="N136" s="622"/>
    </row>
    <row r="137" spans="2:14">
      <c r="B137" s="513" t="s">
        <v>141</v>
      </c>
      <c r="C137" s="658">
        <v>2011</v>
      </c>
      <c r="D137" s="513">
        <v>660731.65165270772</v>
      </c>
      <c r="E137" s="512">
        <v>99926.175007555576</v>
      </c>
      <c r="F137" s="513">
        <v>99926.175007555576</v>
      </c>
      <c r="G137" s="512">
        <v>0</v>
      </c>
      <c r="H137" s="512">
        <v>0</v>
      </c>
      <c r="I137" s="659" t="s">
        <v>103</v>
      </c>
      <c r="J137" s="513">
        <v>0</v>
      </c>
      <c r="K137" s="513">
        <v>0</v>
      </c>
      <c r="L137" s="513">
        <v>0</v>
      </c>
      <c r="M137" s="513">
        <v>760657.82666026335</v>
      </c>
      <c r="N137" s="622"/>
    </row>
    <row r="138" spans="2:14">
      <c r="B138" s="513" t="s">
        <v>141</v>
      </c>
      <c r="C138" s="658">
        <v>2012</v>
      </c>
      <c r="D138" s="513">
        <v>760657.82666026335</v>
      </c>
      <c r="E138" s="512">
        <v>63290.026665786252</v>
      </c>
      <c r="F138" s="513">
        <v>63290.026665786252</v>
      </c>
      <c r="G138" s="512">
        <v>0</v>
      </c>
      <c r="H138" s="512">
        <v>0</v>
      </c>
      <c r="I138" s="659" t="s">
        <v>103</v>
      </c>
      <c r="J138" s="513">
        <v>0</v>
      </c>
      <c r="K138" s="513">
        <v>0</v>
      </c>
      <c r="L138" s="513">
        <v>0</v>
      </c>
      <c r="M138" s="513">
        <v>823947.85332604963</v>
      </c>
      <c r="N138" s="622"/>
    </row>
    <row r="139" spans="2:14">
      <c r="B139" s="513" t="s">
        <v>141</v>
      </c>
      <c r="C139" s="658">
        <v>2013</v>
      </c>
      <c r="D139" s="513">
        <v>823947.85332604963</v>
      </c>
      <c r="E139" s="513">
        <v>113871.16909203194</v>
      </c>
      <c r="F139" s="513">
        <v>113871.16909203194</v>
      </c>
      <c r="G139" s="512">
        <v>0</v>
      </c>
      <c r="H139" s="512">
        <v>0</v>
      </c>
      <c r="I139" s="659" t="s">
        <v>103</v>
      </c>
      <c r="J139" s="513">
        <v>0</v>
      </c>
      <c r="K139" s="513">
        <v>0</v>
      </c>
      <c r="L139" s="513">
        <v>0</v>
      </c>
      <c r="M139" s="513">
        <v>937819.02241808153</v>
      </c>
      <c r="N139" s="622"/>
    </row>
    <row r="140" spans="2:14">
      <c r="B140" s="513" t="s">
        <v>141</v>
      </c>
      <c r="C140" s="658">
        <v>2014</v>
      </c>
      <c r="D140" s="513">
        <v>937819.02241808176</v>
      </c>
      <c r="E140" s="513">
        <v>119850.24786781654</v>
      </c>
      <c r="F140" s="513">
        <v>119850.24786781654</v>
      </c>
      <c r="G140" s="512">
        <v>0</v>
      </c>
      <c r="H140" s="512">
        <v>0</v>
      </c>
      <c r="I140" s="659" t="s">
        <v>103</v>
      </c>
      <c r="J140" s="513">
        <v>0</v>
      </c>
      <c r="K140" s="513">
        <v>0</v>
      </c>
      <c r="L140" s="513">
        <v>0</v>
      </c>
      <c r="M140" s="513">
        <v>1057669.2702858984</v>
      </c>
      <c r="N140" s="622"/>
    </row>
    <row r="141" spans="2:14">
      <c r="B141" s="513" t="s">
        <v>141</v>
      </c>
      <c r="C141" s="658">
        <v>2015</v>
      </c>
      <c r="D141" s="513">
        <v>1057669.2702858988</v>
      </c>
      <c r="E141" s="513">
        <v>122309.05397667689</v>
      </c>
      <c r="F141" s="513">
        <v>122309.05397667689</v>
      </c>
      <c r="G141" s="512">
        <v>0</v>
      </c>
      <c r="H141" s="512">
        <v>0</v>
      </c>
      <c r="I141" s="659" t="s">
        <v>103</v>
      </c>
      <c r="J141" s="513">
        <v>0</v>
      </c>
      <c r="K141" s="513">
        <v>0</v>
      </c>
      <c r="L141" s="513">
        <v>0</v>
      </c>
      <c r="M141" s="513">
        <v>1179978.3242625757</v>
      </c>
      <c r="N141" s="622"/>
    </row>
    <row r="142" spans="2:14">
      <c r="B142" s="513" t="s">
        <v>141</v>
      </c>
      <c r="C142" s="658">
        <v>2016</v>
      </c>
      <c r="D142" s="513">
        <v>1179978.3242625752</v>
      </c>
      <c r="E142" s="513">
        <v>77860.312304855019</v>
      </c>
      <c r="F142" s="513">
        <v>77860.312304855019</v>
      </c>
      <c r="G142" s="512">
        <v>0</v>
      </c>
      <c r="H142" s="660">
        <v>0</v>
      </c>
      <c r="I142" s="659" t="s">
        <v>103</v>
      </c>
      <c r="J142" s="513">
        <v>0</v>
      </c>
      <c r="K142" s="513">
        <v>0</v>
      </c>
      <c r="L142" s="513">
        <v>0</v>
      </c>
      <c r="M142" s="513">
        <v>1257838.6365674303</v>
      </c>
      <c r="N142" s="622"/>
    </row>
    <row r="143" spans="2:14">
      <c r="B143" s="513" t="s">
        <v>141</v>
      </c>
      <c r="C143" s="658">
        <v>2017</v>
      </c>
      <c r="D143" s="513">
        <v>1257838.6365674306</v>
      </c>
      <c r="E143" s="513">
        <v>68769.102213452497</v>
      </c>
      <c r="F143" s="513">
        <v>68769.102213452497</v>
      </c>
      <c r="G143" s="660">
        <v>0</v>
      </c>
      <c r="H143" s="660">
        <v>0</v>
      </c>
      <c r="I143" s="659" t="s">
        <v>103</v>
      </c>
      <c r="J143" s="513">
        <v>0</v>
      </c>
      <c r="K143" s="513">
        <v>0</v>
      </c>
      <c r="L143" s="513">
        <v>0</v>
      </c>
      <c r="M143" s="513">
        <v>1326607.7387808831</v>
      </c>
      <c r="N143" s="622"/>
    </row>
    <row r="144" spans="2:14">
      <c r="B144" s="513" t="s">
        <v>141</v>
      </c>
      <c r="C144" s="889">
        <v>2018</v>
      </c>
      <c r="D144" s="513">
        <v>1326607.7387808831</v>
      </c>
      <c r="E144" s="513">
        <f>VLOOKUP(B144,'[6]2018 allocation'!$A$11:$B$218,2, FALSE)</f>
        <v>76121.897832131188</v>
      </c>
      <c r="F144" s="513">
        <f>E144</f>
        <v>76121.897832131188</v>
      </c>
      <c r="G144" s="513">
        <v>0</v>
      </c>
      <c r="H144" s="513">
        <v>0</v>
      </c>
      <c r="I144" s="622" t="s">
        <v>103</v>
      </c>
      <c r="J144" s="513">
        <f>VLOOKUP(B144,'[6]Annual Spending Worksheet '!$C$6:$AG$250,28,FALSE)</f>
        <v>0</v>
      </c>
      <c r="K144" s="513">
        <f>VLOOKUP(B144,'[6]Annual Spending Worksheet '!$C$6:$AG$250,29,FALSE)</f>
        <v>0</v>
      </c>
      <c r="L144" s="513">
        <v>0</v>
      </c>
      <c r="M144" s="513">
        <f>D144+E144+H144-J144</f>
        <v>1402729.6366130144</v>
      </c>
      <c r="N144" s="513"/>
    </row>
    <row r="145" spans="2:14">
      <c r="B145" s="513" t="s">
        <v>141</v>
      </c>
      <c r="C145" s="889">
        <v>2019</v>
      </c>
      <c r="D145" s="513">
        <v>1402729.6366130144</v>
      </c>
      <c r="E145" s="513">
        <v>83995.538386566797</v>
      </c>
      <c r="F145" s="513">
        <v>83995.538386566797</v>
      </c>
      <c r="G145" s="513">
        <v>0</v>
      </c>
      <c r="H145" s="513">
        <v>0</v>
      </c>
      <c r="I145" s="622" t="s">
        <v>103</v>
      </c>
      <c r="J145" s="513">
        <v>0</v>
      </c>
      <c r="K145" s="513">
        <v>0</v>
      </c>
      <c r="L145" s="513">
        <v>0</v>
      </c>
      <c r="M145" s="513">
        <v>1486725.1749995812</v>
      </c>
      <c r="N145" s="513"/>
    </row>
    <row r="146" spans="2:14">
      <c r="B146" s="513" t="s">
        <v>142</v>
      </c>
      <c r="C146" s="658">
        <v>2008</v>
      </c>
      <c r="D146" s="513">
        <v>570129.47</v>
      </c>
      <c r="E146" s="512">
        <v>71588.721999999994</v>
      </c>
      <c r="F146" s="513">
        <v>71588.721999999994</v>
      </c>
      <c r="G146" s="512">
        <v>0</v>
      </c>
      <c r="H146" s="512">
        <v>-641718</v>
      </c>
      <c r="I146" s="659" t="s">
        <v>1709</v>
      </c>
      <c r="J146" s="513">
        <v>0</v>
      </c>
      <c r="K146" s="513">
        <v>0</v>
      </c>
      <c r="L146" s="513">
        <v>0</v>
      </c>
      <c r="M146" s="513">
        <v>0.19199999992270023</v>
      </c>
      <c r="N146" s="622"/>
    </row>
    <row r="147" spans="2:14">
      <c r="B147" s="513" t="s">
        <v>142</v>
      </c>
      <c r="C147" s="658">
        <v>2009</v>
      </c>
      <c r="D147" s="513">
        <v>0.19617600925266743</v>
      </c>
      <c r="E147" s="512">
        <v>60010.661751767082</v>
      </c>
      <c r="F147" s="513">
        <v>60010.661751767082</v>
      </c>
      <c r="G147" s="512">
        <v>0</v>
      </c>
      <c r="H147" s="512">
        <v>0</v>
      </c>
      <c r="I147" s="659" t="s">
        <v>103</v>
      </c>
      <c r="J147" s="513">
        <v>0</v>
      </c>
      <c r="K147" s="513">
        <v>0</v>
      </c>
      <c r="L147" s="513">
        <v>0</v>
      </c>
      <c r="M147" s="513">
        <v>60010.857927776335</v>
      </c>
      <c r="N147" s="622"/>
    </row>
    <row r="148" spans="2:14">
      <c r="B148" s="513" t="s">
        <v>142</v>
      </c>
      <c r="C148" s="658">
        <v>2010</v>
      </c>
      <c r="D148" s="513">
        <v>60010.857927776291</v>
      </c>
      <c r="E148" s="512">
        <v>59931.08</v>
      </c>
      <c r="F148" s="513">
        <v>59931.08</v>
      </c>
      <c r="G148" s="512">
        <v>0</v>
      </c>
      <c r="H148" s="512">
        <v>0</v>
      </c>
      <c r="I148" s="659" t="s">
        <v>103</v>
      </c>
      <c r="J148" s="513">
        <v>0</v>
      </c>
      <c r="K148" s="513">
        <v>0</v>
      </c>
      <c r="L148" s="513">
        <v>0</v>
      </c>
      <c r="M148" s="513">
        <v>119941.93792777629</v>
      </c>
      <c r="N148" s="622"/>
    </row>
    <row r="149" spans="2:14">
      <c r="B149" s="513" t="s">
        <v>142</v>
      </c>
      <c r="C149" s="658">
        <v>2011</v>
      </c>
      <c r="D149" s="513">
        <v>119941.94246170251</v>
      </c>
      <c r="E149" s="512">
        <v>60756.208923686674</v>
      </c>
      <c r="F149" s="513">
        <v>60756.208923686674</v>
      </c>
      <c r="G149" s="512">
        <v>0</v>
      </c>
      <c r="H149" s="512">
        <v>0</v>
      </c>
      <c r="I149" s="659" t="s">
        <v>103</v>
      </c>
      <c r="J149" s="513">
        <v>0</v>
      </c>
      <c r="K149" s="513">
        <v>0</v>
      </c>
      <c r="L149" s="513">
        <v>0</v>
      </c>
      <c r="M149" s="513">
        <v>180698.15138538918</v>
      </c>
      <c r="N149" s="622"/>
    </row>
    <row r="150" spans="2:14">
      <c r="B150" s="513" t="s">
        <v>142</v>
      </c>
      <c r="C150" s="658">
        <v>2012</v>
      </c>
      <c r="D150" s="513">
        <v>180698.15138538927</v>
      </c>
      <c r="E150" s="513">
        <v>46828.506522352211</v>
      </c>
      <c r="F150" s="513">
        <v>46828.506522352211</v>
      </c>
      <c r="G150" s="512">
        <v>0</v>
      </c>
      <c r="H150" s="512">
        <v>0</v>
      </c>
      <c r="I150" s="659" t="s">
        <v>103</v>
      </c>
      <c r="J150" s="513">
        <v>0</v>
      </c>
      <c r="K150" s="513">
        <v>0</v>
      </c>
      <c r="L150" s="513">
        <v>0</v>
      </c>
      <c r="M150" s="513">
        <v>227526.65790774149</v>
      </c>
      <c r="N150" s="622"/>
    </row>
    <row r="151" spans="2:14">
      <c r="B151" s="513" t="s">
        <v>142</v>
      </c>
      <c r="C151" s="658">
        <v>2013</v>
      </c>
      <c r="D151" s="513">
        <v>227526.65790774161</v>
      </c>
      <c r="E151" s="513">
        <v>66055.569630174257</v>
      </c>
      <c r="F151" s="513">
        <v>66055.569630174257</v>
      </c>
      <c r="G151" s="512">
        <v>0</v>
      </c>
      <c r="H151" s="512">
        <v>0</v>
      </c>
      <c r="I151" s="659" t="s">
        <v>103</v>
      </c>
      <c r="J151" s="513">
        <v>0</v>
      </c>
      <c r="K151" s="513">
        <v>0</v>
      </c>
      <c r="L151" s="513">
        <v>0</v>
      </c>
      <c r="M151" s="513">
        <v>293582.22753791587</v>
      </c>
      <c r="N151" s="622"/>
    </row>
    <row r="152" spans="2:14">
      <c r="B152" s="513" t="s">
        <v>142</v>
      </c>
      <c r="C152" s="658">
        <v>2014</v>
      </c>
      <c r="D152" s="513">
        <v>293582.22753791604</v>
      </c>
      <c r="E152" s="513">
        <v>68297.787690317884</v>
      </c>
      <c r="F152" s="513">
        <v>68297.787690317884</v>
      </c>
      <c r="G152" s="512">
        <v>0</v>
      </c>
      <c r="H152" s="512">
        <v>0</v>
      </c>
      <c r="I152" s="659" t="s">
        <v>103</v>
      </c>
      <c r="J152" s="513">
        <v>0</v>
      </c>
      <c r="K152" s="513">
        <v>0</v>
      </c>
      <c r="L152" s="513">
        <v>0</v>
      </c>
      <c r="M152" s="513">
        <v>361880.01522823394</v>
      </c>
      <c r="N152" s="622"/>
    </row>
    <row r="153" spans="2:14">
      <c r="B153" s="513" t="s">
        <v>142</v>
      </c>
      <c r="C153" s="658">
        <v>2015</v>
      </c>
      <c r="D153" s="513">
        <v>361880.01522823377</v>
      </c>
      <c r="E153" s="513">
        <v>69187.259972947213</v>
      </c>
      <c r="F153" s="513">
        <v>69187.259972947213</v>
      </c>
      <c r="G153" s="660">
        <v>0</v>
      </c>
      <c r="H153" s="660">
        <v>0</v>
      </c>
      <c r="I153" s="659" t="s">
        <v>103</v>
      </c>
      <c r="J153" s="513">
        <v>0</v>
      </c>
      <c r="K153" s="513">
        <v>0</v>
      </c>
      <c r="L153" s="513">
        <v>0</v>
      </c>
      <c r="M153" s="513">
        <v>431067.27520118095</v>
      </c>
      <c r="N153" s="622"/>
    </row>
    <row r="154" spans="2:14">
      <c r="B154" s="513" t="s">
        <v>142</v>
      </c>
      <c r="C154" s="658">
        <v>2016</v>
      </c>
      <c r="D154" s="513">
        <v>431067.27520118095</v>
      </c>
      <c r="E154" s="513">
        <v>52604.800802240105</v>
      </c>
      <c r="F154" s="513">
        <v>52604.800802240105</v>
      </c>
      <c r="G154" s="660">
        <v>0</v>
      </c>
      <c r="H154" s="660">
        <v>0</v>
      </c>
      <c r="I154" s="659" t="s">
        <v>103</v>
      </c>
      <c r="J154" s="513">
        <v>0</v>
      </c>
      <c r="K154" s="513">
        <v>0</v>
      </c>
      <c r="L154" s="513">
        <v>0</v>
      </c>
      <c r="M154" s="513">
        <v>483672.07600342104</v>
      </c>
      <c r="N154" s="622"/>
    </row>
    <row r="155" spans="2:14">
      <c r="B155" s="513" t="s">
        <v>142</v>
      </c>
      <c r="C155" s="658">
        <v>2017</v>
      </c>
      <c r="D155" s="513">
        <v>483672.0760034211</v>
      </c>
      <c r="E155" s="513">
        <v>49410.010744425424</v>
      </c>
      <c r="F155" s="513">
        <v>49410.010744425424</v>
      </c>
      <c r="G155" s="513">
        <v>0</v>
      </c>
      <c r="H155" s="513">
        <v>0</v>
      </c>
      <c r="I155" s="659" t="s">
        <v>103</v>
      </c>
      <c r="J155" s="513">
        <v>0</v>
      </c>
      <c r="K155" s="513">
        <v>0</v>
      </c>
      <c r="L155" s="513">
        <v>0</v>
      </c>
      <c r="M155" s="513">
        <v>533082.08674784657</v>
      </c>
      <c r="N155" s="622"/>
    </row>
    <row r="156" spans="2:14">
      <c r="B156" s="513" t="s">
        <v>142</v>
      </c>
      <c r="C156" s="889">
        <v>2018</v>
      </c>
      <c r="D156" s="513">
        <v>533082.08674784657</v>
      </c>
      <c r="E156" s="513">
        <f>VLOOKUP(B156,'[6]2018 allocation'!$A$11:$B$218,2, FALSE)</f>
        <v>52189.099446208747</v>
      </c>
      <c r="F156" s="513">
        <f>E156</f>
        <v>52189.099446208747</v>
      </c>
      <c r="G156" s="513">
        <v>0</v>
      </c>
      <c r="H156" s="513">
        <v>0</v>
      </c>
      <c r="I156" s="622" t="s">
        <v>103</v>
      </c>
      <c r="J156" s="513">
        <f>VLOOKUP(B156,'[6]Annual Spending Worksheet '!$C$6:$AG$250,28,FALSE)</f>
        <v>0</v>
      </c>
      <c r="K156" s="513">
        <f>VLOOKUP(B156,'[6]Annual Spending Worksheet '!$C$6:$AG$250,29,FALSE)</f>
        <v>0</v>
      </c>
      <c r="L156" s="513">
        <v>0</v>
      </c>
      <c r="M156" s="513">
        <f>D156+E156+H156-J156</f>
        <v>585271.18619405536</v>
      </c>
      <c r="N156" s="513"/>
    </row>
    <row r="157" spans="2:14">
      <c r="B157" s="513" t="s">
        <v>142</v>
      </c>
      <c r="C157" s="889">
        <v>2019</v>
      </c>
      <c r="D157" s="513">
        <v>585271.18619405536</v>
      </c>
      <c r="E157" s="513">
        <v>55098.071918135829</v>
      </c>
      <c r="F157" s="513">
        <v>55098.071918135829</v>
      </c>
      <c r="G157" s="513">
        <v>0</v>
      </c>
      <c r="H157" s="513">
        <v>0</v>
      </c>
      <c r="I157" s="622" t="s">
        <v>103</v>
      </c>
      <c r="J157" s="513">
        <v>0</v>
      </c>
      <c r="K157" s="513">
        <v>0</v>
      </c>
      <c r="L157" s="513">
        <v>0</v>
      </c>
      <c r="M157" s="513">
        <v>640369.25811219122</v>
      </c>
      <c r="N157" s="513"/>
    </row>
    <row r="158" spans="2:14">
      <c r="B158" s="890" t="s">
        <v>1243</v>
      </c>
      <c r="C158" s="902"/>
      <c r="D158" s="899">
        <f>SUM(D134:D157)</f>
        <v>13977835.098331451</v>
      </c>
      <c r="E158" s="899">
        <f t="shared" ref="E158:G158" si="9">SUM(E134:E157)</f>
        <v>1861966.8887351812</v>
      </c>
      <c r="F158" s="899">
        <f t="shared" si="9"/>
        <v>1861966.8887351812</v>
      </c>
      <c r="G158" s="899">
        <f t="shared" si="9"/>
        <v>-176689.70099277917</v>
      </c>
      <c r="H158" s="899">
        <f>SUM(H134:H157)</f>
        <v>0</v>
      </c>
      <c r="I158" s="900">
        <f t="shared" ref="I158" si="10">SUM(I134:I155)</f>
        <v>0</v>
      </c>
      <c r="J158" s="899">
        <f t="shared" ref="J158:M158" si="11">SUM(J134:J157)</f>
        <v>0</v>
      </c>
      <c r="K158" s="899">
        <f t="shared" si="11"/>
        <v>0</v>
      </c>
      <c r="L158" s="899">
        <f t="shared" si="11"/>
        <v>0</v>
      </c>
      <c r="M158" s="899">
        <f t="shared" si="11"/>
        <v>15839801.987066634</v>
      </c>
      <c r="N158" s="903"/>
    </row>
    <row r="159" spans="2:14">
      <c r="B159" s="887" t="s">
        <v>143</v>
      </c>
      <c r="C159" s="655"/>
      <c r="D159" s="513"/>
      <c r="E159" s="513"/>
      <c r="F159" s="513"/>
      <c r="G159" s="513"/>
      <c r="H159" s="513"/>
      <c r="I159" s="659"/>
      <c r="J159" s="513"/>
      <c r="K159" s="513"/>
      <c r="L159" s="513"/>
      <c r="M159" s="513"/>
      <c r="N159" s="622"/>
    </row>
    <row r="160" spans="2:14">
      <c r="B160" s="513" t="s">
        <v>144</v>
      </c>
      <c r="C160" s="658">
        <v>2008</v>
      </c>
      <c r="D160" s="513">
        <v>838044.62300000014</v>
      </c>
      <c r="E160" s="512">
        <v>44803.906686401213</v>
      </c>
      <c r="F160" s="513">
        <v>44803.906686401213</v>
      </c>
      <c r="G160" s="512">
        <v>0</v>
      </c>
      <c r="H160" s="512">
        <v>0</v>
      </c>
      <c r="I160" s="659" t="s">
        <v>103</v>
      </c>
      <c r="J160" s="513">
        <v>0</v>
      </c>
      <c r="K160" s="513">
        <v>0</v>
      </c>
      <c r="L160" s="513">
        <v>0</v>
      </c>
      <c r="M160" s="513">
        <v>882848.52968640137</v>
      </c>
      <c r="N160" s="622"/>
    </row>
    <row r="161" spans="2:14">
      <c r="B161" s="513" t="s">
        <v>144</v>
      </c>
      <c r="C161" s="658">
        <v>2009</v>
      </c>
      <c r="D161" s="513">
        <v>882848.52968640113</v>
      </c>
      <c r="E161" s="512">
        <v>36440.269215893721</v>
      </c>
      <c r="F161" s="513">
        <v>36440.269215893721</v>
      </c>
      <c r="G161" s="512">
        <v>0</v>
      </c>
      <c r="H161" s="512">
        <v>0</v>
      </c>
      <c r="I161" s="659" t="s">
        <v>103</v>
      </c>
      <c r="J161" s="513">
        <v>0</v>
      </c>
      <c r="K161" s="513">
        <v>0</v>
      </c>
      <c r="L161" s="513">
        <v>0</v>
      </c>
      <c r="M161" s="513">
        <v>919288.79890229483</v>
      </c>
      <c r="N161" s="622"/>
    </row>
    <row r="162" spans="2:14">
      <c r="B162" s="513" t="s">
        <v>144</v>
      </c>
      <c r="C162" s="658">
        <v>2010</v>
      </c>
      <c r="D162" s="513">
        <v>919288.79890229483</v>
      </c>
      <c r="E162" s="512">
        <v>36399.870000000003</v>
      </c>
      <c r="F162" s="513">
        <v>36399.870000000003</v>
      </c>
      <c r="G162" s="512">
        <v>0</v>
      </c>
      <c r="H162" s="512">
        <v>0</v>
      </c>
      <c r="I162" s="659" t="s">
        <v>103</v>
      </c>
      <c r="J162" s="513">
        <v>0</v>
      </c>
      <c r="K162" s="513">
        <v>0</v>
      </c>
      <c r="L162" s="513">
        <v>0</v>
      </c>
      <c r="M162" s="513">
        <v>955688.66890229483</v>
      </c>
      <c r="N162" s="622"/>
    </row>
    <row r="163" spans="2:14">
      <c r="B163" s="513" t="s">
        <v>144</v>
      </c>
      <c r="C163" s="658">
        <v>2011</v>
      </c>
      <c r="D163" s="513">
        <v>955688.67090783874</v>
      </c>
      <c r="E163" s="512">
        <v>37002.643972705075</v>
      </c>
      <c r="F163" s="513">
        <v>37002.643972705075</v>
      </c>
      <c r="G163" s="512">
        <v>0</v>
      </c>
      <c r="H163" s="512">
        <v>0</v>
      </c>
      <c r="I163" s="659" t="s">
        <v>103</v>
      </c>
      <c r="J163" s="513">
        <v>0</v>
      </c>
      <c r="K163" s="513">
        <v>0</v>
      </c>
      <c r="L163" s="513">
        <v>0</v>
      </c>
      <c r="M163" s="513">
        <v>992691.31488054385</v>
      </c>
      <c r="N163" s="622"/>
    </row>
    <row r="164" spans="2:14">
      <c r="B164" s="513" t="s">
        <v>144</v>
      </c>
      <c r="C164" s="658">
        <v>2012</v>
      </c>
      <c r="D164" s="513">
        <v>992691.31488054385</v>
      </c>
      <c r="E164" s="513">
        <v>27140.133410185354</v>
      </c>
      <c r="F164" s="513">
        <v>27140.133410185354</v>
      </c>
      <c r="G164" s="512">
        <v>0</v>
      </c>
      <c r="H164" s="512">
        <v>0</v>
      </c>
      <c r="I164" s="659" t="s">
        <v>103</v>
      </c>
      <c r="J164" s="513">
        <v>0</v>
      </c>
      <c r="K164" s="513">
        <v>0</v>
      </c>
      <c r="L164" s="513">
        <v>0</v>
      </c>
      <c r="M164" s="513">
        <v>1019831.4482907292</v>
      </c>
      <c r="N164" s="622"/>
    </row>
    <row r="165" spans="2:14">
      <c r="B165" s="513" t="s">
        <v>144</v>
      </c>
      <c r="C165" s="658">
        <v>2013</v>
      </c>
      <c r="D165" s="513">
        <v>1019831.4482907292</v>
      </c>
      <c r="E165" s="513">
        <v>40743.161848667238</v>
      </c>
      <c r="F165" s="513">
        <v>40743.161848667238</v>
      </c>
      <c r="G165" s="512">
        <v>0</v>
      </c>
      <c r="H165" s="512">
        <v>0</v>
      </c>
      <c r="I165" s="659" t="s">
        <v>103</v>
      </c>
      <c r="J165" s="513">
        <v>0</v>
      </c>
      <c r="K165" s="513">
        <v>0</v>
      </c>
      <c r="L165" s="513">
        <v>0</v>
      </c>
      <c r="M165" s="513">
        <v>1060574.6101393965</v>
      </c>
      <c r="N165" s="622"/>
    </row>
    <row r="166" spans="2:14">
      <c r="B166" s="513" t="s">
        <v>144</v>
      </c>
      <c r="C166" s="658">
        <v>2014</v>
      </c>
      <c r="D166" s="513">
        <v>1060574.6101393965</v>
      </c>
      <c r="E166" s="513">
        <v>42308.36714146757</v>
      </c>
      <c r="F166" s="513">
        <v>42308.36714146757</v>
      </c>
      <c r="G166" s="512">
        <v>0</v>
      </c>
      <c r="H166" s="512">
        <v>0</v>
      </c>
      <c r="I166" s="659" t="s">
        <v>103</v>
      </c>
      <c r="J166" s="513">
        <v>0</v>
      </c>
      <c r="K166" s="513">
        <v>0</v>
      </c>
      <c r="L166" s="513">
        <v>0</v>
      </c>
      <c r="M166" s="513">
        <v>1102882.977280864</v>
      </c>
      <c r="N166" s="622"/>
    </row>
    <row r="167" spans="2:14">
      <c r="B167" s="513" t="s">
        <v>144</v>
      </c>
      <c r="C167" s="658">
        <v>2015</v>
      </c>
      <c r="D167" s="513">
        <v>1102882.977280864</v>
      </c>
      <c r="E167" s="513">
        <v>42957.314747362885</v>
      </c>
      <c r="F167" s="513">
        <v>42957.314747362885</v>
      </c>
      <c r="G167" s="512">
        <v>0</v>
      </c>
      <c r="H167" s="660">
        <v>0</v>
      </c>
      <c r="I167" s="659" t="s">
        <v>103</v>
      </c>
      <c r="J167" s="513">
        <v>0</v>
      </c>
      <c r="K167" s="513">
        <v>0</v>
      </c>
      <c r="L167" s="513">
        <v>0</v>
      </c>
      <c r="M167" s="513">
        <v>1145840.2920282269</v>
      </c>
      <c r="N167" s="622"/>
    </row>
    <row r="168" spans="2:14">
      <c r="B168" s="513" t="s">
        <v>144</v>
      </c>
      <c r="C168" s="658">
        <v>2016</v>
      </c>
      <c r="D168" s="513">
        <v>1145840.2920282269</v>
      </c>
      <c r="E168" s="513">
        <v>31276.390653954186</v>
      </c>
      <c r="F168" s="513">
        <v>31276.390653954186</v>
      </c>
      <c r="G168" s="513">
        <v>0</v>
      </c>
      <c r="H168" s="660">
        <v>0</v>
      </c>
      <c r="I168" s="659" t="s">
        <v>103</v>
      </c>
      <c r="J168" s="513">
        <v>0</v>
      </c>
      <c r="K168" s="513">
        <v>0</v>
      </c>
      <c r="L168" s="513">
        <v>0</v>
      </c>
      <c r="M168" s="513">
        <v>1177116.682682181</v>
      </c>
      <c r="N168" s="622"/>
    </row>
    <row r="169" spans="2:14">
      <c r="B169" s="513" t="s">
        <v>144</v>
      </c>
      <c r="C169" s="658">
        <v>2017</v>
      </c>
      <c r="D169" s="513">
        <v>1177116.682682181</v>
      </c>
      <c r="E169" s="513">
        <v>29002.335163629999</v>
      </c>
      <c r="F169" s="513">
        <v>29002.335163629999</v>
      </c>
      <c r="G169" s="513">
        <v>0</v>
      </c>
      <c r="H169" s="513">
        <v>0</v>
      </c>
      <c r="I169" s="659" t="s">
        <v>103</v>
      </c>
      <c r="J169" s="513">
        <v>0</v>
      </c>
      <c r="K169" s="513">
        <v>0</v>
      </c>
      <c r="L169" s="513">
        <v>0</v>
      </c>
      <c r="M169" s="513">
        <v>1206119.0178458111</v>
      </c>
      <c r="N169" s="622"/>
    </row>
    <row r="170" spans="2:14">
      <c r="B170" s="513" t="s">
        <v>144</v>
      </c>
      <c r="C170" s="889">
        <v>2018</v>
      </c>
      <c r="D170" s="513">
        <v>1206119.0178458111</v>
      </c>
      <c r="E170" s="513">
        <f>VLOOKUP(B170,'[6]2018 allocation'!$A$11:$B$218,2, FALSE)</f>
        <v>30958.688489242133</v>
      </c>
      <c r="F170" s="513">
        <f>E170</f>
        <v>30958.688489242133</v>
      </c>
      <c r="G170" s="513">
        <v>0</v>
      </c>
      <c r="H170" s="513">
        <v>0</v>
      </c>
      <c r="I170" s="622" t="s">
        <v>103</v>
      </c>
      <c r="J170" s="513">
        <f>VLOOKUP(B170,'[6]Annual Spending Worksheet '!$C$6:$AG$250,28,FALSE)</f>
        <v>0</v>
      </c>
      <c r="K170" s="513">
        <f>VLOOKUP(B170,'[6]Annual Spending Worksheet '!$C$6:$AG$250,29,FALSE)</f>
        <v>0</v>
      </c>
      <c r="L170" s="513">
        <v>0</v>
      </c>
      <c r="M170" s="513">
        <f>D170+E170+H170-J170</f>
        <v>1237077.7063350533</v>
      </c>
      <c r="N170" s="513"/>
    </row>
    <row r="171" spans="2:14">
      <c r="B171" s="513" t="s">
        <v>144</v>
      </c>
      <c r="C171" s="889">
        <v>2019</v>
      </c>
      <c r="D171" s="513">
        <v>1237077.7063350533</v>
      </c>
      <c r="E171" s="513">
        <v>33081.285999497646</v>
      </c>
      <c r="F171" s="513">
        <v>33081.285999497646</v>
      </c>
      <c r="G171" s="513">
        <v>0</v>
      </c>
      <c r="H171" s="513">
        <v>0</v>
      </c>
      <c r="I171" s="622" t="s">
        <v>103</v>
      </c>
      <c r="J171" s="513">
        <v>0</v>
      </c>
      <c r="K171" s="513">
        <v>0</v>
      </c>
      <c r="L171" s="513">
        <v>0</v>
      </c>
      <c r="M171" s="513">
        <v>1270158.9923345509</v>
      </c>
      <c r="N171" s="513"/>
    </row>
    <row r="172" spans="2:14">
      <c r="B172" s="513" t="s">
        <v>145</v>
      </c>
      <c r="C172" s="658">
        <v>2008</v>
      </c>
      <c r="D172" s="513">
        <v>3394006.6260000002</v>
      </c>
      <c r="E172" s="512">
        <v>451663.00557977241</v>
      </c>
      <c r="F172" s="513">
        <v>451663.00557977241</v>
      </c>
      <c r="G172" s="512">
        <v>0</v>
      </c>
      <c r="H172" s="512">
        <v>0</v>
      </c>
      <c r="I172" s="659" t="s">
        <v>103</v>
      </c>
      <c r="J172" s="513">
        <v>642949</v>
      </c>
      <c r="K172" s="513">
        <v>5187831</v>
      </c>
      <c r="L172" s="513">
        <v>0</v>
      </c>
      <c r="M172" s="513">
        <v>3202720.6315797726</v>
      </c>
      <c r="N172" s="622"/>
    </row>
    <row r="173" spans="2:14">
      <c r="B173" s="513" t="s">
        <v>145</v>
      </c>
      <c r="C173" s="658">
        <v>2009</v>
      </c>
      <c r="D173" s="513">
        <v>3202720.7015797738</v>
      </c>
      <c r="E173" s="512">
        <v>374151.43096476095</v>
      </c>
      <c r="F173" s="513">
        <v>374151.43096476095</v>
      </c>
      <c r="G173" s="512">
        <v>0</v>
      </c>
      <c r="H173" s="512">
        <v>0</v>
      </c>
      <c r="I173" s="659" t="s">
        <v>103</v>
      </c>
      <c r="J173" s="513">
        <v>138105.39000000016</v>
      </c>
      <c r="K173" s="513">
        <v>1369528</v>
      </c>
      <c r="L173" s="513">
        <v>0</v>
      </c>
      <c r="M173" s="513">
        <v>3438766.7425445346</v>
      </c>
      <c r="N173" s="622"/>
    </row>
    <row r="174" spans="2:14">
      <c r="B174" s="513" t="s">
        <v>145</v>
      </c>
      <c r="C174" s="658">
        <v>2010</v>
      </c>
      <c r="D174" s="513">
        <v>3438766.7425445337</v>
      </c>
      <c r="E174" s="512">
        <v>373695.16</v>
      </c>
      <c r="F174" s="513">
        <v>373695.16</v>
      </c>
      <c r="G174" s="512">
        <v>0</v>
      </c>
      <c r="H174" s="512">
        <v>0</v>
      </c>
      <c r="I174" s="659" t="s">
        <v>103</v>
      </c>
      <c r="J174" s="513">
        <v>22236.59</v>
      </c>
      <c r="K174" s="513">
        <v>0</v>
      </c>
      <c r="L174" s="513">
        <v>0</v>
      </c>
      <c r="M174" s="513">
        <v>3790225.312544534</v>
      </c>
      <c r="N174" s="622"/>
    </row>
    <row r="175" spans="2:14">
      <c r="B175" s="513" t="s">
        <v>145</v>
      </c>
      <c r="C175" s="658">
        <v>2011</v>
      </c>
      <c r="D175" s="513">
        <v>3790225.308997225</v>
      </c>
      <c r="E175" s="512">
        <v>379661.2692209424</v>
      </c>
      <c r="F175" s="513">
        <v>379661.2692209424</v>
      </c>
      <c r="G175" s="512">
        <v>0</v>
      </c>
      <c r="H175" s="512">
        <v>0</v>
      </c>
      <c r="I175" s="659" t="s">
        <v>103</v>
      </c>
      <c r="J175" s="513">
        <v>293301.42000000016</v>
      </c>
      <c r="K175" s="513">
        <v>0</v>
      </c>
      <c r="L175" s="513">
        <v>-121385.36999999918</v>
      </c>
      <c r="M175" s="513">
        <v>3997970.5282181669</v>
      </c>
      <c r="N175" s="622"/>
    </row>
    <row r="176" spans="2:14">
      <c r="B176" s="513" t="s">
        <v>145</v>
      </c>
      <c r="C176" s="658">
        <v>2012</v>
      </c>
      <c r="D176" s="513">
        <v>3997970.5282181669</v>
      </c>
      <c r="E176" s="513">
        <v>289196.27695178578</v>
      </c>
      <c r="F176" s="513">
        <v>289196.27695178578</v>
      </c>
      <c r="G176" s="512">
        <v>0</v>
      </c>
      <c r="H176" s="512">
        <v>0</v>
      </c>
      <c r="I176" s="659" t="s">
        <v>103</v>
      </c>
      <c r="J176" s="513">
        <v>3845.9499999999985</v>
      </c>
      <c r="K176" s="513">
        <v>0</v>
      </c>
      <c r="L176" s="513">
        <v>0</v>
      </c>
      <c r="M176" s="513">
        <v>4283320.8551699528</v>
      </c>
      <c r="N176" s="622"/>
    </row>
    <row r="177" spans="2:14">
      <c r="B177" s="513" t="s">
        <v>145</v>
      </c>
      <c r="C177" s="658">
        <v>2013</v>
      </c>
      <c r="D177" s="513">
        <v>4283320.8551699538</v>
      </c>
      <c r="E177" s="513">
        <v>414164.95025752892</v>
      </c>
      <c r="F177" s="513">
        <v>414164.95025752892</v>
      </c>
      <c r="G177" s="512">
        <v>0</v>
      </c>
      <c r="H177" s="512">
        <v>0</v>
      </c>
      <c r="I177" s="659" t="s">
        <v>103</v>
      </c>
      <c r="J177" s="513">
        <v>-97358.620000000039</v>
      </c>
      <c r="K177" s="513">
        <v>0</v>
      </c>
      <c r="L177" s="513">
        <v>115791.83</v>
      </c>
      <c r="M177" s="513">
        <v>4679052.5954274824</v>
      </c>
      <c r="N177" s="622"/>
    </row>
    <row r="178" spans="2:14">
      <c r="B178" s="513" t="s">
        <v>145</v>
      </c>
      <c r="C178" s="658">
        <v>2014</v>
      </c>
      <c r="D178" s="513">
        <v>4679052.5954274815</v>
      </c>
      <c r="E178" s="513">
        <v>428771.00788996165</v>
      </c>
      <c r="F178" s="513">
        <v>428771.00788996165</v>
      </c>
      <c r="G178" s="512">
        <v>0</v>
      </c>
      <c r="H178" s="512">
        <v>0</v>
      </c>
      <c r="I178" s="659" t="s">
        <v>103</v>
      </c>
      <c r="J178" s="513">
        <v>0</v>
      </c>
      <c r="K178" s="513">
        <v>0</v>
      </c>
      <c r="L178" s="513">
        <v>0</v>
      </c>
      <c r="M178" s="513">
        <v>5107823.6033174433</v>
      </c>
      <c r="N178" s="622"/>
    </row>
    <row r="179" spans="2:14">
      <c r="B179" s="513" t="s">
        <v>145</v>
      </c>
      <c r="C179" s="658">
        <v>2015</v>
      </c>
      <c r="D179" s="513">
        <v>5107823.6033174433</v>
      </c>
      <c r="E179" s="513">
        <v>434727.86699527106</v>
      </c>
      <c r="F179" s="513">
        <v>434727.86699527106</v>
      </c>
      <c r="G179" s="512">
        <v>0</v>
      </c>
      <c r="H179" s="660">
        <v>0</v>
      </c>
      <c r="I179" s="659" t="s">
        <v>103</v>
      </c>
      <c r="J179" s="513">
        <v>0</v>
      </c>
      <c r="K179" s="513">
        <v>0</v>
      </c>
      <c r="L179" s="513">
        <v>-22209.97</v>
      </c>
      <c r="M179" s="513">
        <v>5564761.4403127143</v>
      </c>
      <c r="N179" s="622"/>
    </row>
    <row r="180" spans="2:14">
      <c r="B180" s="513" t="s">
        <v>145</v>
      </c>
      <c r="C180" s="658">
        <v>2016</v>
      </c>
      <c r="D180" s="513">
        <v>5564761.4403127152</v>
      </c>
      <c r="E180" s="513">
        <v>325889.27145674115</v>
      </c>
      <c r="F180" s="513">
        <v>325889.27145674115</v>
      </c>
      <c r="G180" s="513">
        <v>0</v>
      </c>
      <c r="H180" s="660">
        <v>0</v>
      </c>
      <c r="I180" s="659" t="s">
        <v>103</v>
      </c>
      <c r="J180" s="513">
        <v>0</v>
      </c>
      <c r="K180" s="513">
        <v>0</v>
      </c>
      <c r="L180" s="513">
        <v>0</v>
      </c>
      <c r="M180" s="513">
        <v>5890650.711769456</v>
      </c>
      <c r="N180" s="622"/>
    </row>
    <row r="181" spans="2:14">
      <c r="B181" s="513" t="s">
        <v>145</v>
      </c>
      <c r="C181" s="658">
        <v>2017</v>
      </c>
      <c r="D181" s="513">
        <v>5890650.711769456</v>
      </c>
      <c r="E181" s="513">
        <v>304356.75066733907</v>
      </c>
      <c r="F181" s="513">
        <v>304356.75066733907</v>
      </c>
      <c r="G181" s="513">
        <v>0</v>
      </c>
      <c r="H181" s="513">
        <v>0</v>
      </c>
      <c r="I181" s="659" t="s">
        <v>103</v>
      </c>
      <c r="J181" s="513">
        <v>0</v>
      </c>
      <c r="K181" s="513">
        <v>0</v>
      </c>
      <c r="L181" s="513">
        <v>0</v>
      </c>
      <c r="M181" s="513">
        <v>6195007.4624367952</v>
      </c>
      <c r="N181" s="622"/>
    </row>
    <row r="182" spans="2:14">
      <c r="B182" s="513" t="s">
        <v>145</v>
      </c>
      <c r="C182" s="889">
        <v>2018</v>
      </c>
      <c r="D182" s="513">
        <v>6195007.4624367952</v>
      </c>
      <c r="E182" s="513">
        <f>VLOOKUP(B182,'[6]2018 allocation'!$A$11:$B$218,2, FALSE)</f>
        <v>322539.304549122</v>
      </c>
      <c r="F182" s="513">
        <f>E182</f>
        <v>322539.304549122</v>
      </c>
      <c r="G182" s="513">
        <v>0</v>
      </c>
      <c r="H182" s="513">
        <v>0</v>
      </c>
      <c r="I182" s="622" t="s">
        <v>103</v>
      </c>
      <c r="J182" s="513">
        <f>VLOOKUP(B182,'[6]Annual Spending Worksheet '!$C$6:$AG$250,28,FALSE)</f>
        <v>0</v>
      </c>
      <c r="K182" s="513">
        <f>VLOOKUP(B182,'[6]Annual Spending Worksheet '!$C$6:$AG$250,29,FALSE)</f>
        <v>0</v>
      </c>
      <c r="L182" s="513">
        <v>0</v>
      </c>
      <c r="M182" s="513">
        <f>D182+E182+H182-J182</f>
        <v>6517546.7669859175</v>
      </c>
      <c r="N182" s="513"/>
    </row>
    <row r="183" spans="2:14">
      <c r="B183" s="513" t="s">
        <v>145</v>
      </c>
      <c r="C183" s="889">
        <v>2019</v>
      </c>
      <c r="D183" s="513">
        <v>6517546.7669859175</v>
      </c>
      <c r="E183" s="513">
        <v>341812.84093305899</v>
      </c>
      <c r="F183" s="513">
        <v>341812.84093305899</v>
      </c>
      <c r="G183" s="513">
        <v>0</v>
      </c>
      <c r="H183" s="513">
        <v>0</v>
      </c>
      <c r="I183" s="622" t="s">
        <v>103</v>
      </c>
      <c r="J183" s="513">
        <v>0</v>
      </c>
      <c r="K183" s="513">
        <v>0</v>
      </c>
      <c r="L183" s="513">
        <v>0</v>
      </c>
      <c r="M183" s="513">
        <v>6859359.6079189768</v>
      </c>
      <c r="N183" s="513"/>
    </row>
    <row r="184" spans="2:14" ht="29.1">
      <c r="B184" s="513" t="s">
        <v>157</v>
      </c>
      <c r="C184" s="658">
        <v>2008</v>
      </c>
      <c r="D184" s="513">
        <v>-2733419.101999999</v>
      </c>
      <c r="E184" s="512">
        <v>283924.34803138033</v>
      </c>
      <c r="F184" s="513">
        <v>283924.34803138033</v>
      </c>
      <c r="G184" s="660">
        <v>-2449494.7539686188</v>
      </c>
      <c r="H184" s="512">
        <v>0</v>
      </c>
      <c r="I184" s="659" t="s">
        <v>103</v>
      </c>
      <c r="J184" s="513">
        <v>419971</v>
      </c>
      <c r="K184" s="513">
        <v>0</v>
      </c>
      <c r="L184" s="513">
        <v>0</v>
      </c>
      <c r="M184" s="513">
        <v>-2869465.7539686188</v>
      </c>
      <c r="N184" s="622" t="s">
        <v>1710</v>
      </c>
    </row>
    <row r="185" spans="2:14" ht="29.1">
      <c r="B185" s="513" t="s">
        <v>157</v>
      </c>
      <c r="C185" s="658">
        <v>2009</v>
      </c>
      <c r="D185" s="513">
        <v>-2869466.1739686206</v>
      </c>
      <c r="E185" s="512">
        <v>235454.88806958302</v>
      </c>
      <c r="F185" s="513">
        <v>235454.88806958302</v>
      </c>
      <c r="G185" s="660">
        <v>-2634011.2858990375</v>
      </c>
      <c r="H185" s="512">
        <v>0</v>
      </c>
      <c r="I185" s="659" t="s">
        <v>103</v>
      </c>
      <c r="J185" s="513">
        <v>4199.1200000000008</v>
      </c>
      <c r="K185" s="513">
        <v>0</v>
      </c>
      <c r="L185" s="513">
        <v>0</v>
      </c>
      <c r="M185" s="513">
        <v>-2638210.4058990376</v>
      </c>
      <c r="N185" s="622" t="s">
        <v>1711</v>
      </c>
    </row>
    <row r="186" spans="2:14" ht="29.1">
      <c r="B186" s="513" t="s">
        <v>157</v>
      </c>
      <c r="C186" s="658">
        <v>2010</v>
      </c>
      <c r="D186" s="513">
        <v>-2638210.4058990367</v>
      </c>
      <c r="E186" s="512">
        <v>235179.19</v>
      </c>
      <c r="F186" s="513">
        <v>235179.19</v>
      </c>
      <c r="G186" s="660">
        <v>-2403031.2158990367</v>
      </c>
      <c r="H186" s="512">
        <v>0</v>
      </c>
      <c r="I186" s="659" t="s">
        <v>103</v>
      </c>
      <c r="J186" s="513">
        <v>0</v>
      </c>
      <c r="K186" s="513">
        <v>0</v>
      </c>
      <c r="L186" s="513">
        <v>0</v>
      </c>
      <c r="M186" s="513">
        <v>-2403031.2158990367</v>
      </c>
      <c r="N186" s="622" t="s">
        <v>1712</v>
      </c>
    </row>
    <row r="187" spans="2:14" ht="29.1">
      <c r="B187" s="513" t="s">
        <v>157</v>
      </c>
      <c r="C187" s="658">
        <v>2011</v>
      </c>
      <c r="D187" s="513">
        <v>-2403031.2119864952</v>
      </c>
      <c r="E187" s="512">
        <v>238821.23462232575</v>
      </c>
      <c r="F187" s="513">
        <v>238821.23462232575</v>
      </c>
      <c r="G187" s="660">
        <v>-2164209.9773641694</v>
      </c>
      <c r="H187" s="512">
        <v>0</v>
      </c>
      <c r="I187" s="659" t="s">
        <v>103</v>
      </c>
      <c r="J187" s="513">
        <v>32.639999999999993</v>
      </c>
      <c r="K187" s="513">
        <v>0</v>
      </c>
      <c r="L187" s="513">
        <v>86.120000001508743</v>
      </c>
      <c r="M187" s="513">
        <v>-2164328.7373641711</v>
      </c>
      <c r="N187" s="622" t="s">
        <v>1711</v>
      </c>
    </row>
    <row r="188" spans="2:14" ht="29.1">
      <c r="B188" s="513" t="s">
        <v>157</v>
      </c>
      <c r="C188" s="658">
        <v>2012</v>
      </c>
      <c r="D188" s="513">
        <v>-2164328.7373641711</v>
      </c>
      <c r="E188" s="512">
        <v>182153.60454627062</v>
      </c>
      <c r="F188" s="513">
        <v>182153.60454627062</v>
      </c>
      <c r="G188" s="660">
        <v>-1982175.1328179005</v>
      </c>
      <c r="H188" s="512">
        <v>0</v>
      </c>
      <c r="I188" s="659" t="s">
        <v>103</v>
      </c>
      <c r="J188" s="513">
        <v>0</v>
      </c>
      <c r="K188" s="513">
        <v>0</v>
      </c>
      <c r="L188" s="513">
        <v>0</v>
      </c>
      <c r="M188" s="513">
        <v>-1982175.1328179005</v>
      </c>
      <c r="N188" s="622" t="s">
        <v>1711</v>
      </c>
    </row>
    <row r="189" spans="2:14" ht="29.1">
      <c r="B189" s="513" t="s">
        <v>157</v>
      </c>
      <c r="C189" s="658">
        <v>2013</v>
      </c>
      <c r="D189" s="513">
        <v>-1982175.1328178998</v>
      </c>
      <c r="E189" s="513">
        <v>260460.2192196305</v>
      </c>
      <c r="F189" s="513">
        <v>260460.2192196305</v>
      </c>
      <c r="G189" s="660">
        <v>-1721714.9135982692</v>
      </c>
      <c r="H189" s="512">
        <v>0</v>
      </c>
      <c r="I189" s="659" t="s">
        <v>103</v>
      </c>
      <c r="J189" s="513">
        <v>0</v>
      </c>
      <c r="K189" s="513">
        <v>0</v>
      </c>
      <c r="L189" s="513">
        <v>0</v>
      </c>
      <c r="M189" s="513">
        <v>-1721714.9135982692</v>
      </c>
      <c r="N189" s="622" t="s">
        <v>1711</v>
      </c>
    </row>
    <row r="190" spans="2:14" ht="29.1">
      <c r="B190" s="513" t="s">
        <v>157</v>
      </c>
      <c r="C190" s="658">
        <v>2014</v>
      </c>
      <c r="D190" s="513">
        <v>-1721714.9135982692</v>
      </c>
      <c r="E190" s="513">
        <v>269490.51577402011</v>
      </c>
      <c r="F190" s="513">
        <v>269490.51577402011</v>
      </c>
      <c r="G190" s="660">
        <v>-1452224.3978242492</v>
      </c>
      <c r="H190" s="512">
        <v>0</v>
      </c>
      <c r="I190" s="659" t="s">
        <v>103</v>
      </c>
      <c r="J190" s="513">
        <v>0</v>
      </c>
      <c r="K190" s="513">
        <v>0</v>
      </c>
      <c r="L190" s="513">
        <v>0</v>
      </c>
      <c r="M190" s="513">
        <v>-1452224.3978242492</v>
      </c>
      <c r="N190" s="622" t="s">
        <v>1711</v>
      </c>
    </row>
    <row r="191" spans="2:14" ht="29.1">
      <c r="B191" s="513" t="s">
        <v>157</v>
      </c>
      <c r="C191" s="658">
        <v>2015</v>
      </c>
      <c r="D191" s="513">
        <v>-1452224.3978242483</v>
      </c>
      <c r="E191" s="513">
        <v>273120.91499471047</v>
      </c>
      <c r="F191" s="513">
        <v>273120.91499471047</v>
      </c>
      <c r="G191" s="660">
        <v>-1179103.4828295377</v>
      </c>
      <c r="H191" s="512">
        <v>0</v>
      </c>
      <c r="I191" s="659" t="s">
        <v>103</v>
      </c>
      <c r="J191" s="513">
        <v>0</v>
      </c>
      <c r="K191" s="513">
        <v>0</v>
      </c>
      <c r="L191" s="513">
        <v>0</v>
      </c>
      <c r="M191" s="513">
        <v>-1179103.4828295377</v>
      </c>
      <c r="N191" s="622" t="s">
        <v>1711</v>
      </c>
    </row>
    <row r="192" spans="2:14" ht="29.1">
      <c r="B192" s="513" t="s">
        <v>157</v>
      </c>
      <c r="C192" s="658">
        <v>2016</v>
      </c>
      <c r="D192" s="513">
        <v>-1179103.4828295372</v>
      </c>
      <c r="E192" s="513">
        <v>205866.96150668309</v>
      </c>
      <c r="F192" s="513">
        <v>205866.96150668309</v>
      </c>
      <c r="G192" s="660">
        <v>-973236.5213228541</v>
      </c>
      <c r="H192" s="660">
        <v>0</v>
      </c>
      <c r="I192" s="659" t="s">
        <v>103</v>
      </c>
      <c r="J192" s="513">
        <v>0</v>
      </c>
      <c r="K192" s="513">
        <v>0</v>
      </c>
      <c r="L192" s="513">
        <v>0</v>
      </c>
      <c r="M192" s="513">
        <v>-973236.5213228541</v>
      </c>
      <c r="N192" s="622" t="s">
        <v>1711</v>
      </c>
    </row>
    <row r="193" spans="2:14" ht="29.1">
      <c r="B193" s="513" t="s">
        <v>157</v>
      </c>
      <c r="C193" s="658">
        <v>2017</v>
      </c>
      <c r="D193" s="513">
        <v>-973236.52132285386</v>
      </c>
      <c r="E193" s="513">
        <v>192748.01491308078</v>
      </c>
      <c r="F193" s="513">
        <v>192748.01491308078</v>
      </c>
      <c r="G193" s="660">
        <v>-780488.50640977314</v>
      </c>
      <c r="H193" s="660">
        <v>0</v>
      </c>
      <c r="I193" s="659" t="s">
        <v>103</v>
      </c>
      <c r="J193" s="513">
        <v>0</v>
      </c>
      <c r="K193" s="513">
        <v>0</v>
      </c>
      <c r="L193" s="513">
        <v>0</v>
      </c>
      <c r="M193" s="513">
        <v>-780488.50640977314</v>
      </c>
      <c r="N193" s="622" t="s">
        <v>1711</v>
      </c>
    </row>
    <row r="194" spans="2:14">
      <c r="B194" s="513" t="s">
        <v>157</v>
      </c>
      <c r="C194" s="889">
        <v>2018</v>
      </c>
      <c r="D194" s="513">
        <v>-780488.50640977314</v>
      </c>
      <c r="E194" s="513">
        <f>VLOOKUP(B194,'[6]2018 allocation'!$A$11:$B$218,2, FALSE)</f>
        <v>203976.00811569171</v>
      </c>
      <c r="F194" s="513">
        <f>E194</f>
        <v>203976.00811569171</v>
      </c>
      <c r="G194" s="513">
        <f>D194+E194</f>
        <v>-576512.49829408142</v>
      </c>
      <c r="H194" s="513">
        <v>0</v>
      </c>
      <c r="I194" s="622" t="s">
        <v>103</v>
      </c>
      <c r="J194" s="513">
        <f>VLOOKUP(B194,'[6]Annual Spending Worksheet '!$C$6:$AG$250,28,FALSE)</f>
        <v>0</v>
      </c>
      <c r="K194" s="513">
        <f>VLOOKUP(B194,'[6]Annual Spending Worksheet '!$C$6:$AG$250,29,FALSE)</f>
        <v>0</v>
      </c>
      <c r="L194" s="513">
        <v>0</v>
      </c>
      <c r="M194" s="513">
        <f>D194+E194+H194-J194</f>
        <v>-576512.49829408142</v>
      </c>
      <c r="N194" s="513" t="s">
        <v>1711</v>
      </c>
    </row>
    <row r="195" spans="2:14">
      <c r="B195" s="513" t="s">
        <v>157</v>
      </c>
      <c r="C195" s="889">
        <v>2019</v>
      </c>
      <c r="D195" s="513">
        <v>-576512.49829408142</v>
      </c>
      <c r="E195" s="513">
        <v>215759.75579058175</v>
      </c>
      <c r="F195" s="513">
        <v>215759.75579058175</v>
      </c>
      <c r="G195" s="513">
        <v>-360752.74250349967</v>
      </c>
      <c r="H195" s="513">
        <v>0</v>
      </c>
      <c r="I195" s="622" t="s">
        <v>103</v>
      </c>
      <c r="J195" s="513">
        <v>0</v>
      </c>
      <c r="K195" s="513">
        <v>0</v>
      </c>
      <c r="L195" s="513">
        <v>0</v>
      </c>
      <c r="M195" s="513">
        <v>-360752.74250349967</v>
      </c>
      <c r="N195" s="513" t="s">
        <v>1711</v>
      </c>
    </row>
    <row r="196" spans="2:14">
      <c r="B196" s="513" t="s">
        <v>160</v>
      </c>
      <c r="C196" s="658">
        <v>2008</v>
      </c>
      <c r="D196" s="513">
        <v>528860.05900000012</v>
      </c>
      <c r="E196" s="512">
        <v>66519.303748761668</v>
      </c>
      <c r="F196" s="513">
        <v>66519.303748761668</v>
      </c>
      <c r="G196" s="512">
        <v>0</v>
      </c>
      <c r="H196" s="512">
        <v>0</v>
      </c>
      <c r="I196" s="659" t="s">
        <v>103</v>
      </c>
      <c r="J196" s="513">
        <v>0</v>
      </c>
      <c r="K196" s="513">
        <v>0</v>
      </c>
      <c r="L196" s="513">
        <v>0</v>
      </c>
      <c r="M196" s="513">
        <v>595379.36274876178</v>
      </c>
      <c r="N196" s="622"/>
    </row>
    <row r="197" spans="2:14" ht="56.1" customHeight="1">
      <c r="B197" s="513" t="s">
        <v>160</v>
      </c>
      <c r="C197" s="658">
        <v>2009</v>
      </c>
      <c r="D197" s="513">
        <v>595379.36274876189</v>
      </c>
      <c r="E197" s="512">
        <v>54676.806758337698</v>
      </c>
      <c r="F197" s="513">
        <v>54676.806758337698</v>
      </c>
      <c r="G197" s="512">
        <v>0</v>
      </c>
      <c r="H197" s="512">
        <v>0</v>
      </c>
      <c r="I197" s="659" t="s">
        <v>103</v>
      </c>
      <c r="J197" s="513">
        <v>0</v>
      </c>
      <c r="K197" s="513">
        <v>0</v>
      </c>
      <c r="L197" s="513">
        <v>0</v>
      </c>
      <c r="M197" s="513">
        <v>650056.16950709955</v>
      </c>
      <c r="N197" s="622"/>
    </row>
    <row r="198" spans="2:14">
      <c r="B198" s="513" t="s">
        <v>160</v>
      </c>
      <c r="C198" s="658">
        <v>2010</v>
      </c>
      <c r="D198" s="513">
        <v>650056.16950709955</v>
      </c>
      <c r="E198" s="512">
        <v>54604.89</v>
      </c>
      <c r="F198" s="513">
        <v>54604.89</v>
      </c>
      <c r="G198" s="512">
        <v>0</v>
      </c>
      <c r="H198" s="512">
        <v>0</v>
      </c>
      <c r="I198" s="659" t="s">
        <v>103</v>
      </c>
      <c r="J198" s="513">
        <v>0</v>
      </c>
      <c r="K198" s="513">
        <v>0</v>
      </c>
      <c r="L198" s="513">
        <v>0</v>
      </c>
      <c r="M198" s="513">
        <v>704661.05950709956</v>
      </c>
      <c r="N198" s="622"/>
    </row>
    <row r="199" spans="2:14">
      <c r="B199" s="513" t="s">
        <v>160</v>
      </c>
      <c r="C199" s="658">
        <v>2011</v>
      </c>
      <c r="D199" s="513">
        <v>704661.05975457141</v>
      </c>
      <c r="E199" s="512">
        <v>55453.670922216974</v>
      </c>
      <c r="F199" s="513">
        <v>55453.670922216974</v>
      </c>
      <c r="G199" s="512">
        <v>0</v>
      </c>
      <c r="H199" s="512">
        <v>0</v>
      </c>
      <c r="I199" s="659" t="s">
        <v>103</v>
      </c>
      <c r="J199" s="513">
        <v>0</v>
      </c>
      <c r="K199" s="513">
        <v>0</v>
      </c>
      <c r="L199" s="513">
        <v>0</v>
      </c>
      <c r="M199" s="513">
        <v>760114.73067678837</v>
      </c>
      <c r="N199" s="622"/>
    </row>
    <row r="200" spans="2:14">
      <c r="B200" s="513" t="s">
        <v>160</v>
      </c>
      <c r="C200" s="658">
        <v>2012</v>
      </c>
      <c r="D200" s="513">
        <v>760114.73067678837</v>
      </c>
      <c r="E200" s="513">
        <v>41300.656942384761</v>
      </c>
      <c r="F200" s="513">
        <v>41300.656942384761</v>
      </c>
      <c r="G200" s="512">
        <v>0</v>
      </c>
      <c r="H200" s="512">
        <v>0</v>
      </c>
      <c r="I200" s="659" t="s">
        <v>103</v>
      </c>
      <c r="J200" s="513">
        <v>0</v>
      </c>
      <c r="K200" s="513">
        <v>0</v>
      </c>
      <c r="L200" s="513">
        <v>0</v>
      </c>
      <c r="M200" s="513">
        <v>801415.38761917315</v>
      </c>
      <c r="N200" s="622"/>
    </row>
    <row r="201" spans="2:14">
      <c r="B201" s="513" t="s">
        <v>160</v>
      </c>
      <c r="C201" s="658">
        <v>2013</v>
      </c>
      <c r="D201" s="513">
        <v>801415.38761917315</v>
      </c>
      <c r="E201" s="513">
        <v>60837.456421888259</v>
      </c>
      <c r="F201" s="513">
        <v>60837.456421888259</v>
      </c>
      <c r="G201" s="512">
        <v>0</v>
      </c>
      <c r="H201" s="512">
        <v>0</v>
      </c>
      <c r="I201" s="659" t="s">
        <v>103</v>
      </c>
      <c r="J201" s="513">
        <v>0</v>
      </c>
      <c r="K201" s="513">
        <v>0</v>
      </c>
      <c r="L201" s="513">
        <v>0</v>
      </c>
      <c r="M201" s="513">
        <v>862252.84404106135</v>
      </c>
      <c r="N201" s="622"/>
    </row>
    <row r="202" spans="2:14">
      <c r="B202" s="513" t="s">
        <v>160</v>
      </c>
      <c r="C202" s="658">
        <v>2014</v>
      </c>
      <c r="D202" s="513">
        <v>862252.84404106159</v>
      </c>
      <c r="E202" s="513">
        <v>63104.1421893406</v>
      </c>
      <c r="F202" s="513">
        <v>63104.1421893406</v>
      </c>
      <c r="G202" s="512">
        <v>0</v>
      </c>
      <c r="H202" s="512">
        <v>0</v>
      </c>
      <c r="I202" s="659" t="s">
        <v>103</v>
      </c>
      <c r="J202" s="513">
        <v>0</v>
      </c>
      <c r="K202" s="513">
        <v>0</v>
      </c>
      <c r="L202" s="513">
        <v>0</v>
      </c>
      <c r="M202" s="513">
        <v>925356.98623040214</v>
      </c>
      <c r="N202" s="622"/>
    </row>
    <row r="203" spans="2:14">
      <c r="B203" s="513" t="s">
        <v>160</v>
      </c>
      <c r="C203" s="658">
        <v>2015</v>
      </c>
      <c r="D203" s="513">
        <v>925356.98623040225</v>
      </c>
      <c r="E203" s="513">
        <v>64038.648585967698</v>
      </c>
      <c r="F203" s="513">
        <v>64038.648585967698</v>
      </c>
      <c r="G203" s="512">
        <v>0</v>
      </c>
      <c r="H203" s="660">
        <v>0</v>
      </c>
      <c r="I203" s="659" t="s">
        <v>103</v>
      </c>
      <c r="J203" s="513">
        <v>0</v>
      </c>
      <c r="K203" s="513">
        <v>0</v>
      </c>
      <c r="L203" s="513">
        <v>0</v>
      </c>
      <c r="M203" s="513">
        <v>989395.63481636997</v>
      </c>
      <c r="N203" s="622"/>
    </row>
    <row r="204" spans="2:14">
      <c r="B204" s="513" t="s">
        <v>160</v>
      </c>
      <c r="C204" s="658">
        <v>2016</v>
      </c>
      <c r="D204" s="513">
        <v>989395.63481636997</v>
      </c>
      <c r="E204" s="513">
        <v>47117.051312688724</v>
      </c>
      <c r="F204" s="513">
        <v>47117.051312688724</v>
      </c>
      <c r="G204" s="660">
        <v>0</v>
      </c>
      <c r="H204" s="660">
        <v>0</v>
      </c>
      <c r="I204" s="659" t="s">
        <v>103</v>
      </c>
      <c r="J204" s="513">
        <v>0</v>
      </c>
      <c r="K204" s="513">
        <v>0</v>
      </c>
      <c r="L204" s="513">
        <v>0</v>
      </c>
      <c r="M204" s="513">
        <v>1036512.6861290587</v>
      </c>
      <c r="N204" s="622"/>
    </row>
    <row r="205" spans="2:14">
      <c r="B205" s="513" t="s">
        <v>160</v>
      </c>
      <c r="C205" s="658">
        <v>2017</v>
      </c>
      <c r="D205" s="513">
        <v>1036512.6861290587</v>
      </c>
      <c r="E205" s="513">
        <v>43810.146772947846</v>
      </c>
      <c r="F205" s="513">
        <v>43810.146772947846</v>
      </c>
      <c r="G205" s="513">
        <v>0</v>
      </c>
      <c r="H205" s="513">
        <v>0</v>
      </c>
      <c r="I205" s="659" t="s">
        <v>103</v>
      </c>
      <c r="J205" s="513">
        <v>0</v>
      </c>
      <c r="K205" s="513">
        <v>0</v>
      </c>
      <c r="L205" s="513">
        <v>0</v>
      </c>
      <c r="M205" s="513">
        <v>1080322.8329020066</v>
      </c>
      <c r="N205" s="622"/>
    </row>
    <row r="206" spans="2:14">
      <c r="B206" s="513" t="s">
        <v>160</v>
      </c>
      <c r="C206" s="889">
        <v>2018</v>
      </c>
      <c r="D206" s="513">
        <v>1080322.8329020066</v>
      </c>
      <c r="E206" s="513">
        <f>VLOOKUP(B206,'[6]2018 allocation'!$A$11:$B$218,2, FALSE)</f>
        <v>46614.395852841568</v>
      </c>
      <c r="F206" s="513">
        <f>E206</f>
        <v>46614.395852841568</v>
      </c>
      <c r="G206" s="513">
        <v>0</v>
      </c>
      <c r="H206" s="513">
        <v>0</v>
      </c>
      <c r="I206" s="622" t="s">
        <v>103</v>
      </c>
      <c r="J206" s="513">
        <f>VLOOKUP(B206,'[6]Annual Spending Worksheet '!$C$6:$AG$250,28,FALSE)</f>
        <v>0</v>
      </c>
      <c r="K206" s="513">
        <f>VLOOKUP(B206,'[6]Annual Spending Worksheet '!$C$6:$AG$250,29,FALSE)</f>
        <v>0</v>
      </c>
      <c r="L206" s="513">
        <v>0</v>
      </c>
      <c r="M206" s="513">
        <f>D206+E206+H206-J206</f>
        <v>1126937.2287548482</v>
      </c>
      <c r="N206" s="513"/>
    </row>
    <row r="207" spans="2:14">
      <c r="B207" s="513" t="s">
        <v>160</v>
      </c>
      <c r="C207" s="889">
        <v>2019</v>
      </c>
      <c r="D207" s="513">
        <v>1126937.2287548482</v>
      </c>
      <c r="E207" s="513">
        <v>49590.29839213597</v>
      </c>
      <c r="F207" s="513">
        <v>49590.29839213597</v>
      </c>
      <c r="G207" s="513">
        <v>0</v>
      </c>
      <c r="H207" s="513">
        <v>0</v>
      </c>
      <c r="I207" s="622" t="s">
        <v>103</v>
      </c>
      <c r="J207" s="513">
        <v>0</v>
      </c>
      <c r="K207" s="513">
        <v>0</v>
      </c>
      <c r="L207" s="513">
        <v>0</v>
      </c>
      <c r="M207" s="513">
        <v>1176527.5271469841</v>
      </c>
      <c r="N207" s="513"/>
    </row>
    <row r="208" spans="2:14">
      <c r="B208" s="513" t="s">
        <v>161</v>
      </c>
      <c r="C208" s="658">
        <v>2008</v>
      </c>
      <c r="D208" s="513">
        <v>28258.082000000053</v>
      </c>
      <c r="E208" s="512">
        <v>22783.022734073769</v>
      </c>
      <c r="F208" s="513">
        <v>22783.022734073769</v>
      </c>
      <c r="G208" s="512">
        <v>0</v>
      </c>
      <c r="H208" s="512">
        <v>0</v>
      </c>
      <c r="I208" s="659" t="s">
        <v>103</v>
      </c>
      <c r="J208" s="513">
        <v>0</v>
      </c>
      <c r="K208" s="513">
        <v>0</v>
      </c>
      <c r="L208" s="513">
        <v>0</v>
      </c>
      <c r="M208" s="513">
        <v>51041.104734073822</v>
      </c>
      <c r="N208" s="622"/>
    </row>
    <row r="209" spans="2:14">
      <c r="B209" s="513" t="s">
        <v>161</v>
      </c>
      <c r="C209" s="658">
        <v>2009</v>
      </c>
      <c r="D209" s="513">
        <v>51041.104734073859</v>
      </c>
      <c r="E209" s="512">
        <v>18556.487401470826</v>
      </c>
      <c r="F209" s="513">
        <v>18556.487401470826</v>
      </c>
      <c r="G209" s="512">
        <v>0</v>
      </c>
      <c r="H209" s="512">
        <v>0</v>
      </c>
      <c r="I209" s="659" t="s">
        <v>103</v>
      </c>
      <c r="J209" s="513">
        <v>0</v>
      </c>
      <c r="K209" s="513">
        <v>0</v>
      </c>
      <c r="L209" s="513">
        <v>0</v>
      </c>
      <c r="M209" s="513">
        <v>69597.592135544692</v>
      </c>
      <c r="N209" s="622"/>
    </row>
    <row r="210" spans="2:14">
      <c r="B210" s="513" t="s">
        <v>161</v>
      </c>
      <c r="C210" s="658">
        <v>2010</v>
      </c>
      <c r="D210" s="513">
        <v>69597.592135544633</v>
      </c>
      <c r="E210" s="512">
        <v>18531.75</v>
      </c>
      <c r="F210" s="513">
        <v>18531.75</v>
      </c>
      <c r="G210" s="512">
        <v>0</v>
      </c>
      <c r="H210" s="512">
        <v>0</v>
      </c>
      <c r="I210" s="659" t="s">
        <v>103</v>
      </c>
      <c r="J210" s="513">
        <v>0</v>
      </c>
      <c r="K210" s="513">
        <v>0</v>
      </c>
      <c r="L210" s="513">
        <v>0</v>
      </c>
      <c r="M210" s="513">
        <v>88129.342135544633</v>
      </c>
      <c r="N210" s="622"/>
    </row>
    <row r="211" spans="2:14">
      <c r="B211" s="513" t="s">
        <v>161</v>
      </c>
      <c r="C211" s="658">
        <v>2011</v>
      </c>
      <c r="D211" s="513">
        <v>88129.341954635107</v>
      </c>
      <c r="E211" s="512">
        <v>18832.325028121028</v>
      </c>
      <c r="F211" s="513">
        <v>18832.325028121028</v>
      </c>
      <c r="G211" s="512">
        <v>0</v>
      </c>
      <c r="H211" s="512">
        <v>0</v>
      </c>
      <c r="I211" s="659" t="s">
        <v>103</v>
      </c>
      <c r="J211" s="513">
        <v>0</v>
      </c>
      <c r="K211" s="513">
        <v>0</v>
      </c>
      <c r="L211" s="513">
        <v>0</v>
      </c>
      <c r="M211" s="513">
        <v>106961.66698275614</v>
      </c>
      <c r="N211" s="622"/>
    </row>
    <row r="212" spans="2:14">
      <c r="B212" s="513" t="s">
        <v>161</v>
      </c>
      <c r="C212" s="658">
        <v>2012</v>
      </c>
      <c r="D212" s="513">
        <v>106961.66698275611</v>
      </c>
      <c r="E212" s="513">
        <v>13750.133665958296</v>
      </c>
      <c r="F212" s="513">
        <v>13750.133665958296</v>
      </c>
      <c r="G212" s="512">
        <v>0</v>
      </c>
      <c r="H212" s="512">
        <v>0</v>
      </c>
      <c r="I212" s="659" t="s">
        <v>103</v>
      </c>
      <c r="J212" s="513">
        <v>0</v>
      </c>
      <c r="K212" s="513">
        <v>0</v>
      </c>
      <c r="L212" s="513">
        <v>0</v>
      </c>
      <c r="M212" s="513">
        <v>120711.80064871442</v>
      </c>
      <c r="N212" s="622"/>
    </row>
    <row r="213" spans="2:14">
      <c r="B213" s="513" t="s">
        <v>161</v>
      </c>
      <c r="C213" s="658">
        <v>2013</v>
      </c>
      <c r="D213" s="513">
        <v>120711.80064871442</v>
      </c>
      <c r="E213" s="513">
        <v>20763.616579905502</v>
      </c>
      <c r="F213" s="513">
        <v>20763.616579905502</v>
      </c>
      <c r="G213" s="512">
        <v>0</v>
      </c>
      <c r="H213" s="512">
        <v>0</v>
      </c>
      <c r="I213" s="659" t="s">
        <v>103</v>
      </c>
      <c r="J213" s="513">
        <v>0</v>
      </c>
      <c r="K213" s="513">
        <v>0</v>
      </c>
      <c r="L213" s="513">
        <v>0</v>
      </c>
      <c r="M213" s="513">
        <v>141475.41722861992</v>
      </c>
      <c r="N213" s="622"/>
    </row>
    <row r="214" spans="2:14">
      <c r="B214" s="513" t="s">
        <v>161</v>
      </c>
      <c r="C214" s="658">
        <v>2014</v>
      </c>
      <c r="D214" s="513">
        <v>141475.41722861992</v>
      </c>
      <c r="E214" s="513">
        <v>21574.982842757796</v>
      </c>
      <c r="F214" s="513">
        <v>21574.982842757796</v>
      </c>
      <c r="G214" s="512">
        <v>0</v>
      </c>
      <c r="H214" s="512">
        <v>0</v>
      </c>
      <c r="I214" s="659" t="s">
        <v>103</v>
      </c>
      <c r="J214" s="513">
        <v>0</v>
      </c>
      <c r="K214" s="513">
        <v>0</v>
      </c>
      <c r="L214" s="513">
        <v>0</v>
      </c>
      <c r="M214" s="513">
        <v>163050.40007137772</v>
      </c>
      <c r="N214" s="622"/>
    </row>
    <row r="215" spans="2:14">
      <c r="B215" s="513" t="s">
        <v>161</v>
      </c>
      <c r="C215" s="658">
        <v>2015</v>
      </c>
      <c r="D215" s="513">
        <v>163050.40007137775</v>
      </c>
      <c r="E215" s="513">
        <v>21906.259161704544</v>
      </c>
      <c r="F215" s="513">
        <v>21906.259161704544</v>
      </c>
      <c r="G215" s="512">
        <v>0</v>
      </c>
      <c r="H215" s="660">
        <v>0</v>
      </c>
      <c r="I215" s="659" t="s">
        <v>103</v>
      </c>
      <c r="J215" s="513">
        <v>0</v>
      </c>
      <c r="K215" s="513">
        <v>0</v>
      </c>
      <c r="L215" s="513">
        <v>0</v>
      </c>
      <c r="M215" s="513">
        <v>184956.65923308229</v>
      </c>
      <c r="N215" s="622"/>
    </row>
    <row r="216" spans="2:14">
      <c r="B216" s="513" t="s">
        <v>161</v>
      </c>
      <c r="C216" s="658">
        <v>2016</v>
      </c>
      <c r="D216" s="513">
        <v>184956.65923308232</v>
      </c>
      <c r="E216" s="513">
        <v>15797.290179145084</v>
      </c>
      <c r="F216" s="513">
        <v>15797.290179145084</v>
      </c>
      <c r="G216" s="660">
        <v>0</v>
      </c>
      <c r="H216" s="660">
        <v>0</v>
      </c>
      <c r="I216" s="659" t="s">
        <v>103</v>
      </c>
      <c r="J216" s="513">
        <v>0</v>
      </c>
      <c r="K216" s="513">
        <v>0</v>
      </c>
      <c r="L216" s="513">
        <v>0</v>
      </c>
      <c r="M216" s="513">
        <v>200753.9494122274</v>
      </c>
      <c r="N216" s="622"/>
    </row>
    <row r="217" spans="2:14">
      <c r="B217" s="513" t="s">
        <v>161</v>
      </c>
      <c r="C217" s="658">
        <v>2017</v>
      </c>
      <c r="D217" s="513">
        <v>200753.94941222738</v>
      </c>
      <c r="E217" s="513">
        <v>14602.386036041386</v>
      </c>
      <c r="F217" s="513">
        <v>14602.386036041386</v>
      </c>
      <c r="G217" s="513">
        <v>0</v>
      </c>
      <c r="H217" s="513">
        <v>0</v>
      </c>
      <c r="I217" s="659" t="s">
        <v>103</v>
      </c>
      <c r="J217" s="513">
        <v>0</v>
      </c>
      <c r="K217" s="513">
        <v>0</v>
      </c>
      <c r="L217" s="513">
        <v>0</v>
      </c>
      <c r="M217" s="513">
        <v>215356.33544826877</v>
      </c>
      <c r="N217" s="622"/>
    </row>
    <row r="218" spans="2:14">
      <c r="B218" s="513" t="s">
        <v>161</v>
      </c>
      <c r="C218" s="889">
        <v>2018</v>
      </c>
      <c r="D218" s="513">
        <v>215356.33544826877</v>
      </c>
      <c r="E218" s="513">
        <f>VLOOKUP(B218,'[6]2018 allocation'!$A$11:$B$218,2, FALSE)</f>
        <v>15599.653405492825</v>
      </c>
      <c r="F218" s="513">
        <f>E218</f>
        <v>15599.653405492825</v>
      </c>
      <c r="G218" s="513">
        <v>0</v>
      </c>
      <c r="H218" s="513">
        <v>0</v>
      </c>
      <c r="I218" s="622" t="s">
        <v>103</v>
      </c>
      <c r="J218" s="513">
        <f>VLOOKUP(B218,'[6]Annual Spending Worksheet '!$C$6:$AG$250,28,FALSE)</f>
        <v>0</v>
      </c>
      <c r="K218" s="513">
        <f>VLOOKUP(B218,'[6]Annual Spending Worksheet '!$C$6:$AG$250,29,FALSE)</f>
        <v>0</v>
      </c>
      <c r="L218" s="513">
        <v>0</v>
      </c>
      <c r="M218" s="513">
        <f>D218+E218+H218-J218</f>
        <v>230955.98885376161</v>
      </c>
      <c r="N218" s="513"/>
    </row>
    <row r="219" spans="2:14">
      <c r="B219" s="513" t="s">
        <v>161</v>
      </c>
      <c r="C219" s="889">
        <v>2019</v>
      </c>
      <c r="D219" s="513">
        <v>230955.98885376161</v>
      </c>
      <c r="E219" s="513">
        <v>16678.258906229086</v>
      </c>
      <c r="F219" s="513">
        <v>16678.258906229086</v>
      </c>
      <c r="G219" s="513">
        <v>0</v>
      </c>
      <c r="H219" s="513">
        <v>0</v>
      </c>
      <c r="I219" s="622" t="s">
        <v>103</v>
      </c>
      <c r="J219" s="513">
        <v>0</v>
      </c>
      <c r="K219" s="513">
        <v>0</v>
      </c>
      <c r="L219" s="513">
        <v>0</v>
      </c>
      <c r="M219" s="513">
        <v>247634.24775999069</v>
      </c>
      <c r="N219" s="513"/>
    </row>
    <row r="220" spans="2:14">
      <c r="B220" s="513" t="s">
        <v>162</v>
      </c>
      <c r="C220" s="658">
        <v>2008</v>
      </c>
      <c r="D220" s="513">
        <v>210875.72699999998</v>
      </c>
      <c r="E220" s="512">
        <v>8206.3398068339466</v>
      </c>
      <c r="F220" s="513">
        <v>8206.3398068339466</v>
      </c>
      <c r="G220" s="512">
        <v>0</v>
      </c>
      <c r="H220" s="512">
        <v>0</v>
      </c>
      <c r="I220" s="659" t="s">
        <v>103</v>
      </c>
      <c r="J220" s="513">
        <v>0</v>
      </c>
      <c r="K220" s="513">
        <v>0</v>
      </c>
      <c r="L220" s="513">
        <v>0</v>
      </c>
      <c r="M220" s="513">
        <v>219082.06680683393</v>
      </c>
      <c r="N220" s="622"/>
    </row>
    <row r="221" spans="2:14">
      <c r="B221" s="513" t="s">
        <v>162</v>
      </c>
      <c r="C221" s="658">
        <v>2009</v>
      </c>
      <c r="D221" s="513">
        <v>219082.06680683393</v>
      </c>
      <c r="E221" s="512">
        <v>7276.9819250225219</v>
      </c>
      <c r="F221" s="513">
        <v>7276.9819250225219</v>
      </c>
      <c r="G221" s="512">
        <v>0</v>
      </c>
      <c r="H221" s="512">
        <v>0</v>
      </c>
      <c r="I221" s="659" t="s">
        <v>103</v>
      </c>
      <c r="J221" s="513">
        <v>0</v>
      </c>
      <c r="K221" s="513">
        <v>0</v>
      </c>
      <c r="L221" s="513">
        <v>0</v>
      </c>
      <c r="M221" s="513">
        <v>226359.04873185646</v>
      </c>
      <c r="N221" s="622"/>
    </row>
    <row r="222" spans="2:14">
      <c r="B222" s="513" t="s">
        <v>162</v>
      </c>
      <c r="C222" s="658">
        <v>2010</v>
      </c>
      <c r="D222" s="513">
        <v>226359.04873185646</v>
      </c>
      <c r="E222" s="512">
        <v>7272.46</v>
      </c>
      <c r="F222" s="513">
        <v>7272.46</v>
      </c>
      <c r="G222" s="512">
        <v>0</v>
      </c>
      <c r="H222" s="512">
        <v>0</v>
      </c>
      <c r="I222" s="659" t="s">
        <v>103</v>
      </c>
      <c r="J222" s="513">
        <v>0</v>
      </c>
      <c r="K222" s="513">
        <v>0</v>
      </c>
      <c r="L222" s="513">
        <v>0</v>
      </c>
      <c r="M222" s="513">
        <v>233631.50873185645</v>
      </c>
      <c r="N222" s="622"/>
    </row>
    <row r="223" spans="2:14">
      <c r="B223" s="513" t="s">
        <v>162</v>
      </c>
      <c r="C223" s="658">
        <v>2011</v>
      </c>
      <c r="D223" s="513">
        <v>233631.51207745133</v>
      </c>
      <c r="E223" s="512">
        <v>7337.6472618870594</v>
      </c>
      <c r="F223" s="513">
        <v>7337.6472618870594</v>
      </c>
      <c r="G223" s="512">
        <v>0</v>
      </c>
      <c r="H223" s="512">
        <v>0</v>
      </c>
      <c r="I223" s="659" t="s">
        <v>103</v>
      </c>
      <c r="J223" s="513">
        <v>0</v>
      </c>
      <c r="K223" s="513">
        <v>0</v>
      </c>
      <c r="L223" s="513">
        <v>0</v>
      </c>
      <c r="M223" s="513">
        <v>240969.1593393384</v>
      </c>
      <c r="N223" s="622"/>
    </row>
    <row r="224" spans="2:14">
      <c r="B224" s="513" t="s">
        <v>162</v>
      </c>
      <c r="C224" s="658">
        <v>2012</v>
      </c>
      <c r="D224" s="513">
        <v>240969.15933933837</v>
      </c>
      <c r="E224" s="513">
        <v>6250.6985312577071</v>
      </c>
      <c r="F224" s="513">
        <v>6250.6985312577071</v>
      </c>
      <c r="G224" s="512">
        <v>0</v>
      </c>
      <c r="H224" s="512">
        <v>0</v>
      </c>
      <c r="I224" s="659" t="s">
        <v>103</v>
      </c>
      <c r="J224" s="513">
        <v>0</v>
      </c>
      <c r="K224" s="513">
        <v>0</v>
      </c>
      <c r="L224" s="513">
        <v>0</v>
      </c>
      <c r="M224" s="513">
        <v>247219.85787059608</v>
      </c>
      <c r="N224" s="622"/>
    </row>
    <row r="225" spans="2:14">
      <c r="B225" s="513" t="s">
        <v>162</v>
      </c>
      <c r="C225" s="658">
        <v>2013</v>
      </c>
      <c r="D225" s="513">
        <v>247219.85787059605</v>
      </c>
      <c r="E225" s="513">
        <v>7752.3023546802078</v>
      </c>
      <c r="F225" s="513">
        <v>7752.3023546802078</v>
      </c>
      <c r="G225" s="512">
        <v>0</v>
      </c>
      <c r="H225" s="512">
        <v>0</v>
      </c>
      <c r="I225" s="659" t="s">
        <v>103</v>
      </c>
      <c r="J225" s="513">
        <v>0</v>
      </c>
      <c r="K225" s="513">
        <v>0</v>
      </c>
      <c r="L225" s="513">
        <v>0</v>
      </c>
      <c r="M225" s="513">
        <v>254972.16022527625</v>
      </c>
      <c r="N225" s="622"/>
    </row>
    <row r="226" spans="2:14">
      <c r="B226" s="513" t="s">
        <v>162</v>
      </c>
      <c r="C226" s="658">
        <v>2014</v>
      </c>
      <c r="D226" s="513">
        <v>254972.16022527625</v>
      </c>
      <c r="E226" s="513">
        <v>7922.4105864679432</v>
      </c>
      <c r="F226" s="513">
        <v>7922.4105864679432</v>
      </c>
      <c r="G226" s="512">
        <v>0</v>
      </c>
      <c r="H226" s="512">
        <v>0</v>
      </c>
      <c r="I226" s="659" t="s">
        <v>103</v>
      </c>
      <c r="J226" s="513">
        <v>0</v>
      </c>
      <c r="K226" s="513">
        <v>0</v>
      </c>
      <c r="L226" s="513">
        <v>0</v>
      </c>
      <c r="M226" s="513">
        <v>262894.5708117442</v>
      </c>
      <c r="N226" s="622"/>
    </row>
    <row r="227" spans="2:14">
      <c r="B227" s="513" t="s">
        <v>162</v>
      </c>
      <c r="C227" s="658">
        <v>2015</v>
      </c>
      <c r="D227" s="513">
        <v>262894.5708117442</v>
      </c>
      <c r="E227" s="513">
        <v>7989.0726952213017</v>
      </c>
      <c r="F227" s="513">
        <v>7989.0726952213017</v>
      </c>
      <c r="G227" s="512">
        <v>0</v>
      </c>
      <c r="H227" s="660">
        <v>-200000</v>
      </c>
      <c r="I227" s="659" t="s">
        <v>1713</v>
      </c>
      <c r="J227" s="513">
        <v>0</v>
      </c>
      <c r="K227" s="513">
        <v>0</v>
      </c>
      <c r="L227" s="513">
        <v>0</v>
      </c>
      <c r="M227" s="513">
        <v>70883.643506965484</v>
      </c>
      <c r="N227" s="622"/>
    </row>
    <row r="228" spans="2:14">
      <c r="B228" s="513" t="s">
        <v>162</v>
      </c>
      <c r="C228" s="658">
        <v>2016</v>
      </c>
      <c r="D228" s="513">
        <v>70883.643506965484</v>
      </c>
      <c r="E228" s="513">
        <v>6715.0392475088229</v>
      </c>
      <c r="F228" s="513">
        <v>6715.0392475088229</v>
      </c>
      <c r="G228" s="660">
        <v>0</v>
      </c>
      <c r="H228" s="660">
        <v>0</v>
      </c>
      <c r="I228" s="659" t="s">
        <v>103</v>
      </c>
      <c r="J228" s="513">
        <v>0</v>
      </c>
      <c r="K228" s="513">
        <v>0</v>
      </c>
      <c r="L228" s="513">
        <v>0</v>
      </c>
      <c r="M228" s="513">
        <v>77598.682754474314</v>
      </c>
      <c r="N228" s="622"/>
    </row>
    <row r="229" spans="2:14">
      <c r="B229" s="513" t="s">
        <v>162</v>
      </c>
      <c r="C229" s="658">
        <v>2017</v>
      </c>
      <c r="D229" s="513">
        <v>77598.682754474285</v>
      </c>
      <c r="E229" s="513">
        <v>6443.2863396918619</v>
      </c>
      <c r="F229" s="513">
        <v>6443.2863396918619</v>
      </c>
      <c r="G229" s="513">
        <v>0</v>
      </c>
      <c r="H229" s="513">
        <v>0</v>
      </c>
      <c r="I229" s="659" t="s">
        <v>103</v>
      </c>
      <c r="J229" s="513">
        <v>0</v>
      </c>
      <c r="K229" s="513">
        <v>0</v>
      </c>
      <c r="L229" s="513">
        <v>0</v>
      </c>
      <c r="M229" s="513">
        <v>84041.969094166154</v>
      </c>
      <c r="N229" s="622"/>
    </row>
    <row r="230" spans="2:14">
      <c r="B230" s="513" t="s">
        <v>162</v>
      </c>
      <c r="C230" s="889">
        <v>2018</v>
      </c>
      <c r="D230" s="513">
        <v>84041.969094166154</v>
      </c>
      <c r="E230" s="513">
        <f>VLOOKUP(B230,'[6]2018 allocation'!$A$11:$B$218,2, FALSE)</f>
        <v>6643.0616095083587</v>
      </c>
      <c r="F230" s="513">
        <f>E230</f>
        <v>6643.0616095083587</v>
      </c>
      <c r="G230" s="513">
        <v>0</v>
      </c>
      <c r="H230" s="513">
        <v>0</v>
      </c>
      <c r="I230" s="622" t="s">
        <v>103</v>
      </c>
      <c r="J230" s="513">
        <f>VLOOKUP(B230,'[6]Annual Spending Worksheet '!$C$6:$AG$250,28,FALSE)</f>
        <v>0</v>
      </c>
      <c r="K230" s="513">
        <f>VLOOKUP(B230,'[6]Annual Spending Worksheet '!$C$6:$AG$250,29,FALSE)</f>
        <v>0</v>
      </c>
      <c r="L230" s="513">
        <v>0</v>
      </c>
      <c r="M230" s="513">
        <f>D230+E230+H230-J230</f>
        <v>90685.030703674507</v>
      </c>
      <c r="N230" s="513"/>
    </row>
    <row r="231" spans="2:14">
      <c r="B231" s="513" t="s">
        <v>162</v>
      </c>
      <c r="C231" s="889">
        <v>2019</v>
      </c>
      <c r="D231" s="513">
        <v>90685.030703674507</v>
      </c>
      <c r="E231" s="513">
        <v>6876.7499093532024</v>
      </c>
      <c r="F231" s="513">
        <v>6876.7499093532024</v>
      </c>
      <c r="G231" s="513">
        <v>0</v>
      </c>
      <c r="H231" s="513">
        <v>0</v>
      </c>
      <c r="I231" s="622" t="s">
        <v>103</v>
      </c>
      <c r="J231" s="513">
        <v>0</v>
      </c>
      <c r="K231" s="513">
        <v>0</v>
      </c>
      <c r="L231" s="513">
        <v>0</v>
      </c>
      <c r="M231" s="513">
        <v>97561.780613027717</v>
      </c>
      <c r="N231" s="513"/>
    </row>
    <row r="232" spans="2:14">
      <c r="B232" s="513" t="s">
        <v>163</v>
      </c>
      <c r="C232" s="658">
        <v>2008</v>
      </c>
      <c r="D232" s="513">
        <v>875871.77800000086</v>
      </c>
      <c r="E232" s="512">
        <v>225126.71566854161</v>
      </c>
      <c r="F232" s="513">
        <v>225126.71566854161</v>
      </c>
      <c r="G232" s="512">
        <v>0</v>
      </c>
      <c r="H232" s="512">
        <v>0</v>
      </c>
      <c r="I232" s="659" t="s">
        <v>103</v>
      </c>
      <c r="J232" s="513">
        <v>0</v>
      </c>
      <c r="K232" s="513">
        <v>0</v>
      </c>
      <c r="L232" s="513">
        <v>0</v>
      </c>
      <c r="M232" s="513">
        <v>1100998.4936685425</v>
      </c>
      <c r="N232" s="622"/>
    </row>
    <row r="233" spans="2:14">
      <c r="B233" s="513" t="s">
        <v>163</v>
      </c>
      <c r="C233" s="658">
        <v>2009</v>
      </c>
      <c r="D233" s="513">
        <v>1100998.4936685422</v>
      </c>
      <c r="E233" s="512">
        <v>184003.1771597949</v>
      </c>
      <c r="F233" s="513">
        <v>184003.1771597949</v>
      </c>
      <c r="G233" s="512">
        <v>0</v>
      </c>
      <c r="H233" s="512">
        <v>0</v>
      </c>
      <c r="I233" s="659" t="s">
        <v>103</v>
      </c>
      <c r="J233" s="513">
        <v>0</v>
      </c>
      <c r="K233" s="513">
        <v>0</v>
      </c>
      <c r="L233" s="513">
        <v>0</v>
      </c>
      <c r="M233" s="513">
        <v>1285001.6708283371</v>
      </c>
      <c r="N233" s="622"/>
    </row>
    <row r="234" spans="2:14">
      <c r="B234" s="513" t="s">
        <v>163</v>
      </c>
      <c r="C234" s="658">
        <v>2010</v>
      </c>
      <c r="D234" s="513">
        <v>1285001.6708283368</v>
      </c>
      <c r="E234" s="512">
        <v>183777.46</v>
      </c>
      <c r="F234" s="513">
        <v>183777.46</v>
      </c>
      <c r="G234" s="512">
        <v>0</v>
      </c>
      <c r="H234" s="512">
        <v>0</v>
      </c>
      <c r="I234" s="659" t="s">
        <v>103</v>
      </c>
      <c r="J234" s="513">
        <v>0</v>
      </c>
      <c r="K234" s="513">
        <v>0</v>
      </c>
      <c r="L234" s="513">
        <v>0</v>
      </c>
      <c r="M234" s="513">
        <v>1468779.1308283368</v>
      </c>
      <c r="N234" s="622"/>
    </row>
    <row r="235" spans="2:14">
      <c r="B235" s="513" t="s">
        <v>163</v>
      </c>
      <c r="C235" s="658">
        <v>2011</v>
      </c>
      <c r="D235" s="513">
        <v>1468779.1305371281</v>
      </c>
      <c r="E235" s="512">
        <v>186753.43632015819</v>
      </c>
      <c r="F235" s="513">
        <v>186753.43632015819</v>
      </c>
      <c r="G235" s="512">
        <v>0</v>
      </c>
      <c r="H235" s="512">
        <v>0</v>
      </c>
      <c r="I235" s="659" t="s">
        <v>103</v>
      </c>
      <c r="J235" s="513">
        <v>0</v>
      </c>
      <c r="K235" s="513">
        <v>0</v>
      </c>
      <c r="L235" s="513">
        <v>0</v>
      </c>
      <c r="M235" s="513">
        <v>1655532.5668572863</v>
      </c>
      <c r="N235" s="622"/>
    </row>
    <row r="236" spans="2:14">
      <c r="B236" s="513" t="s">
        <v>163</v>
      </c>
      <c r="C236" s="658">
        <v>2012</v>
      </c>
      <c r="D236" s="513">
        <v>1655532.5668572858</v>
      </c>
      <c r="E236" s="512">
        <v>138035.3654880843</v>
      </c>
      <c r="F236" s="513">
        <v>138035.3654880843</v>
      </c>
      <c r="G236" s="512">
        <v>0</v>
      </c>
      <c r="H236" s="512">
        <v>0</v>
      </c>
      <c r="I236" s="659" t="s">
        <v>103</v>
      </c>
      <c r="J236" s="513">
        <v>0</v>
      </c>
      <c r="K236" s="513">
        <v>0</v>
      </c>
      <c r="L236" s="513">
        <v>0</v>
      </c>
      <c r="M236" s="513">
        <v>1793567.9323453701</v>
      </c>
      <c r="N236" s="622"/>
    </row>
    <row r="237" spans="2:14">
      <c r="B237" s="513" t="s">
        <v>163</v>
      </c>
      <c r="C237" s="658">
        <v>2013</v>
      </c>
      <c r="D237" s="513">
        <v>1793567.9323453698</v>
      </c>
      <c r="E237" s="513">
        <v>205343.48280605511</v>
      </c>
      <c r="F237" s="513">
        <v>205343.48280605511</v>
      </c>
      <c r="G237" s="512">
        <v>0</v>
      </c>
      <c r="H237" s="512">
        <v>0</v>
      </c>
      <c r="I237" s="659" t="s">
        <v>103</v>
      </c>
      <c r="J237" s="513">
        <v>0</v>
      </c>
      <c r="K237" s="513">
        <v>0</v>
      </c>
      <c r="L237" s="513">
        <v>0</v>
      </c>
      <c r="M237" s="513">
        <v>1998911.4151514249</v>
      </c>
      <c r="N237" s="622"/>
    </row>
    <row r="238" spans="2:14">
      <c r="B238" s="513" t="s">
        <v>163</v>
      </c>
      <c r="C238" s="658">
        <v>2014</v>
      </c>
      <c r="D238" s="513">
        <v>1998911.4151514247</v>
      </c>
      <c r="E238" s="513">
        <v>213194.18058730138</v>
      </c>
      <c r="F238" s="513">
        <v>213194.18058730138</v>
      </c>
      <c r="G238" s="512">
        <v>0</v>
      </c>
      <c r="H238" s="512">
        <v>0</v>
      </c>
      <c r="I238" s="659" t="s">
        <v>103</v>
      </c>
      <c r="J238" s="513">
        <v>0</v>
      </c>
      <c r="K238" s="513">
        <v>0</v>
      </c>
      <c r="L238" s="513">
        <v>0</v>
      </c>
      <c r="M238" s="513">
        <v>2212105.5957387262</v>
      </c>
      <c r="N238" s="622"/>
    </row>
    <row r="239" spans="2:14">
      <c r="B239" s="513" t="s">
        <v>163</v>
      </c>
      <c r="C239" s="658">
        <v>2015</v>
      </c>
      <c r="D239" s="513">
        <v>2212105.5957387257</v>
      </c>
      <c r="E239" s="513">
        <v>216365.50865422678</v>
      </c>
      <c r="F239" s="513">
        <v>216365.50865422678</v>
      </c>
      <c r="G239" s="512">
        <v>0</v>
      </c>
      <c r="H239" s="512">
        <v>0</v>
      </c>
      <c r="I239" s="659" t="s">
        <v>103</v>
      </c>
      <c r="J239" s="513">
        <v>0</v>
      </c>
      <c r="K239" s="513">
        <v>0</v>
      </c>
      <c r="L239" s="513">
        <v>0</v>
      </c>
      <c r="M239" s="513">
        <v>2428471.1043929523</v>
      </c>
      <c r="N239" s="622"/>
    </row>
    <row r="240" spans="2:14">
      <c r="B240" s="513" t="s">
        <v>163</v>
      </c>
      <c r="C240" s="658">
        <v>2016</v>
      </c>
      <c r="D240" s="513">
        <v>2428471.1043929523</v>
      </c>
      <c r="E240" s="513">
        <v>158056.71387334834</v>
      </c>
      <c r="F240" s="513">
        <v>158056.71387334834</v>
      </c>
      <c r="G240" s="512">
        <v>0</v>
      </c>
      <c r="H240" s="660">
        <v>0</v>
      </c>
      <c r="I240" s="659" t="s">
        <v>103</v>
      </c>
      <c r="J240" s="513">
        <v>32068.76</v>
      </c>
      <c r="K240" s="513">
        <v>0</v>
      </c>
      <c r="L240" s="513">
        <v>0</v>
      </c>
      <c r="M240" s="513">
        <v>2554459.0582663007</v>
      </c>
      <c r="N240" s="622"/>
    </row>
    <row r="241" spans="2:14">
      <c r="B241" s="513" t="s">
        <v>163</v>
      </c>
      <c r="C241" s="658">
        <v>2017</v>
      </c>
      <c r="D241" s="513">
        <v>2554459.0582663007</v>
      </c>
      <c r="E241" s="513">
        <v>146560.09065355803</v>
      </c>
      <c r="F241" s="513">
        <v>146560.09065355803</v>
      </c>
      <c r="G241" s="660">
        <v>0</v>
      </c>
      <c r="H241" s="660">
        <v>0</v>
      </c>
      <c r="I241" s="659" t="s">
        <v>103</v>
      </c>
      <c r="J241" s="513">
        <v>8251.9</v>
      </c>
      <c r="K241" s="513">
        <v>0</v>
      </c>
      <c r="L241" s="513">
        <v>0</v>
      </c>
      <c r="M241" s="513">
        <v>2692767.2489198591</v>
      </c>
      <c r="N241" s="622"/>
    </row>
    <row r="242" spans="2:14">
      <c r="B242" s="513" t="s">
        <v>163</v>
      </c>
      <c r="C242" s="889">
        <v>2018</v>
      </c>
      <c r="D242" s="513">
        <v>2692767.2489198591</v>
      </c>
      <c r="E242" s="513">
        <f>VLOOKUP(B242,'[6]2018 allocation'!$A$11:$B$218,2, FALSE)</f>
        <v>156241.84308038795</v>
      </c>
      <c r="F242" s="513">
        <f>E242</f>
        <v>156241.84308038795</v>
      </c>
      <c r="G242" s="513">
        <v>0</v>
      </c>
      <c r="H242" s="513">
        <v>0</v>
      </c>
      <c r="I242" s="622" t="s">
        <v>103</v>
      </c>
      <c r="J242" s="513">
        <f>VLOOKUP(B242,'[6]Annual Spending Worksheet '!$C$6:$AG$250,28,FALSE)</f>
        <v>1972.0699999999997</v>
      </c>
      <c r="K242" s="513">
        <f>VLOOKUP(B242,'[6]Annual Spending Worksheet '!$C$6:$AG$250,29,FALSE)</f>
        <v>0</v>
      </c>
      <c r="L242" s="513">
        <v>0</v>
      </c>
      <c r="M242" s="513">
        <f>D242+E242+H242-J242</f>
        <v>2847037.0220002471</v>
      </c>
      <c r="N242" s="513"/>
    </row>
    <row r="243" spans="2:14">
      <c r="B243" s="513" t="s">
        <v>163</v>
      </c>
      <c r="C243" s="889">
        <v>2019</v>
      </c>
      <c r="D243" s="513">
        <v>2847037.0220002471</v>
      </c>
      <c r="E243" s="513">
        <v>166501.99197842204</v>
      </c>
      <c r="F243" s="513">
        <v>166501.99197842204</v>
      </c>
      <c r="G243" s="513">
        <v>0</v>
      </c>
      <c r="H243" s="513">
        <v>0</v>
      </c>
      <c r="I243" s="622" t="s">
        <v>103</v>
      </c>
      <c r="J243" s="513">
        <v>13372.16</v>
      </c>
      <c r="K243" s="513">
        <v>0</v>
      </c>
      <c r="L243" s="513">
        <v>0</v>
      </c>
      <c r="M243" s="513">
        <v>3000166.8539786693</v>
      </c>
      <c r="N243" s="513"/>
    </row>
    <row r="244" spans="2:14">
      <c r="B244" s="513" t="s">
        <v>168</v>
      </c>
      <c r="C244" s="658">
        <v>2008</v>
      </c>
      <c r="D244" s="513">
        <v>-4538.5710000004619</v>
      </c>
      <c r="E244" s="512">
        <v>139159.95103163409</v>
      </c>
      <c r="F244" s="513">
        <v>139159.95103163409</v>
      </c>
      <c r="G244" s="660">
        <v>0</v>
      </c>
      <c r="H244" s="512">
        <v>0</v>
      </c>
      <c r="I244" s="659" t="s">
        <v>103</v>
      </c>
      <c r="J244" s="513">
        <v>174663</v>
      </c>
      <c r="K244" s="513">
        <v>1877845</v>
      </c>
      <c r="L244" s="513">
        <v>0</v>
      </c>
      <c r="M244" s="513">
        <v>-40041.619968366373</v>
      </c>
      <c r="N244" s="622" t="s">
        <v>1714</v>
      </c>
    </row>
    <row r="245" spans="2:14">
      <c r="B245" s="513" t="s">
        <v>168</v>
      </c>
      <c r="C245" s="658">
        <v>2009</v>
      </c>
      <c r="D245" s="513">
        <v>-40041.609968365636</v>
      </c>
      <c r="E245" s="512">
        <v>115570.46558197278</v>
      </c>
      <c r="F245" s="513">
        <v>115570.46558197278</v>
      </c>
      <c r="G245" s="660">
        <v>0</v>
      </c>
      <c r="H245" s="512">
        <v>0</v>
      </c>
      <c r="I245" s="659" t="s">
        <v>103</v>
      </c>
      <c r="J245" s="513">
        <v>15709.220000000001</v>
      </c>
      <c r="K245" s="513">
        <v>0</v>
      </c>
      <c r="L245" s="513">
        <v>0</v>
      </c>
      <c r="M245" s="513">
        <v>59819.635613607141</v>
      </c>
      <c r="N245" s="622"/>
    </row>
    <row r="246" spans="2:14">
      <c r="B246" s="513" t="s">
        <v>168</v>
      </c>
      <c r="C246" s="658">
        <v>2010</v>
      </c>
      <c r="D246" s="513">
        <v>59819.635613606311</v>
      </c>
      <c r="E246" s="512">
        <v>115447.03999999999</v>
      </c>
      <c r="F246" s="513">
        <v>115447.03999999999</v>
      </c>
      <c r="G246" s="660">
        <v>0</v>
      </c>
      <c r="H246" s="512">
        <v>0</v>
      </c>
      <c r="I246" s="659" t="s">
        <v>103</v>
      </c>
      <c r="J246" s="513">
        <v>567898.66</v>
      </c>
      <c r="K246" s="513">
        <v>0</v>
      </c>
      <c r="L246" s="513">
        <v>-31081</v>
      </c>
      <c r="M246" s="513">
        <v>-361550.98438639374</v>
      </c>
      <c r="N246" s="622" t="s">
        <v>1715</v>
      </c>
    </row>
    <row r="247" spans="2:14">
      <c r="B247" s="513" t="s">
        <v>168</v>
      </c>
      <c r="C247" s="658">
        <v>2011</v>
      </c>
      <c r="D247" s="513">
        <v>-361551.23530173674</v>
      </c>
      <c r="E247" s="512">
        <v>117118.89379673007</v>
      </c>
      <c r="F247" s="513">
        <v>117118.89379673007</v>
      </c>
      <c r="G247" s="660">
        <v>-244432.34150500665</v>
      </c>
      <c r="H247" s="512">
        <v>0</v>
      </c>
      <c r="I247" s="659" t="s">
        <v>103</v>
      </c>
      <c r="J247" s="513">
        <v>585408.08000000007</v>
      </c>
      <c r="K247" s="513">
        <v>1701176</v>
      </c>
      <c r="L247" s="513">
        <v>0</v>
      </c>
      <c r="M247" s="513">
        <v>-829840.42150500673</v>
      </c>
      <c r="N247" s="622" t="s">
        <v>1715</v>
      </c>
    </row>
    <row r="248" spans="2:14">
      <c r="B248" s="513" t="s">
        <v>168</v>
      </c>
      <c r="C248" s="658">
        <v>2012</v>
      </c>
      <c r="D248" s="513">
        <v>-829840.42150500789</v>
      </c>
      <c r="E248" s="512">
        <v>89218.733704891725</v>
      </c>
      <c r="F248" s="513">
        <v>89218.733704891725</v>
      </c>
      <c r="G248" s="660">
        <v>-740621.68780011614</v>
      </c>
      <c r="H248" s="512">
        <v>0</v>
      </c>
      <c r="I248" s="659" t="s">
        <v>103</v>
      </c>
      <c r="J248" s="513">
        <v>116572.29000000001</v>
      </c>
      <c r="K248" s="513">
        <v>0</v>
      </c>
      <c r="L248" s="513">
        <v>-77963.13</v>
      </c>
      <c r="M248" s="513">
        <v>-779230.84780011617</v>
      </c>
      <c r="N248" s="622" t="s">
        <v>1715</v>
      </c>
    </row>
    <row r="249" spans="2:14">
      <c r="B249" s="513" t="s">
        <v>168</v>
      </c>
      <c r="C249" s="658">
        <v>2013</v>
      </c>
      <c r="D249" s="513">
        <v>-779230.84780011512</v>
      </c>
      <c r="E249" s="513">
        <v>127835.73274612059</v>
      </c>
      <c r="F249" s="513">
        <v>127835.73274612059</v>
      </c>
      <c r="G249" s="660">
        <v>-651395.11505399458</v>
      </c>
      <c r="H249" s="512">
        <v>0</v>
      </c>
      <c r="I249" s="659" t="s">
        <v>103</v>
      </c>
      <c r="J249" s="513">
        <v>34.68</v>
      </c>
      <c r="K249" s="513">
        <v>0</v>
      </c>
      <c r="L249" s="513">
        <v>0</v>
      </c>
      <c r="M249" s="513">
        <v>-651429.79505399463</v>
      </c>
      <c r="N249" s="622" t="s">
        <v>1715</v>
      </c>
    </row>
    <row r="250" spans="2:14">
      <c r="B250" s="513" t="s">
        <v>168</v>
      </c>
      <c r="C250" s="658">
        <v>2014</v>
      </c>
      <c r="D250" s="513">
        <v>-651429.79505399428</v>
      </c>
      <c r="E250" s="513">
        <v>132338.77032201842</v>
      </c>
      <c r="F250" s="513">
        <v>132338.77032201842</v>
      </c>
      <c r="G250" s="660">
        <v>-519091.02473197586</v>
      </c>
      <c r="H250" s="512">
        <v>0</v>
      </c>
      <c r="I250" s="659" t="s">
        <v>103</v>
      </c>
      <c r="J250" s="513">
        <v>0</v>
      </c>
      <c r="K250" s="513">
        <v>0</v>
      </c>
      <c r="L250" s="513">
        <v>0</v>
      </c>
      <c r="M250" s="513">
        <v>-519091.02473197586</v>
      </c>
      <c r="N250" s="622" t="s">
        <v>1715</v>
      </c>
    </row>
    <row r="251" spans="2:14" ht="29.1">
      <c r="B251" s="513" t="s">
        <v>168</v>
      </c>
      <c r="C251" s="658">
        <v>2015</v>
      </c>
      <c r="D251" s="513">
        <v>-519091.02473197598</v>
      </c>
      <c r="E251" s="513">
        <v>134181.12260836421</v>
      </c>
      <c r="F251" s="513">
        <v>134181.12260836421</v>
      </c>
      <c r="G251" s="660">
        <v>-384909.90212361177</v>
      </c>
      <c r="H251" s="512">
        <v>0</v>
      </c>
      <c r="I251" s="659" t="s">
        <v>103</v>
      </c>
      <c r="J251" s="513">
        <v>0</v>
      </c>
      <c r="K251" s="513">
        <v>0</v>
      </c>
      <c r="L251" s="513">
        <v>-34.68</v>
      </c>
      <c r="M251" s="513">
        <v>-384875.22212361178</v>
      </c>
      <c r="N251" s="622" t="s">
        <v>1716</v>
      </c>
    </row>
    <row r="252" spans="2:14" ht="29.1">
      <c r="B252" s="513" t="s">
        <v>168</v>
      </c>
      <c r="C252" s="658">
        <v>2016</v>
      </c>
      <c r="D252" s="513">
        <v>-384875.22212361172</v>
      </c>
      <c r="E252" s="513">
        <v>100674.35740257725</v>
      </c>
      <c r="F252" s="513">
        <v>100674.35740257725</v>
      </c>
      <c r="G252" s="660">
        <v>-284200.86472103448</v>
      </c>
      <c r="H252" s="660">
        <v>0</v>
      </c>
      <c r="I252" s="659" t="s">
        <v>103</v>
      </c>
      <c r="J252" s="513">
        <v>0</v>
      </c>
      <c r="K252" s="513">
        <v>0</v>
      </c>
      <c r="L252" s="513">
        <v>0</v>
      </c>
      <c r="M252" s="513">
        <v>-284200.86472103448</v>
      </c>
      <c r="N252" s="622" t="s">
        <v>1716</v>
      </c>
    </row>
    <row r="253" spans="2:14">
      <c r="B253" s="513" t="s">
        <v>168</v>
      </c>
      <c r="C253" s="658">
        <v>2017</v>
      </c>
      <c r="D253" s="513">
        <v>-284200.86472103465</v>
      </c>
      <c r="E253" s="513">
        <v>94108.823141477042</v>
      </c>
      <c r="F253" s="513">
        <v>94108.823141477042</v>
      </c>
      <c r="G253" s="660">
        <v>-190092.04157955761</v>
      </c>
      <c r="H253" s="660">
        <v>0</v>
      </c>
      <c r="I253" s="659" t="s">
        <v>103</v>
      </c>
      <c r="J253" s="513">
        <v>0</v>
      </c>
      <c r="K253" s="513">
        <v>0</v>
      </c>
      <c r="L253" s="513">
        <v>0</v>
      </c>
      <c r="M253" s="513">
        <v>-190092.04157955761</v>
      </c>
      <c r="N253" s="622" t="s">
        <v>1715</v>
      </c>
    </row>
    <row r="254" spans="2:14">
      <c r="B254" s="513" t="s">
        <v>168</v>
      </c>
      <c r="C254" s="889">
        <v>2018</v>
      </c>
      <c r="D254" s="513">
        <v>-190092.04157955761</v>
      </c>
      <c r="E254" s="513">
        <f>VLOOKUP(B254,'[6]2018 allocation'!$A$11:$B$218,2, FALSE)</f>
        <v>99652.529824524521</v>
      </c>
      <c r="F254" s="513">
        <f>E254</f>
        <v>99652.529824524521</v>
      </c>
      <c r="G254" s="513">
        <f>D254+E254</f>
        <v>-90439.511755033091</v>
      </c>
      <c r="H254" s="513">
        <v>0</v>
      </c>
      <c r="I254" s="622" t="s">
        <v>103</v>
      </c>
      <c r="J254" s="513">
        <f>VLOOKUP(B254,'[6]Annual Spending Worksheet '!$C$6:$AG$250,28,FALSE)</f>
        <v>0</v>
      </c>
      <c r="K254" s="513">
        <f>VLOOKUP(B254,'[6]Annual Spending Worksheet '!$C$6:$AG$250,29,FALSE)</f>
        <v>0</v>
      </c>
      <c r="L254" s="513">
        <v>0</v>
      </c>
      <c r="M254" s="513">
        <f>D254+E254+H254-J254</f>
        <v>-90439.511755033091</v>
      </c>
      <c r="N254" s="513"/>
    </row>
    <row r="255" spans="2:14">
      <c r="B255" s="513" t="s">
        <v>168</v>
      </c>
      <c r="C255" s="889">
        <v>2019</v>
      </c>
      <c r="D255" s="513">
        <v>-90439.511755033091</v>
      </c>
      <c r="E255" s="513">
        <v>105521.07979357633</v>
      </c>
      <c r="F255" s="513">
        <v>105521.07979357633</v>
      </c>
      <c r="G255" s="513">
        <v>15081.568038543235</v>
      </c>
      <c r="H255" s="513">
        <v>0</v>
      </c>
      <c r="I255" s="622" t="s">
        <v>103</v>
      </c>
      <c r="J255" s="513">
        <v>0</v>
      </c>
      <c r="K255" s="513">
        <v>0</v>
      </c>
      <c r="L255" s="513">
        <v>0</v>
      </c>
      <c r="M255" s="513">
        <v>15081.568038543235</v>
      </c>
      <c r="N255" s="513"/>
    </row>
    <row r="256" spans="2:14">
      <c r="B256" s="513" t="s">
        <v>174</v>
      </c>
      <c r="C256" s="658">
        <v>2008</v>
      </c>
      <c r="D256" s="513">
        <v>1843496.156</v>
      </c>
      <c r="E256" s="512">
        <v>148126.01276622064</v>
      </c>
      <c r="F256" s="513">
        <v>148126.01276622064</v>
      </c>
      <c r="G256" s="512">
        <v>0</v>
      </c>
      <c r="H256" s="512">
        <v>0</v>
      </c>
      <c r="I256" s="659" t="s">
        <v>103</v>
      </c>
      <c r="J256" s="513">
        <v>0</v>
      </c>
      <c r="K256" s="513">
        <v>0</v>
      </c>
      <c r="L256" s="513">
        <v>0</v>
      </c>
      <c r="M256" s="513">
        <v>1991622.1687662206</v>
      </c>
      <c r="N256" s="622"/>
    </row>
    <row r="257" spans="2:14">
      <c r="B257" s="513" t="s">
        <v>174</v>
      </c>
      <c r="C257" s="658">
        <v>2009</v>
      </c>
      <c r="D257" s="513">
        <v>1991622.168766221</v>
      </c>
      <c r="E257" s="512">
        <v>121749.86846395138</v>
      </c>
      <c r="F257" s="513">
        <v>121749.86846395138</v>
      </c>
      <c r="G257" s="512">
        <v>0</v>
      </c>
      <c r="H257" s="512">
        <v>0</v>
      </c>
      <c r="I257" s="659" t="s">
        <v>103</v>
      </c>
      <c r="J257" s="513">
        <v>0</v>
      </c>
      <c r="K257" s="513">
        <v>0</v>
      </c>
      <c r="L257" s="513">
        <v>0</v>
      </c>
      <c r="M257" s="513">
        <v>2113372.0372301722</v>
      </c>
      <c r="N257" s="622"/>
    </row>
    <row r="258" spans="2:14">
      <c r="B258" s="513" t="s">
        <v>174</v>
      </c>
      <c r="C258" s="658">
        <v>2010</v>
      </c>
      <c r="D258" s="513">
        <v>2113372.0372301722</v>
      </c>
      <c r="E258" s="512">
        <v>121599.53</v>
      </c>
      <c r="F258" s="513">
        <v>121599.53</v>
      </c>
      <c r="G258" s="512">
        <v>0</v>
      </c>
      <c r="H258" s="512">
        <v>0</v>
      </c>
      <c r="I258" s="659" t="s">
        <v>103</v>
      </c>
      <c r="J258" s="513">
        <v>0</v>
      </c>
      <c r="K258" s="513">
        <v>0</v>
      </c>
      <c r="L258" s="513">
        <v>0</v>
      </c>
      <c r="M258" s="513">
        <v>2234971.567230172</v>
      </c>
      <c r="N258" s="622"/>
    </row>
    <row r="259" spans="2:14">
      <c r="B259" s="513" t="s">
        <v>174</v>
      </c>
      <c r="C259" s="658">
        <v>2011</v>
      </c>
      <c r="D259" s="513">
        <v>2234971.563037809</v>
      </c>
      <c r="E259" s="512">
        <v>123460.52904757982</v>
      </c>
      <c r="F259" s="513">
        <v>123460.52904757982</v>
      </c>
      <c r="G259" s="660">
        <v>0</v>
      </c>
      <c r="H259" s="512">
        <v>0</v>
      </c>
      <c r="I259" s="659" t="s">
        <v>103</v>
      </c>
      <c r="J259" s="513">
        <v>43731.019999999968</v>
      </c>
      <c r="K259" s="513">
        <v>0</v>
      </c>
      <c r="L259" s="513">
        <v>0</v>
      </c>
      <c r="M259" s="513">
        <v>2314701.0720853889</v>
      </c>
      <c r="N259" s="622"/>
    </row>
    <row r="260" spans="2:14">
      <c r="B260" s="513" t="s">
        <v>174</v>
      </c>
      <c r="C260" s="658">
        <v>2012</v>
      </c>
      <c r="D260" s="513">
        <v>2314701.0720853885</v>
      </c>
      <c r="E260" s="513">
        <v>91959.003982019087</v>
      </c>
      <c r="F260" s="513">
        <v>91959.003982019087</v>
      </c>
      <c r="G260" s="660">
        <v>0</v>
      </c>
      <c r="H260" s="512">
        <v>0</v>
      </c>
      <c r="I260" s="659" t="s">
        <v>103</v>
      </c>
      <c r="J260" s="513">
        <v>55154.699999999968</v>
      </c>
      <c r="K260" s="513">
        <v>0</v>
      </c>
      <c r="L260" s="513">
        <v>0</v>
      </c>
      <c r="M260" s="513">
        <v>2351505.3760674074</v>
      </c>
      <c r="N260" s="622"/>
    </row>
    <row r="261" spans="2:14">
      <c r="B261" s="513" t="s">
        <v>174</v>
      </c>
      <c r="C261" s="658">
        <v>2013</v>
      </c>
      <c r="D261" s="513">
        <v>2351505.3760674074</v>
      </c>
      <c r="E261" s="513">
        <v>135510.16171912465</v>
      </c>
      <c r="F261" s="513">
        <v>135510.16171912465</v>
      </c>
      <c r="G261" s="660">
        <v>0</v>
      </c>
      <c r="H261" s="512">
        <v>0</v>
      </c>
      <c r="I261" s="659" t="s">
        <v>103</v>
      </c>
      <c r="J261" s="513">
        <v>41162.649999999936</v>
      </c>
      <c r="K261" s="513">
        <v>0</v>
      </c>
      <c r="L261" s="513">
        <v>0</v>
      </c>
      <c r="M261" s="513">
        <v>2445852.8877865323</v>
      </c>
      <c r="N261" s="622"/>
    </row>
    <row r="262" spans="2:14">
      <c r="B262" s="513" t="s">
        <v>174</v>
      </c>
      <c r="C262" s="658">
        <v>2014</v>
      </c>
      <c r="D262" s="513">
        <v>2445852.8877865318</v>
      </c>
      <c r="E262" s="513">
        <v>140608.49680843964</v>
      </c>
      <c r="F262" s="513">
        <v>140608.49680843964</v>
      </c>
      <c r="G262" s="660">
        <v>0</v>
      </c>
      <c r="H262" s="512">
        <v>0</v>
      </c>
      <c r="I262" s="659" t="s">
        <v>103</v>
      </c>
      <c r="J262" s="513">
        <v>16540.590000000015</v>
      </c>
      <c r="K262" s="513">
        <v>0</v>
      </c>
      <c r="L262" s="513">
        <v>0</v>
      </c>
      <c r="M262" s="513">
        <v>2569920.7945949715</v>
      </c>
      <c r="N262" s="622"/>
    </row>
    <row r="263" spans="2:14">
      <c r="B263" s="513" t="s">
        <v>174</v>
      </c>
      <c r="C263" s="658">
        <v>2015</v>
      </c>
      <c r="D263" s="513">
        <v>2569920.7945949715</v>
      </c>
      <c r="E263" s="513">
        <v>142686.34121071451</v>
      </c>
      <c r="F263" s="513">
        <v>142686.34121071451</v>
      </c>
      <c r="G263" s="660">
        <v>0</v>
      </c>
      <c r="H263" s="660">
        <v>0</v>
      </c>
      <c r="I263" s="659" t="s">
        <v>103</v>
      </c>
      <c r="J263" s="513">
        <v>11455.85</v>
      </c>
      <c r="K263" s="513">
        <v>0</v>
      </c>
      <c r="L263" s="513">
        <v>0</v>
      </c>
      <c r="M263" s="513">
        <v>2701151.2858056859</v>
      </c>
      <c r="N263" s="622"/>
    </row>
    <row r="264" spans="2:14">
      <c r="B264" s="513" t="s">
        <v>174</v>
      </c>
      <c r="C264" s="658">
        <v>2016</v>
      </c>
      <c r="D264" s="513">
        <v>2701151.2858056859</v>
      </c>
      <c r="E264" s="513">
        <v>104820.36784869281</v>
      </c>
      <c r="F264" s="513">
        <v>104820.36784869281</v>
      </c>
      <c r="G264" s="660">
        <v>0</v>
      </c>
      <c r="H264" s="660">
        <v>0</v>
      </c>
      <c r="I264" s="659" t="s">
        <v>103</v>
      </c>
      <c r="J264" s="513">
        <v>8694.0499999999993</v>
      </c>
      <c r="K264" s="513">
        <v>0</v>
      </c>
      <c r="L264" s="513">
        <v>0</v>
      </c>
      <c r="M264" s="513">
        <v>2797277.603654379</v>
      </c>
      <c r="N264" s="622"/>
    </row>
    <row r="265" spans="2:14">
      <c r="B265" s="513" t="s">
        <v>174</v>
      </c>
      <c r="C265" s="658">
        <v>2017</v>
      </c>
      <c r="D265" s="513">
        <v>2797277.6036543786</v>
      </c>
      <c r="E265" s="513">
        <v>97346.429914416949</v>
      </c>
      <c r="F265" s="513">
        <v>97346.429914416949</v>
      </c>
      <c r="G265" s="513">
        <v>0</v>
      </c>
      <c r="H265" s="513">
        <v>0</v>
      </c>
      <c r="I265" s="659" t="s">
        <v>103</v>
      </c>
      <c r="J265" s="513">
        <v>8145.3200000000043</v>
      </c>
      <c r="K265" s="513">
        <v>0</v>
      </c>
      <c r="L265" s="513">
        <v>0</v>
      </c>
      <c r="M265" s="513">
        <v>2886478.7135687955</v>
      </c>
      <c r="N265" s="622"/>
    </row>
    <row r="266" spans="2:14">
      <c r="B266" s="513" t="s">
        <v>174</v>
      </c>
      <c r="C266" s="889">
        <v>2018</v>
      </c>
      <c r="D266" s="513">
        <v>2886478.7135687955</v>
      </c>
      <c r="E266" s="513">
        <f>VLOOKUP(B266,'[6]2018 allocation'!$A$11:$B$218,2, FALSE)</f>
        <v>103612.86392328746</v>
      </c>
      <c r="F266" s="513">
        <f>E266</f>
        <v>103612.86392328746</v>
      </c>
      <c r="G266" s="513">
        <v>0</v>
      </c>
      <c r="H266" s="513">
        <v>0</v>
      </c>
      <c r="I266" s="622" t="s">
        <v>103</v>
      </c>
      <c r="J266" s="513">
        <f>VLOOKUP(B266,'[6]Annual Spending Worksheet '!$C$6:$AG$250,28,FALSE)</f>
        <v>1486589.52</v>
      </c>
      <c r="K266" s="513">
        <f>VLOOKUP(B266,'[6]Annual Spending Worksheet '!$C$6:$AG$250,29,FALSE)</f>
        <v>0</v>
      </c>
      <c r="L266" s="513">
        <v>0</v>
      </c>
      <c r="M266" s="513">
        <f>D266+E266+H266-J266</f>
        <v>1503502.0574920829</v>
      </c>
      <c r="N266" s="513"/>
    </row>
    <row r="267" spans="2:14">
      <c r="B267" s="513" t="s">
        <v>174</v>
      </c>
      <c r="C267" s="889">
        <v>2019</v>
      </c>
      <c r="D267" s="513">
        <v>1503502.0574920829</v>
      </c>
      <c r="E267" s="513">
        <v>110290.49866286354</v>
      </c>
      <c r="F267" s="513">
        <v>110290.49866286354</v>
      </c>
      <c r="G267" s="513">
        <v>0</v>
      </c>
      <c r="H267" s="513">
        <v>0</v>
      </c>
      <c r="I267" s="622" t="s">
        <v>103</v>
      </c>
      <c r="J267" s="513">
        <v>534225.27</v>
      </c>
      <c r="K267" s="513">
        <v>2071075.5</v>
      </c>
      <c r="L267" s="513">
        <v>0</v>
      </c>
      <c r="M267" s="513">
        <v>1079567.2861549465</v>
      </c>
      <c r="N267" s="513"/>
    </row>
    <row r="268" spans="2:14">
      <c r="B268" s="513" t="s">
        <v>179</v>
      </c>
      <c r="C268" s="658">
        <v>2008</v>
      </c>
      <c r="D268" s="513">
        <v>1787883.8119999981</v>
      </c>
      <c r="E268" s="512">
        <v>312444.76292155962</v>
      </c>
      <c r="F268" s="513">
        <v>312444.76292155962</v>
      </c>
      <c r="G268" s="512">
        <v>0</v>
      </c>
      <c r="H268" s="512">
        <v>0</v>
      </c>
      <c r="I268" s="659" t="s">
        <v>103</v>
      </c>
      <c r="J268" s="513">
        <v>360883</v>
      </c>
      <c r="K268" s="513">
        <v>0</v>
      </c>
      <c r="L268" s="513">
        <v>0</v>
      </c>
      <c r="M268" s="513">
        <v>1739445.5749215577</v>
      </c>
      <c r="N268" s="622"/>
    </row>
    <row r="269" spans="2:14">
      <c r="B269" s="513" t="s">
        <v>179</v>
      </c>
      <c r="C269" s="658">
        <v>2009</v>
      </c>
      <c r="D269" s="513">
        <v>1739445.6249215584</v>
      </c>
      <c r="E269" s="512">
        <v>257906.78004366157</v>
      </c>
      <c r="F269" s="513">
        <v>257906.78004366157</v>
      </c>
      <c r="G269" s="512">
        <v>0</v>
      </c>
      <c r="H269" s="512">
        <v>0</v>
      </c>
      <c r="I269" s="659" t="s">
        <v>103</v>
      </c>
      <c r="J269" s="513">
        <v>158904.06</v>
      </c>
      <c r="K269" s="513">
        <v>0</v>
      </c>
      <c r="L269" s="513">
        <v>0</v>
      </c>
      <c r="M269" s="513">
        <v>1838448.34496522</v>
      </c>
      <c r="N269" s="622"/>
    </row>
    <row r="270" spans="2:14">
      <c r="B270" s="513" t="s">
        <v>179</v>
      </c>
      <c r="C270" s="658">
        <v>2010</v>
      </c>
      <c r="D270" s="513">
        <v>1838448.3449652204</v>
      </c>
      <c r="E270" s="512">
        <v>257582.89</v>
      </c>
      <c r="F270" s="513">
        <v>257582.89</v>
      </c>
      <c r="G270" s="512">
        <v>0</v>
      </c>
      <c r="H270" s="512">
        <v>0</v>
      </c>
      <c r="I270" s="659" t="s">
        <v>103</v>
      </c>
      <c r="J270" s="513">
        <v>37493.22</v>
      </c>
      <c r="K270" s="513">
        <v>0</v>
      </c>
      <c r="L270" s="513">
        <v>0</v>
      </c>
      <c r="M270" s="513">
        <v>2058538.0149652206</v>
      </c>
      <c r="N270" s="622"/>
    </row>
    <row r="271" spans="2:14">
      <c r="B271" s="513" t="s">
        <v>179</v>
      </c>
      <c r="C271" s="658">
        <v>2011</v>
      </c>
      <c r="D271" s="513">
        <v>2058538.012463931</v>
      </c>
      <c r="E271" s="512">
        <v>261461.58266532631</v>
      </c>
      <c r="F271" s="513">
        <v>261461.58266532631</v>
      </c>
      <c r="G271" s="512">
        <v>0</v>
      </c>
      <c r="H271" s="512">
        <v>0</v>
      </c>
      <c r="I271" s="659" t="s">
        <v>103</v>
      </c>
      <c r="J271" s="513">
        <v>47110.79</v>
      </c>
      <c r="K271" s="513">
        <v>0</v>
      </c>
      <c r="L271" s="513">
        <v>0</v>
      </c>
      <c r="M271" s="513">
        <v>2272888.805129257</v>
      </c>
      <c r="N271" s="622"/>
    </row>
    <row r="272" spans="2:14">
      <c r="B272" s="513" t="s">
        <v>179</v>
      </c>
      <c r="C272" s="658">
        <v>2012</v>
      </c>
      <c r="D272" s="513">
        <v>2272888.805129257</v>
      </c>
      <c r="E272" s="513">
        <v>197296.14610146545</v>
      </c>
      <c r="F272" s="513">
        <v>197296.14610146545</v>
      </c>
      <c r="G272" s="512">
        <v>0</v>
      </c>
      <c r="H272" s="512">
        <v>0</v>
      </c>
      <c r="I272" s="659" t="s">
        <v>103</v>
      </c>
      <c r="J272" s="513">
        <v>82575.5</v>
      </c>
      <c r="K272" s="513">
        <v>0</v>
      </c>
      <c r="L272" s="513">
        <v>0</v>
      </c>
      <c r="M272" s="513">
        <v>2387609.4512307225</v>
      </c>
      <c r="N272" s="622"/>
    </row>
    <row r="273" spans="2:14">
      <c r="B273" s="513" t="s">
        <v>179</v>
      </c>
      <c r="C273" s="658">
        <v>2013</v>
      </c>
      <c r="D273" s="513">
        <v>2387609.4512307225</v>
      </c>
      <c r="E273" s="513">
        <v>286148.28704145871</v>
      </c>
      <c r="F273" s="513">
        <v>286148.28704145871</v>
      </c>
      <c r="G273" s="512">
        <v>0</v>
      </c>
      <c r="H273" s="512">
        <v>0</v>
      </c>
      <c r="I273" s="659" t="s">
        <v>103</v>
      </c>
      <c r="J273" s="513">
        <v>81427.859999999957</v>
      </c>
      <c r="K273" s="513">
        <v>0</v>
      </c>
      <c r="L273" s="513">
        <v>0</v>
      </c>
      <c r="M273" s="513">
        <v>2592329.8782721814</v>
      </c>
      <c r="N273" s="622"/>
    </row>
    <row r="274" spans="2:14">
      <c r="B274" s="513" t="s">
        <v>179</v>
      </c>
      <c r="C274" s="658">
        <v>2014</v>
      </c>
      <c r="D274" s="513">
        <v>2592329.8782721814</v>
      </c>
      <c r="E274" s="513">
        <v>296484.13567817328</v>
      </c>
      <c r="F274" s="513">
        <v>296484.13567817328</v>
      </c>
      <c r="G274" s="512">
        <v>0</v>
      </c>
      <c r="H274" s="512">
        <v>0</v>
      </c>
      <c r="I274" s="659" t="s">
        <v>103</v>
      </c>
      <c r="J274" s="513">
        <v>581798.36000000103</v>
      </c>
      <c r="K274" s="513">
        <v>0</v>
      </c>
      <c r="L274" s="513">
        <v>0</v>
      </c>
      <c r="M274" s="513">
        <v>2307015.6539503532</v>
      </c>
      <c r="N274" s="622"/>
    </row>
    <row r="275" spans="2:14">
      <c r="B275" s="513" t="s">
        <v>179</v>
      </c>
      <c r="C275" s="658">
        <v>2015</v>
      </c>
      <c r="D275" s="513">
        <v>2307015.6539503541</v>
      </c>
      <c r="E275" s="513">
        <v>300688.43556409801</v>
      </c>
      <c r="F275" s="513">
        <v>300688.43556409801</v>
      </c>
      <c r="G275" s="512">
        <v>0</v>
      </c>
      <c r="H275" s="660">
        <v>0</v>
      </c>
      <c r="I275" s="659" t="s">
        <v>103</v>
      </c>
      <c r="J275" s="513">
        <v>2041321.1200000003</v>
      </c>
      <c r="K275" s="513">
        <v>0</v>
      </c>
      <c r="L275" s="513">
        <v>0</v>
      </c>
      <c r="M275" s="513">
        <v>566382.96951445169</v>
      </c>
      <c r="N275" s="622"/>
    </row>
    <row r="276" spans="2:14">
      <c r="B276" s="513" t="s">
        <v>179</v>
      </c>
      <c r="C276" s="658">
        <v>2016</v>
      </c>
      <c r="D276" s="513">
        <v>566382.96951445192</v>
      </c>
      <c r="E276" s="513">
        <v>223759.63210388104</v>
      </c>
      <c r="F276" s="513">
        <v>223759.63210388104</v>
      </c>
      <c r="G276" s="660">
        <v>0</v>
      </c>
      <c r="H276" s="660">
        <v>0</v>
      </c>
      <c r="I276" s="659" t="s">
        <v>103</v>
      </c>
      <c r="J276" s="513">
        <v>54554.03</v>
      </c>
      <c r="K276" s="513">
        <v>3511691.9199999636</v>
      </c>
      <c r="L276" s="513">
        <v>-339084.32</v>
      </c>
      <c r="M276" s="513">
        <v>1074672.8916183331</v>
      </c>
      <c r="N276" s="622"/>
    </row>
    <row r="277" spans="2:14">
      <c r="B277" s="513" t="s">
        <v>179</v>
      </c>
      <c r="C277" s="658">
        <v>2017</v>
      </c>
      <c r="D277" s="513">
        <v>1074672.8916183356</v>
      </c>
      <c r="E277" s="513">
        <v>208603.3337452769</v>
      </c>
      <c r="F277" s="513">
        <v>208603.3337452769</v>
      </c>
      <c r="G277" s="513">
        <v>0</v>
      </c>
      <c r="H277" s="513">
        <v>0</v>
      </c>
      <c r="I277" s="659" t="s">
        <v>103</v>
      </c>
      <c r="J277" s="513">
        <v>16453.849999999991</v>
      </c>
      <c r="K277" s="513">
        <v>0</v>
      </c>
      <c r="L277" s="513">
        <v>386898.07</v>
      </c>
      <c r="M277" s="513">
        <v>879924.30536361248</v>
      </c>
      <c r="N277" s="622"/>
    </row>
    <row r="278" spans="2:14">
      <c r="B278" s="513" t="s">
        <v>179</v>
      </c>
      <c r="C278" s="889">
        <v>2018</v>
      </c>
      <c r="D278" s="513">
        <v>879924.30536361248</v>
      </c>
      <c r="E278" s="513">
        <f>VLOOKUP(B278,'[6]2018 allocation'!$A$11:$B$218,2, FALSE)</f>
        <v>221241.15283112577</v>
      </c>
      <c r="F278" s="513">
        <f>E278</f>
        <v>221241.15283112577</v>
      </c>
      <c r="G278" s="513">
        <v>0</v>
      </c>
      <c r="H278" s="513">
        <v>0</v>
      </c>
      <c r="I278" s="622" t="s">
        <v>103</v>
      </c>
      <c r="J278" s="513">
        <f>VLOOKUP(B278,'[6]Annual Spending Worksheet '!$C$6:$AG$250,28,FALSE)</f>
        <v>8146.54</v>
      </c>
      <c r="K278" s="513">
        <f>VLOOKUP(B278,'[6]Annual Spending Worksheet '!$C$6:$AG$250,29,FALSE)</f>
        <v>0</v>
      </c>
      <c r="L278" s="513">
        <v>0</v>
      </c>
      <c r="M278" s="513">
        <f>D278+E278+H278-J278</f>
        <v>1093018.9181947382</v>
      </c>
      <c r="N278" s="513"/>
    </row>
    <row r="279" spans="2:14">
      <c r="B279" s="513" t="s">
        <v>179</v>
      </c>
      <c r="C279" s="889">
        <v>2019</v>
      </c>
      <c r="D279" s="513">
        <v>1093018.9181947382</v>
      </c>
      <c r="E279" s="513">
        <v>234891.42308587494</v>
      </c>
      <c r="F279" s="513">
        <v>234891.42308587494</v>
      </c>
      <c r="G279" s="513">
        <v>0</v>
      </c>
      <c r="H279" s="513">
        <v>0</v>
      </c>
      <c r="I279" s="622" t="s">
        <v>103</v>
      </c>
      <c r="J279" s="513">
        <v>0</v>
      </c>
      <c r="K279" s="513">
        <v>0</v>
      </c>
      <c r="L279" s="513">
        <v>0</v>
      </c>
      <c r="M279" s="513">
        <v>1327910.3412806131</v>
      </c>
      <c r="N279" s="513"/>
    </row>
    <row r="280" spans="2:14">
      <c r="B280" s="513" t="s">
        <v>184</v>
      </c>
      <c r="C280" s="658">
        <v>2008</v>
      </c>
      <c r="D280" s="513">
        <v>632416.34400000051</v>
      </c>
      <c r="E280" s="512">
        <v>208414.00618268931</v>
      </c>
      <c r="F280" s="513">
        <v>208414.00618268931</v>
      </c>
      <c r="G280" s="512">
        <v>0</v>
      </c>
      <c r="H280" s="512">
        <v>0</v>
      </c>
      <c r="I280" s="659" t="s">
        <v>103</v>
      </c>
      <c r="J280" s="513">
        <v>0</v>
      </c>
      <c r="K280" s="513">
        <v>0</v>
      </c>
      <c r="L280" s="513">
        <v>0</v>
      </c>
      <c r="M280" s="513">
        <v>840830.35018268984</v>
      </c>
      <c r="N280" s="622"/>
    </row>
    <row r="281" spans="2:14">
      <c r="B281" s="513" t="s">
        <v>184</v>
      </c>
      <c r="C281" s="658">
        <v>2009</v>
      </c>
      <c r="D281" s="513">
        <v>840830.35018268973</v>
      </c>
      <c r="E281" s="512">
        <v>171613.31845918385</v>
      </c>
      <c r="F281" s="513">
        <v>171613.31845918385</v>
      </c>
      <c r="G281" s="512">
        <v>0</v>
      </c>
      <c r="H281" s="512">
        <v>0</v>
      </c>
      <c r="I281" s="659" t="s">
        <v>103</v>
      </c>
      <c r="J281" s="513">
        <v>0</v>
      </c>
      <c r="K281" s="513">
        <v>0</v>
      </c>
      <c r="L281" s="513">
        <v>0</v>
      </c>
      <c r="M281" s="513">
        <v>1012443.6686418736</v>
      </c>
      <c r="N281" s="622"/>
    </row>
    <row r="282" spans="2:14">
      <c r="B282" s="513" t="s">
        <v>184</v>
      </c>
      <c r="C282" s="658">
        <v>2010</v>
      </c>
      <c r="D282" s="513">
        <v>1012443.6686418736</v>
      </c>
      <c r="E282" s="512">
        <v>171375.64</v>
      </c>
      <c r="F282" s="513">
        <v>171375.64</v>
      </c>
      <c r="G282" s="512">
        <v>0</v>
      </c>
      <c r="H282" s="512">
        <v>0</v>
      </c>
      <c r="I282" s="659" t="s">
        <v>103</v>
      </c>
      <c r="J282" s="513">
        <v>73475.19</v>
      </c>
      <c r="K282" s="513">
        <v>0</v>
      </c>
      <c r="L282" s="513">
        <v>0</v>
      </c>
      <c r="M282" s="513">
        <v>1110344.1186418738</v>
      </c>
      <c r="N282" s="622"/>
    </row>
    <row r="283" spans="2:14">
      <c r="B283" s="513" t="s">
        <v>184</v>
      </c>
      <c r="C283" s="658">
        <v>2011</v>
      </c>
      <c r="D283" s="513">
        <v>1110344.1140418733</v>
      </c>
      <c r="E283" s="512">
        <v>174000.55286866566</v>
      </c>
      <c r="F283" s="513">
        <v>174000.55286866566</v>
      </c>
      <c r="G283" s="512">
        <v>0</v>
      </c>
      <c r="H283" s="512">
        <v>0</v>
      </c>
      <c r="I283" s="659" t="s">
        <v>103</v>
      </c>
      <c r="J283" s="513">
        <v>30240.15999999996</v>
      </c>
      <c r="K283" s="513">
        <v>0</v>
      </c>
      <c r="L283" s="513">
        <v>0</v>
      </c>
      <c r="M283" s="513">
        <v>1254104.506910539</v>
      </c>
      <c r="N283" s="622"/>
    </row>
    <row r="284" spans="2:14">
      <c r="B284" s="513" t="s">
        <v>184</v>
      </c>
      <c r="C284" s="658">
        <v>2012</v>
      </c>
      <c r="D284" s="513">
        <v>1254104.5069105392</v>
      </c>
      <c r="E284" s="513">
        <v>130622.12599393312</v>
      </c>
      <c r="F284" s="513">
        <v>130622.12599393312</v>
      </c>
      <c r="G284" s="512">
        <v>0</v>
      </c>
      <c r="H284" s="512">
        <v>0</v>
      </c>
      <c r="I284" s="659" t="s">
        <v>103</v>
      </c>
      <c r="J284" s="513">
        <v>72476.239999999918</v>
      </c>
      <c r="K284" s="513">
        <v>0</v>
      </c>
      <c r="L284" s="513">
        <v>0</v>
      </c>
      <c r="M284" s="513">
        <v>1312250.3929044723</v>
      </c>
      <c r="N284" s="622"/>
    </row>
    <row r="285" spans="2:14">
      <c r="B285" s="513" t="s">
        <v>184</v>
      </c>
      <c r="C285" s="658">
        <v>2013</v>
      </c>
      <c r="D285" s="513">
        <v>1312250.3929044725</v>
      </c>
      <c r="E285" s="513">
        <v>190594.56596868474</v>
      </c>
      <c r="F285" s="513">
        <v>190594.56596868474</v>
      </c>
      <c r="G285" s="512">
        <v>0</v>
      </c>
      <c r="H285" s="512">
        <v>0</v>
      </c>
      <c r="I285" s="659" t="s">
        <v>103</v>
      </c>
      <c r="J285" s="513">
        <v>62604.279999999992</v>
      </c>
      <c r="K285" s="513">
        <v>0</v>
      </c>
      <c r="L285" s="513">
        <v>0</v>
      </c>
      <c r="M285" s="513">
        <v>1440240.6788731574</v>
      </c>
      <c r="N285" s="622"/>
    </row>
    <row r="286" spans="2:14">
      <c r="B286" s="513" t="s">
        <v>184</v>
      </c>
      <c r="C286" s="658">
        <v>2014</v>
      </c>
      <c r="D286" s="513">
        <v>1440240.6788731571</v>
      </c>
      <c r="E286" s="513">
        <v>197493.02139812469</v>
      </c>
      <c r="F286" s="513">
        <v>197493.02139812469</v>
      </c>
      <c r="G286" s="660">
        <v>0</v>
      </c>
      <c r="H286" s="512">
        <v>0</v>
      </c>
      <c r="I286" s="659" t="s">
        <v>103</v>
      </c>
      <c r="J286" s="513">
        <v>1620376.6000000008</v>
      </c>
      <c r="K286" s="513">
        <v>0</v>
      </c>
      <c r="L286" s="513">
        <v>0</v>
      </c>
      <c r="M286" s="513">
        <v>17357.100271281088</v>
      </c>
      <c r="N286" s="622"/>
    </row>
    <row r="287" spans="2:14" ht="29.1">
      <c r="B287" s="513" t="s">
        <v>184</v>
      </c>
      <c r="C287" s="658">
        <v>2015</v>
      </c>
      <c r="D287" s="513">
        <v>17357.100271280855</v>
      </c>
      <c r="E287" s="513">
        <v>200293.67506269549</v>
      </c>
      <c r="F287" s="513">
        <v>200293.67506269549</v>
      </c>
      <c r="G287" s="660">
        <v>0</v>
      </c>
      <c r="H287" s="660">
        <v>0</v>
      </c>
      <c r="I287" s="659" t="s">
        <v>103</v>
      </c>
      <c r="J287" s="513">
        <v>836095.75</v>
      </c>
      <c r="K287" s="513">
        <v>2695268.22</v>
      </c>
      <c r="L287" s="513">
        <v>0</v>
      </c>
      <c r="M287" s="513">
        <v>-618444.97466602363</v>
      </c>
      <c r="N287" s="622" t="s">
        <v>1716</v>
      </c>
    </row>
    <row r="288" spans="2:14" ht="29.1">
      <c r="B288" s="513" t="s">
        <v>184</v>
      </c>
      <c r="C288" s="658">
        <v>2016</v>
      </c>
      <c r="D288" s="513">
        <v>-618444.9746660227</v>
      </c>
      <c r="E288" s="513">
        <v>149008.13916451059</v>
      </c>
      <c r="F288" s="513">
        <v>149008.13916451059</v>
      </c>
      <c r="G288" s="660">
        <v>-469436.83550151211</v>
      </c>
      <c r="H288" s="660">
        <v>0</v>
      </c>
      <c r="I288" s="659" t="s">
        <v>103</v>
      </c>
      <c r="J288" s="513">
        <v>113.95</v>
      </c>
      <c r="K288" s="513">
        <v>0</v>
      </c>
      <c r="L288" s="513">
        <v>-227598.97</v>
      </c>
      <c r="M288" s="513">
        <v>-241951.81550151212</v>
      </c>
      <c r="N288" s="622" t="s">
        <v>1716</v>
      </c>
    </row>
    <row r="289" spans="2:14" ht="29.1">
      <c r="B289" s="513" t="s">
        <v>184</v>
      </c>
      <c r="C289" s="658">
        <v>2017</v>
      </c>
      <c r="D289" s="513">
        <v>-241951.81550151296</v>
      </c>
      <c r="E289" s="513">
        <v>139014.75185978564</v>
      </c>
      <c r="F289" s="513">
        <v>139014.75185978564</v>
      </c>
      <c r="G289" s="513">
        <v>-102937.06364172732</v>
      </c>
      <c r="H289" s="513">
        <v>0</v>
      </c>
      <c r="I289" s="659" t="s">
        <v>103</v>
      </c>
      <c r="J289" s="513">
        <v>0</v>
      </c>
      <c r="K289" s="513">
        <v>0</v>
      </c>
      <c r="L289" s="513">
        <v>0</v>
      </c>
      <c r="M289" s="513">
        <v>-102937.06364172732</v>
      </c>
      <c r="N289" s="622" t="s">
        <v>1716</v>
      </c>
    </row>
    <row r="290" spans="2:14">
      <c r="B290" s="513" t="s">
        <v>184</v>
      </c>
      <c r="C290" s="889">
        <v>2018</v>
      </c>
      <c r="D290" s="513">
        <v>-102937.06364172732</v>
      </c>
      <c r="E290" s="513">
        <f>VLOOKUP(B290,'[6]2018 allocation'!$A$11:$B$218,2, FALSE)</f>
        <v>147609.1296166791</v>
      </c>
      <c r="F290" s="513">
        <f>E290</f>
        <v>147609.1296166791</v>
      </c>
      <c r="G290" s="513">
        <v>0</v>
      </c>
      <c r="H290" s="513">
        <v>0</v>
      </c>
      <c r="I290" s="622" t="s">
        <v>103</v>
      </c>
      <c r="J290" s="513">
        <f>VLOOKUP(B290,'[6]Annual Spending Worksheet '!$C$6:$AG$250,28,FALSE)</f>
        <v>0</v>
      </c>
      <c r="K290" s="513">
        <f>VLOOKUP(B290,'[6]Annual Spending Worksheet '!$C$6:$AG$250,29,FALSE)</f>
        <v>0</v>
      </c>
      <c r="L290" s="513">
        <v>0</v>
      </c>
      <c r="M290" s="513">
        <f>D290+E290+H290-J290</f>
        <v>44672.06597495178</v>
      </c>
      <c r="N290" s="513"/>
    </row>
    <row r="291" spans="2:14">
      <c r="B291" s="513" t="s">
        <v>184</v>
      </c>
      <c r="C291" s="889">
        <v>2019</v>
      </c>
      <c r="D291" s="513">
        <v>44672.06597495178</v>
      </c>
      <c r="E291" s="513">
        <v>156638.70002946333</v>
      </c>
      <c r="F291" s="513">
        <v>156638.70002946333</v>
      </c>
      <c r="G291" s="513">
        <v>0</v>
      </c>
      <c r="H291" s="513">
        <v>0</v>
      </c>
      <c r="I291" s="622" t="s">
        <v>103</v>
      </c>
      <c r="J291" s="513">
        <v>0</v>
      </c>
      <c r="K291" s="513">
        <v>0</v>
      </c>
      <c r="L291" s="513">
        <v>0</v>
      </c>
      <c r="M291" s="513">
        <v>201310.76600441511</v>
      </c>
      <c r="N291" s="513"/>
    </row>
    <row r="292" spans="2:14">
      <c r="B292" s="513" t="s">
        <v>188</v>
      </c>
      <c r="C292" s="658">
        <v>2008</v>
      </c>
      <c r="D292" s="513">
        <v>88122.294999999984</v>
      </c>
      <c r="E292" s="512">
        <v>5001.0857140787402</v>
      </c>
      <c r="F292" s="513">
        <v>5001.0857140787402</v>
      </c>
      <c r="G292" s="512">
        <v>0</v>
      </c>
      <c r="H292" s="512">
        <v>0</v>
      </c>
      <c r="I292" s="659" t="s">
        <v>103</v>
      </c>
      <c r="J292" s="513">
        <v>0</v>
      </c>
      <c r="K292" s="513">
        <v>0</v>
      </c>
      <c r="L292" s="513">
        <v>0</v>
      </c>
      <c r="M292" s="513">
        <v>93123.380714078725</v>
      </c>
      <c r="N292" s="622"/>
    </row>
    <row r="293" spans="2:14">
      <c r="B293" s="513" t="s">
        <v>188</v>
      </c>
      <c r="C293" s="658">
        <v>2009</v>
      </c>
      <c r="D293" s="513">
        <v>93123.380714078725</v>
      </c>
      <c r="E293" s="512">
        <v>4223.1263111845838</v>
      </c>
      <c r="F293" s="513">
        <v>4223.1263111845838</v>
      </c>
      <c r="G293" s="512">
        <v>0</v>
      </c>
      <c r="H293" s="512">
        <v>0</v>
      </c>
      <c r="I293" s="659" t="s">
        <v>103</v>
      </c>
      <c r="J293" s="513">
        <v>0</v>
      </c>
      <c r="K293" s="513">
        <v>0</v>
      </c>
      <c r="L293" s="513">
        <v>0</v>
      </c>
      <c r="M293" s="513">
        <v>97346.507025263301</v>
      </c>
      <c r="N293" s="622"/>
    </row>
    <row r="294" spans="2:14">
      <c r="B294" s="513" t="s">
        <v>188</v>
      </c>
      <c r="C294" s="658">
        <v>2010</v>
      </c>
      <c r="D294" s="513">
        <v>97346.507025263316</v>
      </c>
      <c r="E294" s="512">
        <v>4221.67</v>
      </c>
      <c r="F294" s="513">
        <v>4221.67</v>
      </c>
      <c r="G294" s="512">
        <v>0</v>
      </c>
      <c r="H294" s="512">
        <v>0</v>
      </c>
      <c r="I294" s="659" t="s">
        <v>103</v>
      </c>
      <c r="J294" s="513">
        <v>0</v>
      </c>
      <c r="K294" s="513">
        <v>0</v>
      </c>
      <c r="L294" s="513">
        <v>0</v>
      </c>
      <c r="M294" s="513">
        <v>101568.17702526331</v>
      </c>
      <c r="N294" s="622"/>
    </row>
    <row r="295" spans="2:14">
      <c r="B295" s="513" t="s">
        <v>188</v>
      </c>
      <c r="C295" s="658">
        <v>2011</v>
      </c>
      <c r="D295" s="513">
        <v>101568.17354679282</v>
      </c>
      <c r="E295" s="512">
        <v>4277.9741643167008</v>
      </c>
      <c r="F295" s="513">
        <v>4277.9741643167008</v>
      </c>
      <c r="G295" s="512">
        <v>0</v>
      </c>
      <c r="H295" s="512">
        <v>0</v>
      </c>
      <c r="I295" s="659" t="s">
        <v>103</v>
      </c>
      <c r="J295" s="513">
        <v>0</v>
      </c>
      <c r="K295" s="513">
        <v>0</v>
      </c>
      <c r="L295" s="513">
        <v>0</v>
      </c>
      <c r="M295" s="513">
        <v>105846.14771110953</v>
      </c>
      <c r="N295" s="622"/>
    </row>
    <row r="296" spans="2:14">
      <c r="B296" s="513" t="s">
        <v>188</v>
      </c>
      <c r="C296" s="658">
        <v>2012</v>
      </c>
      <c r="D296" s="513">
        <v>105846.14771110952</v>
      </c>
      <c r="E296" s="513">
        <v>3394.1856562503308</v>
      </c>
      <c r="F296" s="513">
        <v>3394.1856562503308</v>
      </c>
      <c r="G296" s="512">
        <v>0</v>
      </c>
      <c r="H296" s="512">
        <v>0</v>
      </c>
      <c r="I296" s="659" t="s">
        <v>103</v>
      </c>
      <c r="J296" s="513">
        <v>0</v>
      </c>
      <c r="K296" s="513">
        <v>0</v>
      </c>
      <c r="L296" s="513">
        <v>0</v>
      </c>
      <c r="M296" s="513">
        <v>109240.33336735985</v>
      </c>
      <c r="N296" s="622"/>
    </row>
    <row r="297" spans="2:14">
      <c r="B297" s="513" t="s">
        <v>188</v>
      </c>
      <c r="C297" s="658">
        <v>2013</v>
      </c>
      <c r="D297" s="513">
        <v>109240.33336735985</v>
      </c>
      <c r="E297" s="513">
        <v>4620.4667835554783</v>
      </c>
      <c r="F297" s="513">
        <v>4620.4667835554783</v>
      </c>
      <c r="G297" s="512">
        <v>0</v>
      </c>
      <c r="H297" s="512">
        <v>0</v>
      </c>
      <c r="I297" s="659" t="s">
        <v>103</v>
      </c>
      <c r="J297" s="513">
        <v>0</v>
      </c>
      <c r="K297" s="513">
        <v>0</v>
      </c>
      <c r="L297" s="513">
        <v>0</v>
      </c>
      <c r="M297" s="513">
        <v>113860.80015091533</v>
      </c>
      <c r="N297" s="622"/>
    </row>
    <row r="298" spans="2:14">
      <c r="B298" s="513" t="s">
        <v>188</v>
      </c>
      <c r="C298" s="658">
        <v>2014</v>
      </c>
      <c r="D298" s="513">
        <v>113860.80015091534</v>
      </c>
      <c r="E298" s="513">
        <v>4762.0875812800496</v>
      </c>
      <c r="F298" s="513">
        <v>4762.0875812800496</v>
      </c>
      <c r="G298" s="512">
        <v>0</v>
      </c>
      <c r="H298" s="512">
        <v>0</v>
      </c>
      <c r="I298" s="659" t="s">
        <v>103</v>
      </c>
      <c r="J298" s="513">
        <v>0</v>
      </c>
      <c r="K298" s="513">
        <v>0</v>
      </c>
      <c r="L298" s="513">
        <v>0</v>
      </c>
      <c r="M298" s="513">
        <v>118622.88773219539</v>
      </c>
      <c r="N298" s="622"/>
    </row>
    <row r="299" spans="2:14">
      <c r="B299" s="513" t="s">
        <v>188</v>
      </c>
      <c r="C299" s="658">
        <v>2015</v>
      </c>
      <c r="D299" s="513">
        <v>118622.88773219538</v>
      </c>
      <c r="E299" s="513">
        <v>4823.3788494574255</v>
      </c>
      <c r="F299" s="513">
        <v>4823.3788494574255</v>
      </c>
      <c r="G299" s="512">
        <v>0</v>
      </c>
      <c r="H299" s="660">
        <v>0</v>
      </c>
      <c r="I299" s="659" t="s">
        <v>103</v>
      </c>
      <c r="J299" s="513">
        <v>0</v>
      </c>
      <c r="K299" s="513">
        <v>0</v>
      </c>
      <c r="L299" s="513">
        <v>0</v>
      </c>
      <c r="M299" s="513">
        <v>123446.2665816528</v>
      </c>
      <c r="N299" s="622"/>
    </row>
    <row r="300" spans="2:14">
      <c r="B300" s="513" t="s">
        <v>188</v>
      </c>
      <c r="C300" s="658">
        <v>2016</v>
      </c>
      <c r="D300" s="513">
        <v>123446.2665816528</v>
      </c>
      <c r="E300" s="513">
        <v>3756.9661942498683</v>
      </c>
      <c r="F300" s="513">
        <v>3756.9661942498683</v>
      </c>
      <c r="G300" s="660">
        <v>0</v>
      </c>
      <c r="H300" s="660">
        <v>0</v>
      </c>
      <c r="I300" s="659" t="s">
        <v>103</v>
      </c>
      <c r="J300" s="513">
        <v>0</v>
      </c>
      <c r="K300" s="513">
        <v>0</v>
      </c>
      <c r="L300" s="513">
        <v>0</v>
      </c>
      <c r="M300" s="513">
        <v>127203.23277590267</v>
      </c>
      <c r="N300" s="622"/>
    </row>
    <row r="301" spans="2:14">
      <c r="B301" s="513" t="s">
        <v>188</v>
      </c>
      <c r="C301" s="658">
        <v>2017</v>
      </c>
      <c r="D301" s="513">
        <v>127203.23277590267</v>
      </c>
      <c r="E301" s="513">
        <v>3565.1051009304983</v>
      </c>
      <c r="F301" s="513">
        <v>3565.1051009304983</v>
      </c>
      <c r="G301" s="513">
        <v>0</v>
      </c>
      <c r="H301" s="513">
        <v>0</v>
      </c>
      <c r="I301" s="659" t="s">
        <v>103</v>
      </c>
      <c r="J301" s="513">
        <v>0</v>
      </c>
      <c r="K301" s="513">
        <v>0</v>
      </c>
      <c r="L301" s="513">
        <v>0</v>
      </c>
      <c r="M301" s="513">
        <v>130768.33787683316</v>
      </c>
      <c r="N301" s="622"/>
    </row>
    <row r="302" spans="2:14">
      <c r="B302" s="513" t="s">
        <v>188</v>
      </c>
      <c r="C302" s="889">
        <v>2018</v>
      </c>
      <c r="D302" s="513">
        <v>130768.33787683316</v>
      </c>
      <c r="E302" s="513">
        <f>VLOOKUP(B302,'[6]2018 allocation'!$A$11:$B$218,2, FALSE)</f>
        <v>3738.3895199246344</v>
      </c>
      <c r="F302" s="513">
        <f>E302</f>
        <v>3738.3895199246344</v>
      </c>
      <c r="G302" s="513">
        <v>0</v>
      </c>
      <c r="H302" s="513">
        <v>0</v>
      </c>
      <c r="I302" s="622" t="s">
        <v>103</v>
      </c>
      <c r="J302" s="513">
        <f>VLOOKUP(B302,'[6]Annual Spending Worksheet '!$C$6:$AG$250,28,FALSE)</f>
        <v>0</v>
      </c>
      <c r="K302" s="513">
        <f>VLOOKUP(B302,'[6]Annual Spending Worksheet '!$C$6:$AG$250,29,FALSE)</f>
        <v>0</v>
      </c>
      <c r="L302" s="513">
        <v>0</v>
      </c>
      <c r="M302" s="513">
        <f>D302+E302+H302-J302</f>
        <v>134506.72739675781</v>
      </c>
      <c r="N302" s="513"/>
    </row>
    <row r="303" spans="2:14">
      <c r="B303" s="513" t="s">
        <v>188</v>
      </c>
      <c r="C303" s="889">
        <v>2019</v>
      </c>
      <c r="D303" s="513">
        <v>134506.72739675781</v>
      </c>
      <c r="E303" s="513">
        <v>3920.0507521610589</v>
      </c>
      <c r="F303" s="513">
        <v>3920.0507521610589</v>
      </c>
      <c r="G303" s="513">
        <v>0</v>
      </c>
      <c r="H303" s="513">
        <v>0</v>
      </c>
      <c r="I303" s="622" t="s">
        <v>103</v>
      </c>
      <c r="J303" s="513">
        <v>0</v>
      </c>
      <c r="K303" s="513">
        <v>0</v>
      </c>
      <c r="L303" s="513">
        <v>0</v>
      </c>
      <c r="M303" s="513">
        <v>138426.77814891888</v>
      </c>
      <c r="N303" s="513"/>
    </row>
    <row r="304" spans="2:14">
      <c r="B304" s="513" t="s">
        <v>189</v>
      </c>
      <c r="C304" s="658">
        <v>2008</v>
      </c>
      <c r="D304" s="513">
        <v>752311.36300000001</v>
      </c>
      <c r="E304" s="512">
        <v>42484.305950483271</v>
      </c>
      <c r="F304" s="513">
        <v>42484.305950483271</v>
      </c>
      <c r="G304" s="512">
        <v>0</v>
      </c>
      <c r="H304" s="512">
        <v>0</v>
      </c>
      <c r="I304" s="659" t="s">
        <v>103</v>
      </c>
      <c r="J304" s="513">
        <v>0</v>
      </c>
      <c r="K304" s="513">
        <v>0</v>
      </c>
      <c r="L304" s="513">
        <v>0</v>
      </c>
      <c r="M304" s="513">
        <v>794795.66895048332</v>
      </c>
      <c r="N304" s="622"/>
    </row>
    <row r="305" spans="2:14">
      <c r="B305" s="513" t="s">
        <v>189</v>
      </c>
      <c r="C305" s="658">
        <v>2009</v>
      </c>
      <c r="D305" s="513">
        <v>794795.66895048332</v>
      </c>
      <c r="E305" s="512">
        <v>31853.860636687255</v>
      </c>
      <c r="F305" s="513">
        <v>31853.860636687255</v>
      </c>
      <c r="G305" s="512">
        <v>0</v>
      </c>
      <c r="H305" s="512">
        <v>0</v>
      </c>
      <c r="I305" s="659" t="s">
        <v>103</v>
      </c>
      <c r="J305" s="513">
        <v>0</v>
      </c>
      <c r="K305" s="513">
        <v>0</v>
      </c>
      <c r="L305" s="513">
        <v>0</v>
      </c>
      <c r="M305" s="513">
        <v>826649.52958717057</v>
      </c>
      <c r="N305" s="622"/>
    </row>
    <row r="306" spans="2:14">
      <c r="B306" s="513" t="s">
        <v>189</v>
      </c>
      <c r="C306" s="658">
        <v>2010</v>
      </c>
      <c r="D306" s="513">
        <v>826649.52958717057</v>
      </c>
      <c r="E306" s="512">
        <v>31800.11</v>
      </c>
      <c r="F306" s="513">
        <v>31800.11</v>
      </c>
      <c r="G306" s="512">
        <v>0</v>
      </c>
      <c r="H306" s="512">
        <v>0</v>
      </c>
      <c r="I306" s="659" t="s">
        <v>103</v>
      </c>
      <c r="J306" s="513">
        <v>0</v>
      </c>
      <c r="K306" s="513">
        <v>0</v>
      </c>
      <c r="L306" s="513">
        <v>0</v>
      </c>
      <c r="M306" s="513">
        <v>858449.63958717056</v>
      </c>
      <c r="N306" s="622"/>
    </row>
    <row r="307" spans="2:14">
      <c r="B307" s="513" t="s">
        <v>189</v>
      </c>
      <c r="C307" s="658">
        <v>2011</v>
      </c>
      <c r="D307" s="513">
        <v>858449.6352942331</v>
      </c>
      <c r="E307" s="512">
        <v>32560.438761322155</v>
      </c>
      <c r="F307" s="513">
        <v>32560.438761322155</v>
      </c>
      <c r="G307" s="512">
        <v>0</v>
      </c>
      <c r="H307" s="512">
        <v>0</v>
      </c>
      <c r="I307" s="659" t="s">
        <v>103</v>
      </c>
      <c r="J307" s="513">
        <v>0</v>
      </c>
      <c r="K307" s="513">
        <v>0</v>
      </c>
      <c r="L307" s="513">
        <v>0</v>
      </c>
      <c r="M307" s="513">
        <v>891010.07405555528</v>
      </c>
      <c r="N307" s="622"/>
    </row>
    <row r="308" spans="2:14">
      <c r="B308" s="513" t="s">
        <v>189</v>
      </c>
      <c r="C308" s="658">
        <v>2012</v>
      </c>
      <c r="D308" s="513">
        <v>891010.07405555528</v>
      </c>
      <c r="E308" s="513">
        <v>19911.597022254289</v>
      </c>
      <c r="F308" s="513">
        <v>19911.597022254289</v>
      </c>
      <c r="G308" s="512">
        <v>0</v>
      </c>
      <c r="H308" s="512">
        <v>0</v>
      </c>
      <c r="I308" s="659" t="s">
        <v>103</v>
      </c>
      <c r="J308" s="513">
        <v>0</v>
      </c>
      <c r="K308" s="513">
        <v>0</v>
      </c>
      <c r="L308" s="513">
        <v>0</v>
      </c>
      <c r="M308" s="513">
        <v>910921.67107780953</v>
      </c>
      <c r="N308" s="622"/>
    </row>
    <row r="309" spans="2:14">
      <c r="B309" s="513" t="s">
        <v>189</v>
      </c>
      <c r="C309" s="658">
        <v>2013</v>
      </c>
      <c r="D309" s="513">
        <v>910921.67107780953</v>
      </c>
      <c r="E309" s="513">
        <v>37344.95232422484</v>
      </c>
      <c r="F309" s="513">
        <v>37344.95232422484</v>
      </c>
      <c r="G309" s="512">
        <v>0</v>
      </c>
      <c r="H309" s="512">
        <v>0</v>
      </c>
      <c r="I309" s="659" t="s">
        <v>103</v>
      </c>
      <c r="J309" s="513">
        <v>0</v>
      </c>
      <c r="K309" s="513">
        <v>0</v>
      </c>
      <c r="L309" s="513">
        <v>0</v>
      </c>
      <c r="M309" s="513">
        <v>948266.6234020344</v>
      </c>
      <c r="N309" s="622"/>
    </row>
    <row r="310" spans="2:14">
      <c r="B310" s="513" t="s">
        <v>189</v>
      </c>
      <c r="C310" s="658">
        <v>2014</v>
      </c>
      <c r="D310" s="513">
        <v>948266.6234020344</v>
      </c>
      <c r="E310" s="513">
        <v>39346.939726707635</v>
      </c>
      <c r="F310" s="513">
        <v>39346.939726707635</v>
      </c>
      <c r="G310" s="512">
        <v>0</v>
      </c>
      <c r="H310" s="512">
        <v>0</v>
      </c>
      <c r="I310" s="659" t="s">
        <v>103</v>
      </c>
      <c r="J310" s="513">
        <v>0</v>
      </c>
      <c r="K310" s="513">
        <v>0</v>
      </c>
      <c r="L310" s="513">
        <v>0</v>
      </c>
      <c r="M310" s="513">
        <v>987613.56312874204</v>
      </c>
      <c r="N310" s="622"/>
    </row>
    <row r="311" spans="2:14">
      <c r="B311" s="513" t="s">
        <v>189</v>
      </c>
      <c r="C311" s="658">
        <v>2015</v>
      </c>
      <c r="D311" s="513">
        <v>987613.56312874204</v>
      </c>
      <c r="E311" s="513">
        <v>40178.066837310311</v>
      </c>
      <c r="F311" s="513">
        <v>40178.066837310311</v>
      </c>
      <c r="G311" s="512">
        <v>0</v>
      </c>
      <c r="H311" s="660">
        <v>0</v>
      </c>
      <c r="I311" s="659" t="s">
        <v>103</v>
      </c>
      <c r="J311" s="513">
        <v>0</v>
      </c>
      <c r="K311" s="513">
        <v>0</v>
      </c>
      <c r="L311" s="513">
        <v>0</v>
      </c>
      <c r="M311" s="513">
        <v>1027791.6299660524</v>
      </c>
      <c r="N311" s="622"/>
    </row>
    <row r="312" spans="2:14">
      <c r="B312" s="513" t="s">
        <v>189</v>
      </c>
      <c r="C312" s="658">
        <v>2016</v>
      </c>
      <c r="D312" s="513">
        <v>1027791.6299660524</v>
      </c>
      <c r="E312" s="513">
        <v>25203.757705932985</v>
      </c>
      <c r="F312" s="513">
        <v>25203.757705932985</v>
      </c>
      <c r="G312" s="660">
        <v>0</v>
      </c>
      <c r="H312" s="660">
        <v>0</v>
      </c>
      <c r="I312" s="659" t="s">
        <v>103</v>
      </c>
      <c r="J312" s="513">
        <v>0</v>
      </c>
      <c r="K312" s="513">
        <v>0</v>
      </c>
      <c r="L312" s="513">
        <v>0</v>
      </c>
      <c r="M312" s="513">
        <v>1052995.3876719854</v>
      </c>
      <c r="N312" s="622"/>
    </row>
    <row r="313" spans="2:14">
      <c r="B313" s="513" t="s">
        <v>189</v>
      </c>
      <c r="C313" s="658">
        <v>2017</v>
      </c>
      <c r="D313" s="513">
        <v>1052995.3876719854</v>
      </c>
      <c r="E313" s="513">
        <v>22263.317817739742</v>
      </c>
      <c r="F313" s="513">
        <v>22263.317817739742</v>
      </c>
      <c r="G313" s="513">
        <v>0</v>
      </c>
      <c r="H313" s="513">
        <v>0</v>
      </c>
      <c r="I313" s="659" t="s">
        <v>103</v>
      </c>
      <c r="J313" s="513">
        <v>0</v>
      </c>
      <c r="K313" s="513">
        <v>0</v>
      </c>
      <c r="L313" s="513">
        <v>0</v>
      </c>
      <c r="M313" s="513">
        <v>1075258.7054897251</v>
      </c>
      <c r="N313" s="622"/>
    </row>
    <row r="314" spans="2:14">
      <c r="B314" s="513" t="s">
        <v>189</v>
      </c>
      <c r="C314" s="889">
        <v>2018</v>
      </c>
      <c r="D314" s="513">
        <v>1075258.7054897251</v>
      </c>
      <c r="E314" s="513">
        <f>VLOOKUP(B314,'[6]2018 allocation'!$A$11:$B$218,2, FALSE)</f>
        <v>24764.692206279979</v>
      </c>
      <c r="F314" s="513">
        <f>E314</f>
        <v>24764.692206279979</v>
      </c>
      <c r="G314" s="513">
        <v>0</v>
      </c>
      <c r="H314" s="513">
        <v>0</v>
      </c>
      <c r="I314" s="622" t="s">
        <v>103</v>
      </c>
      <c r="J314" s="513">
        <f>VLOOKUP(B314,'[6]Annual Spending Worksheet '!$C$6:$AG$250,28,FALSE)</f>
        <v>0</v>
      </c>
      <c r="K314" s="513">
        <f>VLOOKUP(B314,'[6]Annual Spending Worksheet '!$C$6:$AG$250,29,FALSE)</f>
        <v>0</v>
      </c>
      <c r="L314" s="513">
        <v>0</v>
      </c>
      <c r="M314" s="513">
        <f>D314+E314+H314-J314</f>
        <v>1100023.3976960052</v>
      </c>
      <c r="N314" s="513"/>
    </row>
    <row r="315" spans="2:14">
      <c r="B315" s="513" t="s">
        <v>189</v>
      </c>
      <c r="C315" s="889">
        <v>2019</v>
      </c>
      <c r="D315" s="513">
        <v>1100023.3976960052</v>
      </c>
      <c r="E315" s="513">
        <v>27443.851999900449</v>
      </c>
      <c r="F315" s="513">
        <v>27443.851999900449</v>
      </c>
      <c r="G315" s="513">
        <v>0</v>
      </c>
      <c r="H315" s="513">
        <v>0</v>
      </c>
      <c r="I315" s="622" t="s">
        <v>103</v>
      </c>
      <c r="J315" s="513">
        <v>0</v>
      </c>
      <c r="K315" s="513">
        <v>0</v>
      </c>
      <c r="L315" s="513">
        <v>0</v>
      </c>
      <c r="M315" s="513">
        <v>1127467.2496959057</v>
      </c>
      <c r="N315" s="513"/>
    </row>
    <row r="316" spans="2:14">
      <c r="B316" s="513" t="s">
        <v>190</v>
      </c>
      <c r="C316" s="658">
        <v>2008</v>
      </c>
      <c r="D316" s="513">
        <v>5396337.0010000002</v>
      </c>
      <c r="E316" s="512">
        <v>312950.84302156809</v>
      </c>
      <c r="F316" s="513">
        <v>312950.84302156809</v>
      </c>
      <c r="G316" s="660">
        <v>0</v>
      </c>
      <c r="H316" s="512">
        <v>0</v>
      </c>
      <c r="I316" s="659" t="s">
        <v>103</v>
      </c>
      <c r="J316" s="513">
        <v>38048</v>
      </c>
      <c r="K316" s="513">
        <v>0</v>
      </c>
      <c r="L316" s="513">
        <v>0</v>
      </c>
      <c r="M316" s="513">
        <v>5671239.8440215681</v>
      </c>
      <c r="N316" s="622"/>
    </row>
    <row r="317" spans="2:14">
      <c r="B317" s="513" t="s">
        <v>190</v>
      </c>
      <c r="C317" s="658">
        <v>2009</v>
      </c>
      <c r="D317" s="513">
        <v>5671239.8740215683</v>
      </c>
      <c r="E317" s="512">
        <v>253052.85736683462</v>
      </c>
      <c r="F317" s="513">
        <v>253052.85736683462</v>
      </c>
      <c r="G317" s="660">
        <v>0</v>
      </c>
      <c r="H317" s="512">
        <v>0</v>
      </c>
      <c r="I317" s="659" t="s">
        <v>103</v>
      </c>
      <c r="J317" s="513">
        <v>61393.07</v>
      </c>
      <c r="K317" s="513">
        <v>0</v>
      </c>
      <c r="L317" s="513">
        <v>0</v>
      </c>
      <c r="M317" s="513">
        <v>5862899.6613884028</v>
      </c>
      <c r="N317" s="622"/>
    </row>
    <row r="318" spans="2:14">
      <c r="B318" s="513" t="s">
        <v>190</v>
      </c>
      <c r="C318" s="658">
        <v>2010</v>
      </c>
      <c r="D318" s="513">
        <v>5862899.6613884019</v>
      </c>
      <c r="E318" s="512">
        <v>252720.88</v>
      </c>
      <c r="F318" s="513">
        <v>252720.88</v>
      </c>
      <c r="G318" s="660">
        <v>0</v>
      </c>
      <c r="H318" s="512">
        <v>0</v>
      </c>
      <c r="I318" s="659" t="s">
        <v>103</v>
      </c>
      <c r="J318" s="513">
        <v>384469.1100000001</v>
      </c>
      <c r="K318" s="513">
        <v>0</v>
      </c>
      <c r="L318" s="513">
        <v>0</v>
      </c>
      <c r="M318" s="513">
        <v>5731151.4313884014</v>
      </c>
      <c r="N318" s="622"/>
    </row>
    <row r="319" spans="2:14">
      <c r="B319" s="513" t="s">
        <v>190</v>
      </c>
      <c r="C319" s="658">
        <v>2011</v>
      </c>
      <c r="D319" s="513">
        <v>5731151.4290841594</v>
      </c>
      <c r="E319" s="512">
        <v>256983.27982264184</v>
      </c>
      <c r="F319" s="513">
        <v>256983.27982264184</v>
      </c>
      <c r="G319" s="660">
        <v>0</v>
      </c>
      <c r="H319" s="512">
        <v>0</v>
      </c>
      <c r="I319" s="659" t="s">
        <v>103</v>
      </c>
      <c r="J319" s="513">
        <v>3274536.6600000029</v>
      </c>
      <c r="K319" s="513">
        <v>1075643</v>
      </c>
      <c r="L319" s="513">
        <v>0</v>
      </c>
      <c r="M319" s="513">
        <v>2713598.0489067985</v>
      </c>
      <c r="N319" s="622"/>
    </row>
    <row r="320" spans="2:14">
      <c r="B320" s="513" t="s">
        <v>190</v>
      </c>
      <c r="C320" s="658">
        <v>2012</v>
      </c>
      <c r="D320" s="513">
        <v>2713598.0488067986</v>
      </c>
      <c r="E320" s="513">
        <v>186115.50329957216</v>
      </c>
      <c r="F320" s="513">
        <v>186115.50329957216</v>
      </c>
      <c r="G320" s="660">
        <v>0</v>
      </c>
      <c r="H320" s="512">
        <v>0</v>
      </c>
      <c r="I320" s="659" t="s">
        <v>103</v>
      </c>
      <c r="J320" s="513">
        <v>1140237.8499999999</v>
      </c>
      <c r="K320" s="513">
        <v>3877519</v>
      </c>
      <c r="L320" s="513">
        <v>0</v>
      </c>
      <c r="M320" s="513">
        <v>1759475.7021063708</v>
      </c>
      <c r="N320" s="622"/>
    </row>
    <row r="321" spans="2:14">
      <c r="B321" s="513" t="s">
        <v>190</v>
      </c>
      <c r="C321" s="658">
        <v>2013</v>
      </c>
      <c r="D321" s="513">
        <v>1759475.7021063706</v>
      </c>
      <c r="E321" s="513">
        <v>284120.56097185396</v>
      </c>
      <c r="F321" s="513">
        <v>284120.56097185396</v>
      </c>
      <c r="G321" s="660">
        <v>0</v>
      </c>
      <c r="H321" s="512">
        <v>0</v>
      </c>
      <c r="I321" s="659" t="s">
        <v>103</v>
      </c>
      <c r="J321" s="513">
        <v>2683711.5999999978</v>
      </c>
      <c r="K321" s="513">
        <v>3561518</v>
      </c>
      <c r="L321" s="513">
        <v>67589.429999999993</v>
      </c>
      <c r="M321" s="513">
        <v>-707704.76692177309</v>
      </c>
      <c r="N321" s="622" t="s">
        <v>1715</v>
      </c>
    </row>
    <row r="322" spans="2:14">
      <c r="B322" s="513" t="s">
        <v>190</v>
      </c>
      <c r="C322" s="658">
        <v>2014</v>
      </c>
      <c r="D322" s="513">
        <v>-707704.76692177355</v>
      </c>
      <c r="E322" s="513">
        <v>295547.97193994158</v>
      </c>
      <c r="F322" s="513">
        <v>295547.97193994158</v>
      </c>
      <c r="G322" s="660">
        <v>-412156.79498183198</v>
      </c>
      <c r="H322" s="512">
        <v>0</v>
      </c>
      <c r="I322" s="659" t="s">
        <v>103</v>
      </c>
      <c r="J322" s="513">
        <v>296591.18999999994</v>
      </c>
      <c r="K322" s="513">
        <v>0</v>
      </c>
      <c r="L322" s="513">
        <v>-21019.97</v>
      </c>
      <c r="M322" s="513">
        <v>-687728.01498183189</v>
      </c>
      <c r="N322" s="622" t="s">
        <v>1715</v>
      </c>
    </row>
    <row r="323" spans="2:14" ht="29.1">
      <c r="B323" s="513" t="s">
        <v>190</v>
      </c>
      <c r="C323" s="658">
        <v>2015</v>
      </c>
      <c r="D323" s="513">
        <v>-687728.01498182863</v>
      </c>
      <c r="E323" s="513">
        <v>300165.84082276269</v>
      </c>
      <c r="F323" s="513">
        <v>300165.84082276269</v>
      </c>
      <c r="G323" s="660">
        <v>-387562.17415906594</v>
      </c>
      <c r="H323" s="660">
        <v>0</v>
      </c>
      <c r="I323" s="659" t="s">
        <v>103</v>
      </c>
      <c r="J323" s="513">
        <v>125395.68000000001</v>
      </c>
      <c r="K323" s="513">
        <v>0</v>
      </c>
      <c r="L323" s="513">
        <v>0</v>
      </c>
      <c r="M323" s="513">
        <v>-512957.85415906593</v>
      </c>
      <c r="N323" s="622" t="s">
        <v>1717</v>
      </c>
    </row>
    <row r="324" spans="2:14" ht="29.1">
      <c r="B324" s="513" t="s">
        <v>190</v>
      </c>
      <c r="C324" s="658">
        <v>2016</v>
      </c>
      <c r="D324" s="513">
        <v>-512957.85415906645</v>
      </c>
      <c r="E324" s="513">
        <v>215316.47099757491</v>
      </c>
      <c r="F324" s="513">
        <v>215316.47099757491</v>
      </c>
      <c r="G324" s="660">
        <v>-297641.38316149154</v>
      </c>
      <c r="H324" s="660">
        <v>0</v>
      </c>
      <c r="I324" s="659" t="s">
        <v>103</v>
      </c>
      <c r="J324" s="513">
        <v>-204836.46000000011</v>
      </c>
      <c r="K324" s="513">
        <v>0</v>
      </c>
      <c r="L324" s="513">
        <v>-7360.14</v>
      </c>
      <c r="M324" s="513">
        <v>-85444.783161491432</v>
      </c>
      <c r="N324" s="622" t="s">
        <v>1717</v>
      </c>
    </row>
    <row r="325" spans="2:14">
      <c r="B325" s="513" t="s">
        <v>190</v>
      </c>
      <c r="C325" s="658">
        <v>2017</v>
      </c>
      <c r="D325" s="513">
        <v>-85444.783061493188</v>
      </c>
      <c r="E325" s="513">
        <v>198628.2679135495</v>
      </c>
      <c r="F325" s="513">
        <v>198628.2679135495</v>
      </c>
      <c r="G325" s="513">
        <v>0</v>
      </c>
      <c r="H325" s="513">
        <v>0</v>
      </c>
      <c r="I325" s="659" t="s">
        <v>103</v>
      </c>
      <c r="J325" s="513">
        <v>0</v>
      </c>
      <c r="K325" s="513">
        <v>0</v>
      </c>
      <c r="L325" s="513">
        <v>0</v>
      </c>
      <c r="M325" s="513">
        <v>113183.48485205631</v>
      </c>
      <c r="N325" s="622"/>
    </row>
    <row r="326" spans="2:14">
      <c r="B326" s="513" t="s">
        <v>190</v>
      </c>
      <c r="C326" s="889">
        <v>2018</v>
      </c>
      <c r="D326" s="513">
        <v>113183.48485205631</v>
      </c>
      <c r="E326" s="513">
        <f>VLOOKUP(B326,'[6]2018 allocation'!$A$11:$B$218,2, FALSE)</f>
        <v>212809.16524788248</v>
      </c>
      <c r="F326" s="513">
        <f>E326</f>
        <v>212809.16524788248</v>
      </c>
      <c r="G326" s="513">
        <v>0</v>
      </c>
      <c r="H326" s="513">
        <v>0</v>
      </c>
      <c r="I326" s="622" t="s">
        <v>103</v>
      </c>
      <c r="J326" s="513">
        <f>VLOOKUP(B326,'[6]Annual Spending Worksheet '!$C$6:$AG$250,28,FALSE)</f>
        <v>0</v>
      </c>
      <c r="K326" s="513">
        <f>VLOOKUP(B326,'[6]Annual Spending Worksheet '!$C$6:$AG$250,29,FALSE)</f>
        <v>0</v>
      </c>
      <c r="L326" s="513">
        <v>0</v>
      </c>
      <c r="M326" s="513">
        <f>D326+E326+H326-J326</f>
        <v>325992.65009993879</v>
      </c>
      <c r="N326" s="513"/>
    </row>
    <row r="327" spans="2:14">
      <c r="B327" s="513" t="s">
        <v>190</v>
      </c>
      <c r="C327" s="889">
        <v>2019</v>
      </c>
      <c r="D327" s="513">
        <v>325992.65009993879</v>
      </c>
      <c r="E327" s="513">
        <v>227687.25032569628</v>
      </c>
      <c r="F327" s="513">
        <v>227687.25032569628</v>
      </c>
      <c r="G327" s="513">
        <v>0</v>
      </c>
      <c r="H327" s="513">
        <v>0</v>
      </c>
      <c r="I327" s="622" t="s">
        <v>103</v>
      </c>
      <c r="J327" s="513">
        <v>0</v>
      </c>
      <c r="K327" s="513">
        <v>0</v>
      </c>
      <c r="L327" s="513">
        <v>0</v>
      </c>
      <c r="M327" s="513">
        <v>553679.90042563505</v>
      </c>
      <c r="N327" s="513"/>
    </row>
    <row r="328" spans="2:14">
      <c r="B328" s="513" t="s">
        <v>201</v>
      </c>
      <c r="C328" s="658">
        <v>2008</v>
      </c>
      <c r="D328" s="513">
        <v>-43329.85000000149</v>
      </c>
      <c r="E328" s="512">
        <v>92443.142930034432</v>
      </c>
      <c r="F328" s="513">
        <v>92443.142930034432</v>
      </c>
      <c r="G328" s="512">
        <v>0</v>
      </c>
      <c r="H328" s="512">
        <v>0</v>
      </c>
      <c r="I328" s="659" t="s">
        <v>103</v>
      </c>
      <c r="J328" s="513">
        <v>0</v>
      </c>
      <c r="K328" s="513">
        <v>0</v>
      </c>
      <c r="L328" s="513">
        <v>0</v>
      </c>
      <c r="M328" s="513">
        <v>49113.292930032942</v>
      </c>
      <c r="N328" s="622"/>
    </row>
    <row r="329" spans="2:14">
      <c r="B329" s="513" t="s">
        <v>201</v>
      </c>
      <c r="C329" s="658">
        <v>2009</v>
      </c>
      <c r="D329" s="513">
        <v>49113.292930033058</v>
      </c>
      <c r="E329" s="512">
        <v>74119.438866035052</v>
      </c>
      <c r="F329" s="513">
        <v>74119.438866035052</v>
      </c>
      <c r="G329" s="512">
        <v>0</v>
      </c>
      <c r="H329" s="512">
        <v>0</v>
      </c>
      <c r="I329" s="659" t="s">
        <v>103</v>
      </c>
      <c r="J329" s="513">
        <v>0</v>
      </c>
      <c r="K329" s="513">
        <v>0</v>
      </c>
      <c r="L329" s="513">
        <v>0</v>
      </c>
      <c r="M329" s="513">
        <v>123232.73179606811</v>
      </c>
      <c r="N329" s="622"/>
    </row>
    <row r="330" spans="2:14">
      <c r="B330" s="513" t="s">
        <v>201</v>
      </c>
      <c r="C330" s="658">
        <v>2010</v>
      </c>
      <c r="D330" s="513">
        <v>123232.73179606721</v>
      </c>
      <c r="E330" s="512">
        <v>73994.350000000006</v>
      </c>
      <c r="F330" s="513">
        <v>73994.350000000006</v>
      </c>
      <c r="G330" s="512">
        <v>0</v>
      </c>
      <c r="H330" s="512">
        <v>0</v>
      </c>
      <c r="I330" s="659" t="s">
        <v>103</v>
      </c>
      <c r="J330" s="513">
        <v>0</v>
      </c>
      <c r="K330" s="513">
        <v>0</v>
      </c>
      <c r="L330" s="513">
        <v>0</v>
      </c>
      <c r="M330" s="513">
        <v>197227.08179606721</v>
      </c>
      <c r="N330" s="622"/>
    </row>
    <row r="331" spans="2:14">
      <c r="B331" s="513" t="s">
        <v>201</v>
      </c>
      <c r="C331" s="658">
        <v>2011</v>
      </c>
      <c r="D331" s="513">
        <v>197227.07710684836</v>
      </c>
      <c r="E331" s="512">
        <v>75366.131045014597</v>
      </c>
      <c r="F331" s="513">
        <v>75366.131045014597</v>
      </c>
      <c r="G331" s="512">
        <v>0</v>
      </c>
      <c r="H331" s="512">
        <v>0</v>
      </c>
      <c r="I331" s="659" t="s">
        <v>103</v>
      </c>
      <c r="J331" s="513">
        <v>0</v>
      </c>
      <c r="K331" s="513">
        <v>0</v>
      </c>
      <c r="L331" s="513">
        <v>0</v>
      </c>
      <c r="M331" s="513">
        <v>272593.20815186296</v>
      </c>
      <c r="N331" s="622"/>
    </row>
    <row r="332" spans="2:14">
      <c r="B332" s="513" t="s">
        <v>201</v>
      </c>
      <c r="C332" s="658">
        <v>2012</v>
      </c>
      <c r="D332" s="513">
        <v>272593.20815186203</v>
      </c>
      <c r="E332" s="513">
        <v>53853.305137036405</v>
      </c>
      <c r="F332" s="513">
        <v>53853.305137036405</v>
      </c>
      <c r="G332" s="512">
        <v>0</v>
      </c>
      <c r="H332" s="512">
        <v>0</v>
      </c>
      <c r="I332" s="659" t="s">
        <v>103</v>
      </c>
      <c r="J332" s="513">
        <v>0</v>
      </c>
      <c r="K332" s="513">
        <v>0</v>
      </c>
      <c r="L332" s="513">
        <v>0</v>
      </c>
      <c r="M332" s="513">
        <v>326446.51328889845</v>
      </c>
      <c r="N332" s="622"/>
    </row>
    <row r="333" spans="2:14">
      <c r="B333" s="513" t="s">
        <v>201</v>
      </c>
      <c r="C333" s="658">
        <v>2013</v>
      </c>
      <c r="D333" s="513">
        <v>326446.51328890026</v>
      </c>
      <c r="E333" s="513">
        <v>83543.719920084783</v>
      </c>
      <c r="F333" s="513">
        <v>83543.719920084783</v>
      </c>
      <c r="G333" s="512">
        <v>0</v>
      </c>
      <c r="H333" s="512">
        <v>0</v>
      </c>
      <c r="I333" s="659" t="s">
        <v>103</v>
      </c>
      <c r="J333" s="513">
        <v>0</v>
      </c>
      <c r="K333" s="513">
        <v>0</v>
      </c>
      <c r="L333" s="513">
        <v>0</v>
      </c>
      <c r="M333" s="513">
        <v>409990.23320898507</v>
      </c>
      <c r="N333" s="622"/>
    </row>
    <row r="334" spans="2:14">
      <c r="B334" s="513" t="s">
        <v>201</v>
      </c>
      <c r="C334" s="658">
        <v>2014</v>
      </c>
      <c r="D334" s="513">
        <v>409990.23320898414</v>
      </c>
      <c r="E334" s="513">
        <v>86957.078251509782</v>
      </c>
      <c r="F334" s="513">
        <v>86957.078251509782</v>
      </c>
      <c r="G334" s="512">
        <v>0</v>
      </c>
      <c r="H334" s="512">
        <v>0</v>
      </c>
      <c r="I334" s="659" t="s">
        <v>103</v>
      </c>
      <c r="J334" s="513">
        <v>45103.789999999986</v>
      </c>
      <c r="K334" s="513">
        <v>0</v>
      </c>
      <c r="L334" s="513">
        <v>0</v>
      </c>
      <c r="M334" s="513">
        <v>451843.52146049397</v>
      </c>
      <c r="N334" s="622"/>
    </row>
    <row r="335" spans="2:14">
      <c r="B335" s="513" t="s">
        <v>201</v>
      </c>
      <c r="C335" s="658">
        <v>2015</v>
      </c>
      <c r="D335" s="513">
        <v>451843.52146049589</v>
      </c>
      <c r="E335" s="513">
        <v>88319.252925095658</v>
      </c>
      <c r="F335" s="513">
        <v>88319.252925095658</v>
      </c>
      <c r="G335" s="660">
        <v>0</v>
      </c>
      <c r="H335" s="660">
        <v>0</v>
      </c>
      <c r="I335" s="659" t="s">
        <v>103</v>
      </c>
      <c r="J335" s="513">
        <v>8083.43</v>
      </c>
      <c r="K335" s="513">
        <v>0</v>
      </c>
      <c r="L335" s="513">
        <v>0</v>
      </c>
      <c r="M335" s="513">
        <v>532079.34438559145</v>
      </c>
      <c r="N335" s="622"/>
    </row>
    <row r="336" spans="2:14">
      <c r="B336" s="513" t="s">
        <v>201</v>
      </c>
      <c r="C336" s="658">
        <v>2016</v>
      </c>
      <c r="D336" s="513">
        <v>532079.34438558854</v>
      </c>
      <c r="E336" s="513">
        <v>62955.76431599119</v>
      </c>
      <c r="F336" s="513">
        <v>62955.76431599119</v>
      </c>
      <c r="G336" s="660">
        <v>0</v>
      </c>
      <c r="H336" s="660">
        <v>0</v>
      </c>
      <c r="I336" s="659" t="s">
        <v>103</v>
      </c>
      <c r="J336" s="513">
        <v>4546.93</v>
      </c>
      <c r="K336" s="513">
        <v>0</v>
      </c>
      <c r="L336" s="513">
        <v>0</v>
      </c>
      <c r="M336" s="513">
        <v>590488.17870157969</v>
      </c>
      <c r="N336" s="622"/>
    </row>
    <row r="337" spans="2:14">
      <c r="B337" s="513" t="s">
        <v>201</v>
      </c>
      <c r="C337" s="658">
        <v>2017</v>
      </c>
      <c r="D337" s="513">
        <v>590488.17870158143</v>
      </c>
      <c r="E337" s="513">
        <v>57872.604902956373</v>
      </c>
      <c r="F337" s="513">
        <v>57872.604902956373</v>
      </c>
      <c r="G337" s="513">
        <v>0</v>
      </c>
      <c r="H337" s="513">
        <v>0</v>
      </c>
      <c r="I337" s="659" t="s">
        <v>103</v>
      </c>
      <c r="J337" s="513">
        <v>55259.680000000015</v>
      </c>
      <c r="K337" s="513">
        <v>0</v>
      </c>
      <c r="L337" s="513">
        <v>0</v>
      </c>
      <c r="M337" s="513">
        <v>593101.10360453778</v>
      </c>
      <c r="N337" s="622"/>
    </row>
    <row r="338" spans="2:14">
      <c r="B338" s="513" t="s">
        <v>201</v>
      </c>
      <c r="C338" s="889">
        <v>2018</v>
      </c>
      <c r="D338" s="513">
        <v>593101.10360453778</v>
      </c>
      <c r="E338" s="513">
        <f>VLOOKUP(B338,'[6]2018 allocation'!$A$11:$B$218,2, FALSE)</f>
        <v>62118.424573450982</v>
      </c>
      <c r="F338" s="513">
        <f>E338</f>
        <v>62118.424573450982</v>
      </c>
      <c r="G338" s="513">
        <v>0</v>
      </c>
      <c r="H338" s="513">
        <v>0</v>
      </c>
      <c r="I338" s="622" t="s">
        <v>103</v>
      </c>
      <c r="J338" s="513">
        <f>VLOOKUP(B338,'[6]Annual Spending Worksheet '!$C$6:$AG$250,28,FALSE)</f>
        <v>56838.260000000009</v>
      </c>
      <c r="K338" s="513">
        <f>VLOOKUP(B338,'[6]Annual Spending Worksheet '!$C$6:$AG$250,29,FALSE)</f>
        <v>0</v>
      </c>
      <c r="L338" s="513">
        <v>0</v>
      </c>
      <c r="M338" s="513">
        <f>D338+E338+H338-J338</f>
        <v>598381.26817798871</v>
      </c>
      <c r="N338" s="513"/>
    </row>
    <row r="339" spans="2:14">
      <c r="B339" s="513" t="s">
        <v>201</v>
      </c>
      <c r="C339" s="889">
        <v>2019</v>
      </c>
      <c r="D339" s="513">
        <v>598381.26817798871</v>
      </c>
      <c r="E339" s="513">
        <v>66608.677998978819</v>
      </c>
      <c r="F339" s="513">
        <v>66608.677998978819</v>
      </c>
      <c r="G339" s="513">
        <v>0</v>
      </c>
      <c r="H339" s="513">
        <v>0</v>
      </c>
      <c r="I339" s="622" t="s">
        <v>103</v>
      </c>
      <c r="J339" s="513">
        <v>10870.02</v>
      </c>
      <c r="K339" s="513">
        <v>0</v>
      </c>
      <c r="L339" s="513">
        <v>0</v>
      </c>
      <c r="M339" s="513">
        <v>654119.92617696756</v>
      </c>
      <c r="N339" s="513"/>
    </row>
    <row r="340" spans="2:14" ht="29.1">
      <c r="B340" s="513" t="s">
        <v>206</v>
      </c>
      <c r="C340" s="658">
        <v>2008</v>
      </c>
      <c r="D340" s="513">
        <v>-320643.10699999984</v>
      </c>
      <c r="E340" s="512">
        <v>122948.26860779064</v>
      </c>
      <c r="F340" s="513">
        <v>122948.26860779064</v>
      </c>
      <c r="G340" s="512">
        <v>-197694.8383922092</v>
      </c>
      <c r="H340" s="512">
        <v>0</v>
      </c>
      <c r="I340" s="659" t="s">
        <v>103</v>
      </c>
      <c r="J340" s="513">
        <v>0</v>
      </c>
      <c r="K340" s="513">
        <v>0</v>
      </c>
      <c r="L340" s="513">
        <v>0</v>
      </c>
      <c r="M340" s="513">
        <v>-197694.8383922092</v>
      </c>
      <c r="N340" s="622" t="s">
        <v>1712</v>
      </c>
    </row>
    <row r="341" spans="2:14" ht="29.1">
      <c r="B341" s="513" t="s">
        <v>206</v>
      </c>
      <c r="C341" s="658">
        <v>2009</v>
      </c>
      <c r="D341" s="513">
        <v>-197694.83839220926</v>
      </c>
      <c r="E341" s="512">
        <v>99314.734556937532</v>
      </c>
      <c r="F341" s="513">
        <v>99314.734556937532</v>
      </c>
      <c r="G341" s="512">
        <v>-98380.10383527173</v>
      </c>
      <c r="H341" s="512">
        <v>0</v>
      </c>
      <c r="I341" s="659" t="s">
        <v>103</v>
      </c>
      <c r="J341" s="513">
        <v>0</v>
      </c>
      <c r="K341" s="513">
        <v>0</v>
      </c>
      <c r="L341" s="513">
        <v>0</v>
      </c>
      <c r="M341" s="513">
        <v>-98380.10383527173</v>
      </c>
      <c r="N341" s="622" t="s">
        <v>1711</v>
      </c>
    </row>
    <row r="342" spans="2:14">
      <c r="B342" s="513" t="s">
        <v>206</v>
      </c>
      <c r="C342" s="658">
        <v>2010</v>
      </c>
      <c r="D342" s="513">
        <v>-98380.103835271671</v>
      </c>
      <c r="E342" s="512">
        <v>99177.89</v>
      </c>
      <c r="F342" s="513">
        <v>99177.89</v>
      </c>
      <c r="G342" s="512">
        <v>0</v>
      </c>
      <c r="H342" s="512">
        <v>0</v>
      </c>
      <c r="I342" s="659" t="s">
        <v>103</v>
      </c>
      <c r="J342" s="513">
        <v>0</v>
      </c>
      <c r="K342" s="513">
        <v>0</v>
      </c>
      <c r="L342" s="513">
        <v>0</v>
      </c>
      <c r="M342" s="513">
        <v>797.786164728328</v>
      </c>
      <c r="N342" s="622"/>
    </row>
    <row r="343" spans="2:14">
      <c r="B343" s="513" t="s">
        <v>206</v>
      </c>
      <c r="C343" s="658">
        <v>2011</v>
      </c>
      <c r="D343" s="513">
        <v>797.78358458308503</v>
      </c>
      <c r="E343" s="512">
        <v>101002.06087780216</v>
      </c>
      <c r="F343" s="513">
        <v>101002.06087780216</v>
      </c>
      <c r="G343" s="512">
        <v>0</v>
      </c>
      <c r="H343" s="512">
        <v>0</v>
      </c>
      <c r="I343" s="659" t="s">
        <v>103</v>
      </c>
      <c r="J343" s="513">
        <v>0</v>
      </c>
      <c r="K343" s="513">
        <v>0</v>
      </c>
      <c r="L343" s="513">
        <v>0</v>
      </c>
      <c r="M343" s="513">
        <v>101799.84446238524</v>
      </c>
      <c r="N343" s="622"/>
    </row>
    <row r="344" spans="2:14">
      <c r="B344" s="513" t="s">
        <v>206</v>
      </c>
      <c r="C344" s="658">
        <v>2012</v>
      </c>
      <c r="D344" s="513">
        <v>101799.8444623854</v>
      </c>
      <c r="E344" s="513">
        <v>73533.245991489821</v>
      </c>
      <c r="F344" s="513">
        <v>73533.245991489821</v>
      </c>
      <c r="G344" s="512">
        <v>0</v>
      </c>
      <c r="H344" s="512">
        <v>0</v>
      </c>
      <c r="I344" s="659" t="s">
        <v>103</v>
      </c>
      <c r="J344" s="513">
        <v>0</v>
      </c>
      <c r="K344" s="513">
        <v>0</v>
      </c>
      <c r="L344" s="513">
        <v>0</v>
      </c>
      <c r="M344" s="513">
        <v>175333.09045387522</v>
      </c>
      <c r="N344" s="622"/>
    </row>
    <row r="345" spans="2:14">
      <c r="B345" s="513" t="s">
        <v>206</v>
      </c>
      <c r="C345" s="658">
        <v>2013</v>
      </c>
      <c r="D345" s="513">
        <v>175333.09045387525</v>
      </c>
      <c r="E345" s="513">
        <v>111496.2969950461</v>
      </c>
      <c r="F345" s="513">
        <v>111496.2969950461</v>
      </c>
      <c r="G345" s="512">
        <v>0</v>
      </c>
      <c r="H345" s="512">
        <v>0</v>
      </c>
      <c r="I345" s="659" t="s">
        <v>103</v>
      </c>
      <c r="J345" s="513">
        <v>0</v>
      </c>
      <c r="K345" s="513">
        <v>0</v>
      </c>
      <c r="L345" s="513">
        <v>0</v>
      </c>
      <c r="M345" s="513">
        <v>286829.38744892133</v>
      </c>
      <c r="N345" s="622"/>
    </row>
    <row r="346" spans="2:14">
      <c r="B346" s="513" t="s">
        <v>206</v>
      </c>
      <c r="C346" s="658">
        <v>2014</v>
      </c>
      <c r="D346" s="513">
        <v>286829.38744892133</v>
      </c>
      <c r="E346" s="513">
        <v>115919.99024402132</v>
      </c>
      <c r="F346" s="513">
        <v>115919.99024402132</v>
      </c>
      <c r="G346" s="512">
        <v>0</v>
      </c>
      <c r="H346" s="512">
        <v>0</v>
      </c>
      <c r="I346" s="659" t="s">
        <v>103</v>
      </c>
      <c r="J346" s="513">
        <v>0</v>
      </c>
      <c r="K346" s="513">
        <v>0</v>
      </c>
      <c r="L346" s="513">
        <v>0</v>
      </c>
      <c r="M346" s="513">
        <v>402749.37769294262</v>
      </c>
      <c r="N346" s="622"/>
    </row>
    <row r="347" spans="2:14">
      <c r="B347" s="513" t="s">
        <v>206</v>
      </c>
      <c r="C347" s="658">
        <v>2015</v>
      </c>
      <c r="D347" s="513">
        <v>402749.37769294251</v>
      </c>
      <c r="E347" s="513">
        <v>117741.49034824947</v>
      </c>
      <c r="F347" s="513">
        <v>117741.49034824947</v>
      </c>
      <c r="G347" s="512">
        <v>0</v>
      </c>
      <c r="H347" s="660">
        <v>0</v>
      </c>
      <c r="I347" s="659" t="s">
        <v>103</v>
      </c>
      <c r="J347" s="513">
        <v>0</v>
      </c>
      <c r="K347" s="513">
        <v>0</v>
      </c>
      <c r="L347" s="513">
        <v>0</v>
      </c>
      <c r="M347" s="513">
        <v>520490.86804119195</v>
      </c>
      <c r="N347" s="622"/>
    </row>
    <row r="348" spans="2:14">
      <c r="B348" s="513" t="s">
        <v>206</v>
      </c>
      <c r="C348" s="658">
        <v>2016</v>
      </c>
      <c r="D348" s="513">
        <v>520490.86804119218</v>
      </c>
      <c r="E348" s="513">
        <v>84741.334431840194</v>
      </c>
      <c r="F348" s="513">
        <v>84741.334431840194</v>
      </c>
      <c r="G348" s="660">
        <v>0</v>
      </c>
      <c r="H348" s="660">
        <v>0</v>
      </c>
      <c r="I348" s="659" t="s">
        <v>103</v>
      </c>
      <c r="J348" s="513">
        <v>0</v>
      </c>
      <c r="K348" s="513">
        <v>0</v>
      </c>
      <c r="L348" s="513">
        <v>0</v>
      </c>
      <c r="M348" s="513">
        <v>605232.2024730324</v>
      </c>
      <c r="N348" s="622"/>
    </row>
    <row r="349" spans="2:14">
      <c r="B349" s="513" t="s">
        <v>206</v>
      </c>
      <c r="C349" s="658">
        <v>2017</v>
      </c>
      <c r="D349" s="513">
        <v>605232.20247303229</v>
      </c>
      <c r="E349" s="513">
        <v>78272.723357970652</v>
      </c>
      <c r="F349" s="513">
        <v>78272.723357970652</v>
      </c>
      <c r="G349" s="513">
        <v>0</v>
      </c>
      <c r="H349" s="513">
        <v>0</v>
      </c>
      <c r="I349" s="659" t="s">
        <v>103</v>
      </c>
      <c r="J349" s="513">
        <v>0</v>
      </c>
      <c r="K349" s="513">
        <v>0</v>
      </c>
      <c r="L349" s="513">
        <v>0</v>
      </c>
      <c r="M349" s="513">
        <v>683504.92583100288</v>
      </c>
      <c r="N349" s="622"/>
    </row>
    <row r="350" spans="2:14">
      <c r="B350" s="513" t="s">
        <v>206</v>
      </c>
      <c r="C350" s="889">
        <v>2018</v>
      </c>
      <c r="D350" s="513">
        <v>683504.92583100288</v>
      </c>
      <c r="E350" s="513">
        <f>VLOOKUP(B350,'[6]2018 allocation'!$A$11:$B$218,2, FALSE)</f>
        <v>83728.758901775</v>
      </c>
      <c r="F350" s="513">
        <f>E350</f>
        <v>83728.758901775</v>
      </c>
      <c r="G350" s="513">
        <v>0</v>
      </c>
      <c r="H350" s="513">
        <v>0</v>
      </c>
      <c r="I350" s="622" t="s">
        <v>103</v>
      </c>
      <c r="J350" s="513">
        <f>VLOOKUP(B350,'[6]Annual Spending Worksheet '!$C$6:$AG$250,28,FALSE)</f>
        <v>0</v>
      </c>
      <c r="K350" s="513">
        <f>VLOOKUP(B350,'[6]Annual Spending Worksheet '!$C$6:$AG$250,29,FALSE)</f>
        <v>0</v>
      </c>
      <c r="L350" s="513">
        <v>0</v>
      </c>
      <c r="M350" s="513">
        <f>D350+E350+H350-J350</f>
        <v>767233.68473277788</v>
      </c>
      <c r="N350" s="513"/>
    </row>
    <row r="351" spans="2:14">
      <c r="B351" s="513" t="s">
        <v>206</v>
      </c>
      <c r="C351" s="889">
        <v>2019</v>
      </c>
      <c r="D351" s="513">
        <v>767233.68473277788</v>
      </c>
      <c r="E351" s="513">
        <v>89604.778401858275</v>
      </c>
      <c r="F351" s="513">
        <v>89604.778401858275</v>
      </c>
      <c r="G351" s="513">
        <v>0</v>
      </c>
      <c r="H351" s="513">
        <v>0</v>
      </c>
      <c r="I351" s="622" t="s">
        <v>103</v>
      </c>
      <c r="J351" s="513">
        <v>0</v>
      </c>
      <c r="K351" s="513">
        <v>0</v>
      </c>
      <c r="L351" s="513">
        <v>0</v>
      </c>
      <c r="M351" s="513">
        <v>856838.46313463617</v>
      </c>
      <c r="N351" s="513"/>
    </row>
    <row r="352" spans="2:14">
      <c r="B352" s="513" t="s">
        <v>207</v>
      </c>
      <c r="C352" s="658">
        <v>2008</v>
      </c>
      <c r="D352" s="513">
        <v>673886.23300000024</v>
      </c>
      <c r="E352" s="512">
        <v>74248.900870364887</v>
      </c>
      <c r="F352" s="513">
        <v>74248.900870364887</v>
      </c>
      <c r="G352" s="512">
        <v>0</v>
      </c>
      <c r="H352" s="512">
        <v>0</v>
      </c>
      <c r="I352" s="659" t="s">
        <v>103</v>
      </c>
      <c r="J352" s="513">
        <v>0</v>
      </c>
      <c r="K352" s="513">
        <v>0</v>
      </c>
      <c r="L352" s="513">
        <v>0</v>
      </c>
      <c r="M352" s="513">
        <v>748135.1338703651</v>
      </c>
      <c r="N352" s="622"/>
    </row>
    <row r="353" spans="2:14">
      <c r="B353" s="513" t="s">
        <v>207</v>
      </c>
      <c r="C353" s="658">
        <v>2009</v>
      </c>
      <c r="D353" s="513">
        <v>748135.13387036533</v>
      </c>
      <c r="E353" s="512">
        <v>60871.025375641941</v>
      </c>
      <c r="F353" s="513">
        <v>60871.025375641941</v>
      </c>
      <c r="G353" s="512">
        <v>0</v>
      </c>
      <c r="H353" s="512">
        <v>0</v>
      </c>
      <c r="I353" s="659" t="s">
        <v>103</v>
      </c>
      <c r="J353" s="513">
        <v>0</v>
      </c>
      <c r="K353" s="513">
        <v>0</v>
      </c>
      <c r="L353" s="513">
        <v>0</v>
      </c>
      <c r="M353" s="513">
        <v>809006.15924600721</v>
      </c>
      <c r="N353" s="622"/>
    </row>
    <row r="354" spans="2:14">
      <c r="B354" s="513" t="s">
        <v>207</v>
      </c>
      <c r="C354" s="658">
        <v>2010</v>
      </c>
      <c r="D354" s="513">
        <v>809006.15924600721</v>
      </c>
      <c r="E354" s="512">
        <v>60804.95</v>
      </c>
      <c r="F354" s="513">
        <v>60804.95</v>
      </c>
      <c r="G354" s="512">
        <v>0</v>
      </c>
      <c r="H354" s="512">
        <v>0</v>
      </c>
      <c r="I354" s="659" t="s">
        <v>103</v>
      </c>
      <c r="J354" s="513">
        <v>0</v>
      </c>
      <c r="K354" s="513">
        <v>0</v>
      </c>
      <c r="L354" s="513">
        <v>0</v>
      </c>
      <c r="M354" s="513">
        <v>869811.10924600717</v>
      </c>
      <c r="N354" s="622"/>
    </row>
    <row r="355" spans="2:14">
      <c r="B355" s="513" t="s">
        <v>207</v>
      </c>
      <c r="C355" s="658">
        <v>2011</v>
      </c>
      <c r="D355" s="513">
        <v>869811.11302939407</v>
      </c>
      <c r="E355" s="512">
        <v>61760.844087084617</v>
      </c>
      <c r="F355" s="513">
        <v>61760.844087084617</v>
      </c>
      <c r="G355" s="512">
        <v>0</v>
      </c>
      <c r="H355" s="512">
        <v>0</v>
      </c>
      <c r="I355" s="659" t="s">
        <v>103</v>
      </c>
      <c r="J355" s="513">
        <v>0</v>
      </c>
      <c r="K355" s="513">
        <v>0</v>
      </c>
      <c r="L355" s="513">
        <v>0</v>
      </c>
      <c r="M355" s="513">
        <v>931571.9571164787</v>
      </c>
      <c r="N355" s="622"/>
    </row>
    <row r="356" spans="2:14">
      <c r="B356" s="513" t="s">
        <v>207</v>
      </c>
      <c r="C356" s="658">
        <v>2012</v>
      </c>
      <c r="D356" s="513">
        <v>931571.95711647882</v>
      </c>
      <c r="E356" s="513">
        <v>46271.287067827667</v>
      </c>
      <c r="F356" s="513">
        <v>46271.287067827667</v>
      </c>
      <c r="G356" s="512">
        <v>0</v>
      </c>
      <c r="H356" s="512">
        <v>0</v>
      </c>
      <c r="I356" s="659" t="s">
        <v>103</v>
      </c>
      <c r="J356" s="513">
        <v>0</v>
      </c>
      <c r="K356" s="513">
        <v>0</v>
      </c>
      <c r="L356" s="513">
        <v>0</v>
      </c>
      <c r="M356" s="513">
        <v>977843.24418430647</v>
      </c>
      <c r="N356" s="622"/>
    </row>
    <row r="357" spans="2:14">
      <c r="B357" s="513" t="s">
        <v>207</v>
      </c>
      <c r="C357" s="658">
        <v>2013</v>
      </c>
      <c r="D357" s="513">
        <v>977843.24418430659</v>
      </c>
      <c r="E357" s="513">
        <v>67749.919512790671</v>
      </c>
      <c r="F357" s="513">
        <v>67749.919512790671</v>
      </c>
      <c r="G357" s="512">
        <v>0</v>
      </c>
      <c r="H357" s="512">
        <v>0</v>
      </c>
      <c r="I357" s="659" t="s">
        <v>103</v>
      </c>
      <c r="J357" s="513">
        <v>0</v>
      </c>
      <c r="K357" s="513">
        <v>0</v>
      </c>
      <c r="L357" s="513">
        <v>0</v>
      </c>
      <c r="M357" s="513">
        <v>1045593.1636970972</v>
      </c>
      <c r="N357" s="622"/>
    </row>
    <row r="358" spans="2:14">
      <c r="B358" s="513" t="s">
        <v>207</v>
      </c>
      <c r="C358" s="658">
        <v>2014</v>
      </c>
      <c r="D358" s="513">
        <v>1045593.1636970972</v>
      </c>
      <c r="E358" s="513">
        <v>70196.596468503951</v>
      </c>
      <c r="F358" s="513">
        <v>70196.596468503951</v>
      </c>
      <c r="G358" s="512">
        <v>0</v>
      </c>
      <c r="H358" s="512">
        <v>0</v>
      </c>
      <c r="I358" s="659" t="s">
        <v>103</v>
      </c>
      <c r="J358" s="513">
        <v>0</v>
      </c>
      <c r="K358" s="513">
        <v>0</v>
      </c>
      <c r="L358" s="513">
        <v>0</v>
      </c>
      <c r="M358" s="513">
        <v>1115789.7601656013</v>
      </c>
      <c r="N358" s="622"/>
    </row>
    <row r="359" spans="2:14">
      <c r="B359" s="513" t="s">
        <v>207</v>
      </c>
      <c r="C359" s="658">
        <v>2015</v>
      </c>
      <c r="D359" s="513">
        <v>1115789.7601656013</v>
      </c>
      <c r="E359" s="513">
        <v>71154.057178161966</v>
      </c>
      <c r="F359" s="513">
        <v>71154.057178161966</v>
      </c>
      <c r="G359" s="512">
        <v>0</v>
      </c>
      <c r="H359" s="660">
        <v>0</v>
      </c>
      <c r="I359" s="659" t="s">
        <v>103</v>
      </c>
      <c r="J359" s="513">
        <v>0</v>
      </c>
      <c r="K359" s="513">
        <v>0</v>
      </c>
      <c r="L359" s="513">
        <v>0</v>
      </c>
      <c r="M359" s="513">
        <v>1186943.8173437633</v>
      </c>
      <c r="N359" s="622"/>
    </row>
    <row r="360" spans="2:14">
      <c r="B360" s="513" t="s">
        <v>207</v>
      </c>
      <c r="C360" s="658">
        <v>2016</v>
      </c>
      <c r="D360" s="513">
        <v>1186943.8173437633</v>
      </c>
      <c r="E360" s="513">
        <v>52934.311781644123</v>
      </c>
      <c r="F360" s="513">
        <v>52934.311781644123</v>
      </c>
      <c r="G360" s="660">
        <v>0</v>
      </c>
      <c r="H360" s="660">
        <v>0</v>
      </c>
      <c r="I360" s="659" t="s">
        <v>103</v>
      </c>
      <c r="J360" s="513">
        <v>0</v>
      </c>
      <c r="K360" s="513">
        <v>0</v>
      </c>
      <c r="L360" s="513">
        <v>0</v>
      </c>
      <c r="M360" s="513">
        <v>1239878.1291254074</v>
      </c>
      <c r="N360" s="622"/>
    </row>
    <row r="361" spans="2:14">
      <c r="B361" s="513" t="s">
        <v>207</v>
      </c>
      <c r="C361" s="658">
        <v>2017</v>
      </c>
      <c r="D361" s="513">
        <v>1239878.1291254072</v>
      </c>
      <c r="E361" s="513">
        <v>49366.184728210195</v>
      </c>
      <c r="F361" s="513">
        <v>49366.184728210195</v>
      </c>
      <c r="G361" s="513">
        <v>0</v>
      </c>
      <c r="H361" s="513">
        <v>0</v>
      </c>
      <c r="I361" s="659" t="s">
        <v>103</v>
      </c>
      <c r="J361" s="513">
        <v>0</v>
      </c>
      <c r="K361" s="513">
        <v>0</v>
      </c>
      <c r="L361" s="513">
        <v>0</v>
      </c>
      <c r="M361" s="513">
        <v>1289244.3138536173</v>
      </c>
      <c r="N361" s="622"/>
    </row>
    <row r="362" spans="2:14">
      <c r="B362" s="513" t="s">
        <v>207</v>
      </c>
      <c r="C362" s="889">
        <v>2018</v>
      </c>
      <c r="D362" s="513">
        <v>1289244.3138536173</v>
      </c>
      <c r="E362" s="513">
        <f>VLOOKUP(B362,'[6]2018 allocation'!$A$11:$B$218,2, FALSE)</f>
        <v>52412.412239715108</v>
      </c>
      <c r="F362" s="513">
        <f>E362</f>
        <v>52412.412239715108</v>
      </c>
      <c r="G362" s="513">
        <v>0</v>
      </c>
      <c r="H362" s="513">
        <v>0</v>
      </c>
      <c r="I362" s="622" t="s">
        <v>103</v>
      </c>
      <c r="J362" s="513">
        <f>VLOOKUP(B362,'[6]Annual Spending Worksheet '!$C$6:$AG$250,28,FALSE)</f>
        <v>0</v>
      </c>
      <c r="K362" s="513">
        <f>VLOOKUP(B362,'[6]Annual Spending Worksheet '!$C$6:$AG$250,29,FALSE)</f>
        <v>0</v>
      </c>
      <c r="L362" s="513">
        <v>0</v>
      </c>
      <c r="M362" s="513">
        <f>D362+E362+H362-J362</f>
        <v>1341656.7260933323</v>
      </c>
      <c r="N362" s="513"/>
    </row>
    <row r="363" spans="2:14">
      <c r="B363" s="513" t="s">
        <v>207</v>
      </c>
      <c r="C363" s="889">
        <v>2019</v>
      </c>
      <c r="D363" s="513">
        <v>1341656.7260933323</v>
      </c>
      <c r="E363" s="513">
        <v>55644.259313218106</v>
      </c>
      <c r="F363" s="513">
        <v>55644.259313218106</v>
      </c>
      <c r="G363" s="513">
        <v>0</v>
      </c>
      <c r="H363" s="513">
        <v>0</v>
      </c>
      <c r="I363" s="622" t="s">
        <v>103</v>
      </c>
      <c r="J363" s="513">
        <v>0</v>
      </c>
      <c r="K363" s="513">
        <v>0</v>
      </c>
      <c r="L363" s="513">
        <v>0</v>
      </c>
      <c r="M363" s="513">
        <v>1397300.9854065503</v>
      </c>
      <c r="N363" s="513"/>
    </row>
    <row r="364" spans="2:14">
      <c r="B364" s="513" t="s">
        <v>208</v>
      </c>
      <c r="C364" s="658">
        <v>2008</v>
      </c>
      <c r="D364" s="513">
        <v>2694805.5360000012</v>
      </c>
      <c r="E364" s="512">
        <v>358176.13999567326</v>
      </c>
      <c r="F364" s="513">
        <v>358176.13999567326</v>
      </c>
      <c r="G364" s="512">
        <v>0</v>
      </c>
      <c r="H364" s="512">
        <v>0</v>
      </c>
      <c r="I364" s="659" t="s">
        <v>103</v>
      </c>
      <c r="J364" s="513">
        <v>-42056</v>
      </c>
      <c r="K364" s="513">
        <v>0</v>
      </c>
      <c r="L364" s="513">
        <v>0</v>
      </c>
      <c r="M364" s="513">
        <v>3095037.6759956744</v>
      </c>
      <c r="N364" s="622"/>
    </row>
    <row r="365" spans="2:14">
      <c r="B365" s="513" t="s">
        <v>208</v>
      </c>
      <c r="C365" s="658">
        <v>2009</v>
      </c>
      <c r="D365" s="513">
        <v>3095038.1259956751</v>
      </c>
      <c r="E365" s="512">
        <v>294400.37470633787</v>
      </c>
      <c r="F365" s="513">
        <v>294400.37470633787</v>
      </c>
      <c r="G365" s="512">
        <v>0</v>
      </c>
      <c r="H365" s="512">
        <v>0</v>
      </c>
      <c r="I365" s="659" t="s">
        <v>103</v>
      </c>
      <c r="J365" s="513">
        <v>0</v>
      </c>
      <c r="K365" s="513">
        <v>0</v>
      </c>
      <c r="L365" s="513">
        <v>0</v>
      </c>
      <c r="M365" s="513">
        <v>3389438.5007020128</v>
      </c>
      <c r="N365" s="622"/>
    </row>
    <row r="366" spans="2:14">
      <c r="B366" s="513" t="s">
        <v>208</v>
      </c>
      <c r="C366" s="658">
        <v>2010</v>
      </c>
      <c r="D366" s="513">
        <v>3389438.5007020123</v>
      </c>
      <c r="E366" s="512">
        <v>294023.23</v>
      </c>
      <c r="F366" s="513">
        <v>294023.23</v>
      </c>
      <c r="G366" s="512">
        <v>0</v>
      </c>
      <c r="H366" s="512">
        <v>0</v>
      </c>
      <c r="I366" s="659" t="s">
        <v>103</v>
      </c>
      <c r="J366" s="513">
        <v>10317.86</v>
      </c>
      <c r="K366" s="513">
        <v>0</v>
      </c>
      <c r="L366" s="513">
        <v>0</v>
      </c>
      <c r="M366" s="513">
        <v>3673143.8707020124</v>
      </c>
      <c r="N366" s="622"/>
    </row>
    <row r="367" spans="2:14">
      <c r="B367" s="513" t="s">
        <v>208</v>
      </c>
      <c r="C367" s="658">
        <v>2011</v>
      </c>
      <c r="D367" s="513">
        <v>3673143.868132391</v>
      </c>
      <c r="E367" s="512">
        <v>298545.98123831587</v>
      </c>
      <c r="F367" s="513">
        <v>298545.98123831587</v>
      </c>
      <c r="G367" s="512">
        <v>0</v>
      </c>
      <c r="H367" s="512">
        <v>0</v>
      </c>
      <c r="I367" s="659" t="s">
        <v>103</v>
      </c>
      <c r="J367" s="513">
        <v>47.350000000000009</v>
      </c>
      <c r="K367" s="513">
        <v>0</v>
      </c>
      <c r="L367" s="513">
        <v>12378.97</v>
      </c>
      <c r="M367" s="513">
        <v>3959263.5293707065</v>
      </c>
      <c r="N367" s="622"/>
    </row>
    <row r="368" spans="2:14">
      <c r="B368" s="513" t="s">
        <v>208</v>
      </c>
      <c r="C368" s="658">
        <v>2012</v>
      </c>
      <c r="D368" s="513">
        <v>3959263.5293707075</v>
      </c>
      <c r="E368" s="512">
        <v>223327.8577723054</v>
      </c>
      <c r="F368" s="513">
        <v>223327.8577723054</v>
      </c>
      <c r="G368" s="512">
        <v>0</v>
      </c>
      <c r="H368" s="512">
        <v>0</v>
      </c>
      <c r="I368" s="659" t="s">
        <v>103</v>
      </c>
      <c r="J368" s="513">
        <v>0</v>
      </c>
      <c r="K368" s="513">
        <v>0</v>
      </c>
      <c r="L368" s="513">
        <v>0</v>
      </c>
      <c r="M368" s="513">
        <v>4182591.3871430131</v>
      </c>
      <c r="N368" s="622"/>
    </row>
    <row r="369" spans="2:14">
      <c r="B369" s="513" t="s">
        <v>208</v>
      </c>
      <c r="C369" s="658">
        <v>2013</v>
      </c>
      <c r="D369" s="513">
        <v>4182591.3871430131</v>
      </c>
      <c r="E369" s="513">
        <v>327456.0404044147</v>
      </c>
      <c r="F369" s="513">
        <v>327456.0404044147</v>
      </c>
      <c r="G369" s="512">
        <v>0</v>
      </c>
      <c r="H369" s="512">
        <v>0</v>
      </c>
      <c r="I369" s="659" t="s">
        <v>103</v>
      </c>
      <c r="J369" s="513">
        <v>0</v>
      </c>
      <c r="K369" s="513">
        <v>0</v>
      </c>
      <c r="L369" s="513">
        <v>0</v>
      </c>
      <c r="M369" s="513">
        <v>4510047.4275474278</v>
      </c>
      <c r="N369" s="622"/>
    </row>
    <row r="370" spans="2:14">
      <c r="B370" s="513" t="s">
        <v>208</v>
      </c>
      <c r="C370" s="658">
        <v>2014</v>
      </c>
      <c r="D370" s="513">
        <v>4510047.4275474278</v>
      </c>
      <c r="E370" s="513">
        <v>339547.69806610822</v>
      </c>
      <c r="F370" s="513">
        <v>339547.69806610822</v>
      </c>
      <c r="G370" s="512">
        <v>0</v>
      </c>
      <c r="H370" s="512">
        <v>0</v>
      </c>
      <c r="I370" s="659" t="s">
        <v>103</v>
      </c>
      <c r="J370" s="513">
        <v>0</v>
      </c>
      <c r="K370" s="513">
        <v>0</v>
      </c>
      <c r="L370" s="513">
        <v>0</v>
      </c>
      <c r="M370" s="513">
        <v>4849595.1256135358</v>
      </c>
      <c r="N370" s="622"/>
    </row>
    <row r="371" spans="2:14">
      <c r="B371" s="513" t="s">
        <v>208</v>
      </c>
      <c r="C371" s="658">
        <v>2015</v>
      </c>
      <c r="D371" s="513">
        <v>4849595.1256135358</v>
      </c>
      <c r="E371" s="513">
        <v>344380.41213282419</v>
      </c>
      <c r="F371" s="513">
        <v>344380.41213282419</v>
      </c>
      <c r="G371" s="512">
        <v>0</v>
      </c>
      <c r="H371" s="512">
        <v>0</v>
      </c>
      <c r="I371" s="659" t="s">
        <v>103</v>
      </c>
      <c r="J371" s="513">
        <v>0</v>
      </c>
      <c r="K371" s="513">
        <v>0</v>
      </c>
      <c r="L371" s="513">
        <v>0</v>
      </c>
      <c r="M371" s="513">
        <v>5193975.5377463596</v>
      </c>
      <c r="N371" s="622"/>
    </row>
    <row r="372" spans="2:14">
      <c r="B372" s="513" t="s">
        <v>208</v>
      </c>
      <c r="C372" s="658">
        <v>2016</v>
      </c>
      <c r="D372" s="513">
        <v>5193975.5377463596</v>
      </c>
      <c r="E372" s="513">
        <v>254660.87243130789</v>
      </c>
      <c r="F372" s="513">
        <v>254660.87243130789</v>
      </c>
      <c r="G372" s="512">
        <v>0</v>
      </c>
      <c r="H372" s="660">
        <v>0</v>
      </c>
      <c r="I372" s="659" t="s">
        <v>103</v>
      </c>
      <c r="J372" s="513">
        <v>0</v>
      </c>
      <c r="K372" s="513">
        <v>0</v>
      </c>
      <c r="L372" s="513">
        <v>0</v>
      </c>
      <c r="M372" s="513">
        <v>5448636.4101776676</v>
      </c>
      <c r="N372" s="622"/>
    </row>
    <row r="373" spans="2:14">
      <c r="B373" s="513" t="s">
        <v>208</v>
      </c>
      <c r="C373" s="658">
        <v>2017</v>
      </c>
      <c r="D373" s="513">
        <v>5448636.4101776676</v>
      </c>
      <c r="E373" s="513">
        <v>237007.3836571009</v>
      </c>
      <c r="F373" s="513">
        <v>237007.3836571009</v>
      </c>
      <c r="G373" s="660">
        <v>0</v>
      </c>
      <c r="H373" s="660">
        <v>0</v>
      </c>
      <c r="I373" s="659" t="s">
        <v>103</v>
      </c>
      <c r="J373" s="513">
        <v>0</v>
      </c>
      <c r="K373" s="513">
        <v>0</v>
      </c>
      <c r="L373" s="513">
        <v>0</v>
      </c>
      <c r="M373" s="513">
        <v>5685643.7938347682</v>
      </c>
      <c r="N373" s="622"/>
    </row>
    <row r="374" spans="2:14">
      <c r="B374" s="513" t="s">
        <v>208</v>
      </c>
      <c r="C374" s="889">
        <v>2018</v>
      </c>
      <c r="D374" s="513">
        <v>5685643.7938347682</v>
      </c>
      <c r="E374" s="513">
        <f>VLOOKUP(B374,'[6]2018 allocation'!$A$11:$B$218,2, FALSE)</f>
        <v>251900.38578706357</v>
      </c>
      <c r="F374" s="513">
        <f>E374</f>
        <v>251900.38578706357</v>
      </c>
      <c r="G374" s="513">
        <v>0</v>
      </c>
      <c r="H374" s="513">
        <v>0</v>
      </c>
      <c r="I374" s="622" t="s">
        <v>103</v>
      </c>
      <c r="J374" s="513">
        <f>VLOOKUP(B374,'[6]Annual Spending Worksheet '!$C$6:$AG$250,28,FALSE)</f>
        <v>0</v>
      </c>
      <c r="K374" s="513">
        <f>VLOOKUP(B374,'[6]Annual Spending Worksheet '!$C$6:$AG$250,29,FALSE)</f>
        <v>0</v>
      </c>
      <c r="L374" s="513">
        <v>0</v>
      </c>
      <c r="M374" s="513">
        <f>D374+E374+H374-J374</f>
        <v>5937544.1796218315</v>
      </c>
      <c r="N374" s="513"/>
    </row>
    <row r="375" spans="2:14">
      <c r="B375" s="513" t="s">
        <v>208</v>
      </c>
      <c r="C375" s="889">
        <v>2019</v>
      </c>
      <c r="D375" s="513">
        <v>5937544.1796218315</v>
      </c>
      <c r="E375" s="513">
        <v>267622.67963720392</v>
      </c>
      <c r="F375" s="513">
        <v>267622.67963720392</v>
      </c>
      <c r="G375" s="513">
        <v>0</v>
      </c>
      <c r="H375" s="513">
        <v>0</v>
      </c>
      <c r="I375" s="622" t="s">
        <v>103</v>
      </c>
      <c r="J375" s="513">
        <v>0</v>
      </c>
      <c r="K375" s="513">
        <v>0</v>
      </c>
      <c r="L375" s="513">
        <v>0</v>
      </c>
      <c r="M375" s="513">
        <v>6205166.8592590354</v>
      </c>
      <c r="N375" s="513"/>
    </row>
    <row r="376" spans="2:14">
      <c r="B376" s="513" t="s">
        <v>211</v>
      </c>
      <c r="C376" s="658">
        <v>2008</v>
      </c>
      <c r="D376" s="513">
        <v>3399979.4130000006</v>
      </c>
      <c r="E376" s="512">
        <v>217537.56872513518</v>
      </c>
      <c r="F376" s="513">
        <v>217537.56872513518</v>
      </c>
      <c r="G376" s="512">
        <v>0</v>
      </c>
      <c r="H376" s="512">
        <v>0</v>
      </c>
      <c r="I376" s="659" t="s">
        <v>103</v>
      </c>
      <c r="J376" s="513">
        <v>0</v>
      </c>
      <c r="K376" s="513">
        <v>0</v>
      </c>
      <c r="L376" s="513">
        <v>0</v>
      </c>
      <c r="M376" s="513">
        <v>3617516.9817251358</v>
      </c>
      <c r="N376" s="622"/>
    </row>
    <row r="377" spans="2:14">
      <c r="B377" s="513" t="s">
        <v>211</v>
      </c>
      <c r="C377" s="658">
        <v>2009</v>
      </c>
      <c r="D377" s="513">
        <v>3617516.9817251358</v>
      </c>
      <c r="E377" s="512">
        <v>177899.37859703554</v>
      </c>
      <c r="F377" s="513">
        <v>177899.37859703554</v>
      </c>
      <c r="G377" s="512">
        <v>0</v>
      </c>
      <c r="H377" s="512">
        <v>0</v>
      </c>
      <c r="I377" s="659" t="s">
        <v>103</v>
      </c>
      <c r="J377" s="513">
        <v>0</v>
      </c>
      <c r="K377" s="513">
        <v>0</v>
      </c>
      <c r="L377" s="513">
        <v>0</v>
      </c>
      <c r="M377" s="513">
        <v>3795416.3603221714</v>
      </c>
      <c r="N377" s="622"/>
    </row>
    <row r="378" spans="2:14">
      <c r="B378" s="513" t="s">
        <v>211</v>
      </c>
      <c r="C378" s="658">
        <v>2010</v>
      </c>
      <c r="D378" s="513">
        <v>3795416.3603221718</v>
      </c>
      <c r="E378" s="512">
        <v>177665.87</v>
      </c>
      <c r="F378" s="513">
        <v>177665.87</v>
      </c>
      <c r="G378" s="512">
        <v>0</v>
      </c>
      <c r="H378" s="512">
        <v>0</v>
      </c>
      <c r="I378" s="659" t="s">
        <v>103</v>
      </c>
      <c r="J378" s="513">
        <v>0</v>
      </c>
      <c r="K378" s="513">
        <v>0</v>
      </c>
      <c r="L378" s="513">
        <v>0</v>
      </c>
      <c r="M378" s="513">
        <v>3973082.2303221719</v>
      </c>
      <c r="N378" s="622"/>
    </row>
    <row r="379" spans="2:14">
      <c r="B379" s="513" t="s">
        <v>211</v>
      </c>
      <c r="C379" s="658">
        <v>2011</v>
      </c>
      <c r="D379" s="513">
        <v>3973082.2329655346</v>
      </c>
      <c r="E379" s="512">
        <v>180566.05450107122</v>
      </c>
      <c r="F379" s="513">
        <v>180566.05450107122</v>
      </c>
      <c r="G379" s="512">
        <v>0</v>
      </c>
      <c r="H379" s="512">
        <v>0</v>
      </c>
      <c r="I379" s="659" t="s">
        <v>103</v>
      </c>
      <c r="J379" s="513">
        <v>0</v>
      </c>
      <c r="K379" s="513">
        <v>0</v>
      </c>
      <c r="L379" s="513">
        <v>0</v>
      </c>
      <c r="M379" s="513">
        <v>4153648.2874666057</v>
      </c>
      <c r="N379" s="622"/>
    </row>
    <row r="380" spans="2:14">
      <c r="B380" s="513" t="s">
        <v>211</v>
      </c>
      <c r="C380" s="658">
        <v>2012</v>
      </c>
      <c r="D380" s="513">
        <v>4153648.2874666061</v>
      </c>
      <c r="E380" s="513">
        <v>133576.37259427205</v>
      </c>
      <c r="F380" s="513">
        <v>133576.37259427205</v>
      </c>
      <c r="G380" s="512">
        <v>0</v>
      </c>
      <c r="H380" s="512">
        <v>0</v>
      </c>
      <c r="I380" s="659" t="s">
        <v>103</v>
      </c>
      <c r="J380" s="513">
        <v>0</v>
      </c>
      <c r="K380" s="513">
        <v>0</v>
      </c>
      <c r="L380" s="513">
        <v>0</v>
      </c>
      <c r="M380" s="513">
        <v>4287224.6600608779</v>
      </c>
      <c r="N380" s="622"/>
    </row>
    <row r="381" spans="2:14">
      <c r="B381" s="513" t="s">
        <v>211</v>
      </c>
      <c r="C381" s="658">
        <v>2013</v>
      </c>
      <c r="D381" s="513">
        <v>4287224.6600608779</v>
      </c>
      <c r="E381" s="513">
        <v>198480.75887430325</v>
      </c>
      <c r="F381" s="513">
        <v>198480.75887430325</v>
      </c>
      <c r="G381" s="512">
        <v>0</v>
      </c>
      <c r="H381" s="512">
        <v>0</v>
      </c>
      <c r="I381" s="659" t="s">
        <v>103</v>
      </c>
      <c r="J381" s="513">
        <v>0</v>
      </c>
      <c r="K381" s="513">
        <v>0</v>
      </c>
      <c r="L381" s="513">
        <v>0</v>
      </c>
      <c r="M381" s="513">
        <v>4485705.4189351816</v>
      </c>
      <c r="N381" s="622"/>
    </row>
    <row r="382" spans="2:14">
      <c r="B382" s="513" t="s">
        <v>211</v>
      </c>
      <c r="C382" s="658">
        <v>2014</v>
      </c>
      <c r="D382" s="513">
        <v>4485705.4189351816</v>
      </c>
      <c r="E382" s="513">
        <v>206049.08975357874</v>
      </c>
      <c r="F382" s="513">
        <v>206049.08975357874</v>
      </c>
      <c r="G382" s="512">
        <v>0</v>
      </c>
      <c r="H382" s="512">
        <v>0</v>
      </c>
      <c r="I382" s="659" t="s">
        <v>103</v>
      </c>
      <c r="J382" s="513">
        <v>0</v>
      </c>
      <c r="K382" s="513">
        <v>0</v>
      </c>
      <c r="L382" s="513">
        <v>0</v>
      </c>
      <c r="M382" s="513">
        <v>4691754.50868876</v>
      </c>
      <c r="N382" s="622"/>
    </row>
    <row r="383" spans="2:14">
      <c r="B383" s="513" t="s">
        <v>211</v>
      </c>
      <c r="C383" s="658">
        <v>2015</v>
      </c>
      <c r="D383" s="513">
        <v>4691754.50868876</v>
      </c>
      <c r="E383" s="513">
        <v>209133.91168542911</v>
      </c>
      <c r="F383" s="513">
        <v>209133.91168542911</v>
      </c>
      <c r="G383" s="512">
        <v>0</v>
      </c>
      <c r="H383" s="660">
        <v>-3100000</v>
      </c>
      <c r="I383" s="659" t="s">
        <v>1718</v>
      </c>
      <c r="J383" s="513">
        <v>0</v>
      </c>
      <c r="K383" s="513">
        <v>0</v>
      </c>
      <c r="L383" s="513">
        <v>0</v>
      </c>
      <c r="M383" s="513">
        <v>1800888.4203741895</v>
      </c>
      <c r="N383" s="622"/>
    </row>
    <row r="384" spans="2:14">
      <c r="B384" s="513" t="s">
        <v>211</v>
      </c>
      <c r="C384" s="658">
        <v>2016</v>
      </c>
      <c r="D384" s="513">
        <v>1800888.4203741895</v>
      </c>
      <c r="E384" s="513">
        <v>152838.16324486965</v>
      </c>
      <c r="F384" s="513">
        <v>152838.16324486965</v>
      </c>
      <c r="G384" s="660">
        <v>0</v>
      </c>
      <c r="H384" s="660">
        <v>0</v>
      </c>
      <c r="I384" s="659" t="s">
        <v>103</v>
      </c>
      <c r="J384" s="513">
        <v>0</v>
      </c>
      <c r="K384" s="513">
        <v>0</v>
      </c>
      <c r="L384" s="513">
        <v>0</v>
      </c>
      <c r="M384" s="513">
        <v>1953726.5836190591</v>
      </c>
      <c r="N384" s="622"/>
    </row>
    <row r="385" spans="2:14">
      <c r="B385" s="513" t="s">
        <v>211</v>
      </c>
      <c r="C385" s="658">
        <v>2017</v>
      </c>
      <c r="D385" s="513">
        <v>1953726.5836190591</v>
      </c>
      <c r="E385" s="513">
        <v>141845.22414451488</v>
      </c>
      <c r="F385" s="513">
        <v>141845.22414451488</v>
      </c>
      <c r="G385" s="513">
        <v>0</v>
      </c>
      <c r="H385" s="513">
        <v>0</v>
      </c>
      <c r="I385" s="659" t="s">
        <v>103</v>
      </c>
      <c r="J385" s="513">
        <v>0</v>
      </c>
      <c r="K385" s="513">
        <v>0</v>
      </c>
      <c r="L385" s="513">
        <v>0</v>
      </c>
      <c r="M385" s="513">
        <v>2095571.8077635739</v>
      </c>
      <c r="N385" s="622"/>
    </row>
    <row r="386" spans="2:14">
      <c r="B386" s="513" t="s">
        <v>211</v>
      </c>
      <c r="C386" s="889">
        <v>2018</v>
      </c>
      <c r="D386" s="513">
        <v>2095571.8077635739</v>
      </c>
      <c r="E386" s="513">
        <f>VLOOKUP(B386,'[6]2018 allocation'!$A$11:$B$218,2, FALSE)</f>
        <v>151176.38940456923</v>
      </c>
      <c r="F386" s="513">
        <f>E386</f>
        <v>151176.38940456923</v>
      </c>
      <c r="G386" s="513">
        <v>0</v>
      </c>
      <c r="H386" s="513">
        <v>-2095572</v>
      </c>
      <c r="I386" s="622" t="s">
        <v>1719</v>
      </c>
      <c r="J386" s="513">
        <f>VLOOKUP(B386,'[6]Annual Spending Worksheet '!$C$6:$AG$250,28,FALSE)</f>
        <v>0</v>
      </c>
      <c r="K386" s="513">
        <f>VLOOKUP(B386,'[6]Annual Spending Worksheet '!$C$6:$AG$250,29,FALSE)</f>
        <v>0</v>
      </c>
      <c r="L386" s="513">
        <v>0</v>
      </c>
      <c r="M386" s="513">
        <f>D386+E386+H386-J386</f>
        <v>151176.197168143</v>
      </c>
      <c r="N386" s="513"/>
    </row>
    <row r="387" spans="2:14">
      <c r="B387" s="513" t="s">
        <v>211</v>
      </c>
      <c r="C387" s="889">
        <v>2019</v>
      </c>
      <c r="D387" s="513">
        <v>151176.197168143</v>
      </c>
      <c r="E387" s="513">
        <v>161068.75089254641</v>
      </c>
      <c r="F387" s="513">
        <v>161068.75089254641</v>
      </c>
      <c r="G387" s="513">
        <v>0</v>
      </c>
      <c r="H387" s="513">
        <v>0</v>
      </c>
      <c r="I387" s="622" t="s">
        <v>103</v>
      </c>
      <c r="J387" s="513">
        <v>0</v>
      </c>
      <c r="K387" s="513">
        <v>0</v>
      </c>
      <c r="L387" s="513">
        <v>0</v>
      </c>
      <c r="M387" s="513">
        <v>312244.94806068938</v>
      </c>
      <c r="N387" s="513"/>
    </row>
    <row r="388" spans="2:14">
      <c r="B388" s="513" t="s">
        <v>212</v>
      </c>
      <c r="C388" s="658">
        <v>2008</v>
      </c>
      <c r="D388" s="513">
        <v>1086670.3130000001</v>
      </c>
      <c r="E388" s="512">
        <v>76378.007160895751</v>
      </c>
      <c r="F388" s="513">
        <v>76378.007160895751</v>
      </c>
      <c r="G388" s="660">
        <v>0</v>
      </c>
      <c r="H388" s="512">
        <v>0</v>
      </c>
      <c r="I388" s="659" t="s">
        <v>103</v>
      </c>
      <c r="J388" s="513">
        <v>4008.4800000000068</v>
      </c>
      <c r="K388" s="513">
        <v>0</v>
      </c>
      <c r="L388" s="513">
        <v>0</v>
      </c>
      <c r="M388" s="513">
        <v>1159039.8401608958</v>
      </c>
      <c r="N388" s="622"/>
    </row>
    <row r="389" spans="2:14">
      <c r="B389" s="513" t="s">
        <v>212</v>
      </c>
      <c r="C389" s="658">
        <v>2009</v>
      </c>
      <c r="D389" s="513">
        <v>1159039.8401608958</v>
      </c>
      <c r="E389" s="512">
        <v>62804.463056900815</v>
      </c>
      <c r="F389" s="513">
        <v>62804.463056900815</v>
      </c>
      <c r="G389" s="660">
        <v>0</v>
      </c>
      <c r="H389" s="512">
        <v>0</v>
      </c>
      <c r="I389" s="659" t="s">
        <v>103</v>
      </c>
      <c r="J389" s="513">
        <v>3582.94</v>
      </c>
      <c r="K389" s="513">
        <v>0</v>
      </c>
      <c r="L389" s="513">
        <v>0</v>
      </c>
      <c r="M389" s="513">
        <v>1218261.3632177967</v>
      </c>
      <c r="N389" s="622"/>
    </row>
    <row r="390" spans="2:14">
      <c r="B390" s="513" t="s">
        <v>212</v>
      </c>
      <c r="C390" s="658">
        <v>2010</v>
      </c>
      <c r="D390" s="513">
        <v>1218261.3632177971</v>
      </c>
      <c r="E390" s="512">
        <v>62713.08</v>
      </c>
      <c r="F390" s="513">
        <v>62713.08</v>
      </c>
      <c r="G390" s="660">
        <v>0</v>
      </c>
      <c r="H390" s="512">
        <v>0</v>
      </c>
      <c r="I390" s="659" t="s">
        <v>103</v>
      </c>
      <c r="J390" s="513">
        <v>1672.19</v>
      </c>
      <c r="K390" s="513">
        <v>0</v>
      </c>
      <c r="L390" s="513">
        <v>0</v>
      </c>
      <c r="M390" s="513">
        <v>1279302.2532177973</v>
      </c>
      <c r="N390" s="622"/>
    </row>
    <row r="391" spans="2:14">
      <c r="B391" s="513" t="s">
        <v>212</v>
      </c>
      <c r="C391" s="658">
        <v>2011</v>
      </c>
      <c r="D391" s="513">
        <v>1279302.2568150864</v>
      </c>
      <c r="E391" s="512">
        <v>63683.991283786447</v>
      </c>
      <c r="F391" s="513">
        <v>63683.991283786447</v>
      </c>
      <c r="G391" s="660">
        <v>0</v>
      </c>
      <c r="H391" s="512">
        <v>0</v>
      </c>
      <c r="I391" s="659" t="s">
        <v>103</v>
      </c>
      <c r="J391" s="513">
        <v>10676.920000000013</v>
      </c>
      <c r="K391" s="513">
        <v>0</v>
      </c>
      <c r="L391" s="513">
        <v>0</v>
      </c>
      <c r="M391" s="513">
        <v>1332309.3280988729</v>
      </c>
      <c r="N391" s="622"/>
    </row>
    <row r="392" spans="2:14">
      <c r="B392" s="513" t="s">
        <v>212</v>
      </c>
      <c r="C392" s="658">
        <v>2012</v>
      </c>
      <c r="D392" s="513">
        <v>1332309.3280988727</v>
      </c>
      <c r="E392" s="513">
        <v>47376.274230690047</v>
      </c>
      <c r="F392" s="513">
        <v>47376.274230690047</v>
      </c>
      <c r="G392" s="660">
        <v>0</v>
      </c>
      <c r="H392" s="512">
        <v>0</v>
      </c>
      <c r="I392" s="659" t="s">
        <v>103</v>
      </c>
      <c r="J392" s="513">
        <v>26180.019999999997</v>
      </c>
      <c r="K392" s="513">
        <v>0</v>
      </c>
      <c r="L392" s="513">
        <v>0</v>
      </c>
      <c r="M392" s="513">
        <v>1353505.5823295626</v>
      </c>
      <c r="N392" s="622"/>
    </row>
    <row r="393" spans="2:14">
      <c r="B393" s="513" t="s">
        <v>212</v>
      </c>
      <c r="C393" s="658">
        <v>2013</v>
      </c>
      <c r="D393" s="513">
        <v>1353505.5823295631</v>
      </c>
      <c r="E393" s="513">
        <v>69900.046059904256</v>
      </c>
      <c r="F393" s="513">
        <v>69900.046059904256</v>
      </c>
      <c r="G393" s="660">
        <v>0</v>
      </c>
      <c r="H393" s="512">
        <v>0</v>
      </c>
      <c r="I393" s="659" t="s">
        <v>103</v>
      </c>
      <c r="J393" s="513">
        <v>12768.46000000001</v>
      </c>
      <c r="K393" s="513">
        <v>0</v>
      </c>
      <c r="L393" s="513">
        <v>0</v>
      </c>
      <c r="M393" s="513">
        <v>1410637.1683894673</v>
      </c>
      <c r="N393" s="622"/>
    </row>
    <row r="394" spans="2:14">
      <c r="B394" s="513" t="s">
        <v>212</v>
      </c>
      <c r="C394" s="658">
        <v>2014</v>
      </c>
      <c r="D394" s="513">
        <v>1410637.1683894671</v>
      </c>
      <c r="E394" s="513">
        <v>72516.412915714129</v>
      </c>
      <c r="F394" s="513">
        <v>72516.412915714129</v>
      </c>
      <c r="G394" s="660">
        <v>0</v>
      </c>
      <c r="H394" s="512">
        <v>0</v>
      </c>
      <c r="I394" s="659" t="s">
        <v>103</v>
      </c>
      <c r="J394" s="513">
        <v>12782.759999999998</v>
      </c>
      <c r="K394" s="513">
        <v>0</v>
      </c>
      <c r="L394" s="513">
        <v>24445.75</v>
      </c>
      <c r="M394" s="513">
        <v>1445925.0713051811</v>
      </c>
      <c r="N394" s="622"/>
    </row>
    <row r="395" spans="2:14">
      <c r="B395" s="513" t="s">
        <v>212</v>
      </c>
      <c r="C395" s="658">
        <v>2015</v>
      </c>
      <c r="D395" s="513">
        <v>1445925.0713051811</v>
      </c>
      <c r="E395" s="513">
        <v>73584.95044172724</v>
      </c>
      <c r="F395" s="513">
        <v>73584.95044172724</v>
      </c>
      <c r="G395" s="660">
        <v>0</v>
      </c>
      <c r="H395" s="660">
        <v>0</v>
      </c>
      <c r="I395" s="659" t="s">
        <v>103</v>
      </c>
      <c r="J395" s="513">
        <v>2074.4700000000003</v>
      </c>
      <c r="K395" s="513">
        <v>0</v>
      </c>
      <c r="L395" s="513">
        <v>0</v>
      </c>
      <c r="M395" s="513">
        <v>1517435.5517469083</v>
      </c>
      <c r="N395" s="622"/>
    </row>
    <row r="396" spans="2:14">
      <c r="B396" s="513" t="s">
        <v>212</v>
      </c>
      <c r="C396" s="658">
        <v>2016</v>
      </c>
      <c r="D396" s="513">
        <v>1517435.5517469086</v>
      </c>
      <c r="E396" s="513">
        <v>54128.250538202235</v>
      </c>
      <c r="F396" s="513">
        <v>54128.250538202235</v>
      </c>
      <c r="G396" s="660">
        <v>0</v>
      </c>
      <c r="H396" s="660">
        <v>0</v>
      </c>
      <c r="I396" s="659" t="s">
        <v>103</v>
      </c>
      <c r="J396" s="513">
        <v>2626.06</v>
      </c>
      <c r="K396" s="513">
        <v>0</v>
      </c>
      <c r="L396" s="513">
        <v>0</v>
      </c>
      <c r="M396" s="513">
        <v>1568937.7422851108</v>
      </c>
      <c r="N396" s="622"/>
    </row>
    <row r="397" spans="2:14">
      <c r="B397" s="513" t="s">
        <v>212</v>
      </c>
      <c r="C397" s="658">
        <v>2017</v>
      </c>
      <c r="D397" s="513">
        <v>1568937.7422851105</v>
      </c>
      <c r="E397" s="513">
        <v>50338.98574729915</v>
      </c>
      <c r="F397" s="513">
        <v>50338.98574729915</v>
      </c>
      <c r="G397" s="513">
        <v>0</v>
      </c>
      <c r="H397" s="513">
        <v>0</v>
      </c>
      <c r="I397" s="659" t="s">
        <v>103</v>
      </c>
      <c r="J397" s="513">
        <v>1969.95</v>
      </c>
      <c r="K397" s="513">
        <v>0</v>
      </c>
      <c r="L397" s="513">
        <v>0</v>
      </c>
      <c r="M397" s="513">
        <v>1617306.7780324097</v>
      </c>
      <c r="N397" s="622"/>
    </row>
    <row r="398" spans="2:14">
      <c r="B398" s="513" t="s">
        <v>212</v>
      </c>
      <c r="C398" s="889">
        <v>2018</v>
      </c>
      <c r="D398" s="513">
        <v>1617306.7780324097</v>
      </c>
      <c r="E398" s="513">
        <f>VLOOKUP(B398,'[6]2018 allocation'!$A$11:$B$218,2, FALSE)</f>
        <v>53548.430195993307</v>
      </c>
      <c r="F398" s="513">
        <f>E398</f>
        <v>53548.430195993307</v>
      </c>
      <c r="G398" s="513">
        <v>0</v>
      </c>
      <c r="H398" s="513">
        <v>0</v>
      </c>
      <c r="I398" s="622" t="s">
        <v>103</v>
      </c>
      <c r="J398" s="513">
        <f>VLOOKUP(B398,'[6]Annual Spending Worksheet '!$C$6:$AG$250,28,FALSE)</f>
        <v>1680.8400000000001</v>
      </c>
      <c r="K398" s="513">
        <f>VLOOKUP(B398,'[6]Annual Spending Worksheet '!$C$6:$AG$250,29,FALSE)</f>
        <v>0</v>
      </c>
      <c r="L398" s="513">
        <v>0</v>
      </c>
      <c r="M398" s="513">
        <f>D398+E398+H398-J398</f>
        <v>1669174.3682284029</v>
      </c>
      <c r="N398" s="513"/>
    </row>
    <row r="399" spans="2:14">
      <c r="B399" s="513" t="s">
        <v>212</v>
      </c>
      <c r="C399" s="889">
        <v>2019</v>
      </c>
      <c r="D399" s="513">
        <v>1669174.3682284029</v>
      </c>
      <c r="E399" s="513">
        <v>56976.64968195965</v>
      </c>
      <c r="F399" s="513">
        <v>56976.64968195965</v>
      </c>
      <c r="G399" s="513">
        <v>0</v>
      </c>
      <c r="H399" s="513">
        <v>0</v>
      </c>
      <c r="I399" s="622" t="s">
        <v>103</v>
      </c>
      <c r="J399" s="513">
        <v>1942.67</v>
      </c>
      <c r="K399" s="513">
        <v>0</v>
      </c>
      <c r="L399" s="513">
        <v>0</v>
      </c>
      <c r="M399" s="513">
        <v>1724208.3479103628</v>
      </c>
      <c r="N399" s="513"/>
    </row>
    <row r="400" spans="2:14">
      <c r="B400" s="513" t="s">
        <v>218</v>
      </c>
      <c r="C400" s="658">
        <v>2008</v>
      </c>
      <c r="D400" s="513">
        <v>1192191.5360000003</v>
      </c>
      <c r="E400" s="512">
        <v>208220.15189836817</v>
      </c>
      <c r="F400" s="513">
        <v>208220.15189836817</v>
      </c>
      <c r="G400" s="512">
        <v>0</v>
      </c>
      <c r="H400" s="512">
        <v>0</v>
      </c>
      <c r="I400" s="659" t="s">
        <v>103</v>
      </c>
      <c r="J400" s="513">
        <v>229111.25</v>
      </c>
      <c r="K400" s="513">
        <v>0</v>
      </c>
      <c r="L400" s="513">
        <v>0</v>
      </c>
      <c r="M400" s="513">
        <v>1171300.4378983686</v>
      </c>
      <c r="N400" s="622"/>
    </row>
    <row r="401" spans="2:14" ht="29.1">
      <c r="B401" s="513" t="s">
        <v>218</v>
      </c>
      <c r="C401" s="658">
        <v>2009</v>
      </c>
      <c r="D401" s="513">
        <v>1171300.4378983686</v>
      </c>
      <c r="E401" s="512">
        <v>170100.09525424024</v>
      </c>
      <c r="F401" s="513">
        <v>170100.09525424024</v>
      </c>
      <c r="G401" s="512">
        <v>0</v>
      </c>
      <c r="H401" s="512">
        <v>0</v>
      </c>
      <c r="I401" s="659" t="s">
        <v>103</v>
      </c>
      <c r="J401" s="513">
        <v>1480235.68</v>
      </c>
      <c r="K401" s="513">
        <v>0</v>
      </c>
      <c r="L401" s="513">
        <v>0</v>
      </c>
      <c r="M401" s="513">
        <v>-138835.14684739104</v>
      </c>
      <c r="N401" s="622" t="s">
        <v>1706</v>
      </c>
    </row>
    <row r="402" spans="2:14">
      <c r="B402" s="513" t="s">
        <v>218</v>
      </c>
      <c r="C402" s="658">
        <v>2010</v>
      </c>
      <c r="D402" s="513">
        <v>-138835.14684739057</v>
      </c>
      <c r="E402" s="512">
        <v>169845.1</v>
      </c>
      <c r="F402" s="513">
        <v>169845.1</v>
      </c>
      <c r="G402" s="512">
        <v>0</v>
      </c>
      <c r="H402" s="512">
        <v>0</v>
      </c>
      <c r="I402" s="659" t="s">
        <v>103</v>
      </c>
      <c r="J402" s="513">
        <v>177184.25</v>
      </c>
      <c r="K402" s="513">
        <v>1920221</v>
      </c>
      <c r="L402" s="513">
        <v>-3852</v>
      </c>
      <c r="M402" s="513">
        <v>-142322.29684739056</v>
      </c>
      <c r="N402" s="622" t="s">
        <v>1715</v>
      </c>
    </row>
    <row r="403" spans="2:14">
      <c r="B403" s="513" t="s">
        <v>218</v>
      </c>
      <c r="C403" s="658">
        <v>2011</v>
      </c>
      <c r="D403" s="513">
        <v>-142322.16501555685</v>
      </c>
      <c r="E403" s="512">
        <v>172547.57796290389</v>
      </c>
      <c r="F403" s="513">
        <v>172547.57796290389</v>
      </c>
      <c r="G403" s="512">
        <v>0</v>
      </c>
      <c r="H403" s="512">
        <v>0</v>
      </c>
      <c r="I403" s="659" t="s">
        <v>103</v>
      </c>
      <c r="J403" s="513">
        <v>2656.7500000000005</v>
      </c>
      <c r="K403" s="513">
        <v>0</v>
      </c>
      <c r="L403" s="513">
        <v>0</v>
      </c>
      <c r="M403" s="513">
        <v>27568.662947347038</v>
      </c>
      <c r="N403" s="622"/>
    </row>
    <row r="404" spans="2:14">
      <c r="B404" s="513" t="s">
        <v>218</v>
      </c>
      <c r="C404" s="658">
        <v>2012</v>
      </c>
      <c r="D404" s="513">
        <v>27568.662947347388</v>
      </c>
      <c r="E404" s="513">
        <v>128731.76873307773</v>
      </c>
      <c r="F404" s="513">
        <v>128731.76873307773</v>
      </c>
      <c r="G404" s="512">
        <v>0</v>
      </c>
      <c r="H404" s="512">
        <v>0</v>
      </c>
      <c r="I404" s="659" t="s">
        <v>103</v>
      </c>
      <c r="J404" s="513">
        <v>0</v>
      </c>
      <c r="K404" s="513">
        <v>0</v>
      </c>
      <c r="L404" s="513">
        <v>0</v>
      </c>
      <c r="M404" s="513">
        <v>156300.43168042513</v>
      </c>
      <c r="N404" s="622"/>
    </row>
    <row r="405" spans="2:14">
      <c r="B405" s="513" t="s">
        <v>218</v>
      </c>
      <c r="C405" s="658">
        <v>2013</v>
      </c>
      <c r="D405" s="513">
        <v>156300.43168042507</v>
      </c>
      <c r="E405" s="513">
        <v>189596.34196582684</v>
      </c>
      <c r="F405" s="513">
        <v>189596.34196582684</v>
      </c>
      <c r="G405" s="512">
        <v>0</v>
      </c>
      <c r="H405" s="512">
        <v>0</v>
      </c>
      <c r="I405" s="659" t="s">
        <v>103</v>
      </c>
      <c r="J405" s="513">
        <v>0</v>
      </c>
      <c r="K405" s="513">
        <v>0</v>
      </c>
      <c r="L405" s="513">
        <v>0</v>
      </c>
      <c r="M405" s="513">
        <v>345896.77364625188</v>
      </c>
      <c r="N405" s="622"/>
    </row>
    <row r="406" spans="2:14">
      <c r="B406" s="513" t="s">
        <v>218</v>
      </c>
      <c r="C406" s="658">
        <v>2014</v>
      </c>
      <c r="D406" s="513">
        <v>345896.77364625223</v>
      </c>
      <c r="E406" s="513">
        <v>196659.03790913985</v>
      </c>
      <c r="F406" s="513">
        <v>196659.03790913985</v>
      </c>
      <c r="G406" s="512">
        <v>0</v>
      </c>
      <c r="H406" s="512">
        <v>0</v>
      </c>
      <c r="I406" s="659" t="s">
        <v>103</v>
      </c>
      <c r="J406" s="513">
        <v>0</v>
      </c>
      <c r="K406" s="513">
        <v>0</v>
      </c>
      <c r="L406" s="513">
        <v>0</v>
      </c>
      <c r="M406" s="513">
        <v>542555.81155539211</v>
      </c>
      <c r="N406" s="622"/>
    </row>
    <row r="407" spans="2:14">
      <c r="B407" s="513" t="s">
        <v>218</v>
      </c>
      <c r="C407" s="658">
        <v>2015</v>
      </c>
      <c r="D407" s="513">
        <v>542555.81155539211</v>
      </c>
      <c r="E407" s="513">
        <v>199544.20366359933</v>
      </c>
      <c r="F407" s="513">
        <v>199544.20366359933</v>
      </c>
      <c r="G407" s="512">
        <v>0</v>
      </c>
      <c r="H407" s="660">
        <v>0</v>
      </c>
      <c r="I407" s="659" t="s">
        <v>103</v>
      </c>
      <c r="J407" s="513">
        <v>0</v>
      </c>
      <c r="K407" s="513">
        <v>0</v>
      </c>
      <c r="L407" s="513">
        <v>0</v>
      </c>
      <c r="M407" s="513">
        <v>742100.01521899144</v>
      </c>
      <c r="N407" s="622"/>
    </row>
    <row r="408" spans="2:14">
      <c r="B408" s="513" t="s">
        <v>218</v>
      </c>
      <c r="C408" s="658">
        <v>2016</v>
      </c>
      <c r="D408" s="513">
        <v>742100.01521899179</v>
      </c>
      <c r="E408" s="513">
        <v>147087.42959655903</v>
      </c>
      <c r="F408" s="513">
        <v>147087.42959655903</v>
      </c>
      <c r="G408" s="660">
        <v>0</v>
      </c>
      <c r="H408" s="660">
        <v>0</v>
      </c>
      <c r="I408" s="659" t="s">
        <v>103</v>
      </c>
      <c r="J408" s="513">
        <v>0</v>
      </c>
      <c r="K408" s="513">
        <v>0</v>
      </c>
      <c r="L408" s="513">
        <v>0</v>
      </c>
      <c r="M408" s="513">
        <v>889187.44481555081</v>
      </c>
      <c r="N408" s="622"/>
    </row>
    <row r="409" spans="2:14">
      <c r="B409" s="513" t="s">
        <v>218</v>
      </c>
      <c r="C409" s="658">
        <v>2017</v>
      </c>
      <c r="D409" s="513">
        <v>889187.44481555093</v>
      </c>
      <c r="E409" s="513">
        <v>136697.8168551405</v>
      </c>
      <c r="F409" s="513">
        <v>136697.8168551405</v>
      </c>
      <c r="G409" s="513">
        <v>0</v>
      </c>
      <c r="H409" s="513">
        <v>0</v>
      </c>
      <c r="I409" s="659" t="s">
        <v>103</v>
      </c>
      <c r="J409" s="513">
        <v>73337.549999999988</v>
      </c>
      <c r="K409" s="513">
        <v>0</v>
      </c>
      <c r="L409" s="513">
        <v>0</v>
      </c>
      <c r="M409" s="513">
        <v>952547.71167069138</v>
      </c>
      <c r="N409" s="622"/>
    </row>
    <row r="410" spans="2:14">
      <c r="B410" s="513" t="s">
        <v>218</v>
      </c>
      <c r="C410" s="889">
        <v>2018</v>
      </c>
      <c r="D410" s="513">
        <v>952547.71167069138</v>
      </c>
      <c r="E410" s="513">
        <f>VLOOKUP(B410,'[6]2018 allocation'!$A$11:$B$218,2, FALSE)</f>
        <v>145399.30957421797</v>
      </c>
      <c r="F410" s="513">
        <f>E410</f>
        <v>145399.30957421797</v>
      </c>
      <c r="G410" s="513">
        <v>0</v>
      </c>
      <c r="H410" s="513">
        <v>0</v>
      </c>
      <c r="I410" s="622" t="s">
        <v>103</v>
      </c>
      <c r="J410" s="513">
        <f>VLOOKUP(B410,'[6]Annual Spending Worksheet '!$C$6:$AG$250,28,FALSE)</f>
        <v>8281.9600000000009</v>
      </c>
      <c r="K410" s="513">
        <f>VLOOKUP(B410,'[6]Annual Spending Worksheet '!$C$6:$AG$250,29,FALSE)</f>
        <v>0</v>
      </c>
      <c r="L410" s="513">
        <v>0</v>
      </c>
      <c r="M410" s="513">
        <f>D410+E410+H410-J410</f>
        <v>1089665.0612449094</v>
      </c>
      <c r="N410" s="513"/>
    </row>
    <row r="411" spans="2:14">
      <c r="B411" s="513" t="s">
        <v>218</v>
      </c>
      <c r="C411" s="889">
        <v>2019</v>
      </c>
      <c r="D411" s="513">
        <v>1089665.0612449094</v>
      </c>
      <c r="E411" s="513">
        <v>154810.50479454393</v>
      </c>
      <c r="F411" s="513">
        <v>154810.50479454393</v>
      </c>
      <c r="G411" s="513">
        <v>0</v>
      </c>
      <c r="H411" s="513">
        <v>0</v>
      </c>
      <c r="I411" s="622" t="s">
        <v>103</v>
      </c>
      <c r="J411" s="513">
        <v>31770.019999999997</v>
      </c>
      <c r="K411" s="513">
        <v>0</v>
      </c>
      <c r="L411" s="513">
        <v>0</v>
      </c>
      <c r="M411" s="513">
        <v>1212705.5460394532</v>
      </c>
      <c r="N411" s="513"/>
    </row>
    <row r="412" spans="2:14" ht="14.1" customHeight="1">
      <c r="B412" s="513" t="s">
        <v>226</v>
      </c>
      <c r="C412" s="658">
        <v>2008</v>
      </c>
      <c r="D412" s="513">
        <v>393109.07500000019</v>
      </c>
      <c r="E412" s="512">
        <v>116891.70225604792</v>
      </c>
      <c r="F412" s="513">
        <v>116891.70225604792</v>
      </c>
      <c r="G412" s="512">
        <v>0</v>
      </c>
      <c r="H412" s="512">
        <v>0</v>
      </c>
      <c r="I412" s="659" t="s">
        <v>103</v>
      </c>
      <c r="J412" s="513">
        <v>0</v>
      </c>
      <c r="K412" s="513">
        <v>0</v>
      </c>
      <c r="L412" s="513">
        <v>0</v>
      </c>
      <c r="M412" s="513">
        <v>510000.77725604811</v>
      </c>
      <c r="N412" s="622"/>
    </row>
    <row r="413" spans="2:14">
      <c r="B413" s="513" t="s">
        <v>226</v>
      </c>
      <c r="C413" s="658">
        <v>2009</v>
      </c>
      <c r="D413" s="513">
        <v>510000.77725604828</v>
      </c>
      <c r="E413" s="512">
        <v>93762.386319253856</v>
      </c>
      <c r="F413" s="513">
        <v>93762.386319253856</v>
      </c>
      <c r="G413" s="512">
        <v>0</v>
      </c>
      <c r="H413" s="512">
        <v>0</v>
      </c>
      <c r="I413" s="659" t="s">
        <v>103</v>
      </c>
      <c r="J413" s="513">
        <v>0</v>
      </c>
      <c r="K413" s="513">
        <v>0</v>
      </c>
      <c r="L413" s="513">
        <v>0</v>
      </c>
      <c r="M413" s="513">
        <v>603763.16357530211</v>
      </c>
      <c r="N413" s="622"/>
    </row>
    <row r="414" spans="2:14">
      <c r="B414" s="513" t="s">
        <v>226</v>
      </c>
      <c r="C414" s="658">
        <v>2010</v>
      </c>
      <c r="D414" s="513">
        <v>603763.16357530234</v>
      </c>
      <c r="E414" s="512">
        <v>93634.52</v>
      </c>
      <c r="F414" s="513">
        <v>93634.52</v>
      </c>
      <c r="G414" s="512">
        <v>0</v>
      </c>
      <c r="H414" s="512">
        <v>0</v>
      </c>
      <c r="I414" s="659" t="s">
        <v>103</v>
      </c>
      <c r="J414" s="513">
        <v>0</v>
      </c>
      <c r="K414" s="513">
        <v>0</v>
      </c>
      <c r="L414" s="513">
        <v>0</v>
      </c>
      <c r="M414" s="513">
        <v>697397.68357530236</v>
      </c>
      <c r="N414" s="622"/>
    </row>
    <row r="415" spans="2:14">
      <c r="B415" s="513" t="s">
        <v>226</v>
      </c>
      <c r="C415" s="658">
        <v>2011</v>
      </c>
      <c r="D415" s="513">
        <v>697397.68831039965</v>
      </c>
      <c r="E415" s="512">
        <v>95318.247870249746</v>
      </c>
      <c r="F415" s="513">
        <v>95318.247870249746</v>
      </c>
      <c r="G415" s="512">
        <v>0</v>
      </c>
      <c r="H415" s="512">
        <v>0</v>
      </c>
      <c r="I415" s="659" t="s">
        <v>103</v>
      </c>
      <c r="J415" s="513">
        <v>0</v>
      </c>
      <c r="K415" s="513">
        <v>0</v>
      </c>
      <c r="L415" s="513">
        <v>0</v>
      </c>
      <c r="M415" s="513">
        <v>792715.93618064944</v>
      </c>
      <c r="N415" s="622"/>
    </row>
    <row r="416" spans="2:14">
      <c r="B416" s="513" t="s">
        <v>226</v>
      </c>
      <c r="C416" s="658">
        <v>2012</v>
      </c>
      <c r="D416" s="513">
        <v>792715.93618064933</v>
      </c>
      <c r="E416" s="513">
        <v>68097.962193803396</v>
      </c>
      <c r="F416" s="513">
        <v>68097.962193803396</v>
      </c>
      <c r="G416" s="512">
        <v>0</v>
      </c>
      <c r="H416" s="512">
        <v>0</v>
      </c>
      <c r="I416" s="659" t="s">
        <v>103</v>
      </c>
      <c r="J416" s="513">
        <v>0</v>
      </c>
      <c r="K416" s="513">
        <v>0</v>
      </c>
      <c r="L416" s="513">
        <v>0</v>
      </c>
      <c r="M416" s="513">
        <v>860813.89837445272</v>
      </c>
      <c r="N416" s="622"/>
    </row>
    <row r="417" spans="2:14">
      <c r="B417" s="513" t="s">
        <v>226</v>
      </c>
      <c r="C417" s="658">
        <v>2013</v>
      </c>
      <c r="D417" s="513">
        <v>860813.89837445272</v>
      </c>
      <c r="E417" s="513">
        <v>105718.97360228165</v>
      </c>
      <c r="F417" s="513">
        <v>105718.97360228165</v>
      </c>
      <c r="G417" s="512">
        <v>0</v>
      </c>
      <c r="H417" s="512">
        <v>0</v>
      </c>
      <c r="I417" s="659" t="s">
        <v>103</v>
      </c>
      <c r="J417" s="513">
        <v>0</v>
      </c>
      <c r="K417" s="513">
        <v>0</v>
      </c>
      <c r="L417" s="513">
        <v>0</v>
      </c>
      <c r="M417" s="513">
        <v>966532.87197673437</v>
      </c>
      <c r="N417" s="622"/>
    </row>
    <row r="418" spans="2:14">
      <c r="B418" s="513" t="s">
        <v>226</v>
      </c>
      <c r="C418" s="658">
        <v>2014</v>
      </c>
      <c r="D418" s="513">
        <v>966532.87197673414</v>
      </c>
      <c r="E418" s="513">
        <v>110079.00566487509</v>
      </c>
      <c r="F418" s="513">
        <v>110079.00566487509</v>
      </c>
      <c r="G418" s="512">
        <v>0</v>
      </c>
      <c r="H418" s="512">
        <v>0</v>
      </c>
      <c r="I418" s="659" t="s">
        <v>103</v>
      </c>
      <c r="J418" s="513">
        <v>0</v>
      </c>
      <c r="K418" s="513">
        <v>0</v>
      </c>
      <c r="L418" s="513">
        <v>0</v>
      </c>
      <c r="M418" s="513">
        <v>1076611.8776416092</v>
      </c>
      <c r="N418" s="622"/>
    </row>
    <row r="419" spans="2:14">
      <c r="B419" s="513" t="s">
        <v>226</v>
      </c>
      <c r="C419" s="658">
        <v>2015</v>
      </c>
      <c r="D419" s="513">
        <v>1076611.8776416094</v>
      </c>
      <c r="E419" s="513">
        <v>111838.73173144009</v>
      </c>
      <c r="F419" s="513">
        <v>111838.73173144009</v>
      </c>
      <c r="G419" s="512">
        <v>0</v>
      </c>
      <c r="H419" s="660">
        <v>0</v>
      </c>
      <c r="I419" s="659" t="s">
        <v>103</v>
      </c>
      <c r="J419" s="513">
        <v>0</v>
      </c>
      <c r="K419" s="513">
        <v>0</v>
      </c>
      <c r="L419" s="513">
        <v>0</v>
      </c>
      <c r="M419" s="513">
        <v>1188450.6093730496</v>
      </c>
      <c r="N419" s="622"/>
    </row>
    <row r="420" spans="2:14">
      <c r="B420" s="513" t="s">
        <v>226</v>
      </c>
      <c r="C420" s="658">
        <v>2016</v>
      </c>
      <c r="D420" s="513">
        <v>1188450.6093730493</v>
      </c>
      <c r="E420" s="513">
        <v>79333.647487993425</v>
      </c>
      <c r="F420" s="513">
        <v>79333.647487993425</v>
      </c>
      <c r="G420" s="660">
        <v>0</v>
      </c>
      <c r="H420" s="660">
        <v>0</v>
      </c>
      <c r="I420" s="659" t="s">
        <v>103</v>
      </c>
      <c r="J420" s="513">
        <v>0</v>
      </c>
      <c r="K420" s="513">
        <v>0</v>
      </c>
      <c r="L420" s="513">
        <v>0</v>
      </c>
      <c r="M420" s="513">
        <v>1267784.2568610427</v>
      </c>
      <c r="N420" s="622"/>
    </row>
    <row r="421" spans="2:14">
      <c r="B421" s="513" t="s">
        <v>226</v>
      </c>
      <c r="C421" s="658">
        <v>2017</v>
      </c>
      <c r="D421" s="513">
        <v>1267784.2568610427</v>
      </c>
      <c r="E421" s="513">
        <v>72982.527316481399</v>
      </c>
      <c r="F421" s="513">
        <v>72982.527316481399</v>
      </c>
      <c r="G421" s="513">
        <v>0</v>
      </c>
      <c r="H421" s="513">
        <v>0</v>
      </c>
      <c r="I421" s="659" t="s">
        <v>103</v>
      </c>
      <c r="J421" s="513">
        <v>0</v>
      </c>
      <c r="K421" s="513">
        <v>0</v>
      </c>
      <c r="L421" s="513">
        <v>0</v>
      </c>
      <c r="M421" s="513">
        <v>1340766.784177524</v>
      </c>
      <c r="N421" s="622"/>
    </row>
    <row r="422" spans="2:14">
      <c r="B422" s="513" t="s">
        <v>226</v>
      </c>
      <c r="C422" s="889">
        <v>2018</v>
      </c>
      <c r="D422" s="513">
        <v>1340766.784177524</v>
      </c>
      <c r="E422" s="513">
        <f>VLOOKUP(B422,'[6]2018 allocation'!$A$11:$B$218,2, FALSE)</f>
        <v>78440.258138285179</v>
      </c>
      <c r="F422" s="513">
        <f>E422</f>
        <v>78440.258138285179</v>
      </c>
      <c r="G422" s="513">
        <v>0</v>
      </c>
      <c r="H422" s="513">
        <v>0</v>
      </c>
      <c r="I422" s="622" t="s">
        <v>103</v>
      </c>
      <c r="J422" s="513">
        <f>VLOOKUP(B422,'[6]Annual Spending Worksheet '!$C$6:$AG$250,28,FALSE)</f>
        <v>0</v>
      </c>
      <c r="K422" s="513">
        <f>VLOOKUP(B422,'[6]Annual Spending Worksheet '!$C$6:$AG$250,29,FALSE)</f>
        <v>0</v>
      </c>
      <c r="L422" s="513">
        <v>0</v>
      </c>
      <c r="M422" s="513">
        <f>D422+E422+H422-J422</f>
        <v>1419207.0423158093</v>
      </c>
      <c r="N422" s="513"/>
    </row>
    <row r="423" spans="2:14">
      <c r="B423" s="513" t="s">
        <v>226</v>
      </c>
      <c r="C423" s="889">
        <v>2019</v>
      </c>
      <c r="D423" s="513">
        <v>1419207.0423158093</v>
      </c>
      <c r="E423" s="513">
        <v>84164.913115920557</v>
      </c>
      <c r="F423" s="513">
        <v>84164.913115920557</v>
      </c>
      <c r="G423" s="513">
        <v>0</v>
      </c>
      <c r="H423" s="513">
        <v>0</v>
      </c>
      <c r="I423" s="622" t="s">
        <v>103</v>
      </c>
      <c r="J423" s="513">
        <v>0</v>
      </c>
      <c r="K423" s="513">
        <v>0</v>
      </c>
      <c r="L423" s="513">
        <v>0</v>
      </c>
      <c r="M423" s="513">
        <v>1503371.9554317298</v>
      </c>
      <c r="N423" s="513"/>
    </row>
    <row r="424" spans="2:14">
      <c r="B424" s="513" t="s">
        <v>227</v>
      </c>
      <c r="C424" s="658">
        <v>2008</v>
      </c>
      <c r="D424" s="513">
        <v>1133465.6710000001</v>
      </c>
      <c r="E424" s="512">
        <v>510838.03310375783</v>
      </c>
      <c r="F424" s="513">
        <v>510838.03310375783</v>
      </c>
      <c r="G424" s="512">
        <v>0</v>
      </c>
      <c r="H424" s="512">
        <v>0</v>
      </c>
      <c r="I424" s="659" t="s">
        <v>103</v>
      </c>
      <c r="J424" s="513">
        <v>216906.99</v>
      </c>
      <c r="K424" s="513">
        <v>0</v>
      </c>
      <c r="L424" s="513">
        <v>0</v>
      </c>
      <c r="M424" s="513">
        <v>1427396.7141037579</v>
      </c>
      <c r="N424" s="622"/>
    </row>
    <row r="425" spans="2:14">
      <c r="B425" s="513" t="s">
        <v>227</v>
      </c>
      <c r="C425" s="658">
        <v>2009</v>
      </c>
      <c r="D425" s="513">
        <v>1427396.7141037583</v>
      </c>
      <c r="E425" s="512">
        <v>423551.06449481548</v>
      </c>
      <c r="F425" s="513">
        <v>423551.06449481548</v>
      </c>
      <c r="G425" s="512">
        <v>0</v>
      </c>
      <c r="H425" s="512">
        <v>0</v>
      </c>
      <c r="I425" s="659" t="s">
        <v>103</v>
      </c>
      <c r="J425" s="513">
        <v>577298.74000000011</v>
      </c>
      <c r="K425" s="513">
        <v>0</v>
      </c>
      <c r="L425" s="513">
        <v>0</v>
      </c>
      <c r="M425" s="513">
        <v>1273649.0385985738</v>
      </c>
      <c r="N425" s="622"/>
    </row>
    <row r="426" spans="2:14">
      <c r="B426" s="513" t="s">
        <v>227</v>
      </c>
      <c r="C426" s="658">
        <v>2010</v>
      </c>
      <c r="D426" s="513">
        <v>1273649.0385985728</v>
      </c>
      <c r="E426" s="512">
        <v>423116.39</v>
      </c>
      <c r="F426" s="513">
        <v>423116.39</v>
      </c>
      <c r="G426" s="512">
        <v>0</v>
      </c>
      <c r="H426" s="512">
        <v>0</v>
      </c>
      <c r="I426" s="659" t="s">
        <v>103</v>
      </c>
      <c r="J426" s="513">
        <v>1599876.4600000002</v>
      </c>
      <c r="K426" s="513">
        <v>0</v>
      </c>
      <c r="L426" s="513">
        <v>7920</v>
      </c>
      <c r="M426" s="513">
        <v>88968.96859857277</v>
      </c>
      <c r="N426" s="622"/>
    </row>
    <row r="427" spans="2:14" ht="29.1">
      <c r="B427" s="513" t="s">
        <v>227</v>
      </c>
      <c r="C427" s="658">
        <v>2011</v>
      </c>
      <c r="D427" s="513">
        <v>88969.161023795605</v>
      </c>
      <c r="E427" s="512">
        <v>429552.21846464195</v>
      </c>
      <c r="F427" s="513">
        <v>429552.21846464195</v>
      </c>
      <c r="G427" s="512">
        <v>0</v>
      </c>
      <c r="H427" s="512">
        <v>0</v>
      </c>
      <c r="I427" s="659" t="s">
        <v>103</v>
      </c>
      <c r="J427" s="513">
        <v>937408.17999999912</v>
      </c>
      <c r="K427" s="513">
        <v>1493888</v>
      </c>
      <c r="L427" s="513">
        <v>-1501.83</v>
      </c>
      <c r="M427" s="513">
        <v>-417384.97051156155</v>
      </c>
      <c r="N427" s="622" t="s">
        <v>1720</v>
      </c>
    </row>
    <row r="428" spans="2:14" ht="29.1">
      <c r="B428" s="513" t="s">
        <v>227</v>
      </c>
      <c r="C428" s="658">
        <v>2012</v>
      </c>
      <c r="D428" s="513">
        <v>-417384.97051156126</v>
      </c>
      <c r="E428" s="513">
        <v>326462.07601872575</v>
      </c>
      <c r="F428" s="513">
        <v>326462.07601872575</v>
      </c>
      <c r="G428" s="512">
        <v>-90922.894492835505</v>
      </c>
      <c r="H428" s="512">
        <v>0</v>
      </c>
      <c r="I428" s="659" t="s">
        <v>103</v>
      </c>
      <c r="J428" s="513">
        <v>-13376.550000000001</v>
      </c>
      <c r="K428" s="513">
        <v>0</v>
      </c>
      <c r="L428" s="513">
        <v>0</v>
      </c>
      <c r="M428" s="513">
        <v>-77546.344492835502</v>
      </c>
      <c r="N428" s="622" t="s">
        <v>1720</v>
      </c>
    </row>
    <row r="429" spans="2:14">
      <c r="B429" s="513" t="s">
        <v>227</v>
      </c>
      <c r="C429" s="658">
        <v>2013</v>
      </c>
      <c r="D429" s="513">
        <v>-77546.344492834061</v>
      </c>
      <c r="E429" s="513">
        <v>468807.10309948557</v>
      </c>
      <c r="F429" s="513">
        <v>468807.10309948557</v>
      </c>
      <c r="G429" s="512">
        <v>0</v>
      </c>
      <c r="H429" s="512">
        <v>0</v>
      </c>
      <c r="I429" s="659" t="s">
        <v>103</v>
      </c>
      <c r="J429" s="513">
        <v>-235.44999999999993</v>
      </c>
      <c r="K429" s="513">
        <v>0</v>
      </c>
      <c r="L429" s="513">
        <v>0</v>
      </c>
      <c r="M429" s="513">
        <v>391496.20860665152</v>
      </c>
      <c r="N429" s="622"/>
    </row>
    <row r="430" spans="2:14">
      <c r="B430" s="513" t="s">
        <v>227</v>
      </c>
      <c r="C430" s="658">
        <v>2014</v>
      </c>
      <c r="D430" s="513">
        <v>391496.20860664919</v>
      </c>
      <c r="E430" s="513">
        <v>485430.3936212046</v>
      </c>
      <c r="F430" s="513">
        <v>485430.3936212046</v>
      </c>
      <c r="G430" s="512">
        <v>0</v>
      </c>
      <c r="H430" s="512">
        <v>0</v>
      </c>
      <c r="I430" s="659" t="s">
        <v>103</v>
      </c>
      <c r="J430" s="513">
        <v>-656.78000000000111</v>
      </c>
      <c r="K430" s="513">
        <v>0</v>
      </c>
      <c r="L430" s="513">
        <v>656.78</v>
      </c>
      <c r="M430" s="513">
        <v>876926.60222785384</v>
      </c>
      <c r="N430" s="622"/>
    </row>
    <row r="431" spans="2:14">
      <c r="B431" s="513" t="s">
        <v>227</v>
      </c>
      <c r="C431" s="658">
        <v>2015</v>
      </c>
      <c r="D431" s="513">
        <v>876926.60222785547</v>
      </c>
      <c r="E431" s="513">
        <v>492238.54081271554</v>
      </c>
      <c r="F431" s="513">
        <v>492238.54081271554</v>
      </c>
      <c r="G431" s="512">
        <v>0</v>
      </c>
      <c r="H431" s="660">
        <v>0</v>
      </c>
      <c r="I431" s="659" t="s">
        <v>103</v>
      </c>
      <c r="J431" s="513">
        <v>804.05</v>
      </c>
      <c r="K431" s="513">
        <v>0</v>
      </c>
      <c r="L431" s="513">
        <v>-10310.08</v>
      </c>
      <c r="M431" s="513">
        <v>1378671.1730405709</v>
      </c>
      <c r="N431" s="622"/>
    </row>
    <row r="432" spans="2:14">
      <c r="B432" s="513" t="s">
        <v>227</v>
      </c>
      <c r="C432" s="658">
        <v>2016</v>
      </c>
      <c r="D432" s="513">
        <v>1378671.1730405707</v>
      </c>
      <c r="E432" s="513">
        <v>368577.05849839037</v>
      </c>
      <c r="F432" s="513">
        <v>368577.05849839037</v>
      </c>
      <c r="G432" s="660">
        <v>0</v>
      </c>
      <c r="H432" s="660">
        <v>0</v>
      </c>
      <c r="I432" s="659" t="s">
        <v>103</v>
      </c>
      <c r="J432" s="513">
        <v>1422.67</v>
      </c>
      <c r="K432" s="513">
        <v>0</v>
      </c>
      <c r="L432" s="513">
        <v>12783.05</v>
      </c>
      <c r="M432" s="513">
        <v>1733042.5115389612</v>
      </c>
      <c r="N432" s="622"/>
    </row>
    <row r="433" spans="2:14">
      <c r="B433" s="513" t="s">
        <v>227</v>
      </c>
      <c r="C433" s="658">
        <v>2017</v>
      </c>
      <c r="D433" s="513">
        <v>1733042.51153896</v>
      </c>
      <c r="E433" s="513">
        <v>344271.97126808215</v>
      </c>
      <c r="F433" s="513">
        <v>344271.97126808215</v>
      </c>
      <c r="G433" s="513">
        <v>0</v>
      </c>
      <c r="H433" s="513">
        <v>0</v>
      </c>
      <c r="I433" s="659" t="s">
        <v>103</v>
      </c>
      <c r="J433" s="513">
        <v>763.54</v>
      </c>
      <c r="K433" s="513">
        <v>0</v>
      </c>
      <c r="L433" s="513">
        <v>-4476.0600000000004</v>
      </c>
      <c r="M433" s="513">
        <v>2081027.0028070421</v>
      </c>
      <c r="N433" s="622"/>
    </row>
    <row r="434" spans="2:14">
      <c r="B434" s="513" t="s">
        <v>227</v>
      </c>
      <c r="C434" s="889">
        <v>2018</v>
      </c>
      <c r="D434" s="513">
        <v>2081027.0028070421</v>
      </c>
      <c r="E434" s="513">
        <f>VLOOKUP(B434,'[6]2018 allocation'!$A$11:$B$218,2, FALSE)</f>
        <v>364946.38692271709</v>
      </c>
      <c r="F434" s="513">
        <f>E434</f>
        <v>364946.38692271709</v>
      </c>
      <c r="G434" s="513">
        <v>0</v>
      </c>
      <c r="H434" s="513">
        <v>0</v>
      </c>
      <c r="I434" s="622" t="s">
        <v>103</v>
      </c>
      <c r="J434" s="513">
        <f>VLOOKUP(B434,'[6]Annual Spending Worksheet '!$C$6:$AG$250,28,FALSE)</f>
        <v>2080.7199999999998</v>
      </c>
      <c r="K434" s="513">
        <f>VLOOKUP(B434,'[6]Annual Spending Worksheet '!$C$6:$AG$250,29,FALSE)</f>
        <v>0</v>
      </c>
      <c r="L434" s="513">
        <v>0</v>
      </c>
      <c r="M434" s="513">
        <f>D434+E434+H434-J434</f>
        <v>2443892.669729759</v>
      </c>
      <c r="N434" s="513"/>
    </row>
    <row r="435" spans="2:14">
      <c r="B435" s="513" t="s">
        <v>227</v>
      </c>
      <c r="C435" s="889">
        <v>2019</v>
      </c>
      <c r="D435" s="513">
        <v>2443892.669729759</v>
      </c>
      <c r="E435" s="513">
        <v>386642.85991754301</v>
      </c>
      <c r="F435" s="513">
        <v>386642.85991754301</v>
      </c>
      <c r="G435" s="513">
        <v>0</v>
      </c>
      <c r="H435" s="513">
        <v>0</v>
      </c>
      <c r="I435" s="622" t="s">
        <v>103</v>
      </c>
      <c r="J435" s="513">
        <v>0</v>
      </c>
      <c r="K435" s="513">
        <v>0</v>
      </c>
      <c r="L435" s="513">
        <v>0</v>
      </c>
      <c r="M435" s="513">
        <v>2830535.5296473019</v>
      </c>
      <c r="N435" s="513"/>
    </row>
    <row r="436" spans="2:14" ht="29.1">
      <c r="B436" s="513" t="s">
        <v>235</v>
      </c>
      <c r="C436" s="658">
        <v>2008</v>
      </c>
      <c r="D436" s="513">
        <v>-643155.0410000002</v>
      </c>
      <c r="E436" s="512">
        <v>68468.21987900589</v>
      </c>
      <c r="F436" s="513">
        <v>68468.21987900589</v>
      </c>
      <c r="G436" s="660">
        <v>-574686.82112099428</v>
      </c>
      <c r="H436" s="512">
        <v>0</v>
      </c>
      <c r="I436" s="659" t="s">
        <v>103</v>
      </c>
      <c r="J436" s="513">
        <v>0</v>
      </c>
      <c r="K436" s="513">
        <v>0</v>
      </c>
      <c r="L436" s="513">
        <v>0</v>
      </c>
      <c r="M436" s="513">
        <v>-574686.82112099428</v>
      </c>
      <c r="N436" s="622" t="s">
        <v>1711</v>
      </c>
    </row>
    <row r="437" spans="2:14" ht="29.1">
      <c r="B437" s="513" t="s">
        <v>235</v>
      </c>
      <c r="C437" s="658">
        <v>2009</v>
      </c>
      <c r="D437" s="513">
        <v>-574686.8211209944</v>
      </c>
      <c r="E437" s="512">
        <v>54992.644653443705</v>
      </c>
      <c r="F437" s="513">
        <v>54992.644653443705</v>
      </c>
      <c r="G437" s="660">
        <v>-519694.17646755069</v>
      </c>
      <c r="H437" s="512">
        <v>0</v>
      </c>
      <c r="I437" s="659" t="s">
        <v>103</v>
      </c>
      <c r="J437" s="513">
        <v>0</v>
      </c>
      <c r="K437" s="513">
        <v>0</v>
      </c>
      <c r="L437" s="513">
        <v>0</v>
      </c>
      <c r="M437" s="513">
        <v>-519694.17646755069</v>
      </c>
      <c r="N437" s="622" t="s">
        <v>1711</v>
      </c>
    </row>
    <row r="438" spans="2:14" ht="29.1">
      <c r="B438" s="513" t="s">
        <v>235</v>
      </c>
      <c r="C438" s="658">
        <v>2010</v>
      </c>
      <c r="D438" s="513">
        <v>-519694.17646755092</v>
      </c>
      <c r="E438" s="512">
        <v>54907.46</v>
      </c>
      <c r="F438" s="513">
        <v>54907.46</v>
      </c>
      <c r="G438" s="660">
        <v>-464786.7164675509</v>
      </c>
      <c r="H438" s="512">
        <v>0</v>
      </c>
      <c r="I438" s="659" t="s">
        <v>103</v>
      </c>
      <c r="J438" s="513">
        <v>0</v>
      </c>
      <c r="K438" s="513">
        <v>0</v>
      </c>
      <c r="L438" s="513">
        <v>0</v>
      </c>
      <c r="M438" s="513">
        <v>-464786.7164675509</v>
      </c>
      <c r="N438" s="622" t="s">
        <v>1712</v>
      </c>
    </row>
    <row r="439" spans="2:14" ht="29.1">
      <c r="B439" s="513" t="s">
        <v>235</v>
      </c>
      <c r="C439" s="658">
        <v>2011</v>
      </c>
      <c r="D439" s="513">
        <v>-464786.7179474677</v>
      </c>
      <c r="E439" s="512">
        <v>55876.137674079895</v>
      </c>
      <c r="F439" s="513">
        <v>55876.137674079895</v>
      </c>
      <c r="G439" s="660">
        <v>-408910.58027338778</v>
      </c>
      <c r="H439" s="512">
        <v>0</v>
      </c>
      <c r="I439" s="659" t="s">
        <v>103</v>
      </c>
      <c r="J439" s="513">
        <v>0</v>
      </c>
      <c r="K439" s="513">
        <v>0</v>
      </c>
      <c r="L439" s="513">
        <v>0</v>
      </c>
      <c r="M439" s="513">
        <v>-408910.58027338778</v>
      </c>
      <c r="N439" s="622" t="s">
        <v>1711</v>
      </c>
    </row>
    <row r="440" spans="2:14" ht="29.1">
      <c r="B440" s="513" t="s">
        <v>235</v>
      </c>
      <c r="C440" s="658">
        <v>2012</v>
      </c>
      <c r="D440" s="513">
        <v>-408910.58027338795</v>
      </c>
      <c r="E440" s="513">
        <v>39821.092256648015</v>
      </c>
      <c r="F440" s="513">
        <v>39821.092256648015</v>
      </c>
      <c r="G440" s="660">
        <v>-369089.48801673995</v>
      </c>
      <c r="H440" s="512">
        <v>0</v>
      </c>
      <c r="I440" s="659" t="s">
        <v>103</v>
      </c>
      <c r="J440" s="513">
        <v>0</v>
      </c>
      <c r="K440" s="513">
        <v>0</v>
      </c>
      <c r="L440" s="513">
        <v>0</v>
      </c>
      <c r="M440" s="513">
        <v>-369089.48801673995</v>
      </c>
      <c r="N440" s="622" t="s">
        <v>1711</v>
      </c>
    </row>
    <row r="441" spans="2:14" ht="29.1">
      <c r="B441" s="513" t="s">
        <v>235</v>
      </c>
      <c r="C441" s="658">
        <v>2013</v>
      </c>
      <c r="D441" s="513">
        <v>-369089.48801673995</v>
      </c>
      <c r="E441" s="513">
        <v>62003.366068712552</v>
      </c>
      <c r="F441" s="513">
        <v>62003.366068712552</v>
      </c>
      <c r="G441" s="660">
        <v>-307086.1219480274</v>
      </c>
      <c r="H441" s="512">
        <v>0</v>
      </c>
      <c r="I441" s="659" t="s">
        <v>103</v>
      </c>
      <c r="J441" s="513">
        <v>0</v>
      </c>
      <c r="K441" s="513">
        <v>0</v>
      </c>
      <c r="L441" s="513">
        <v>0</v>
      </c>
      <c r="M441" s="513">
        <v>-307086.1219480274</v>
      </c>
      <c r="N441" s="622" t="s">
        <v>1711</v>
      </c>
    </row>
    <row r="442" spans="2:14" ht="29.1">
      <c r="B442" s="513" t="s">
        <v>235</v>
      </c>
      <c r="C442" s="658">
        <v>2014</v>
      </c>
      <c r="D442" s="513">
        <v>-307086.12194802752</v>
      </c>
      <c r="E442" s="513">
        <v>64585.834505271974</v>
      </c>
      <c r="F442" s="513">
        <v>64585.834505271974</v>
      </c>
      <c r="G442" s="660">
        <v>-242500.28744275554</v>
      </c>
      <c r="H442" s="512">
        <v>0</v>
      </c>
      <c r="I442" s="659" t="s">
        <v>103</v>
      </c>
      <c r="J442" s="513">
        <v>0</v>
      </c>
      <c r="K442" s="513">
        <v>0</v>
      </c>
      <c r="L442" s="513">
        <v>0</v>
      </c>
      <c r="M442" s="513">
        <v>-242500.28744275554</v>
      </c>
      <c r="N442" s="622" t="s">
        <v>1711</v>
      </c>
    </row>
    <row r="443" spans="2:14" ht="29.1">
      <c r="B443" s="513" t="s">
        <v>235</v>
      </c>
      <c r="C443" s="658">
        <v>2015</v>
      </c>
      <c r="D443" s="513">
        <v>-242500.28744275542</v>
      </c>
      <c r="E443" s="513">
        <v>65637.147653044958</v>
      </c>
      <c r="F443" s="513">
        <v>65637.147653044958</v>
      </c>
      <c r="G443" s="660">
        <v>-176863.13978971046</v>
      </c>
      <c r="H443" s="660">
        <v>0</v>
      </c>
      <c r="I443" s="659" t="s">
        <v>103</v>
      </c>
      <c r="J443" s="513">
        <v>0</v>
      </c>
      <c r="K443" s="513">
        <v>0</v>
      </c>
      <c r="L443" s="513">
        <v>0</v>
      </c>
      <c r="M443" s="513">
        <v>-176863.13978971046</v>
      </c>
      <c r="N443" s="622" t="s">
        <v>1711</v>
      </c>
    </row>
    <row r="444" spans="2:14" ht="29.1">
      <c r="B444" s="513" t="s">
        <v>235</v>
      </c>
      <c r="C444" s="658">
        <v>2016</v>
      </c>
      <c r="D444" s="513">
        <v>-176863.13978971029</v>
      </c>
      <c r="E444" s="513">
        <v>46398.384563967702</v>
      </c>
      <c r="F444" s="513">
        <v>46398.384563967702</v>
      </c>
      <c r="G444" s="660">
        <v>-130464.75522574259</v>
      </c>
      <c r="H444" s="660">
        <v>0</v>
      </c>
      <c r="I444" s="659" t="s">
        <v>103</v>
      </c>
      <c r="J444" s="513">
        <v>0</v>
      </c>
      <c r="K444" s="513">
        <v>0</v>
      </c>
      <c r="L444" s="513">
        <v>0</v>
      </c>
      <c r="M444" s="513">
        <v>-130464.75522574259</v>
      </c>
      <c r="N444" s="622" t="s">
        <v>1711</v>
      </c>
    </row>
    <row r="445" spans="2:14" ht="29.1">
      <c r="B445" s="513" t="s">
        <v>235</v>
      </c>
      <c r="C445" s="658">
        <v>2017</v>
      </c>
      <c r="D445" s="513">
        <v>-130464.7552257427</v>
      </c>
      <c r="E445" s="513">
        <v>42640.459435435943</v>
      </c>
      <c r="F445" s="513">
        <v>42640.459435435943</v>
      </c>
      <c r="G445" s="513">
        <v>-87824.295790306758</v>
      </c>
      <c r="H445" s="513">
        <v>0</v>
      </c>
      <c r="I445" s="659" t="s">
        <v>103</v>
      </c>
      <c r="J445" s="513">
        <v>0</v>
      </c>
      <c r="K445" s="513">
        <v>0</v>
      </c>
      <c r="L445" s="513">
        <v>0</v>
      </c>
      <c r="M445" s="513">
        <v>-87824.295790306758</v>
      </c>
      <c r="N445" s="622" t="s">
        <v>1711</v>
      </c>
    </row>
    <row r="446" spans="2:14" ht="29.1">
      <c r="B446" s="513" t="s">
        <v>235</v>
      </c>
      <c r="C446" s="889">
        <v>2018</v>
      </c>
      <c r="D446" s="513">
        <v>-87824.295790306758</v>
      </c>
      <c r="E446" s="513">
        <f>VLOOKUP(B446,'[6]2018 allocation'!$A$11:$B$218,2, FALSE)</f>
        <v>45846.002712246191</v>
      </c>
      <c r="F446" s="513">
        <f>E446</f>
        <v>45846.002712246191</v>
      </c>
      <c r="G446" s="513">
        <f>D446+E446</f>
        <v>-41978.293078060567</v>
      </c>
      <c r="H446" s="513">
        <v>0</v>
      </c>
      <c r="I446" s="622" t="s">
        <v>103</v>
      </c>
      <c r="J446" s="513">
        <f>VLOOKUP(B446,'[6]Annual Spending Worksheet '!$C$6:$AG$250,28,FALSE)</f>
        <v>0</v>
      </c>
      <c r="K446" s="513">
        <f>VLOOKUP(B446,'[6]Annual Spending Worksheet '!$C$6:$AG$250,29,FALSE)</f>
        <v>0</v>
      </c>
      <c r="L446" s="513">
        <v>0</v>
      </c>
      <c r="M446" s="513">
        <f>D446+E446+H446-J446</f>
        <v>-41978.293078060567</v>
      </c>
      <c r="N446" s="622" t="s">
        <v>1711</v>
      </c>
    </row>
    <row r="447" spans="2:14">
      <c r="B447" s="513" t="s">
        <v>235</v>
      </c>
      <c r="C447" s="889">
        <v>2019</v>
      </c>
      <c r="D447" s="513">
        <v>-41978.293078060567</v>
      </c>
      <c r="E447" s="513">
        <v>49186.711606304802</v>
      </c>
      <c r="F447" s="513">
        <v>49186.711606304802</v>
      </c>
      <c r="G447" s="513">
        <v>7208.418528244234</v>
      </c>
      <c r="H447" s="513">
        <v>0</v>
      </c>
      <c r="I447" s="622" t="s">
        <v>103</v>
      </c>
      <c r="J447" s="513">
        <v>0</v>
      </c>
      <c r="K447" s="513">
        <v>0</v>
      </c>
      <c r="L447" s="513">
        <v>0</v>
      </c>
      <c r="M447" s="513">
        <v>7208.418528244234</v>
      </c>
      <c r="N447" s="513"/>
    </row>
    <row r="448" spans="2:14" ht="29.1">
      <c r="B448" s="513" t="s">
        <v>236</v>
      </c>
      <c r="C448" s="658">
        <v>2008</v>
      </c>
      <c r="D448" s="513">
        <v>-741402.29099999741</v>
      </c>
      <c r="E448" s="512">
        <v>398955.49496522371</v>
      </c>
      <c r="F448" s="513">
        <v>398955.49496522371</v>
      </c>
      <c r="G448" s="512">
        <v>-342446.7960347737</v>
      </c>
      <c r="H448" s="512">
        <v>0</v>
      </c>
      <c r="I448" s="659" t="s">
        <v>103</v>
      </c>
      <c r="J448" s="513">
        <v>0</v>
      </c>
      <c r="K448" s="513">
        <v>0</v>
      </c>
      <c r="L448" s="513">
        <v>0</v>
      </c>
      <c r="M448" s="513">
        <v>-342446.7960347737</v>
      </c>
      <c r="N448" s="622" t="s">
        <v>1711</v>
      </c>
    </row>
    <row r="449" spans="2:14" ht="29.1">
      <c r="B449" s="513" t="s">
        <v>236</v>
      </c>
      <c r="C449" s="658">
        <v>2009</v>
      </c>
      <c r="D449" s="513">
        <v>-342446.79603477381</v>
      </c>
      <c r="E449" s="512">
        <v>328859.29897814727</v>
      </c>
      <c r="F449" s="513">
        <v>328859.29897814727</v>
      </c>
      <c r="G449" s="512">
        <v>-13587.49705662654</v>
      </c>
      <c r="H449" s="512">
        <v>0</v>
      </c>
      <c r="I449" s="659" t="s">
        <v>103</v>
      </c>
      <c r="J449" s="513">
        <v>0</v>
      </c>
      <c r="K449" s="513">
        <v>0</v>
      </c>
      <c r="L449" s="513">
        <v>0</v>
      </c>
      <c r="M449" s="513">
        <v>-13587.49705662654</v>
      </c>
      <c r="N449" s="622" t="s">
        <v>1711</v>
      </c>
    </row>
    <row r="450" spans="2:14">
      <c r="B450" s="513" t="s">
        <v>236</v>
      </c>
      <c r="C450" s="658">
        <v>2010</v>
      </c>
      <c r="D450" s="513">
        <v>-13587.497056625783</v>
      </c>
      <c r="E450" s="512">
        <v>328493.8</v>
      </c>
      <c r="F450" s="513">
        <v>328493.8</v>
      </c>
      <c r="G450" s="512">
        <v>0</v>
      </c>
      <c r="H450" s="512">
        <v>0</v>
      </c>
      <c r="I450" s="659" t="s">
        <v>103</v>
      </c>
      <c r="J450" s="513">
        <v>0</v>
      </c>
      <c r="K450" s="513">
        <v>0</v>
      </c>
      <c r="L450" s="513">
        <v>0</v>
      </c>
      <c r="M450" s="513">
        <v>314906.3029433742</v>
      </c>
      <c r="N450" s="622"/>
    </row>
    <row r="451" spans="2:14">
      <c r="B451" s="513" t="s">
        <v>236</v>
      </c>
      <c r="C451" s="658">
        <v>2011</v>
      </c>
      <c r="D451" s="513">
        <v>314906.30003575049</v>
      </c>
      <c r="E451" s="512">
        <v>333642.01910662052</v>
      </c>
      <c r="F451" s="513">
        <v>333642.01910662052</v>
      </c>
      <c r="G451" s="512">
        <v>0</v>
      </c>
      <c r="H451" s="512">
        <v>0</v>
      </c>
      <c r="I451" s="659" t="s">
        <v>103</v>
      </c>
      <c r="J451" s="513">
        <v>0</v>
      </c>
      <c r="K451" s="513">
        <v>0</v>
      </c>
      <c r="L451" s="513">
        <v>0</v>
      </c>
      <c r="M451" s="513">
        <v>648548.31914237095</v>
      </c>
      <c r="N451" s="622"/>
    </row>
    <row r="452" spans="2:14">
      <c r="B452" s="513" t="s">
        <v>236</v>
      </c>
      <c r="C452" s="658">
        <v>2012</v>
      </c>
      <c r="D452" s="513">
        <v>648548.31914237142</v>
      </c>
      <c r="E452" s="513">
        <v>250710.7868983192</v>
      </c>
      <c r="F452" s="513">
        <v>250710.7868983192</v>
      </c>
      <c r="G452" s="512">
        <v>0</v>
      </c>
      <c r="H452" s="512">
        <v>0</v>
      </c>
      <c r="I452" s="659" t="s">
        <v>103</v>
      </c>
      <c r="J452" s="513">
        <v>0</v>
      </c>
      <c r="K452" s="513">
        <v>0</v>
      </c>
      <c r="L452" s="513">
        <v>0</v>
      </c>
      <c r="M452" s="513">
        <v>899259.10604069056</v>
      </c>
      <c r="N452" s="622"/>
    </row>
    <row r="453" spans="2:14">
      <c r="B453" s="513" t="s">
        <v>236</v>
      </c>
      <c r="C453" s="658">
        <v>2013</v>
      </c>
      <c r="D453" s="513">
        <v>899259.10604069009</v>
      </c>
      <c r="E453" s="513">
        <v>365239.96542318381</v>
      </c>
      <c r="F453" s="513">
        <v>365239.96542318381</v>
      </c>
      <c r="G453" s="512">
        <v>0</v>
      </c>
      <c r="H453" s="512">
        <v>0</v>
      </c>
      <c r="I453" s="659" t="s">
        <v>103</v>
      </c>
      <c r="J453" s="513">
        <v>0</v>
      </c>
      <c r="K453" s="513">
        <v>0</v>
      </c>
      <c r="L453" s="513">
        <v>0</v>
      </c>
      <c r="M453" s="513">
        <v>1264499.0714638738</v>
      </c>
      <c r="N453" s="622"/>
    </row>
    <row r="454" spans="2:14">
      <c r="B454" s="513" t="s">
        <v>236</v>
      </c>
      <c r="C454" s="658">
        <v>2014</v>
      </c>
      <c r="D454" s="513">
        <v>1264499.0714638736</v>
      </c>
      <c r="E454" s="513">
        <v>378609.47237739811</v>
      </c>
      <c r="F454" s="513">
        <v>378609.47237739811</v>
      </c>
      <c r="G454" s="512">
        <v>0</v>
      </c>
      <c r="H454" s="512">
        <v>0</v>
      </c>
      <c r="I454" s="659" t="s">
        <v>103</v>
      </c>
      <c r="J454" s="513">
        <v>0</v>
      </c>
      <c r="K454" s="513">
        <v>0</v>
      </c>
      <c r="L454" s="513">
        <v>0</v>
      </c>
      <c r="M454" s="513">
        <v>1643108.5438412717</v>
      </c>
      <c r="N454" s="622"/>
    </row>
    <row r="455" spans="2:14">
      <c r="B455" s="513" t="s">
        <v>236</v>
      </c>
      <c r="C455" s="658">
        <v>2015</v>
      </c>
      <c r="D455" s="513">
        <v>1643108.5438412726</v>
      </c>
      <c r="E455" s="513">
        <v>384104.64580259722</v>
      </c>
      <c r="F455" s="513">
        <v>384104.64580259722</v>
      </c>
      <c r="G455" s="512">
        <v>0</v>
      </c>
      <c r="H455" s="660">
        <v>0</v>
      </c>
      <c r="I455" s="659" t="s">
        <v>103</v>
      </c>
      <c r="J455" s="513">
        <v>0</v>
      </c>
      <c r="K455" s="513">
        <v>0</v>
      </c>
      <c r="L455" s="513">
        <v>0</v>
      </c>
      <c r="M455" s="513">
        <v>2027213.1896438699</v>
      </c>
      <c r="N455" s="622"/>
    </row>
    <row r="456" spans="2:14">
      <c r="B456" s="513" t="s">
        <v>236</v>
      </c>
      <c r="C456" s="658">
        <v>2016</v>
      </c>
      <c r="D456" s="513">
        <v>2027213.1896438692</v>
      </c>
      <c r="E456" s="513">
        <v>284411.82655868214</v>
      </c>
      <c r="F456" s="513">
        <v>284411.82655868214</v>
      </c>
      <c r="G456" s="660">
        <v>0</v>
      </c>
      <c r="H456" s="660">
        <v>0</v>
      </c>
      <c r="I456" s="659" t="s">
        <v>103</v>
      </c>
      <c r="J456" s="513">
        <v>0</v>
      </c>
      <c r="K456" s="513">
        <v>0</v>
      </c>
      <c r="L456" s="513">
        <v>0</v>
      </c>
      <c r="M456" s="513">
        <v>2311625.0162025513</v>
      </c>
      <c r="N456" s="622"/>
    </row>
    <row r="457" spans="2:14">
      <c r="B457" s="513" t="s">
        <v>236</v>
      </c>
      <c r="C457" s="658">
        <v>2017</v>
      </c>
      <c r="D457" s="513">
        <v>2311625.0162025504</v>
      </c>
      <c r="E457" s="513">
        <v>264972.80465256947</v>
      </c>
      <c r="F457" s="513">
        <v>264972.80465256947</v>
      </c>
      <c r="G457" s="513">
        <v>0</v>
      </c>
      <c r="H457" s="513">
        <v>0</v>
      </c>
      <c r="I457" s="659" t="s">
        <v>103</v>
      </c>
      <c r="J457" s="513">
        <v>0</v>
      </c>
      <c r="K457" s="513">
        <v>0</v>
      </c>
      <c r="L457" s="513">
        <v>0</v>
      </c>
      <c r="M457" s="513">
        <v>2576597.8208551197</v>
      </c>
      <c r="N457" s="622"/>
    </row>
    <row r="458" spans="2:14">
      <c r="B458" s="513" t="s">
        <v>236</v>
      </c>
      <c r="C458" s="889">
        <v>2018</v>
      </c>
      <c r="D458" s="513">
        <v>2576597.8208551197</v>
      </c>
      <c r="E458" s="513">
        <f>VLOOKUP(B458,'[6]2018 allocation'!$A$11:$B$218,2, FALSE)</f>
        <v>281586.70973512897</v>
      </c>
      <c r="F458" s="513">
        <f>E458</f>
        <v>281586.70973512897</v>
      </c>
      <c r="G458" s="513">
        <v>0</v>
      </c>
      <c r="H458" s="513">
        <v>0</v>
      </c>
      <c r="I458" s="622" t="s">
        <v>103</v>
      </c>
      <c r="J458" s="513">
        <f>VLOOKUP(B458,'[6]Annual Spending Worksheet '!$C$6:$AG$250,28,FALSE)</f>
        <v>0</v>
      </c>
      <c r="K458" s="513">
        <f>VLOOKUP(B458,'[6]Annual Spending Worksheet '!$C$6:$AG$250,29,FALSE)</f>
        <v>0</v>
      </c>
      <c r="L458" s="513">
        <v>0</v>
      </c>
      <c r="M458" s="513">
        <f>D458+E458+H458-J458</f>
        <v>2858184.5305902488</v>
      </c>
      <c r="N458" s="513"/>
    </row>
    <row r="459" spans="2:14">
      <c r="B459" s="513" t="s">
        <v>236</v>
      </c>
      <c r="C459" s="889">
        <v>2019</v>
      </c>
      <c r="D459" s="513">
        <v>2858184.5305902488</v>
      </c>
      <c r="E459" s="513">
        <v>298965.00778111618</v>
      </c>
      <c r="F459" s="513">
        <v>298965.00778111618</v>
      </c>
      <c r="G459" s="513">
        <v>0</v>
      </c>
      <c r="H459" s="513">
        <v>-3157149.5383713702</v>
      </c>
      <c r="I459" s="622" t="s">
        <v>1721</v>
      </c>
      <c r="J459" s="513">
        <v>0</v>
      </c>
      <c r="K459" s="513">
        <v>0</v>
      </c>
      <c r="L459" s="513">
        <v>0</v>
      </c>
      <c r="M459" s="513">
        <v>-5.1222741603851318E-9</v>
      </c>
      <c r="N459" s="513"/>
    </row>
    <row r="460" spans="2:14">
      <c r="B460" s="513" t="s">
        <v>237</v>
      </c>
      <c r="C460" s="658">
        <v>2008</v>
      </c>
      <c r="D460" s="513">
        <v>13581.065999999642</v>
      </c>
      <c r="E460" s="512">
        <v>115972.36450469698</v>
      </c>
      <c r="F460" s="513">
        <v>115972.36450469698</v>
      </c>
      <c r="G460" s="512">
        <v>0</v>
      </c>
      <c r="H460" s="512">
        <v>0</v>
      </c>
      <c r="I460" s="659" t="s">
        <v>103</v>
      </c>
      <c r="J460" s="513">
        <v>0</v>
      </c>
      <c r="K460" s="513">
        <v>0</v>
      </c>
      <c r="L460" s="513">
        <v>0</v>
      </c>
      <c r="M460" s="513">
        <v>129553.43050469662</v>
      </c>
      <c r="N460" s="622"/>
    </row>
    <row r="461" spans="2:14">
      <c r="B461" s="513" t="s">
        <v>237</v>
      </c>
      <c r="C461" s="658">
        <v>2009</v>
      </c>
      <c r="D461" s="513">
        <v>129553.43050469644</v>
      </c>
      <c r="E461" s="512">
        <v>96300.760960850821</v>
      </c>
      <c r="F461" s="513">
        <v>96300.760960850821</v>
      </c>
      <c r="G461" s="512">
        <v>0</v>
      </c>
      <c r="H461" s="512">
        <v>0</v>
      </c>
      <c r="I461" s="659" t="s">
        <v>103</v>
      </c>
      <c r="J461" s="513">
        <v>0</v>
      </c>
      <c r="K461" s="513">
        <v>0</v>
      </c>
      <c r="L461" s="513">
        <v>0</v>
      </c>
      <c r="M461" s="513">
        <v>225854.19146554725</v>
      </c>
      <c r="N461" s="622"/>
    </row>
    <row r="462" spans="2:14">
      <c r="B462" s="513" t="s">
        <v>237</v>
      </c>
      <c r="C462" s="658">
        <v>2010</v>
      </c>
      <c r="D462" s="513">
        <v>225854.19146554731</v>
      </c>
      <c r="E462" s="512">
        <v>96195.15</v>
      </c>
      <c r="F462" s="513">
        <v>96195.15</v>
      </c>
      <c r="G462" s="512">
        <v>0</v>
      </c>
      <c r="H462" s="512">
        <v>0</v>
      </c>
      <c r="I462" s="659" t="s">
        <v>103</v>
      </c>
      <c r="J462" s="513">
        <v>0</v>
      </c>
      <c r="K462" s="513">
        <v>0</v>
      </c>
      <c r="L462" s="513">
        <v>0</v>
      </c>
      <c r="M462" s="513">
        <v>322049.34146554733</v>
      </c>
      <c r="N462" s="622"/>
    </row>
    <row r="463" spans="2:14">
      <c r="B463" s="513" t="s">
        <v>237</v>
      </c>
      <c r="C463" s="658">
        <v>2011</v>
      </c>
      <c r="D463" s="513">
        <v>322049.3423356656</v>
      </c>
      <c r="E463" s="512">
        <v>97776.58949705305</v>
      </c>
      <c r="F463" s="513">
        <v>97776.58949705305</v>
      </c>
      <c r="G463" s="512">
        <v>0</v>
      </c>
      <c r="H463" s="512">
        <v>0</v>
      </c>
      <c r="I463" s="659" t="s">
        <v>103</v>
      </c>
      <c r="J463" s="513">
        <v>0</v>
      </c>
      <c r="K463" s="513">
        <v>0</v>
      </c>
      <c r="L463" s="513">
        <v>0</v>
      </c>
      <c r="M463" s="513">
        <v>419825.93183271866</v>
      </c>
      <c r="N463" s="622"/>
    </row>
    <row r="464" spans="2:14">
      <c r="B464" s="513" t="s">
        <v>237</v>
      </c>
      <c r="C464" s="658">
        <v>2012</v>
      </c>
      <c r="D464" s="513">
        <v>419825.93183271773</v>
      </c>
      <c r="E464" s="513">
        <v>75204.183876125491</v>
      </c>
      <c r="F464" s="513">
        <v>75204.183876125491</v>
      </c>
      <c r="G464" s="512">
        <v>0</v>
      </c>
      <c r="H464" s="512">
        <v>0</v>
      </c>
      <c r="I464" s="659" t="s">
        <v>103</v>
      </c>
      <c r="J464" s="513">
        <v>0</v>
      </c>
      <c r="K464" s="513">
        <v>0</v>
      </c>
      <c r="L464" s="513">
        <v>0</v>
      </c>
      <c r="M464" s="513">
        <v>495030.11570884322</v>
      </c>
      <c r="N464" s="622"/>
    </row>
    <row r="465" spans="2:14">
      <c r="B465" s="513" t="s">
        <v>237</v>
      </c>
      <c r="C465" s="658">
        <v>2013</v>
      </c>
      <c r="D465" s="513">
        <v>495030.1157088438</v>
      </c>
      <c r="E465" s="513">
        <v>106373.44340136489</v>
      </c>
      <c r="F465" s="513">
        <v>106373.44340136489</v>
      </c>
      <c r="G465" s="512">
        <v>0</v>
      </c>
      <c r="H465" s="512">
        <v>0</v>
      </c>
      <c r="I465" s="659" t="s">
        <v>103</v>
      </c>
      <c r="J465" s="513">
        <v>0</v>
      </c>
      <c r="K465" s="513">
        <v>0</v>
      </c>
      <c r="L465" s="513">
        <v>0</v>
      </c>
      <c r="M465" s="513">
        <v>601403.55911020865</v>
      </c>
      <c r="N465" s="622"/>
    </row>
    <row r="466" spans="2:14">
      <c r="B466" s="513" t="s">
        <v>237</v>
      </c>
      <c r="C466" s="658">
        <v>2014</v>
      </c>
      <c r="D466" s="513">
        <v>601403.55911020935</v>
      </c>
      <c r="E466" s="513">
        <v>110000.72198250573</v>
      </c>
      <c r="F466" s="513">
        <v>110000.72198250573</v>
      </c>
      <c r="G466" s="512">
        <v>0</v>
      </c>
      <c r="H466" s="512">
        <v>0</v>
      </c>
      <c r="I466" s="659" t="s">
        <v>103</v>
      </c>
      <c r="J466" s="513">
        <v>0</v>
      </c>
      <c r="K466" s="513">
        <v>0</v>
      </c>
      <c r="L466" s="513">
        <v>0</v>
      </c>
      <c r="M466" s="513">
        <v>711404.2810927151</v>
      </c>
      <c r="N466" s="622"/>
    </row>
    <row r="467" spans="2:14">
      <c r="B467" s="513" t="s">
        <v>237</v>
      </c>
      <c r="C467" s="658">
        <v>2015</v>
      </c>
      <c r="D467" s="513">
        <v>711404.28109271452</v>
      </c>
      <c r="E467" s="513">
        <v>111463.77618624261</v>
      </c>
      <c r="F467" s="513">
        <v>111463.77618624261</v>
      </c>
      <c r="G467" s="512">
        <v>0</v>
      </c>
      <c r="H467" s="660">
        <v>0</v>
      </c>
      <c r="I467" s="659" t="s">
        <v>103</v>
      </c>
      <c r="J467" s="513">
        <v>0</v>
      </c>
      <c r="K467" s="513">
        <v>0</v>
      </c>
      <c r="L467" s="513">
        <v>0</v>
      </c>
      <c r="M467" s="513">
        <v>822868.0572789571</v>
      </c>
      <c r="N467" s="622"/>
    </row>
    <row r="468" spans="2:14">
      <c r="B468" s="513" t="s">
        <v>237</v>
      </c>
      <c r="C468" s="658">
        <v>2016</v>
      </c>
      <c r="D468" s="513">
        <v>822868.05727895722</v>
      </c>
      <c r="E468" s="513">
        <v>84506.961778303928</v>
      </c>
      <c r="F468" s="513">
        <v>84506.961778303928</v>
      </c>
      <c r="G468" s="660">
        <v>0</v>
      </c>
      <c r="H468" s="660">
        <v>0</v>
      </c>
      <c r="I468" s="659" t="s">
        <v>103</v>
      </c>
      <c r="J468" s="513">
        <v>0</v>
      </c>
      <c r="K468" s="513">
        <v>0</v>
      </c>
      <c r="L468" s="513">
        <v>0</v>
      </c>
      <c r="M468" s="513">
        <v>907375.01905726118</v>
      </c>
      <c r="N468" s="622"/>
    </row>
    <row r="469" spans="2:14">
      <c r="B469" s="513" t="s">
        <v>237</v>
      </c>
      <c r="C469" s="658">
        <v>2017</v>
      </c>
      <c r="D469" s="513">
        <v>907375.01905726083</v>
      </c>
      <c r="E469" s="513">
        <v>79188.567673168873</v>
      </c>
      <c r="F469" s="513">
        <v>79188.567673168873</v>
      </c>
      <c r="G469" s="513">
        <v>0</v>
      </c>
      <c r="H469" s="513">
        <v>0</v>
      </c>
      <c r="I469" s="659" t="s">
        <v>103</v>
      </c>
      <c r="J469" s="513">
        <v>0</v>
      </c>
      <c r="K469" s="513">
        <v>0</v>
      </c>
      <c r="L469" s="513">
        <v>0</v>
      </c>
      <c r="M469" s="513">
        <v>986563.58673042967</v>
      </c>
      <c r="N469" s="622"/>
    </row>
    <row r="470" spans="2:14">
      <c r="B470" s="513" t="s">
        <v>237</v>
      </c>
      <c r="C470" s="889">
        <v>2018</v>
      </c>
      <c r="D470" s="513">
        <v>986563.58673042967</v>
      </c>
      <c r="E470" s="513">
        <f>VLOOKUP(B470,'[6]2018 allocation'!$A$11:$B$218,2, FALSE)</f>
        <v>83711.0898951001</v>
      </c>
      <c r="F470" s="513">
        <f>E470</f>
        <v>83711.0898951001</v>
      </c>
      <c r="G470" s="513">
        <v>0</v>
      </c>
      <c r="H470" s="513">
        <v>0</v>
      </c>
      <c r="I470" s="622" t="s">
        <v>103</v>
      </c>
      <c r="J470" s="513">
        <f>VLOOKUP(B470,'[6]Annual Spending Worksheet '!$C$6:$AG$250,28,FALSE)</f>
        <v>0</v>
      </c>
      <c r="K470" s="513">
        <f>VLOOKUP(B470,'[6]Annual Spending Worksheet '!$C$6:$AG$250,29,FALSE)</f>
        <v>0</v>
      </c>
      <c r="L470" s="513">
        <v>0</v>
      </c>
      <c r="M470" s="513">
        <f>D470+E470+H470-J470</f>
        <v>1070274.6766255298</v>
      </c>
      <c r="N470" s="513"/>
    </row>
    <row r="471" spans="2:14">
      <c r="B471" s="513" t="s">
        <v>237</v>
      </c>
      <c r="C471" s="889">
        <v>2019</v>
      </c>
      <c r="D471" s="513">
        <v>1070274.6766255298</v>
      </c>
      <c r="E471" s="513">
        <v>88417.549499363187</v>
      </c>
      <c r="F471" s="513">
        <v>88417.549499363187</v>
      </c>
      <c r="G471" s="513">
        <v>0</v>
      </c>
      <c r="H471" s="513">
        <v>0</v>
      </c>
      <c r="I471" s="622" t="s">
        <v>103</v>
      </c>
      <c r="J471" s="513">
        <v>0</v>
      </c>
      <c r="K471" s="513">
        <v>0</v>
      </c>
      <c r="L471" s="513">
        <v>0</v>
      </c>
      <c r="M471" s="513">
        <v>1158692.2261248929</v>
      </c>
      <c r="N471" s="513"/>
    </row>
    <row r="472" spans="2:14">
      <c r="B472" s="513" t="s">
        <v>238</v>
      </c>
      <c r="C472" s="658">
        <v>2008</v>
      </c>
      <c r="D472" s="513">
        <v>3415707.091</v>
      </c>
      <c r="E472" s="512">
        <v>302513.06631293811</v>
      </c>
      <c r="F472" s="513">
        <v>302513.06631293811</v>
      </c>
      <c r="G472" s="512">
        <v>0</v>
      </c>
      <c r="H472" s="512">
        <v>0</v>
      </c>
      <c r="I472" s="659" t="s">
        <v>103</v>
      </c>
      <c r="J472" s="513">
        <v>-194176.23</v>
      </c>
      <c r="K472" s="513">
        <v>0</v>
      </c>
      <c r="L472" s="513">
        <v>0</v>
      </c>
      <c r="M472" s="513">
        <v>3912396.387312938</v>
      </c>
      <c r="N472" s="622"/>
    </row>
    <row r="473" spans="2:14">
      <c r="B473" s="513" t="s">
        <v>238</v>
      </c>
      <c r="C473" s="658">
        <v>2009</v>
      </c>
      <c r="D473" s="513">
        <v>3912396.3873129385</v>
      </c>
      <c r="E473" s="512">
        <v>245909.00061634494</v>
      </c>
      <c r="F473" s="513">
        <v>245909.00061634494</v>
      </c>
      <c r="G473" s="512">
        <v>0</v>
      </c>
      <c r="H473" s="512">
        <v>0</v>
      </c>
      <c r="I473" s="659" t="s">
        <v>103</v>
      </c>
      <c r="J473" s="513">
        <v>-352315.8</v>
      </c>
      <c r="K473" s="513">
        <v>0</v>
      </c>
      <c r="L473" s="513">
        <v>0</v>
      </c>
      <c r="M473" s="513">
        <v>4510621.1879292838</v>
      </c>
      <c r="N473" s="622"/>
    </row>
    <row r="474" spans="2:14">
      <c r="B474" s="513" t="s">
        <v>238</v>
      </c>
      <c r="C474" s="658">
        <v>2010</v>
      </c>
      <c r="D474" s="513">
        <v>4510621.1879292838</v>
      </c>
      <c r="E474" s="512">
        <v>245572.64</v>
      </c>
      <c r="F474" s="513">
        <v>245572.64</v>
      </c>
      <c r="G474" s="512">
        <v>0</v>
      </c>
      <c r="H474" s="512">
        <v>0</v>
      </c>
      <c r="I474" s="659" t="s">
        <v>103</v>
      </c>
      <c r="J474" s="513">
        <v>-158744.76000000004</v>
      </c>
      <c r="K474" s="513">
        <v>0</v>
      </c>
      <c r="L474" s="513">
        <v>0</v>
      </c>
      <c r="M474" s="513">
        <v>4914938.5879292833</v>
      </c>
      <c r="N474" s="622"/>
    </row>
    <row r="475" spans="2:14">
      <c r="B475" s="513" t="s">
        <v>238</v>
      </c>
      <c r="C475" s="658">
        <v>2011</v>
      </c>
      <c r="D475" s="513">
        <v>4914938.5912885265</v>
      </c>
      <c r="E475" s="512">
        <v>249787.01040656329</v>
      </c>
      <c r="F475" s="513">
        <v>249787.01040656329</v>
      </c>
      <c r="G475" s="660">
        <v>0</v>
      </c>
      <c r="H475" s="512">
        <v>0</v>
      </c>
      <c r="I475" s="659" t="s">
        <v>103</v>
      </c>
      <c r="J475" s="513">
        <v>72207.489999999918</v>
      </c>
      <c r="K475" s="513">
        <v>0</v>
      </c>
      <c r="L475" s="513">
        <v>0</v>
      </c>
      <c r="M475" s="513">
        <v>5092518.1116950894</v>
      </c>
      <c r="N475" s="622"/>
    </row>
    <row r="476" spans="2:14">
      <c r="B476" s="513" t="s">
        <v>238</v>
      </c>
      <c r="C476" s="658">
        <v>2012</v>
      </c>
      <c r="D476" s="513">
        <v>5092518.1116950894</v>
      </c>
      <c r="E476" s="513">
        <v>182903.8124256864</v>
      </c>
      <c r="F476" s="513">
        <v>182903.8124256864</v>
      </c>
      <c r="G476" s="660">
        <v>0</v>
      </c>
      <c r="H476" s="512">
        <v>0</v>
      </c>
      <c r="I476" s="659" t="s">
        <v>103</v>
      </c>
      <c r="J476" s="513">
        <v>188992.07999999987</v>
      </c>
      <c r="K476" s="513">
        <v>0</v>
      </c>
      <c r="L476" s="513">
        <v>145472.07999999999</v>
      </c>
      <c r="M476" s="513">
        <v>4940957.7641207753</v>
      </c>
      <c r="N476" s="622"/>
    </row>
    <row r="477" spans="2:14" ht="29.1">
      <c r="B477" s="513" t="s">
        <v>238</v>
      </c>
      <c r="C477" s="658">
        <v>2013</v>
      </c>
      <c r="D477" s="513">
        <v>4940957.7641207753</v>
      </c>
      <c r="E477" s="513">
        <v>275285.54079679027</v>
      </c>
      <c r="F477" s="513">
        <v>275285.54079679027</v>
      </c>
      <c r="G477" s="660">
        <v>0</v>
      </c>
      <c r="H477" s="512">
        <v>0</v>
      </c>
      <c r="I477" s="659" t="s">
        <v>103</v>
      </c>
      <c r="J477" s="513">
        <v>6964406.8599999994</v>
      </c>
      <c r="K477" s="513">
        <v>0</v>
      </c>
      <c r="L477" s="513">
        <v>0</v>
      </c>
      <c r="M477" s="513">
        <v>-1748163.5550824339</v>
      </c>
      <c r="N477" s="622" t="s">
        <v>1711</v>
      </c>
    </row>
    <row r="478" spans="2:14" ht="43.5">
      <c r="B478" s="513" t="s">
        <v>238</v>
      </c>
      <c r="C478" s="658">
        <v>2014</v>
      </c>
      <c r="D478" s="513">
        <v>-1748163.5550824348</v>
      </c>
      <c r="E478" s="513">
        <v>286060.83819744957</v>
      </c>
      <c r="F478" s="513">
        <v>286060.83819744957</v>
      </c>
      <c r="G478" s="660">
        <v>-1462102.7168849851</v>
      </c>
      <c r="H478" s="512">
        <v>0</v>
      </c>
      <c r="I478" s="659" t="s">
        <v>103</v>
      </c>
      <c r="J478" s="513">
        <v>1681914.530000001</v>
      </c>
      <c r="K478" s="513">
        <v>9025315</v>
      </c>
      <c r="L478" s="513">
        <v>-295.82</v>
      </c>
      <c r="M478" s="513">
        <v>-3143721.426884986</v>
      </c>
      <c r="N478" s="622" t="s">
        <v>1722</v>
      </c>
    </row>
    <row r="479" spans="2:14" ht="43.5">
      <c r="B479" s="513" t="s">
        <v>238</v>
      </c>
      <c r="C479" s="658">
        <v>2015</v>
      </c>
      <c r="D479" s="513">
        <v>-3143721.4268849865</v>
      </c>
      <c r="E479" s="513">
        <v>290491.97296667076</v>
      </c>
      <c r="F479" s="513">
        <v>290491.97296667076</v>
      </c>
      <c r="G479" s="660">
        <v>-2853229.4539183155</v>
      </c>
      <c r="H479" s="660">
        <v>0</v>
      </c>
      <c r="I479" s="659" t="s">
        <v>103</v>
      </c>
      <c r="J479" s="513">
        <v>-478879.26999999996</v>
      </c>
      <c r="K479" s="513">
        <v>0</v>
      </c>
      <c r="L479" s="513">
        <v>6337.95</v>
      </c>
      <c r="M479" s="513">
        <v>-2380688.1339183156</v>
      </c>
      <c r="N479" s="622" t="s">
        <v>1722</v>
      </c>
    </row>
    <row r="480" spans="2:14" ht="43.5">
      <c r="B480" s="513" t="s">
        <v>238</v>
      </c>
      <c r="C480" s="658">
        <v>2016</v>
      </c>
      <c r="D480" s="513">
        <v>-2380688.1339183152</v>
      </c>
      <c r="E480" s="513">
        <v>210148.00708535337</v>
      </c>
      <c r="F480" s="513">
        <v>210148.00708535337</v>
      </c>
      <c r="G480" s="660">
        <v>-2170540.126832962</v>
      </c>
      <c r="H480" s="660">
        <v>0</v>
      </c>
      <c r="I480" s="659" t="s">
        <v>103</v>
      </c>
      <c r="J480" s="513">
        <v>0</v>
      </c>
      <c r="K480" s="513">
        <v>0</v>
      </c>
      <c r="L480" s="513">
        <v>-274053.96000000002</v>
      </c>
      <c r="M480" s="513">
        <v>-1896486.1668329621</v>
      </c>
      <c r="N480" s="622" t="s">
        <v>1722</v>
      </c>
    </row>
    <row r="481" spans="2:14" ht="43.5">
      <c r="B481" s="513" t="s">
        <v>238</v>
      </c>
      <c r="C481" s="658">
        <v>2017</v>
      </c>
      <c r="D481" s="513">
        <v>-1896486.1668329611</v>
      </c>
      <c r="E481" s="513">
        <v>194360.25545084762</v>
      </c>
      <c r="F481" s="513">
        <v>194360.25545084762</v>
      </c>
      <c r="G481" s="513">
        <v>-1702125.9113821136</v>
      </c>
      <c r="H481" s="513">
        <v>0</v>
      </c>
      <c r="I481" s="659" t="s">
        <v>103</v>
      </c>
      <c r="J481" s="513">
        <v>0</v>
      </c>
      <c r="K481" s="513">
        <v>0</v>
      </c>
      <c r="L481" s="513">
        <v>0</v>
      </c>
      <c r="M481" s="513">
        <v>-1702125.9113821136</v>
      </c>
      <c r="N481" s="622" t="s">
        <v>1722</v>
      </c>
    </row>
    <row r="482" spans="2:14" ht="43.5">
      <c r="B482" s="513" t="s">
        <v>238</v>
      </c>
      <c r="C482" s="889">
        <v>2018</v>
      </c>
      <c r="D482" s="513">
        <v>-1702125.9113821136</v>
      </c>
      <c r="E482" s="513">
        <f>VLOOKUP(B482,'[6]2018 allocation'!$A$11:$B$218,2, FALSE)</f>
        <v>207753.34203039893</v>
      </c>
      <c r="F482" s="513">
        <f>E482</f>
        <v>207753.34203039893</v>
      </c>
      <c r="G482" s="513">
        <f>D482+E482</f>
        <v>-1494372.5693517146</v>
      </c>
      <c r="H482" s="513">
        <v>0</v>
      </c>
      <c r="I482" s="622" t="s">
        <v>103</v>
      </c>
      <c r="J482" s="513">
        <f>VLOOKUP(B482,'[6]Annual Spending Worksheet '!$C$6:$AG$250,28,FALSE)</f>
        <v>0</v>
      </c>
      <c r="K482" s="513">
        <f>VLOOKUP(B482,'[6]Annual Spending Worksheet '!$C$6:$AG$250,29,FALSE)</f>
        <v>0</v>
      </c>
      <c r="L482" s="513">
        <v>0</v>
      </c>
      <c r="M482" s="513">
        <f>D482+E482+H482-J482</f>
        <v>-1494372.5693517146</v>
      </c>
      <c r="N482" s="622" t="s">
        <v>1722</v>
      </c>
    </row>
    <row r="483" spans="2:14" ht="43.5">
      <c r="B483" s="513" t="s">
        <v>238</v>
      </c>
      <c r="C483" s="889">
        <v>2019</v>
      </c>
      <c r="D483" s="513">
        <v>-1494372.5693517146</v>
      </c>
      <c r="E483" s="513">
        <v>221845.00808983887</v>
      </c>
      <c r="F483" s="513">
        <v>221845.00808983887</v>
      </c>
      <c r="G483" s="513">
        <v>-1272527.5612618758</v>
      </c>
      <c r="H483" s="513">
        <v>0</v>
      </c>
      <c r="I483" s="622" t="s">
        <v>103</v>
      </c>
      <c r="J483" s="513">
        <v>0</v>
      </c>
      <c r="K483" s="513">
        <v>0</v>
      </c>
      <c r="L483" s="513">
        <v>0</v>
      </c>
      <c r="M483" s="513">
        <v>-1272527.5612618758</v>
      </c>
      <c r="N483" s="622" t="s">
        <v>1722</v>
      </c>
    </row>
    <row r="484" spans="2:14">
      <c r="B484" s="513" t="s">
        <v>247</v>
      </c>
      <c r="C484" s="658">
        <v>2008</v>
      </c>
      <c r="D484" s="513">
        <v>6995.3370000000004</v>
      </c>
      <c r="E484" s="512">
        <v>7103.6375635575614</v>
      </c>
      <c r="F484" s="513">
        <v>7103.6375635575614</v>
      </c>
      <c r="G484" s="512">
        <v>0</v>
      </c>
      <c r="H484" s="512">
        <v>0</v>
      </c>
      <c r="I484" s="659" t="s">
        <v>103</v>
      </c>
      <c r="J484" s="513">
        <v>0</v>
      </c>
      <c r="K484" s="513">
        <v>0</v>
      </c>
      <c r="L484" s="513">
        <v>0</v>
      </c>
      <c r="M484" s="513">
        <v>14098.974563557562</v>
      </c>
      <c r="N484" s="622"/>
    </row>
    <row r="485" spans="2:14">
      <c r="B485" s="513" t="s">
        <v>247</v>
      </c>
      <c r="C485" s="658">
        <v>2009</v>
      </c>
      <c r="D485" s="513">
        <v>14098.974563557562</v>
      </c>
      <c r="E485" s="512">
        <v>5839.0369045365424</v>
      </c>
      <c r="F485" s="513">
        <v>5839.0369045365424</v>
      </c>
      <c r="G485" s="512">
        <v>0</v>
      </c>
      <c r="H485" s="512">
        <v>0</v>
      </c>
      <c r="I485" s="659" t="s">
        <v>103</v>
      </c>
      <c r="J485" s="513">
        <v>0</v>
      </c>
      <c r="K485" s="513">
        <v>0</v>
      </c>
      <c r="L485" s="513">
        <v>0</v>
      </c>
      <c r="M485" s="513">
        <v>19938.011468094104</v>
      </c>
      <c r="N485" s="622"/>
    </row>
    <row r="486" spans="2:14">
      <c r="B486" s="513" t="s">
        <v>247</v>
      </c>
      <c r="C486" s="658">
        <v>2010</v>
      </c>
      <c r="D486" s="513">
        <v>19938.011468094104</v>
      </c>
      <c r="E486" s="512">
        <v>5831.57</v>
      </c>
      <c r="F486" s="513">
        <v>5831.57</v>
      </c>
      <c r="G486" s="512">
        <v>0</v>
      </c>
      <c r="H486" s="512">
        <v>0</v>
      </c>
      <c r="I486" s="659" t="s">
        <v>103</v>
      </c>
      <c r="J486" s="513">
        <v>0</v>
      </c>
      <c r="K486" s="513">
        <v>0</v>
      </c>
      <c r="L486" s="513">
        <v>0</v>
      </c>
      <c r="M486" s="513">
        <v>25769.581468094104</v>
      </c>
      <c r="N486" s="622"/>
    </row>
    <row r="487" spans="2:14">
      <c r="B487" s="513" t="s">
        <v>247</v>
      </c>
      <c r="C487" s="658">
        <v>2011</v>
      </c>
      <c r="D487" s="513">
        <v>25769.579765891605</v>
      </c>
      <c r="E487" s="512">
        <v>5920.9383598210761</v>
      </c>
      <c r="F487" s="513">
        <v>5920.9383598210761</v>
      </c>
      <c r="G487" s="512">
        <v>0</v>
      </c>
      <c r="H487" s="512">
        <v>0</v>
      </c>
      <c r="I487" s="659" t="s">
        <v>103</v>
      </c>
      <c r="J487" s="513">
        <v>0</v>
      </c>
      <c r="K487" s="513">
        <v>0</v>
      </c>
      <c r="L487" s="513">
        <v>0</v>
      </c>
      <c r="M487" s="513">
        <v>31690.518125712682</v>
      </c>
      <c r="N487" s="622"/>
    </row>
    <row r="488" spans="2:14">
      <c r="B488" s="513" t="s">
        <v>247</v>
      </c>
      <c r="C488" s="658">
        <v>2012</v>
      </c>
      <c r="D488" s="513">
        <v>31690.518125712682</v>
      </c>
      <c r="E488" s="513">
        <v>4408.4029230931483</v>
      </c>
      <c r="F488" s="513">
        <v>4408.4029230931483</v>
      </c>
      <c r="G488" s="512">
        <v>0</v>
      </c>
      <c r="H488" s="512">
        <v>0</v>
      </c>
      <c r="I488" s="659" t="s">
        <v>103</v>
      </c>
      <c r="J488" s="513">
        <v>0</v>
      </c>
      <c r="K488" s="513">
        <v>0</v>
      </c>
      <c r="L488" s="513">
        <v>0</v>
      </c>
      <c r="M488" s="513">
        <v>36098.921048805831</v>
      </c>
      <c r="N488" s="622"/>
    </row>
    <row r="489" spans="2:14">
      <c r="B489" s="513" t="s">
        <v>247</v>
      </c>
      <c r="C489" s="658">
        <v>2013</v>
      </c>
      <c r="D489" s="513">
        <v>36098.921048805831</v>
      </c>
      <c r="E489" s="513">
        <v>6498.7165789081882</v>
      </c>
      <c r="F489" s="513">
        <v>6498.7165789081882</v>
      </c>
      <c r="G489" s="512">
        <v>0</v>
      </c>
      <c r="H489" s="512">
        <v>0</v>
      </c>
      <c r="I489" s="659" t="s">
        <v>103</v>
      </c>
      <c r="J489" s="513">
        <v>0</v>
      </c>
      <c r="K489" s="513">
        <v>0</v>
      </c>
      <c r="L489" s="513">
        <v>0</v>
      </c>
      <c r="M489" s="513">
        <v>42597.637627714023</v>
      </c>
      <c r="N489" s="622"/>
    </row>
    <row r="490" spans="2:14">
      <c r="B490" s="513" t="s">
        <v>247</v>
      </c>
      <c r="C490" s="658">
        <v>2014</v>
      </c>
      <c r="D490" s="513">
        <v>42597.637627714023</v>
      </c>
      <c r="E490" s="513">
        <v>6740.8566895326803</v>
      </c>
      <c r="F490" s="513">
        <v>6740.8566895326803</v>
      </c>
      <c r="G490" s="512">
        <v>0</v>
      </c>
      <c r="H490" s="512">
        <v>0</v>
      </c>
      <c r="I490" s="659" t="s">
        <v>103</v>
      </c>
      <c r="J490" s="513">
        <v>0</v>
      </c>
      <c r="K490" s="513">
        <v>0</v>
      </c>
      <c r="L490" s="513">
        <v>0</v>
      </c>
      <c r="M490" s="513">
        <v>49338.494317246703</v>
      </c>
      <c r="N490" s="622"/>
    </row>
    <row r="491" spans="2:14">
      <c r="B491" s="513" t="s">
        <v>247</v>
      </c>
      <c r="C491" s="658">
        <v>2015</v>
      </c>
      <c r="D491" s="513">
        <v>49338.494317246703</v>
      </c>
      <c r="E491" s="513">
        <v>6839.054217660625</v>
      </c>
      <c r="F491" s="513">
        <v>6839.054217660625</v>
      </c>
      <c r="G491" s="512">
        <v>0</v>
      </c>
      <c r="H491" s="660">
        <v>0</v>
      </c>
      <c r="I491" s="659" t="s">
        <v>103</v>
      </c>
      <c r="J491" s="513">
        <v>0</v>
      </c>
      <c r="K491" s="513">
        <v>0</v>
      </c>
      <c r="L491" s="513">
        <v>0</v>
      </c>
      <c r="M491" s="513">
        <v>56177.548534907328</v>
      </c>
      <c r="N491" s="622"/>
    </row>
    <row r="492" spans="2:14">
      <c r="B492" s="513" t="s">
        <v>247</v>
      </c>
      <c r="C492" s="658">
        <v>2016</v>
      </c>
      <c r="D492" s="513">
        <v>56177.548534907328</v>
      </c>
      <c r="E492" s="513">
        <v>5035.5764206507647</v>
      </c>
      <c r="F492" s="513">
        <v>5035.5764206507647</v>
      </c>
      <c r="G492" s="660">
        <v>0</v>
      </c>
      <c r="H492" s="660">
        <v>0</v>
      </c>
      <c r="I492" s="659" t="s">
        <v>103</v>
      </c>
      <c r="J492" s="513">
        <v>0</v>
      </c>
      <c r="K492" s="513">
        <v>0</v>
      </c>
      <c r="L492" s="513">
        <v>0</v>
      </c>
      <c r="M492" s="513">
        <v>61213.124955558094</v>
      </c>
      <c r="N492" s="622"/>
    </row>
    <row r="493" spans="2:14">
      <c r="B493" s="513" t="s">
        <v>247</v>
      </c>
      <c r="C493" s="658">
        <v>2017</v>
      </c>
      <c r="D493" s="513">
        <v>61213.124955558094</v>
      </c>
      <c r="E493" s="513">
        <v>4687.8542501597267</v>
      </c>
      <c r="F493" s="513">
        <v>4687.8542501597267</v>
      </c>
      <c r="G493" s="513">
        <v>0</v>
      </c>
      <c r="H493" s="513">
        <v>0</v>
      </c>
      <c r="I493" s="659" t="s">
        <v>103</v>
      </c>
      <c r="J493" s="513">
        <v>0</v>
      </c>
      <c r="K493" s="513">
        <v>0</v>
      </c>
      <c r="L493" s="513">
        <v>0</v>
      </c>
      <c r="M493" s="513">
        <v>65900.979205717827</v>
      </c>
      <c r="N493" s="622"/>
    </row>
    <row r="494" spans="2:14">
      <c r="B494" s="513" t="s">
        <v>247</v>
      </c>
      <c r="C494" s="889">
        <v>2018</v>
      </c>
      <c r="D494" s="513">
        <v>65900.979205717827</v>
      </c>
      <c r="E494" s="513">
        <f>VLOOKUP(B494,'[6]2018 allocation'!$A$11:$B$218,2, FALSE)</f>
        <v>4988.3652825529407</v>
      </c>
      <c r="F494" s="513">
        <f>E494</f>
        <v>4988.3652825529407</v>
      </c>
      <c r="G494" s="513">
        <v>0</v>
      </c>
      <c r="H494" s="513">
        <v>0</v>
      </c>
      <c r="I494" s="622" t="s">
        <v>103</v>
      </c>
      <c r="J494" s="513">
        <f>VLOOKUP(B494,'[6]Annual Spending Worksheet '!$C$6:$AG$250,28,FALSE)</f>
        <v>0</v>
      </c>
      <c r="K494" s="513">
        <f>VLOOKUP(B494,'[6]Annual Spending Worksheet '!$C$6:$AG$250,29,FALSE)</f>
        <v>0</v>
      </c>
      <c r="L494" s="513">
        <v>0</v>
      </c>
      <c r="M494" s="513">
        <f>D494+E494+H494-J494</f>
        <v>70889.34448827077</v>
      </c>
      <c r="N494" s="513"/>
    </row>
    <row r="495" spans="2:14">
      <c r="B495" s="513" t="s">
        <v>247</v>
      </c>
      <c r="C495" s="889">
        <v>2019</v>
      </c>
      <c r="D495" s="513">
        <v>70889.34448827077</v>
      </c>
      <c r="E495" s="513">
        <v>5305.8812897524158</v>
      </c>
      <c r="F495" s="513">
        <v>5305.8812897524158</v>
      </c>
      <c r="G495" s="513">
        <v>0</v>
      </c>
      <c r="H495" s="513">
        <v>0</v>
      </c>
      <c r="I495" s="622" t="s">
        <v>103</v>
      </c>
      <c r="J495" s="513">
        <v>0</v>
      </c>
      <c r="K495" s="513">
        <v>0</v>
      </c>
      <c r="L495" s="513">
        <v>0</v>
      </c>
      <c r="M495" s="513">
        <v>76195.225778023188</v>
      </c>
      <c r="N495" s="513"/>
    </row>
    <row r="496" spans="2:14" ht="29.1">
      <c r="B496" s="513" t="s">
        <v>248</v>
      </c>
      <c r="C496" s="658">
        <v>2008</v>
      </c>
      <c r="D496" s="513">
        <v>-938779.13300000131</v>
      </c>
      <c r="E496" s="512">
        <v>205560.81315231431</v>
      </c>
      <c r="F496" s="513">
        <v>205560.81315231431</v>
      </c>
      <c r="G496" s="512">
        <v>-733218.31984768703</v>
      </c>
      <c r="H496" s="512">
        <v>0</v>
      </c>
      <c r="I496" s="659" t="s">
        <v>103</v>
      </c>
      <c r="J496" s="513">
        <v>0</v>
      </c>
      <c r="K496" s="513">
        <v>0</v>
      </c>
      <c r="L496" s="513">
        <v>0</v>
      </c>
      <c r="M496" s="513">
        <v>-733218.31984768703</v>
      </c>
      <c r="N496" s="622" t="s">
        <v>1711</v>
      </c>
    </row>
    <row r="497" spans="2:14" ht="29.1">
      <c r="B497" s="513" t="s">
        <v>248</v>
      </c>
      <c r="C497" s="658">
        <v>2009</v>
      </c>
      <c r="D497" s="513">
        <v>-733218.31984768715</v>
      </c>
      <c r="E497" s="512">
        <v>167581.97119721159</v>
      </c>
      <c r="F497" s="513">
        <v>167581.97119721159</v>
      </c>
      <c r="G497" s="512">
        <v>-565636.3486504755</v>
      </c>
      <c r="H497" s="512">
        <v>0</v>
      </c>
      <c r="I497" s="659" t="s">
        <v>103</v>
      </c>
      <c r="J497" s="513">
        <v>0</v>
      </c>
      <c r="K497" s="513">
        <v>0</v>
      </c>
      <c r="L497" s="513">
        <v>0</v>
      </c>
      <c r="M497" s="513">
        <v>-565636.3486504755</v>
      </c>
      <c r="N497" s="622" t="s">
        <v>1711</v>
      </c>
    </row>
    <row r="498" spans="2:14" ht="29.1">
      <c r="B498" s="513" t="s">
        <v>248</v>
      </c>
      <c r="C498" s="658">
        <v>2010</v>
      </c>
      <c r="D498" s="513">
        <v>-565636.34865047596</v>
      </c>
      <c r="E498" s="512">
        <v>167330.35999999999</v>
      </c>
      <c r="F498" s="513">
        <v>167330.35999999999</v>
      </c>
      <c r="G498" s="512">
        <v>-398305.98865047598</v>
      </c>
      <c r="H498" s="512">
        <v>0</v>
      </c>
      <c r="I498" s="659" t="s">
        <v>103</v>
      </c>
      <c r="J498" s="513">
        <v>0</v>
      </c>
      <c r="K498" s="513">
        <v>0</v>
      </c>
      <c r="L498" s="513">
        <v>0</v>
      </c>
      <c r="M498" s="513">
        <v>-398305.98865047598</v>
      </c>
      <c r="N498" s="622" t="s">
        <v>1711</v>
      </c>
    </row>
    <row r="499" spans="2:14" ht="29.1">
      <c r="B499" s="513" t="s">
        <v>248</v>
      </c>
      <c r="C499" s="658">
        <v>2011</v>
      </c>
      <c r="D499" s="513">
        <v>-398305.98629305046</v>
      </c>
      <c r="E499" s="512">
        <v>170102.82305863543</v>
      </c>
      <c r="F499" s="513">
        <v>170102.82305863543</v>
      </c>
      <c r="G499" s="512">
        <v>-228203.16323441503</v>
      </c>
      <c r="H499" s="512">
        <v>0</v>
      </c>
      <c r="I499" s="659" t="s">
        <v>103</v>
      </c>
      <c r="J499" s="513">
        <v>0</v>
      </c>
      <c r="K499" s="513">
        <v>0</v>
      </c>
      <c r="L499" s="513">
        <v>0</v>
      </c>
      <c r="M499" s="513">
        <v>-228203.16323441503</v>
      </c>
      <c r="N499" s="622" t="s">
        <v>1711</v>
      </c>
    </row>
    <row r="500" spans="2:14" ht="29.1">
      <c r="B500" s="513" t="s">
        <v>248</v>
      </c>
      <c r="C500" s="658">
        <v>2012</v>
      </c>
      <c r="D500" s="513">
        <v>-228203.16323441546</v>
      </c>
      <c r="E500" s="513">
        <v>124783.60948971362</v>
      </c>
      <c r="F500" s="513">
        <v>124783.60948971362</v>
      </c>
      <c r="G500" s="512">
        <v>-103419.55374470184</v>
      </c>
      <c r="H500" s="512">
        <v>0</v>
      </c>
      <c r="I500" s="659" t="s">
        <v>103</v>
      </c>
      <c r="J500" s="513">
        <v>0</v>
      </c>
      <c r="K500" s="513">
        <v>0</v>
      </c>
      <c r="L500" s="513">
        <v>0</v>
      </c>
      <c r="M500" s="513">
        <v>-103419.55374470184</v>
      </c>
      <c r="N500" s="622" t="s">
        <v>1711</v>
      </c>
    </row>
    <row r="501" spans="2:14">
      <c r="B501" s="513" t="s">
        <v>248</v>
      </c>
      <c r="C501" s="658">
        <v>2013</v>
      </c>
      <c r="D501" s="513">
        <v>-103419.55374470167</v>
      </c>
      <c r="E501" s="513">
        <v>187378.05991224785</v>
      </c>
      <c r="F501" s="513">
        <v>187378.05991224785</v>
      </c>
      <c r="G501" s="512">
        <v>0</v>
      </c>
      <c r="H501" s="512">
        <v>0</v>
      </c>
      <c r="I501" s="659" t="s">
        <v>103</v>
      </c>
      <c r="J501" s="513">
        <v>0</v>
      </c>
      <c r="K501" s="513">
        <v>0</v>
      </c>
      <c r="L501" s="513">
        <v>0</v>
      </c>
      <c r="M501" s="513">
        <v>83958.506167546177</v>
      </c>
      <c r="N501" s="622"/>
    </row>
    <row r="502" spans="2:14">
      <c r="B502" s="513" t="s">
        <v>248</v>
      </c>
      <c r="C502" s="658">
        <v>2014</v>
      </c>
      <c r="D502" s="513">
        <v>83958.506167545915</v>
      </c>
      <c r="E502" s="513">
        <v>194672.69771008368</v>
      </c>
      <c r="F502" s="513">
        <v>194672.69771008368</v>
      </c>
      <c r="G502" s="512">
        <v>0</v>
      </c>
      <c r="H502" s="512">
        <v>0</v>
      </c>
      <c r="I502" s="659" t="s">
        <v>103</v>
      </c>
      <c r="J502" s="513">
        <v>0</v>
      </c>
      <c r="K502" s="513">
        <v>0</v>
      </c>
      <c r="L502" s="513">
        <v>0</v>
      </c>
      <c r="M502" s="513">
        <v>278631.2038776296</v>
      </c>
      <c r="N502" s="622"/>
    </row>
    <row r="503" spans="2:14">
      <c r="B503" s="513" t="s">
        <v>248</v>
      </c>
      <c r="C503" s="658">
        <v>2015</v>
      </c>
      <c r="D503" s="513">
        <v>278631.20387762971</v>
      </c>
      <c r="E503" s="513">
        <v>197647.80099852904</v>
      </c>
      <c r="F503" s="513">
        <v>197647.80099852904</v>
      </c>
      <c r="G503" s="512">
        <v>0</v>
      </c>
      <c r="H503" s="660">
        <v>200000</v>
      </c>
      <c r="I503" s="659" t="s">
        <v>1723</v>
      </c>
      <c r="J503" s="513">
        <v>42624.74</v>
      </c>
      <c r="K503" s="513">
        <v>0</v>
      </c>
      <c r="L503" s="513">
        <v>0</v>
      </c>
      <c r="M503" s="513">
        <v>633654.26487615879</v>
      </c>
      <c r="N503" s="622"/>
    </row>
    <row r="504" spans="2:14">
      <c r="B504" s="513" t="s">
        <v>248</v>
      </c>
      <c r="C504" s="658">
        <v>2016</v>
      </c>
      <c r="D504" s="513">
        <v>633654.26487615891</v>
      </c>
      <c r="E504" s="513">
        <v>143181.44613613657</v>
      </c>
      <c r="F504" s="513">
        <v>143181.44613613657</v>
      </c>
      <c r="G504" s="660">
        <v>0</v>
      </c>
      <c r="H504" s="660">
        <v>0</v>
      </c>
      <c r="I504" s="659" t="s">
        <v>103</v>
      </c>
      <c r="J504" s="513">
        <v>56146.78</v>
      </c>
      <c r="K504" s="513">
        <v>0</v>
      </c>
      <c r="L504" s="513">
        <v>0</v>
      </c>
      <c r="M504" s="513">
        <v>720688.93101229542</v>
      </c>
      <c r="N504" s="622"/>
    </row>
    <row r="505" spans="2:14">
      <c r="B505" s="513" t="s">
        <v>248</v>
      </c>
      <c r="C505" s="658">
        <v>2017</v>
      </c>
      <c r="D505" s="513">
        <v>720688.93101229612</v>
      </c>
      <c r="E505" s="513">
        <v>132416.00376036123</v>
      </c>
      <c r="F505" s="513">
        <v>132416.00376036123</v>
      </c>
      <c r="G505" s="513">
        <v>0</v>
      </c>
      <c r="H505" s="513">
        <v>0</v>
      </c>
      <c r="I505" s="659" t="s">
        <v>103</v>
      </c>
      <c r="J505" s="513">
        <v>9638.6299999999992</v>
      </c>
      <c r="K505" s="513">
        <v>0</v>
      </c>
      <c r="L505" s="513">
        <v>0</v>
      </c>
      <c r="M505" s="513">
        <v>843466.30477265734</v>
      </c>
      <c r="N505" s="622"/>
    </row>
    <row r="506" spans="2:14">
      <c r="B506" s="513" t="s">
        <v>248</v>
      </c>
      <c r="C506" s="889">
        <v>2018</v>
      </c>
      <c r="D506" s="513">
        <v>843466.30477265734</v>
      </c>
      <c r="E506" s="513">
        <f>VLOOKUP(B506,'[6]2018 allocation'!$A$11:$B$218,2, FALSE)</f>
        <v>141427.07441804046</v>
      </c>
      <c r="F506" s="513">
        <f>E506</f>
        <v>141427.07441804046</v>
      </c>
      <c r="G506" s="513">
        <v>0</v>
      </c>
      <c r="H506" s="513">
        <v>0</v>
      </c>
      <c r="I506" s="622" t="s">
        <v>103</v>
      </c>
      <c r="J506" s="513">
        <f>VLOOKUP(B506,'[6]Annual Spending Worksheet '!$C$6:$AG$250,28,FALSE)</f>
        <v>45660.14</v>
      </c>
      <c r="K506" s="513">
        <f>VLOOKUP(B506,'[6]Annual Spending Worksheet '!$C$6:$AG$250,29,FALSE)</f>
        <v>0</v>
      </c>
      <c r="L506" s="513">
        <v>0</v>
      </c>
      <c r="M506" s="513">
        <f>D506+E506+H506-J506</f>
        <v>939233.23919069779</v>
      </c>
      <c r="N506" s="513"/>
    </row>
    <row r="507" spans="2:14">
      <c r="B507" s="513" t="s">
        <v>248</v>
      </c>
      <c r="C507" s="889">
        <v>2019</v>
      </c>
      <c r="D507" s="513">
        <v>939233.23919069779</v>
      </c>
      <c r="E507" s="513">
        <v>151002.8394745267</v>
      </c>
      <c r="F507" s="513">
        <v>151002.8394745267</v>
      </c>
      <c r="G507" s="513">
        <v>0</v>
      </c>
      <c r="H507" s="513">
        <v>0</v>
      </c>
      <c r="I507" s="622" t="s">
        <v>103</v>
      </c>
      <c r="J507" s="513">
        <v>1012336.69</v>
      </c>
      <c r="K507" s="513">
        <v>1166406.98</v>
      </c>
      <c r="L507" s="513">
        <v>0</v>
      </c>
      <c r="M507" s="513">
        <v>77899.388665224425</v>
      </c>
      <c r="N507" s="513"/>
    </row>
    <row r="508" spans="2:14">
      <c r="B508" s="513" t="s">
        <v>259</v>
      </c>
      <c r="C508" s="658">
        <v>2008</v>
      </c>
      <c r="D508" s="513">
        <v>488061.17499999999</v>
      </c>
      <c r="E508" s="512">
        <v>43736.840166779708</v>
      </c>
      <c r="F508" s="513">
        <v>43736.840166779708</v>
      </c>
      <c r="G508" s="512">
        <v>0</v>
      </c>
      <c r="H508" s="512">
        <v>0</v>
      </c>
      <c r="I508" s="659" t="s">
        <v>103</v>
      </c>
      <c r="J508" s="513">
        <v>0</v>
      </c>
      <c r="K508" s="513">
        <v>0</v>
      </c>
      <c r="L508" s="513">
        <v>0</v>
      </c>
      <c r="M508" s="513">
        <v>531798.01516677975</v>
      </c>
      <c r="N508" s="622"/>
    </row>
    <row r="509" spans="2:14">
      <c r="B509" s="513" t="s">
        <v>259</v>
      </c>
      <c r="C509" s="658">
        <v>2009</v>
      </c>
      <c r="D509" s="513">
        <v>531798.01516677975</v>
      </c>
      <c r="E509" s="512">
        <v>35993.990870520982</v>
      </c>
      <c r="F509" s="513">
        <v>35993.990870520982</v>
      </c>
      <c r="G509" s="512">
        <v>0</v>
      </c>
      <c r="H509" s="512">
        <v>0</v>
      </c>
      <c r="I509" s="659" t="s">
        <v>103</v>
      </c>
      <c r="J509" s="513">
        <v>0</v>
      </c>
      <c r="K509" s="513">
        <v>0</v>
      </c>
      <c r="L509" s="513">
        <v>0</v>
      </c>
      <c r="M509" s="513">
        <v>567792.00603730069</v>
      </c>
      <c r="N509" s="622"/>
    </row>
    <row r="510" spans="2:14">
      <c r="B510" s="513" t="s">
        <v>259</v>
      </c>
      <c r="C510" s="658">
        <v>2010</v>
      </c>
      <c r="D510" s="513">
        <v>567792.00603730069</v>
      </c>
      <c r="E510" s="512">
        <v>35958.6</v>
      </c>
      <c r="F510" s="513">
        <v>35958.6</v>
      </c>
      <c r="G510" s="512">
        <v>0</v>
      </c>
      <c r="H510" s="512">
        <v>0</v>
      </c>
      <c r="I510" s="659" t="s">
        <v>103</v>
      </c>
      <c r="J510" s="513">
        <v>0</v>
      </c>
      <c r="K510" s="513">
        <v>0</v>
      </c>
      <c r="L510" s="513">
        <v>0</v>
      </c>
      <c r="M510" s="513">
        <v>603750.60603730066</v>
      </c>
      <c r="N510" s="622"/>
    </row>
    <row r="511" spans="2:14">
      <c r="B511" s="513" t="s">
        <v>259</v>
      </c>
      <c r="C511" s="658">
        <v>2011</v>
      </c>
      <c r="D511" s="513">
        <v>603750.60993495048</v>
      </c>
      <c r="E511" s="512">
        <v>36507.371436353191</v>
      </c>
      <c r="F511" s="513">
        <v>36507.371436353191</v>
      </c>
      <c r="G511" s="512">
        <v>0</v>
      </c>
      <c r="H511" s="512">
        <v>0</v>
      </c>
      <c r="I511" s="659" t="s">
        <v>103</v>
      </c>
      <c r="J511" s="513">
        <v>0</v>
      </c>
      <c r="K511" s="513">
        <v>0</v>
      </c>
      <c r="L511" s="513">
        <v>0</v>
      </c>
      <c r="M511" s="513">
        <v>640257.98137130367</v>
      </c>
      <c r="N511" s="622"/>
    </row>
    <row r="512" spans="2:14">
      <c r="B512" s="513" t="s">
        <v>259</v>
      </c>
      <c r="C512" s="658">
        <v>2012</v>
      </c>
      <c r="D512" s="513">
        <v>640257.98137130379</v>
      </c>
      <c r="E512" s="512">
        <v>27260.598625969513</v>
      </c>
      <c r="F512" s="513">
        <v>27260.598625969513</v>
      </c>
      <c r="G512" s="512">
        <v>0</v>
      </c>
      <c r="H512" s="512">
        <v>0</v>
      </c>
      <c r="I512" s="659" t="s">
        <v>103</v>
      </c>
      <c r="J512" s="513">
        <v>0</v>
      </c>
      <c r="K512" s="513">
        <v>0</v>
      </c>
      <c r="L512" s="513">
        <v>0</v>
      </c>
      <c r="M512" s="513">
        <v>667518.57999727328</v>
      </c>
      <c r="N512" s="622"/>
    </row>
    <row r="513" spans="2:14">
      <c r="B513" s="513" t="s">
        <v>259</v>
      </c>
      <c r="C513" s="658">
        <v>2013</v>
      </c>
      <c r="D513" s="513">
        <v>667518.57999727339</v>
      </c>
      <c r="E513" s="513">
        <v>40020.529093244244</v>
      </c>
      <c r="F513" s="513">
        <v>40020.529093244244</v>
      </c>
      <c r="G513" s="512">
        <v>0</v>
      </c>
      <c r="H513" s="512">
        <v>0</v>
      </c>
      <c r="I513" s="659" t="s">
        <v>103</v>
      </c>
      <c r="J513" s="513">
        <v>0</v>
      </c>
      <c r="K513" s="513">
        <v>0</v>
      </c>
      <c r="L513" s="513">
        <v>0</v>
      </c>
      <c r="M513" s="513">
        <v>707539.10909051762</v>
      </c>
      <c r="N513" s="622"/>
    </row>
    <row r="514" spans="2:14">
      <c r="B514" s="513" t="s">
        <v>259</v>
      </c>
      <c r="C514" s="658">
        <v>2014</v>
      </c>
      <c r="D514" s="513">
        <v>707539.10909051774</v>
      </c>
      <c r="E514" s="513">
        <v>41498.349528957689</v>
      </c>
      <c r="F514" s="513">
        <v>41498.349528957689</v>
      </c>
      <c r="G514" s="512">
        <v>0</v>
      </c>
      <c r="H514" s="512">
        <v>0</v>
      </c>
      <c r="I514" s="659" t="s">
        <v>103</v>
      </c>
      <c r="J514" s="513">
        <v>0</v>
      </c>
      <c r="K514" s="513">
        <v>0</v>
      </c>
      <c r="L514" s="513">
        <v>0</v>
      </c>
      <c r="M514" s="513">
        <v>749037.45861947548</v>
      </c>
      <c r="N514" s="622"/>
    </row>
    <row r="515" spans="2:14">
      <c r="B515" s="513" t="s">
        <v>259</v>
      </c>
      <c r="C515" s="658">
        <v>2015</v>
      </c>
      <c r="D515" s="513">
        <v>749037.45861947536</v>
      </c>
      <c r="E515" s="513">
        <v>42095.928081053913</v>
      </c>
      <c r="F515" s="513">
        <v>42095.928081053913</v>
      </c>
      <c r="G515" s="512">
        <v>0</v>
      </c>
      <c r="H515" s="512">
        <v>0</v>
      </c>
      <c r="I515" s="659" t="s">
        <v>103</v>
      </c>
      <c r="J515" s="513">
        <v>0</v>
      </c>
      <c r="K515" s="513">
        <v>0</v>
      </c>
      <c r="L515" s="513">
        <v>0</v>
      </c>
      <c r="M515" s="513">
        <v>791133.38670052926</v>
      </c>
      <c r="N515" s="622"/>
    </row>
    <row r="516" spans="2:14">
      <c r="B516" s="513" t="s">
        <v>259</v>
      </c>
      <c r="C516" s="658">
        <v>2016</v>
      </c>
      <c r="D516" s="513">
        <v>791133.38670052937</v>
      </c>
      <c r="E516" s="513">
        <v>31088.636806031936</v>
      </c>
      <c r="F516" s="513">
        <v>31088.636806031936</v>
      </c>
      <c r="G516" s="512">
        <v>0</v>
      </c>
      <c r="H516" s="660">
        <v>0</v>
      </c>
      <c r="I516" s="659" t="s">
        <v>103</v>
      </c>
      <c r="J516" s="513">
        <v>0</v>
      </c>
      <c r="K516" s="513">
        <v>0</v>
      </c>
      <c r="L516" s="513">
        <v>0</v>
      </c>
      <c r="M516" s="513">
        <v>822222.02350656129</v>
      </c>
      <c r="N516" s="622"/>
    </row>
    <row r="517" spans="2:14">
      <c r="B517" s="513" t="s">
        <v>259</v>
      </c>
      <c r="C517" s="658">
        <v>2017</v>
      </c>
      <c r="D517" s="513">
        <v>822222.02350656129</v>
      </c>
      <c r="E517" s="513">
        <v>28871.934949673272</v>
      </c>
      <c r="F517" s="513">
        <v>28871.934949673272</v>
      </c>
      <c r="G517" s="660">
        <v>0</v>
      </c>
      <c r="H517" s="660">
        <v>0</v>
      </c>
      <c r="I517" s="659" t="s">
        <v>103</v>
      </c>
      <c r="J517" s="513">
        <v>0</v>
      </c>
      <c r="K517" s="513">
        <v>0</v>
      </c>
      <c r="L517" s="513">
        <v>0</v>
      </c>
      <c r="M517" s="513">
        <v>851093.95845623454</v>
      </c>
      <c r="N517" s="622"/>
    </row>
    <row r="518" spans="2:14">
      <c r="B518" s="513" t="s">
        <v>259</v>
      </c>
      <c r="C518" s="889">
        <v>2018</v>
      </c>
      <c r="D518" s="513">
        <v>851093.95845623454</v>
      </c>
      <c r="E518" s="513">
        <f>VLOOKUP(B518,'[6]2018 allocation'!$A$11:$B$218,2, FALSE)</f>
        <v>30727.605507373548</v>
      </c>
      <c r="F518" s="513">
        <f>E518</f>
        <v>30727.605507373548</v>
      </c>
      <c r="G518" s="513">
        <v>0</v>
      </c>
      <c r="H518" s="513">
        <v>0</v>
      </c>
      <c r="I518" s="622" t="s">
        <v>103</v>
      </c>
      <c r="J518" s="513">
        <f>VLOOKUP(B518,'[6]Annual Spending Worksheet '!$C$6:$AG$250,28,FALSE)</f>
        <v>0</v>
      </c>
      <c r="K518" s="513">
        <f>VLOOKUP(B518,'[6]Annual Spending Worksheet '!$C$6:$AG$250,29,FALSE)</f>
        <v>0</v>
      </c>
      <c r="L518" s="513">
        <v>0</v>
      </c>
      <c r="M518" s="513">
        <f>D518+E518+H518-J518</f>
        <v>881821.56396360812</v>
      </c>
      <c r="N518" s="513"/>
    </row>
    <row r="519" spans="2:14">
      <c r="B519" s="513" t="s">
        <v>259</v>
      </c>
      <c r="C519" s="889">
        <v>2019</v>
      </c>
      <c r="D519" s="513">
        <v>881821.56396360812</v>
      </c>
      <c r="E519" s="513">
        <v>32691.906056777771</v>
      </c>
      <c r="F519" s="513">
        <v>32691.906056777771</v>
      </c>
      <c r="G519" s="513">
        <v>0</v>
      </c>
      <c r="H519" s="513">
        <v>0</v>
      </c>
      <c r="I519" s="622" t="s">
        <v>103</v>
      </c>
      <c r="J519" s="513">
        <v>0</v>
      </c>
      <c r="K519" s="513">
        <v>0</v>
      </c>
      <c r="L519" s="513">
        <v>0</v>
      </c>
      <c r="M519" s="513">
        <v>914513.47002038592</v>
      </c>
      <c r="N519" s="513"/>
    </row>
    <row r="520" spans="2:14">
      <c r="B520" s="513" t="s">
        <v>260</v>
      </c>
      <c r="C520" s="658">
        <v>2008</v>
      </c>
      <c r="D520" s="513">
        <v>2760823.41</v>
      </c>
      <c r="E520" s="512">
        <v>350095.04359385959</v>
      </c>
      <c r="F520" s="513">
        <v>350095.04359385959</v>
      </c>
      <c r="G520" s="512">
        <v>0</v>
      </c>
      <c r="H520" s="512">
        <v>0</v>
      </c>
      <c r="I520" s="659" t="s">
        <v>103</v>
      </c>
      <c r="J520" s="513">
        <v>549587</v>
      </c>
      <c r="K520" s="513">
        <v>0</v>
      </c>
      <c r="L520" s="513">
        <v>0</v>
      </c>
      <c r="M520" s="513">
        <v>2561331.4535938599</v>
      </c>
      <c r="N520" s="622"/>
    </row>
    <row r="521" spans="2:14" ht="29.1">
      <c r="B521" s="513" t="s">
        <v>260</v>
      </c>
      <c r="C521" s="658">
        <v>2009</v>
      </c>
      <c r="D521" s="513">
        <v>2561331.5535938591</v>
      </c>
      <c r="E521" s="512">
        <v>286615.2814702813</v>
      </c>
      <c r="F521" s="513">
        <v>286615.2814702813</v>
      </c>
      <c r="G521" s="512">
        <v>0</v>
      </c>
      <c r="H521" s="512">
        <v>0</v>
      </c>
      <c r="I521" s="659" t="s">
        <v>103</v>
      </c>
      <c r="J521" s="513">
        <v>3327879.0800000005</v>
      </c>
      <c r="K521" s="513">
        <v>0</v>
      </c>
      <c r="L521" s="513">
        <v>136</v>
      </c>
      <c r="M521" s="513">
        <v>-479796.24493586039</v>
      </c>
      <c r="N521" s="622" t="s">
        <v>1724</v>
      </c>
    </row>
    <row r="522" spans="2:14" ht="29.1">
      <c r="B522" s="513" t="s">
        <v>260</v>
      </c>
      <c r="C522" s="658">
        <v>2010</v>
      </c>
      <c r="D522" s="513">
        <v>-479796.08493586071</v>
      </c>
      <c r="E522" s="512">
        <v>286201.3</v>
      </c>
      <c r="F522" s="513">
        <v>286201.3</v>
      </c>
      <c r="G522" s="512">
        <v>-193594.78493586072</v>
      </c>
      <c r="H522" s="512">
        <v>0</v>
      </c>
      <c r="I522" s="659" t="s">
        <v>103</v>
      </c>
      <c r="J522" s="513">
        <v>1061487.5</v>
      </c>
      <c r="K522" s="513">
        <v>4927524</v>
      </c>
      <c r="L522" s="513">
        <v>-3994</v>
      </c>
      <c r="M522" s="513">
        <v>-1251088.2849358607</v>
      </c>
      <c r="N522" s="622" t="s">
        <v>1724</v>
      </c>
    </row>
    <row r="523" spans="2:14" ht="29.1">
      <c r="B523" s="513" t="s">
        <v>260</v>
      </c>
      <c r="C523" s="658">
        <v>2011</v>
      </c>
      <c r="D523" s="513">
        <v>-1251088.0797896329</v>
      </c>
      <c r="E523" s="512">
        <v>291145.37278490688</v>
      </c>
      <c r="F523" s="513">
        <v>291145.37278490688</v>
      </c>
      <c r="G523" s="512">
        <v>-959942.70700472605</v>
      </c>
      <c r="H523" s="512">
        <v>0</v>
      </c>
      <c r="I523" s="659" t="s">
        <v>103</v>
      </c>
      <c r="J523" s="513">
        <v>-100323.37999999999</v>
      </c>
      <c r="K523" s="513">
        <v>0</v>
      </c>
      <c r="L523" s="513">
        <v>0</v>
      </c>
      <c r="M523" s="513">
        <v>-859619.32700472604</v>
      </c>
      <c r="N523" s="622" t="s">
        <v>1724</v>
      </c>
    </row>
    <row r="524" spans="2:14" ht="29.1">
      <c r="B524" s="513" t="s">
        <v>260</v>
      </c>
      <c r="C524" s="658">
        <v>2012</v>
      </c>
      <c r="D524" s="513">
        <v>-859619.32700472511</v>
      </c>
      <c r="E524" s="512">
        <v>216692.06800395201</v>
      </c>
      <c r="F524" s="513">
        <v>216692.06800395201</v>
      </c>
      <c r="G524" s="660">
        <v>-642927.25900077308</v>
      </c>
      <c r="H524" s="512">
        <v>0</v>
      </c>
      <c r="I524" s="659" t="s">
        <v>103</v>
      </c>
      <c r="J524" s="513">
        <v>-29545.51999999999</v>
      </c>
      <c r="K524" s="513">
        <v>0</v>
      </c>
      <c r="L524" s="513">
        <v>112028.77</v>
      </c>
      <c r="M524" s="513">
        <v>-725410.50900077308</v>
      </c>
      <c r="N524" s="622" t="s">
        <v>1724</v>
      </c>
    </row>
    <row r="525" spans="2:14" ht="29.1">
      <c r="B525" s="513" t="s">
        <v>260</v>
      </c>
      <c r="C525" s="658">
        <v>2013</v>
      </c>
      <c r="D525" s="513">
        <v>-725410.50900077261</v>
      </c>
      <c r="E525" s="513">
        <v>319496.18058028066</v>
      </c>
      <c r="F525" s="513">
        <v>319496.18058028066</v>
      </c>
      <c r="G525" s="660">
        <v>-405914.32842049195</v>
      </c>
      <c r="H525" s="512">
        <v>0</v>
      </c>
      <c r="I525" s="659" t="s">
        <v>103</v>
      </c>
      <c r="J525" s="513">
        <v>0</v>
      </c>
      <c r="K525" s="513">
        <v>0</v>
      </c>
      <c r="L525" s="513">
        <v>0</v>
      </c>
      <c r="M525" s="513">
        <v>-405914.32842049195</v>
      </c>
      <c r="N525" s="622" t="s">
        <v>1725</v>
      </c>
    </row>
    <row r="526" spans="2:14" ht="29.1">
      <c r="B526" s="513" t="s">
        <v>260</v>
      </c>
      <c r="C526" s="658">
        <v>2014</v>
      </c>
      <c r="D526" s="513">
        <v>-405914.32842049189</v>
      </c>
      <c r="E526" s="513">
        <v>331515.98727474362</v>
      </c>
      <c r="F526" s="513">
        <v>331515.98727474362</v>
      </c>
      <c r="G526" s="660">
        <v>-74398.341145748273</v>
      </c>
      <c r="H526" s="512">
        <v>0</v>
      </c>
      <c r="I526" s="659" t="s">
        <v>103</v>
      </c>
      <c r="J526" s="513">
        <v>0</v>
      </c>
      <c r="K526" s="513">
        <v>0</v>
      </c>
      <c r="L526" s="513">
        <v>0</v>
      </c>
      <c r="M526" s="513">
        <v>-74398.341145748273</v>
      </c>
      <c r="N526" s="622" t="s">
        <v>1725</v>
      </c>
    </row>
    <row r="527" spans="2:14">
      <c r="B527" s="513" t="s">
        <v>260</v>
      </c>
      <c r="C527" s="658">
        <v>2015</v>
      </c>
      <c r="D527" s="513">
        <v>-74398.341145748273</v>
      </c>
      <c r="E527" s="513">
        <v>336496.27239911258</v>
      </c>
      <c r="F527" s="513">
        <v>336496.27239911258</v>
      </c>
      <c r="G527" s="660">
        <v>0</v>
      </c>
      <c r="H527" s="512">
        <v>0</v>
      </c>
      <c r="I527" s="659" t="s">
        <v>103</v>
      </c>
      <c r="J527" s="513">
        <v>0</v>
      </c>
      <c r="K527" s="513">
        <v>0</v>
      </c>
      <c r="L527" s="513">
        <v>0</v>
      </c>
      <c r="M527" s="513">
        <v>262097.93125336431</v>
      </c>
      <c r="N527" s="622"/>
    </row>
    <row r="528" spans="2:14">
      <c r="B528" s="513" t="s">
        <v>260</v>
      </c>
      <c r="C528" s="658">
        <v>2016</v>
      </c>
      <c r="D528" s="513">
        <v>262097.93125336431</v>
      </c>
      <c r="E528" s="513">
        <v>246830.83937454046</v>
      </c>
      <c r="F528" s="513">
        <v>246830.83937454046</v>
      </c>
      <c r="G528" s="660">
        <v>0</v>
      </c>
      <c r="H528" s="660">
        <v>0</v>
      </c>
      <c r="I528" s="659" t="s">
        <v>103</v>
      </c>
      <c r="J528" s="513">
        <v>0</v>
      </c>
      <c r="K528" s="513">
        <v>0</v>
      </c>
      <c r="L528" s="513">
        <v>0</v>
      </c>
      <c r="M528" s="513">
        <v>508928.7706279048</v>
      </c>
      <c r="N528" s="622"/>
    </row>
    <row r="529" spans="2:14">
      <c r="B529" s="513" t="s">
        <v>260</v>
      </c>
      <c r="C529" s="658">
        <v>2017</v>
      </c>
      <c r="D529" s="513">
        <v>508928.77062790468</v>
      </c>
      <c r="E529" s="513">
        <v>229185.93443028207</v>
      </c>
      <c r="F529" s="513">
        <v>229185.93443028207</v>
      </c>
      <c r="G529" s="660">
        <v>0</v>
      </c>
      <c r="H529" s="660">
        <v>0</v>
      </c>
      <c r="I529" s="659" t="s">
        <v>103</v>
      </c>
      <c r="J529" s="513">
        <v>0</v>
      </c>
      <c r="K529" s="513">
        <v>0</v>
      </c>
      <c r="L529" s="513">
        <v>0</v>
      </c>
      <c r="M529" s="513">
        <v>738114.70505818678</v>
      </c>
      <c r="N529" s="622"/>
    </row>
    <row r="530" spans="2:14">
      <c r="B530" s="513" t="s">
        <v>260</v>
      </c>
      <c r="C530" s="889">
        <v>2018</v>
      </c>
      <c r="D530" s="513">
        <v>738114.70505818678</v>
      </c>
      <c r="E530" s="513">
        <f>VLOOKUP(B530,'[6]2018 allocation'!$A$11:$B$218,2, FALSE)</f>
        <v>243944.64859713725</v>
      </c>
      <c r="F530" s="513">
        <f>E530</f>
        <v>243944.64859713725</v>
      </c>
      <c r="G530" s="513">
        <v>0</v>
      </c>
      <c r="H530" s="513">
        <v>0</v>
      </c>
      <c r="I530" s="622" t="s">
        <v>103</v>
      </c>
      <c r="J530" s="513">
        <f>VLOOKUP(B530,'[6]Annual Spending Worksheet '!$C$6:$AG$250,28,FALSE)</f>
        <v>0</v>
      </c>
      <c r="K530" s="513">
        <f>VLOOKUP(B530,'[6]Annual Spending Worksheet '!$C$6:$AG$250,29,FALSE)</f>
        <v>0</v>
      </c>
      <c r="L530" s="513">
        <v>0</v>
      </c>
      <c r="M530" s="513">
        <f>D530+E530+H530-J530</f>
        <v>982059.35365532408</v>
      </c>
      <c r="N530" s="513"/>
    </row>
    <row r="531" spans="2:14">
      <c r="B531" s="513" t="s">
        <v>260</v>
      </c>
      <c r="C531" s="889">
        <v>2019</v>
      </c>
      <c r="D531" s="513">
        <v>982059.35365532408</v>
      </c>
      <c r="E531" s="513">
        <v>259987.31150695533</v>
      </c>
      <c r="F531" s="513">
        <v>259987.31150695533</v>
      </c>
      <c r="G531" s="513">
        <v>0</v>
      </c>
      <c r="H531" s="513">
        <v>0</v>
      </c>
      <c r="I531" s="622" t="s">
        <v>103</v>
      </c>
      <c r="J531" s="513">
        <v>0</v>
      </c>
      <c r="K531" s="513">
        <v>0</v>
      </c>
      <c r="L531" s="513">
        <v>0</v>
      </c>
      <c r="M531" s="513">
        <v>1242046.6651622795</v>
      </c>
      <c r="N531" s="513"/>
    </row>
    <row r="532" spans="2:14" ht="29.1">
      <c r="B532" s="513" t="s">
        <v>264</v>
      </c>
      <c r="C532" s="658">
        <v>2008</v>
      </c>
      <c r="D532" s="513">
        <v>-826492.28399999999</v>
      </c>
      <c r="E532" s="512">
        <v>134159.02835603108</v>
      </c>
      <c r="F532" s="513">
        <v>134159.02835603108</v>
      </c>
      <c r="G532" s="512">
        <v>-692333.25564396894</v>
      </c>
      <c r="H532" s="512">
        <v>0</v>
      </c>
      <c r="I532" s="659" t="s">
        <v>103</v>
      </c>
      <c r="J532" s="513">
        <v>0</v>
      </c>
      <c r="K532" s="513">
        <v>0</v>
      </c>
      <c r="L532" s="513">
        <v>0</v>
      </c>
      <c r="M532" s="513">
        <v>-692333.25564396894</v>
      </c>
      <c r="N532" s="622" t="s">
        <v>1711</v>
      </c>
    </row>
    <row r="533" spans="2:14" ht="29.1">
      <c r="B533" s="513" t="s">
        <v>264</v>
      </c>
      <c r="C533" s="658">
        <v>2009</v>
      </c>
      <c r="D533" s="513">
        <v>-692333.25564396894</v>
      </c>
      <c r="E533" s="512">
        <v>113412.81217887142</v>
      </c>
      <c r="F533" s="513">
        <v>113412.81217887142</v>
      </c>
      <c r="G533" s="512">
        <v>-578920.44346509757</v>
      </c>
      <c r="H533" s="512">
        <v>0</v>
      </c>
      <c r="I533" s="659" t="s">
        <v>103</v>
      </c>
      <c r="J533" s="513">
        <v>0</v>
      </c>
      <c r="K533" s="513">
        <v>0</v>
      </c>
      <c r="L533" s="513">
        <v>0</v>
      </c>
      <c r="M533" s="513">
        <v>-578920.44346509757</v>
      </c>
      <c r="N533" s="622" t="s">
        <v>1711</v>
      </c>
    </row>
    <row r="534" spans="2:14" ht="29.1">
      <c r="B534" s="513" t="s">
        <v>264</v>
      </c>
      <c r="C534" s="658">
        <v>2010</v>
      </c>
      <c r="D534" s="513">
        <v>-578920.44346509734</v>
      </c>
      <c r="E534" s="512">
        <v>113300.32</v>
      </c>
      <c r="F534" s="513">
        <v>113300.32</v>
      </c>
      <c r="G534" s="512">
        <v>-465620.12346509733</v>
      </c>
      <c r="H534" s="512">
        <v>0</v>
      </c>
      <c r="I534" s="659" t="s">
        <v>103</v>
      </c>
      <c r="J534" s="513">
        <v>0</v>
      </c>
      <c r="K534" s="513">
        <v>0</v>
      </c>
      <c r="L534" s="513">
        <v>0</v>
      </c>
      <c r="M534" s="513">
        <v>-465620.12346509733</v>
      </c>
      <c r="N534" s="622" t="s">
        <v>1711</v>
      </c>
    </row>
    <row r="535" spans="2:14" ht="29.1">
      <c r="B535" s="513" t="s">
        <v>264</v>
      </c>
      <c r="C535" s="658">
        <v>2011</v>
      </c>
      <c r="D535" s="513">
        <v>-465620.11922338419</v>
      </c>
      <c r="E535" s="512">
        <v>114913.11236980207</v>
      </c>
      <c r="F535" s="513">
        <v>114913.11236980207</v>
      </c>
      <c r="G535" s="660">
        <v>-350707.0068535821</v>
      </c>
      <c r="H535" s="512">
        <v>0</v>
      </c>
      <c r="I535" s="659" t="s">
        <v>103</v>
      </c>
      <c r="J535" s="513">
        <v>0</v>
      </c>
      <c r="K535" s="513">
        <v>0</v>
      </c>
      <c r="L535" s="513">
        <v>0</v>
      </c>
      <c r="M535" s="513">
        <v>-350707.0068535821</v>
      </c>
      <c r="N535" s="622" t="s">
        <v>1711</v>
      </c>
    </row>
    <row r="536" spans="2:14" ht="29.1">
      <c r="B536" s="513" t="s">
        <v>264</v>
      </c>
      <c r="C536" s="658">
        <v>2012</v>
      </c>
      <c r="D536" s="513">
        <v>-350707.00685358234</v>
      </c>
      <c r="E536" s="513">
        <v>91070.580389112758</v>
      </c>
      <c r="F536" s="513">
        <v>91070.580389112758</v>
      </c>
      <c r="G536" s="660">
        <v>-259636.42646446958</v>
      </c>
      <c r="H536" s="512">
        <v>0</v>
      </c>
      <c r="I536" s="659" t="s">
        <v>103</v>
      </c>
      <c r="J536" s="513">
        <v>0</v>
      </c>
      <c r="K536" s="513">
        <v>0</v>
      </c>
      <c r="L536" s="513">
        <v>0</v>
      </c>
      <c r="M536" s="513">
        <v>-259636.42646446958</v>
      </c>
      <c r="N536" s="622" t="s">
        <v>1711</v>
      </c>
    </row>
    <row r="537" spans="2:14" ht="29.1">
      <c r="B537" s="513" t="s">
        <v>264</v>
      </c>
      <c r="C537" s="658">
        <v>2013</v>
      </c>
      <c r="D537" s="513">
        <v>-259636.42646446917</v>
      </c>
      <c r="E537" s="513">
        <v>124005.54802672833</v>
      </c>
      <c r="F537" s="513">
        <v>124005.54802672833</v>
      </c>
      <c r="G537" s="660">
        <v>-135630.87843774084</v>
      </c>
      <c r="H537" s="512">
        <v>0</v>
      </c>
      <c r="I537" s="659" t="s">
        <v>103</v>
      </c>
      <c r="J537" s="513">
        <v>0</v>
      </c>
      <c r="K537" s="513">
        <v>0</v>
      </c>
      <c r="L537" s="513">
        <v>0</v>
      </c>
      <c r="M537" s="513">
        <v>-135630.87843774084</v>
      </c>
      <c r="N537" s="622" t="s">
        <v>1711</v>
      </c>
    </row>
    <row r="538" spans="2:14" ht="29.1">
      <c r="B538" s="513" t="s">
        <v>264</v>
      </c>
      <c r="C538" s="658">
        <v>2014</v>
      </c>
      <c r="D538" s="513">
        <v>-135630.87843774073</v>
      </c>
      <c r="E538" s="513">
        <v>127815.75971550454</v>
      </c>
      <c r="F538" s="513">
        <v>127815.75971550454</v>
      </c>
      <c r="G538" s="660">
        <v>-7815.1187222361914</v>
      </c>
      <c r="H538" s="512">
        <v>0</v>
      </c>
      <c r="I538" s="659" t="s">
        <v>103</v>
      </c>
      <c r="J538" s="513">
        <v>0</v>
      </c>
      <c r="K538" s="513">
        <v>0</v>
      </c>
      <c r="L538" s="513">
        <v>0</v>
      </c>
      <c r="M538" s="513">
        <v>-7815.1187222361914</v>
      </c>
      <c r="N538" s="622" t="s">
        <v>1711</v>
      </c>
    </row>
    <row r="539" spans="2:14">
      <c r="B539" s="513" t="s">
        <v>264</v>
      </c>
      <c r="C539" s="658">
        <v>2015</v>
      </c>
      <c r="D539" s="513">
        <v>-7815.1187222357839</v>
      </c>
      <c r="E539" s="513">
        <v>129328.30196725049</v>
      </c>
      <c r="F539" s="513">
        <v>129328.30196725049</v>
      </c>
      <c r="G539" s="660">
        <v>0</v>
      </c>
      <c r="H539" s="660">
        <v>0</v>
      </c>
      <c r="I539" s="659" t="s">
        <v>103</v>
      </c>
      <c r="J539" s="513">
        <v>0</v>
      </c>
      <c r="K539" s="513">
        <v>0</v>
      </c>
      <c r="L539" s="513">
        <v>0</v>
      </c>
      <c r="M539" s="513">
        <v>121513.1832450147</v>
      </c>
      <c r="N539" s="622"/>
    </row>
    <row r="540" spans="2:14">
      <c r="B540" s="513" t="s">
        <v>264</v>
      </c>
      <c r="C540" s="658">
        <v>2016</v>
      </c>
      <c r="D540" s="513">
        <v>121513.1832450144</v>
      </c>
      <c r="E540" s="513">
        <v>101115.47903325618</v>
      </c>
      <c r="F540" s="513">
        <v>101115.47903325618</v>
      </c>
      <c r="G540" s="660">
        <v>0</v>
      </c>
      <c r="H540" s="660">
        <v>0</v>
      </c>
      <c r="I540" s="659" t="s">
        <v>103</v>
      </c>
      <c r="J540" s="513">
        <v>0</v>
      </c>
      <c r="K540" s="513">
        <v>0</v>
      </c>
      <c r="L540" s="513">
        <v>0</v>
      </c>
      <c r="M540" s="513">
        <v>222628.66227827058</v>
      </c>
      <c r="N540" s="622"/>
    </row>
    <row r="541" spans="2:14">
      <c r="B541" s="513" t="s">
        <v>264</v>
      </c>
      <c r="C541" s="658">
        <v>2017</v>
      </c>
      <c r="D541" s="513">
        <v>222628.66227827035</v>
      </c>
      <c r="E541" s="513">
        <v>95762.25090494717</v>
      </c>
      <c r="F541" s="513">
        <v>95762.25090494717</v>
      </c>
      <c r="G541" s="513">
        <v>0</v>
      </c>
      <c r="H541" s="513">
        <v>0</v>
      </c>
      <c r="I541" s="659" t="s">
        <v>103</v>
      </c>
      <c r="J541" s="513">
        <v>0</v>
      </c>
      <c r="K541" s="513">
        <v>0</v>
      </c>
      <c r="L541" s="513">
        <v>0</v>
      </c>
      <c r="M541" s="513">
        <v>318390.91318321752</v>
      </c>
      <c r="N541" s="622"/>
    </row>
    <row r="542" spans="2:14">
      <c r="B542" s="513" t="s">
        <v>264</v>
      </c>
      <c r="C542" s="889">
        <v>2018</v>
      </c>
      <c r="D542" s="513">
        <v>318390.91318321752</v>
      </c>
      <c r="E542" s="513">
        <f>VLOOKUP(B542,'[6]2018 allocation'!$A$11:$B$218,2, FALSE)</f>
        <v>100610.57410534998</v>
      </c>
      <c r="F542" s="513">
        <f>E542</f>
        <v>100610.57410534998</v>
      </c>
      <c r="G542" s="513">
        <v>0</v>
      </c>
      <c r="H542" s="513">
        <v>0</v>
      </c>
      <c r="I542" s="622" t="s">
        <v>103</v>
      </c>
      <c r="J542" s="513">
        <f>VLOOKUP(B542,'[6]Annual Spending Worksheet '!$C$6:$AG$250,28,FALSE)</f>
        <v>0</v>
      </c>
      <c r="K542" s="513">
        <f>VLOOKUP(B542,'[6]Annual Spending Worksheet '!$C$6:$AG$250,29,FALSE)</f>
        <v>0</v>
      </c>
      <c r="L542" s="513">
        <v>0</v>
      </c>
      <c r="M542" s="513">
        <f>D542+E542+H542-J542</f>
        <v>419001.48728856747</v>
      </c>
      <c r="N542" s="513"/>
    </row>
    <row r="543" spans="2:14">
      <c r="B543" s="513" t="s">
        <v>264</v>
      </c>
      <c r="C543" s="889">
        <v>2019</v>
      </c>
      <c r="D543" s="513">
        <v>419001.48728856747</v>
      </c>
      <c r="E543" s="513">
        <v>105504.04025118286</v>
      </c>
      <c r="F543" s="513">
        <v>105504.04025118286</v>
      </c>
      <c r="G543" s="513">
        <v>0</v>
      </c>
      <c r="H543" s="513">
        <v>0</v>
      </c>
      <c r="I543" s="622" t="s">
        <v>103</v>
      </c>
      <c r="J543" s="513">
        <v>0</v>
      </c>
      <c r="K543" s="513">
        <v>0</v>
      </c>
      <c r="L543" s="513">
        <v>0</v>
      </c>
      <c r="M543" s="513">
        <v>524505.52753975033</v>
      </c>
      <c r="N543" s="513"/>
    </row>
    <row r="544" spans="2:14" ht="29.1">
      <c r="B544" s="513" t="s">
        <v>265</v>
      </c>
      <c r="C544" s="658">
        <v>2008</v>
      </c>
      <c r="D544" s="513">
        <v>-45791.024000000005</v>
      </c>
      <c r="E544" s="512">
        <v>6649.7131646185753</v>
      </c>
      <c r="F544" s="513">
        <v>6649.7131646185753</v>
      </c>
      <c r="G544" s="512">
        <v>-39141.310835381431</v>
      </c>
      <c r="H544" s="512">
        <v>0</v>
      </c>
      <c r="I544" s="659" t="s">
        <v>103</v>
      </c>
      <c r="J544" s="513">
        <v>0</v>
      </c>
      <c r="K544" s="513">
        <v>0</v>
      </c>
      <c r="L544" s="513">
        <v>0</v>
      </c>
      <c r="M544" s="513">
        <v>-39141.310835381431</v>
      </c>
      <c r="N544" s="622" t="s">
        <v>1711</v>
      </c>
    </row>
    <row r="545" spans="2:14" ht="29.1">
      <c r="B545" s="513" t="s">
        <v>265</v>
      </c>
      <c r="C545" s="658">
        <v>2009</v>
      </c>
      <c r="D545" s="513">
        <v>-39141.310835381417</v>
      </c>
      <c r="E545" s="512">
        <v>5604.2726683212777</v>
      </c>
      <c r="F545" s="513">
        <v>5604.2726683212777</v>
      </c>
      <c r="G545" s="512">
        <v>-33537.038167060142</v>
      </c>
      <c r="H545" s="512">
        <v>0</v>
      </c>
      <c r="I545" s="659" t="s">
        <v>103</v>
      </c>
      <c r="J545" s="513">
        <v>0</v>
      </c>
      <c r="K545" s="513">
        <v>0</v>
      </c>
      <c r="L545" s="513">
        <v>0</v>
      </c>
      <c r="M545" s="513">
        <v>-33537.038167060142</v>
      </c>
      <c r="N545" s="622" t="s">
        <v>1711</v>
      </c>
    </row>
    <row r="546" spans="2:14" ht="29.1">
      <c r="B546" s="513" t="s">
        <v>265</v>
      </c>
      <c r="C546" s="658">
        <v>2010</v>
      </c>
      <c r="D546" s="513">
        <v>-33537.038167060149</v>
      </c>
      <c r="E546" s="512">
        <v>5599.46</v>
      </c>
      <c r="F546" s="513">
        <v>5599.46</v>
      </c>
      <c r="G546" s="512">
        <v>-27937.57816706015</v>
      </c>
      <c r="H546" s="512">
        <v>0</v>
      </c>
      <c r="I546" s="659" t="s">
        <v>103</v>
      </c>
      <c r="J546" s="513">
        <v>0</v>
      </c>
      <c r="K546" s="513">
        <v>0</v>
      </c>
      <c r="L546" s="513">
        <v>0</v>
      </c>
      <c r="M546" s="513">
        <v>-27937.57816706015</v>
      </c>
      <c r="N546" s="622" t="s">
        <v>1711</v>
      </c>
    </row>
    <row r="547" spans="2:14" ht="29.1">
      <c r="B547" s="513" t="s">
        <v>265</v>
      </c>
      <c r="C547" s="658">
        <v>2011</v>
      </c>
      <c r="D547" s="513">
        <v>-27937.575590352062</v>
      </c>
      <c r="E547" s="512">
        <v>5673.1501939896771</v>
      </c>
      <c r="F547" s="513">
        <v>5673.1501939896771</v>
      </c>
      <c r="G547" s="660">
        <v>-22264.425396362385</v>
      </c>
      <c r="H547" s="512">
        <v>0</v>
      </c>
      <c r="I547" s="659" t="s">
        <v>103</v>
      </c>
      <c r="J547" s="513">
        <v>0</v>
      </c>
      <c r="K547" s="513">
        <v>0</v>
      </c>
      <c r="L547" s="513">
        <v>0</v>
      </c>
      <c r="M547" s="513">
        <v>-22264.425396362385</v>
      </c>
      <c r="N547" s="622" t="s">
        <v>1711</v>
      </c>
    </row>
    <row r="548" spans="2:14" ht="29.1">
      <c r="B548" s="513" t="s">
        <v>265</v>
      </c>
      <c r="C548" s="658">
        <v>2012</v>
      </c>
      <c r="D548" s="513">
        <v>-22264.425396362378</v>
      </c>
      <c r="E548" s="513">
        <v>4446.8972201567394</v>
      </c>
      <c r="F548" s="513">
        <v>4446.8972201567394</v>
      </c>
      <c r="G548" s="660">
        <v>-17817.52817620564</v>
      </c>
      <c r="H548" s="512">
        <v>0</v>
      </c>
      <c r="I548" s="659" t="s">
        <v>103</v>
      </c>
      <c r="J548" s="513">
        <v>0</v>
      </c>
      <c r="K548" s="513">
        <v>0</v>
      </c>
      <c r="L548" s="513">
        <v>0</v>
      </c>
      <c r="M548" s="513">
        <v>-17817.52817620564</v>
      </c>
      <c r="N548" s="622" t="s">
        <v>1711</v>
      </c>
    </row>
    <row r="549" spans="2:14" ht="29.1">
      <c r="B549" s="513" t="s">
        <v>265</v>
      </c>
      <c r="C549" s="658">
        <v>2013</v>
      </c>
      <c r="D549" s="513">
        <v>-17817.52817620564</v>
      </c>
      <c r="E549" s="513">
        <v>6139.1438693458422</v>
      </c>
      <c r="F549" s="513">
        <v>6139.1438693458422</v>
      </c>
      <c r="G549" s="660">
        <v>-11678.384306859798</v>
      </c>
      <c r="H549" s="512">
        <v>0</v>
      </c>
      <c r="I549" s="659" t="s">
        <v>103</v>
      </c>
      <c r="J549" s="513">
        <v>0</v>
      </c>
      <c r="K549" s="513">
        <v>0</v>
      </c>
      <c r="L549" s="513">
        <v>0</v>
      </c>
      <c r="M549" s="513">
        <v>-11678.384306859798</v>
      </c>
      <c r="N549" s="622" t="s">
        <v>1711</v>
      </c>
    </row>
    <row r="550" spans="2:14" ht="29.1">
      <c r="B550" s="513" t="s">
        <v>265</v>
      </c>
      <c r="C550" s="658">
        <v>2014</v>
      </c>
      <c r="D550" s="513">
        <v>-11678.384306859807</v>
      </c>
      <c r="E550" s="513">
        <v>6329.5769655863051</v>
      </c>
      <c r="F550" s="513">
        <v>6329.5769655863051</v>
      </c>
      <c r="G550" s="660">
        <v>-5348.8073412735021</v>
      </c>
      <c r="H550" s="512">
        <v>0</v>
      </c>
      <c r="I550" s="659" t="s">
        <v>103</v>
      </c>
      <c r="J550" s="513">
        <v>0</v>
      </c>
      <c r="K550" s="513">
        <v>0</v>
      </c>
      <c r="L550" s="513">
        <v>0</v>
      </c>
      <c r="M550" s="513">
        <v>-5348.8073412735021</v>
      </c>
      <c r="N550" s="622" t="s">
        <v>1711</v>
      </c>
    </row>
    <row r="551" spans="2:14">
      <c r="B551" s="513" t="s">
        <v>265</v>
      </c>
      <c r="C551" s="658">
        <v>2015</v>
      </c>
      <c r="D551" s="513">
        <v>-5348.8073412734957</v>
      </c>
      <c r="E551" s="513">
        <v>6410.5961156505991</v>
      </c>
      <c r="F551" s="513">
        <v>6410.5961156505991</v>
      </c>
      <c r="G551" s="660">
        <v>0</v>
      </c>
      <c r="H551" s="660">
        <v>0</v>
      </c>
      <c r="I551" s="659" t="s">
        <v>103</v>
      </c>
      <c r="J551" s="513">
        <v>0</v>
      </c>
      <c r="K551" s="513">
        <v>0</v>
      </c>
      <c r="L551" s="513">
        <v>0</v>
      </c>
      <c r="M551" s="513">
        <v>1061.7887743771034</v>
      </c>
      <c r="N551" s="622"/>
    </row>
    <row r="552" spans="2:14">
      <c r="B552" s="513" t="s">
        <v>265</v>
      </c>
      <c r="C552" s="658">
        <v>2016</v>
      </c>
      <c r="D552" s="513">
        <v>1061.7887743771134</v>
      </c>
      <c r="E552" s="513">
        <v>4978.4412128287959</v>
      </c>
      <c r="F552" s="513">
        <v>4978.4412128287959</v>
      </c>
      <c r="G552" s="660">
        <v>0</v>
      </c>
      <c r="H552" s="660">
        <v>0</v>
      </c>
      <c r="I552" s="659" t="s">
        <v>103</v>
      </c>
      <c r="J552" s="513">
        <v>0</v>
      </c>
      <c r="K552" s="513">
        <v>0</v>
      </c>
      <c r="L552" s="513">
        <v>0</v>
      </c>
      <c r="M552" s="513">
        <v>6040.2299872059093</v>
      </c>
      <c r="N552" s="622"/>
    </row>
    <row r="553" spans="2:14">
      <c r="B553" s="513" t="s">
        <v>265</v>
      </c>
      <c r="C553" s="658">
        <v>2017</v>
      </c>
      <c r="D553" s="513">
        <v>6040.2299872059084</v>
      </c>
      <c r="E553" s="513">
        <v>4706.2816046243879</v>
      </c>
      <c r="F553" s="513">
        <v>4706.2816046243879</v>
      </c>
      <c r="G553" s="513">
        <v>0</v>
      </c>
      <c r="H553" s="513">
        <v>0</v>
      </c>
      <c r="I553" s="659" t="s">
        <v>103</v>
      </c>
      <c r="J553" s="513">
        <v>0</v>
      </c>
      <c r="K553" s="513">
        <v>0</v>
      </c>
      <c r="L553" s="513">
        <v>0</v>
      </c>
      <c r="M553" s="513">
        <v>10746.511591830296</v>
      </c>
      <c r="N553" s="622"/>
    </row>
    <row r="554" spans="2:14">
      <c r="B554" s="513" t="s">
        <v>265</v>
      </c>
      <c r="C554" s="889">
        <v>2018</v>
      </c>
      <c r="D554" s="513">
        <v>10746.511591830296</v>
      </c>
      <c r="E554" s="513">
        <f>VLOOKUP(B554,'[6]2018 allocation'!$A$11:$B$218,2, FALSE)</f>
        <v>4942.484245597986</v>
      </c>
      <c r="F554" s="513">
        <f>E554</f>
        <v>4942.484245597986</v>
      </c>
      <c r="G554" s="513">
        <v>0</v>
      </c>
      <c r="H554" s="513">
        <v>0</v>
      </c>
      <c r="I554" s="622" t="s">
        <v>103</v>
      </c>
      <c r="J554" s="513">
        <f>VLOOKUP(B554,'[6]Annual Spending Worksheet '!$C$6:$AG$250,28,FALSE)</f>
        <v>0</v>
      </c>
      <c r="K554" s="513">
        <f>VLOOKUP(B554,'[6]Annual Spending Worksheet '!$C$6:$AG$250,29,FALSE)</f>
        <v>0</v>
      </c>
      <c r="L554" s="513">
        <v>0</v>
      </c>
      <c r="M554" s="513">
        <f>D554+E554+H554-J554</f>
        <v>15688.995837428283</v>
      </c>
      <c r="N554" s="513"/>
    </row>
    <row r="555" spans="2:14">
      <c r="B555" s="513" t="s">
        <v>265</v>
      </c>
      <c r="C555" s="889">
        <v>2019</v>
      </c>
      <c r="D555" s="513">
        <v>15688.995837428283</v>
      </c>
      <c r="E555" s="513">
        <v>5193.6148502533479</v>
      </c>
      <c r="F555" s="513">
        <v>5193.6148502533479</v>
      </c>
      <c r="G555" s="513">
        <v>0</v>
      </c>
      <c r="H555" s="513">
        <v>0</v>
      </c>
      <c r="I555" s="622" t="s">
        <v>103</v>
      </c>
      <c r="J555" s="513">
        <v>0</v>
      </c>
      <c r="K555" s="513">
        <v>0</v>
      </c>
      <c r="L555" s="513">
        <v>0</v>
      </c>
      <c r="M555" s="513">
        <v>20882.61068768163</v>
      </c>
      <c r="N555" s="513"/>
    </row>
    <row r="556" spans="2:14">
      <c r="B556" s="513" t="s">
        <v>266</v>
      </c>
      <c r="C556" s="658">
        <v>2008</v>
      </c>
      <c r="D556" s="513">
        <v>1618140.1389999995</v>
      </c>
      <c r="E556" s="512">
        <v>224142.75285753596</v>
      </c>
      <c r="F556" s="513">
        <v>224142.75285753596</v>
      </c>
      <c r="G556" s="512">
        <v>0</v>
      </c>
      <c r="H556" s="512">
        <v>0</v>
      </c>
      <c r="I556" s="659" t="s">
        <v>103</v>
      </c>
      <c r="J556" s="513">
        <v>13767.51999999999</v>
      </c>
      <c r="K556" s="513">
        <v>0</v>
      </c>
      <c r="L556" s="513">
        <v>0</v>
      </c>
      <c r="M556" s="513">
        <v>1828515.3718575356</v>
      </c>
      <c r="N556" s="622"/>
    </row>
    <row r="557" spans="2:14">
      <c r="B557" s="513" t="s">
        <v>266</v>
      </c>
      <c r="C557" s="658">
        <v>2009</v>
      </c>
      <c r="D557" s="513">
        <v>1828515.3718575351</v>
      </c>
      <c r="E557" s="512">
        <v>184141.22116594945</v>
      </c>
      <c r="F557" s="513">
        <v>184141.22116594945</v>
      </c>
      <c r="G557" s="512">
        <v>0</v>
      </c>
      <c r="H557" s="512">
        <v>0</v>
      </c>
      <c r="I557" s="659" t="s">
        <v>103</v>
      </c>
      <c r="J557" s="513">
        <v>32722.46</v>
      </c>
      <c r="K557" s="513">
        <v>0</v>
      </c>
      <c r="L557" s="513">
        <v>0</v>
      </c>
      <c r="M557" s="513">
        <v>1979934.1330234846</v>
      </c>
      <c r="N557" s="622"/>
    </row>
    <row r="558" spans="2:14">
      <c r="B558" s="513" t="s">
        <v>266</v>
      </c>
      <c r="C558" s="658">
        <v>2010</v>
      </c>
      <c r="D558" s="513">
        <v>1979934.1330234846</v>
      </c>
      <c r="E558" s="512">
        <v>183968.15</v>
      </c>
      <c r="F558" s="513">
        <v>183968.15</v>
      </c>
      <c r="G558" s="512">
        <v>0</v>
      </c>
      <c r="H558" s="512">
        <v>0</v>
      </c>
      <c r="I558" s="659" t="s">
        <v>103</v>
      </c>
      <c r="J558" s="513">
        <v>109819.97</v>
      </c>
      <c r="K558" s="513">
        <v>0</v>
      </c>
      <c r="L558" s="513">
        <v>0</v>
      </c>
      <c r="M558" s="513">
        <v>2054082.3130234845</v>
      </c>
      <c r="N558" s="622"/>
    </row>
    <row r="559" spans="2:14">
      <c r="B559" s="513" t="s">
        <v>266</v>
      </c>
      <c r="C559" s="658">
        <v>2011</v>
      </c>
      <c r="D559" s="513">
        <v>2054082.3131696051</v>
      </c>
      <c r="E559" s="512">
        <v>186813.68093916553</v>
      </c>
      <c r="F559" s="513">
        <v>186813.68093916553</v>
      </c>
      <c r="G559" s="512">
        <v>0</v>
      </c>
      <c r="H559" s="512">
        <v>0</v>
      </c>
      <c r="I559" s="659" t="s">
        <v>103</v>
      </c>
      <c r="J559" s="513">
        <v>438647.8299999999</v>
      </c>
      <c r="K559" s="513">
        <v>0</v>
      </c>
      <c r="L559" s="513">
        <v>0</v>
      </c>
      <c r="M559" s="513">
        <v>1802248.1641087707</v>
      </c>
      <c r="N559" s="622"/>
    </row>
    <row r="560" spans="2:14">
      <c r="B560" s="513" t="s">
        <v>266</v>
      </c>
      <c r="C560" s="658">
        <v>2012</v>
      </c>
      <c r="D560" s="513">
        <v>1802248.1641087709</v>
      </c>
      <c r="E560" s="513">
        <v>139805.52754325513</v>
      </c>
      <c r="F560" s="513">
        <v>139805.52754325513</v>
      </c>
      <c r="G560" s="512">
        <v>0</v>
      </c>
      <c r="H560" s="512">
        <v>0</v>
      </c>
      <c r="I560" s="659" t="s">
        <v>103</v>
      </c>
      <c r="J560" s="513">
        <v>322582.18000000005</v>
      </c>
      <c r="K560" s="513">
        <v>993591</v>
      </c>
      <c r="L560" s="513">
        <v>-34380.76</v>
      </c>
      <c r="M560" s="513">
        <v>1653852.2716520259</v>
      </c>
      <c r="N560" s="622"/>
    </row>
    <row r="561" spans="2:14">
      <c r="B561" s="513" t="s">
        <v>266</v>
      </c>
      <c r="C561" s="658">
        <v>2013</v>
      </c>
      <c r="D561" s="513">
        <v>1653852.2716520261</v>
      </c>
      <c r="E561" s="513">
        <v>204813.15258127832</v>
      </c>
      <c r="F561" s="513">
        <v>204813.15258127832</v>
      </c>
      <c r="G561" s="512">
        <v>0</v>
      </c>
      <c r="H561" s="512">
        <v>0</v>
      </c>
      <c r="I561" s="659" t="s">
        <v>103</v>
      </c>
      <c r="J561" s="513">
        <v>0</v>
      </c>
      <c r="K561" s="513">
        <v>0</v>
      </c>
      <c r="L561" s="513">
        <v>0</v>
      </c>
      <c r="M561" s="513">
        <v>1858665.4242333043</v>
      </c>
      <c r="N561" s="622"/>
    </row>
    <row r="562" spans="2:14">
      <c r="B562" s="513" t="s">
        <v>266</v>
      </c>
      <c r="C562" s="658">
        <v>2014</v>
      </c>
      <c r="D562" s="513">
        <v>1858665.4242333043</v>
      </c>
      <c r="E562" s="513">
        <v>212352.57062596307</v>
      </c>
      <c r="F562" s="513">
        <v>212352.57062596307</v>
      </c>
      <c r="G562" s="512">
        <v>0</v>
      </c>
      <c r="H562" s="512">
        <v>0</v>
      </c>
      <c r="I562" s="659" t="s">
        <v>103</v>
      </c>
      <c r="J562" s="513">
        <v>0</v>
      </c>
      <c r="K562" s="513">
        <v>0</v>
      </c>
      <c r="L562" s="513">
        <v>0</v>
      </c>
      <c r="M562" s="513">
        <v>2071017.9948592675</v>
      </c>
      <c r="N562" s="622"/>
    </row>
    <row r="563" spans="2:14">
      <c r="B563" s="513" t="s">
        <v>266</v>
      </c>
      <c r="C563" s="658">
        <v>2015</v>
      </c>
      <c r="D563" s="513">
        <v>2071017.994859267</v>
      </c>
      <c r="E563" s="513">
        <v>215464.2027302518</v>
      </c>
      <c r="F563" s="513">
        <v>215464.2027302518</v>
      </c>
      <c r="G563" s="512">
        <v>0</v>
      </c>
      <c r="H563" s="660">
        <v>0</v>
      </c>
      <c r="I563" s="659" t="s">
        <v>103</v>
      </c>
      <c r="J563" s="513">
        <v>0</v>
      </c>
      <c r="K563" s="513">
        <v>0</v>
      </c>
      <c r="L563" s="513">
        <v>0</v>
      </c>
      <c r="M563" s="513">
        <v>2286482.197589519</v>
      </c>
      <c r="N563" s="622"/>
    </row>
    <row r="564" spans="2:14">
      <c r="B564" s="513" t="s">
        <v>266</v>
      </c>
      <c r="C564" s="658">
        <v>2016</v>
      </c>
      <c r="D564" s="513">
        <v>2286482.1975895185</v>
      </c>
      <c r="E564" s="513">
        <v>159237.87869063273</v>
      </c>
      <c r="F564" s="513">
        <v>159237.87869063273</v>
      </c>
      <c r="G564" s="660">
        <v>0</v>
      </c>
      <c r="H564" s="660">
        <v>0</v>
      </c>
      <c r="I564" s="659" t="s">
        <v>103</v>
      </c>
      <c r="J564" s="513">
        <v>0.1</v>
      </c>
      <c r="K564" s="513">
        <v>0</v>
      </c>
      <c r="L564" s="513">
        <v>-0.1</v>
      </c>
      <c r="M564" s="513">
        <v>2445720.076280151</v>
      </c>
      <c r="N564" s="622"/>
    </row>
    <row r="565" spans="2:14">
      <c r="B565" s="513" t="s">
        <v>266</v>
      </c>
      <c r="C565" s="658">
        <v>2017</v>
      </c>
      <c r="D565" s="513">
        <v>2445720.0762801515</v>
      </c>
      <c r="E565" s="513">
        <v>148257.88735225287</v>
      </c>
      <c r="F565" s="513">
        <v>148257.88735225287</v>
      </c>
      <c r="G565" s="513">
        <v>0</v>
      </c>
      <c r="H565" s="513">
        <v>0</v>
      </c>
      <c r="I565" s="659" t="s">
        <v>103</v>
      </c>
      <c r="J565" s="513">
        <v>0</v>
      </c>
      <c r="K565" s="513">
        <v>0</v>
      </c>
      <c r="L565" s="513">
        <v>0</v>
      </c>
      <c r="M565" s="513">
        <v>2593977.9636324043</v>
      </c>
      <c r="N565" s="622"/>
    </row>
    <row r="566" spans="2:14">
      <c r="B566" s="513" t="s">
        <v>266</v>
      </c>
      <c r="C566" s="889">
        <v>2018</v>
      </c>
      <c r="D566" s="513">
        <v>2593977.9636324043</v>
      </c>
      <c r="E566" s="513">
        <f>VLOOKUP(B566,'[6]2018 allocation'!$A$11:$B$218,2, FALSE)</f>
        <v>157617.15427982254</v>
      </c>
      <c r="F566" s="513">
        <f>E566</f>
        <v>157617.15427982254</v>
      </c>
      <c r="G566" s="513">
        <v>0</v>
      </c>
      <c r="H566" s="513">
        <v>0</v>
      </c>
      <c r="I566" s="622" t="s">
        <v>103</v>
      </c>
      <c r="J566" s="513">
        <f>VLOOKUP(B566,'[6]Annual Spending Worksheet '!$C$6:$AG$250,28,FALSE)</f>
        <v>41307.56</v>
      </c>
      <c r="K566" s="513">
        <f>VLOOKUP(B566,'[6]Annual Spending Worksheet '!$C$6:$AG$250,29,FALSE)</f>
        <v>0</v>
      </c>
      <c r="L566" s="513">
        <v>0</v>
      </c>
      <c r="M566" s="513">
        <f>D566+E566+H566-J566</f>
        <v>2710287.5579122268</v>
      </c>
      <c r="N566" s="513"/>
    </row>
    <row r="567" spans="2:14">
      <c r="B567" s="513" t="s">
        <v>266</v>
      </c>
      <c r="C567" s="889">
        <v>2019</v>
      </c>
      <c r="D567" s="513">
        <v>2710287.5579122268</v>
      </c>
      <c r="E567" s="513">
        <v>167509.39987145006</v>
      </c>
      <c r="F567" s="513">
        <v>167509.39987145006</v>
      </c>
      <c r="G567" s="513">
        <v>0</v>
      </c>
      <c r="H567" s="513">
        <v>0</v>
      </c>
      <c r="I567" s="622" t="s">
        <v>103</v>
      </c>
      <c r="J567" s="513">
        <v>0</v>
      </c>
      <c r="K567" s="513">
        <v>0</v>
      </c>
      <c r="L567" s="513">
        <v>0</v>
      </c>
      <c r="M567" s="513">
        <v>2877796.9577836767</v>
      </c>
      <c r="N567" s="513"/>
    </row>
    <row r="568" spans="2:14">
      <c r="B568" s="513" t="s">
        <v>271</v>
      </c>
      <c r="C568" s="658">
        <v>2008</v>
      </c>
      <c r="D568" s="513">
        <v>293143.41699999996</v>
      </c>
      <c r="E568" s="512">
        <v>20761.939942085875</v>
      </c>
      <c r="F568" s="513">
        <v>20761.939942085875</v>
      </c>
      <c r="G568" s="512">
        <v>0</v>
      </c>
      <c r="H568" s="512">
        <v>-28346</v>
      </c>
      <c r="I568" s="659" t="s">
        <v>562</v>
      </c>
      <c r="J568" s="513">
        <v>0</v>
      </c>
      <c r="K568" s="513">
        <v>0</v>
      </c>
      <c r="L568" s="513">
        <v>0</v>
      </c>
      <c r="M568" s="513">
        <v>285559.35694208584</v>
      </c>
      <c r="N568" s="622"/>
    </row>
    <row r="569" spans="2:14">
      <c r="B569" s="513" t="s">
        <v>271</v>
      </c>
      <c r="C569" s="658">
        <v>2009</v>
      </c>
      <c r="D569" s="513">
        <v>285559.35694208584</v>
      </c>
      <c r="E569" s="512">
        <v>16222.498458276226</v>
      </c>
      <c r="F569" s="513">
        <v>16222.498458276226</v>
      </c>
      <c r="G569" s="512">
        <v>0</v>
      </c>
      <c r="H569" s="512">
        <v>0</v>
      </c>
      <c r="I569" s="659" t="s">
        <v>103</v>
      </c>
      <c r="J569" s="513">
        <v>0</v>
      </c>
      <c r="K569" s="513">
        <v>0</v>
      </c>
      <c r="L569" s="513">
        <v>0</v>
      </c>
      <c r="M569" s="513">
        <v>301781.85540036205</v>
      </c>
      <c r="N569" s="622"/>
    </row>
    <row r="570" spans="2:14">
      <c r="B570" s="513" t="s">
        <v>271</v>
      </c>
      <c r="C570" s="658">
        <v>2010</v>
      </c>
      <c r="D570" s="513">
        <v>301781.85540036211</v>
      </c>
      <c r="E570" s="512">
        <v>16224.25</v>
      </c>
      <c r="F570" s="513">
        <v>16224.25</v>
      </c>
      <c r="G570" s="512">
        <v>0</v>
      </c>
      <c r="H570" s="512">
        <v>0</v>
      </c>
      <c r="I570" s="659" t="s">
        <v>103</v>
      </c>
      <c r="J570" s="513">
        <v>0</v>
      </c>
      <c r="K570" s="513">
        <v>0</v>
      </c>
      <c r="L570" s="513">
        <v>0</v>
      </c>
      <c r="M570" s="513">
        <v>318006.10540036211</v>
      </c>
      <c r="N570" s="622"/>
    </row>
    <row r="571" spans="2:14">
      <c r="B571" s="513" t="s">
        <v>271</v>
      </c>
      <c r="C571" s="658">
        <v>2011</v>
      </c>
      <c r="D571" s="513">
        <v>318006.10661163408</v>
      </c>
      <c r="E571" s="512">
        <v>16566.138143433538</v>
      </c>
      <c r="F571" s="513">
        <v>16566.138143433538</v>
      </c>
      <c r="G571" s="512">
        <v>0</v>
      </c>
      <c r="H571" s="512">
        <v>0</v>
      </c>
      <c r="I571" s="659" t="s">
        <v>103</v>
      </c>
      <c r="J571" s="513">
        <v>0</v>
      </c>
      <c r="K571" s="513">
        <v>0</v>
      </c>
      <c r="L571" s="513">
        <v>0</v>
      </c>
      <c r="M571" s="513">
        <v>334572.24475506763</v>
      </c>
      <c r="N571" s="622"/>
    </row>
    <row r="572" spans="2:14">
      <c r="B572" s="513" t="s">
        <v>271</v>
      </c>
      <c r="C572" s="658">
        <v>2012</v>
      </c>
      <c r="D572" s="513">
        <v>334572.24475506757</v>
      </c>
      <c r="E572" s="513">
        <v>11846.76383391182</v>
      </c>
      <c r="F572" s="513">
        <v>11846.76383391182</v>
      </c>
      <c r="G572" s="512">
        <v>0</v>
      </c>
      <c r="H572" s="512">
        <v>0</v>
      </c>
      <c r="I572" s="659" t="s">
        <v>103</v>
      </c>
      <c r="J572" s="513">
        <v>0</v>
      </c>
      <c r="K572" s="513">
        <v>0</v>
      </c>
      <c r="L572" s="513">
        <v>0</v>
      </c>
      <c r="M572" s="513">
        <v>346419.00858897937</v>
      </c>
      <c r="N572" s="622"/>
    </row>
    <row r="573" spans="2:14">
      <c r="B573" s="513" t="s">
        <v>271</v>
      </c>
      <c r="C573" s="658">
        <v>2013</v>
      </c>
      <c r="D573" s="513">
        <v>346419.00858897943</v>
      </c>
      <c r="E573" s="513">
        <v>18434.907262704332</v>
      </c>
      <c r="F573" s="513">
        <v>18434.907262704332</v>
      </c>
      <c r="G573" s="512">
        <v>0</v>
      </c>
      <c r="H573" s="512">
        <v>0</v>
      </c>
      <c r="I573" s="659" t="s">
        <v>103</v>
      </c>
      <c r="J573" s="513">
        <v>0</v>
      </c>
      <c r="K573" s="513">
        <v>0</v>
      </c>
      <c r="L573" s="513">
        <v>0</v>
      </c>
      <c r="M573" s="513">
        <v>364853.91585168376</v>
      </c>
      <c r="N573" s="622"/>
    </row>
    <row r="574" spans="2:14">
      <c r="B574" s="513" t="s">
        <v>271</v>
      </c>
      <c r="C574" s="658">
        <v>2014</v>
      </c>
      <c r="D574" s="513">
        <v>364853.91585168376</v>
      </c>
      <c r="E574" s="513">
        <v>19156.854731956017</v>
      </c>
      <c r="F574" s="513">
        <v>19156.854731956017</v>
      </c>
      <c r="G574" s="512">
        <v>0</v>
      </c>
      <c r="H574" s="512">
        <v>0</v>
      </c>
      <c r="I574" s="659" t="s">
        <v>103</v>
      </c>
      <c r="J574" s="513">
        <v>0</v>
      </c>
      <c r="K574" s="513">
        <v>0</v>
      </c>
      <c r="L574" s="513">
        <v>0</v>
      </c>
      <c r="M574" s="513">
        <v>384010.77058363979</v>
      </c>
      <c r="N574" s="622"/>
    </row>
    <row r="575" spans="2:14">
      <c r="B575" s="513" t="s">
        <v>271</v>
      </c>
      <c r="C575" s="658">
        <v>2015</v>
      </c>
      <c r="D575" s="513">
        <v>384010.77058363979</v>
      </c>
      <c r="E575" s="513">
        <v>19387.613872314447</v>
      </c>
      <c r="F575" s="513">
        <v>19387.613872314447</v>
      </c>
      <c r="G575" s="512">
        <v>0</v>
      </c>
      <c r="H575" s="660">
        <v>0</v>
      </c>
      <c r="I575" s="659" t="s">
        <v>103</v>
      </c>
      <c r="J575" s="513">
        <v>0</v>
      </c>
      <c r="K575" s="513">
        <v>0</v>
      </c>
      <c r="L575" s="513">
        <v>0</v>
      </c>
      <c r="M575" s="513">
        <v>403398.38445595425</v>
      </c>
      <c r="N575" s="622"/>
    </row>
    <row r="576" spans="2:14">
      <c r="B576" s="513" t="s">
        <v>271</v>
      </c>
      <c r="C576" s="658">
        <v>2016</v>
      </c>
      <c r="D576" s="513">
        <v>403398.38445595425</v>
      </c>
      <c r="E576" s="513">
        <v>14076.845219007861</v>
      </c>
      <c r="F576" s="513">
        <v>14076.845219007861</v>
      </c>
      <c r="G576" s="660">
        <v>0</v>
      </c>
      <c r="H576" s="660">
        <v>0</v>
      </c>
      <c r="I576" s="659" t="s">
        <v>103</v>
      </c>
      <c r="J576" s="513">
        <v>0</v>
      </c>
      <c r="K576" s="513">
        <v>0</v>
      </c>
      <c r="L576" s="513">
        <v>0</v>
      </c>
      <c r="M576" s="513">
        <v>417475.22967496212</v>
      </c>
      <c r="N576" s="622"/>
    </row>
    <row r="577" spans="2:14">
      <c r="B577" s="513" t="s">
        <v>271</v>
      </c>
      <c r="C577" s="658">
        <v>2017</v>
      </c>
      <c r="D577" s="513">
        <v>417475.22967496206</v>
      </c>
      <c r="E577" s="513">
        <v>12935.896416199072</v>
      </c>
      <c r="F577" s="513">
        <v>12935.896416199072</v>
      </c>
      <c r="G577" s="513">
        <v>0</v>
      </c>
      <c r="H577" s="513">
        <v>0</v>
      </c>
      <c r="I577" s="659" t="s">
        <v>103</v>
      </c>
      <c r="J577" s="513">
        <v>0</v>
      </c>
      <c r="K577" s="513">
        <v>0</v>
      </c>
      <c r="L577" s="513">
        <v>0</v>
      </c>
      <c r="M577" s="513">
        <v>430411.1260911611</v>
      </c>
      <c r="N577" s="622"/>
    </row>
    <row r="578" spans="2:14">
      <c r="B578" s="513" t="s">
        <v>271</v>
      </c>
      <c r="C578" s="889">
        <v>2018</v>
      </c>
      <c r="D578" s="513">
        <v>430411.1260911611</v>
      </c>
      <c r="E578" s="513">
        <f>VLOOKUP(B578,'[6]2018 allocation'!$A$11:$B$218,2, FALSE)</f>
        <v>13708.060318793259</v>
      </c>
      <c r="F578" s="513">
        <f>E578</f>
        <v>13708.060318793259</v>
      </c>
      <c r="G578" s="513">
        <v>0</v>
      </c>
      <c r="H578" s="513">
        <v>0</v>
      </c>
      <c r="I578" s="622" t="s">
        <v>103</v>
      </c>
      <c r="J578" s="513">
        <f>VLOOKUP(B578,'[6]Annual Spending Worksheet '!$C$6:$AG$250,28,FALSE)</f>
        <v>0</v>
      </c>
      <c r="K578" s="513">
        <f>VLOOKUP(B578,'[6]Annual Spending Worksheet '!$C$6:$AG$250,29,FALSE)</f>
        <v>0</v>
      </c>
      <c r="L578" s="513">
        <v>0</v>
      </c>
      <c r="M578" s="513">
        <f>D578+E578+H578-J578</f>
        <v>444119.18640995439</v>
      </c>
      <c r="N578" s="513"/>
    </row>
    <row r="579" spans="2:14">
      <c r="B579" s="513" t="s">
        <v>271</v>
      </c>
      <c r="C579" s="889">
        <v>2019</v>
      </c>
      <c r="D579" s="513">
        <v>444119.18640995439</v>
      </c>
      <c r="E579" s="513">
        <v>14681.269777253563</v>
      </c>
      <c r="F579" s="513">
        <v>14681.269777253563</v>
      </c>
      <c r="G579" s="513">
        <v>0</v>
      </c>
      <c r="H579" s="513">
        <v>0</v>
      </c>
      <c r="I579" s="622" t="s">
        <v>103</v>
      </c>
      <c r="J579" s="513">
        <v>0</v>
      </c>
      <c r="K579" s="513">
        <v>0</v>
      </c>
      <c r="L579" s="513">
        <v>0</v>
      </c>
      <c r="M579" s="513">
        <v>458800.45618720795</v>
      </c>
      <c r="N579" s="513"/>
    </row>
    <row r="580" spans="2:14" ht="29.1">
      <c r="B580" s="513" t="s">
        <v>272</v>
      </c>
      <c r="C580" s="658">
        <v>2008</v>
      </c>
      <c r="D580" s="513">
        <v>-4057582.8510000035</v>
      </c>
      <c r="E580" s="512">
        <v>583290.16930927383</v>
      </c>
      <c r="F580" s="513">
        <v>583290.16930927383</v>
      </c>
      <c r="G580" s="512">
        <v>-3474292.6816907297</v>
      </c>
      <c r="H580" s="512">
        <v>0</v>
      </c>
      <c r="I580" s="659" t="s">
        <v>103</v>
      </c>
      <c r="J580" s="513">
        <v>-511.54000000003725</v>
      </c>
      <c r="K580" s="513">
        <v>0</v>
      </c>
      <c r="L580" s="513">
        <v>0</v>
      </c>
      <c r="M580" s="513">
        <v>-3473781.1416907297</v>
      </c>
      <c r="N580" s="622" t="s">
        <v>1711</v>
      </c>
    </row>
    <row r="581" spans="2:14" ht="29.1">
      <c r="B581" s="513" t="s">
        <v>272</v>
      </c>
      <c r="C581" s="658">
        <v>2009</v>
      </c>
      <c r="D581" s="513">
        <v>-3473781.1416907273</v>
      </c>
      <c r="E581" s="512">
        <v>482727.30076979357</v>
      </c>
      <c r="F581" s="513">
        <v>482727.30076979357</v>
      </c>
      <c r="G581" s="512">
        <v>-2991053.8409209335</v>
      </c>
      <c r="H581" s="512">
        <v>0</v>
      </c>
      <c r="I581" s="659" t="s">
        <v>103</v>
      </c>
      <c r="J581" s="513">
        <v>9115.5499999999993</v>
      </c>
      <c r="K581" s="513">
        <v>0</v>
      </c>
      <c r="L581" s="513">
        <v>0</v>
      </c>
      <c r="M581" s="513">
        <v>-3000169.3909209333</v>
      </c>
      <c r="N581" s="622" t="s">
        <v>1711</v>
      </c>
    </row>
    <row r="582" spans="2:14" ht="29.1">
      <c r="B582" s="513" t="s">
        <v>272</v>
      </c>
      <c r="C582" s="658">
        <v>2010</v>
      </c>
      <c r="D582" s="513">
        <v>-3000169.3909209333</v>
      </c>
      <c r="E582" s="512">
        <v>482110.53</v>
      </c>
      <c r="F582" s="513">
        <v>482110.53</v>
      </c>
      <c r="G582" s="512">
        <v>-2518058.8609209331</v>
      </c>
      <c r="H582" s="512">
        <v>0</v>
      </c>
      <c r="I582" s="659" t="s">
        <v>103</v>
      </c>
      <c r="J582" s="513">
        <v>9208.32</v>
      </c>
      <c r="K582" s="513">
        <v>0</v>
      </c>
      <c r="L582" s="513">
        <v>-9359</v>
      </c>
      <c r="M582" s="513">
        <v>-2517908.1809209329</v>
      </c>
      <c r="N582" s="622" t="s">
        <v>1711</v>
      </c>
    </row>
    <row r="583" spans="2:14" ht="29.1">
      <c r="B583" s="513" t="s">
        <v>272</v>
      </c>
      <c r="C583" s="658">
        <v>2011</v>
      </c>
      <c r="D583" s="513">
        <v>-2517908.0809162073</v>
      </c>
      <c r="E583" s="512">
        <v>489965.19896980783</v>
      </c>
      <c r="F583" s="513">
        <v>489965.19896980783</v>
      </c>
      <c r="G583" s="512">
        <v>-2027942.8819463993</v>
      </c>
      <c r="H583" s="512">
        <v>0</v>
      </c>
      <c r="I583" s="659" t="s">
        <v>103</v>
      </c>
      <c r="J583" s="513">
        <v>0</v>
      </c>
      <c r="K583" s="513">
        <v>0</v>
      </c>
      <c r="L583" s="513">
        <v>0</v>
      </c>
      <c r="M583" s="513">
        <v>-2027942.8819463993</v>
      </c>
      <c r="N583" s="622" t="s">
        <v>1711</v>
      </c>
    </row>
    <row r="584" spans="2:14" ht="29.1">
      <c r="B584" s="513" t="s">
        <v>272</v>
      </c>
      <c r="C584" s="658">
        <v>2012</v>
      </c>
      <c r="D584" s="513">
        <v>-2027942.8819463998</v>
      </c>
      <c r="E584" s="512">
        <v>372887.31606118893</v>
      </c>
      <c r="F584" s="513">
        <v>372887.31606118893</v>
      </c>
      <c r="G584" s="660">
        <v>-1655055.5658852109</v>
      </c>
      <c r="H584" s="512">
        <v>0</v>
      </c>
      <c r="I584" s="659" t="s">
        <v>103</v>
      </c>
      <c r="J584" s="513">
        <v>0</v>
      </c>
      <c r="K584" s="513">
        <v>0</v>
      </c>
      <c r="L584" s="513">
        <v>0</v>
      </c>
      <c r="M584" s="513">
        <v>-1655055.5658852109</v>
      </c>
      <c r="N584" s="622" t="s">
        <v>1711</v>
      </c>
    </row>
    <row r="585" spans="2:14" ht="29.1">
      <c r="B585" s="513" t="s">
        <v>272</v>
      </c>
      <c r="C585" s="658">
        <v>2013</v>
      </c>
      <c r="D585" s="513">
        <v>-1655055.5658852123</v>
      </c>
      <c r="E585" s="513">
        <v>534495.76473693282</v>
      </c>
      <c r="F585" s="513">
        <v>534495.76473693282</v>
      </c>
      <c r="G585" s="660">
        <v>-1120559.8011482796</v>
      </c>
      <c r="H585" s="512">
        <v>0</v>
      </c>
      <c r="I585" s="659" t="s">
        <v>103</v>
      </c>
      <c r="J585" s="513">
        <v>0</v>
      </c>
      <c r="K585" s="513">
        <v>0</v>
      </c>
      <c r="L585" s="513">
        <v>0</v>
      </c>
      <c r="M585" s="513">
        <v>-1120559.8011482796</v>
      </c>
      <c r="N585" s="622" t="s">
        <v>1711</v>
      </c>
    </row>
    <row r="586" spans="2:14" ht="29.1">
      <c r="B586" s="513" t="s">
        <v>272</v>
      </c>
      <c r="C586" s="658">
        <v>2014</v>
      </c>
      <c r="D586" s="513">
        <v>-1120559.8011482805</v>
      </c>
      <c r="E586" s="513">
        <v>553307.89674242772</v>
      </c>
      <c r="F586" s="513">
        <v>553307.89674242772</v>
      </c>
      <c r="G586" s="660">
        <v>-567251.90440585278</v>
      </c>
      <c r="H586" s="512">
        <v>0</v>
      </c>
      <c r="I586" s="659" t="s">
        <v>103</v>
      </c>
      <c r="J586" s="513">
        <v>0</v>
      </c>
      <c r="K586" s="513">
        <v>0</v>
      </c>
      <c r="L586" s="513">
        <v>0</v>
      </c>
      <c r="M586" s="513">
        <v>-567251.90440585278</v>
      </c>
      <c r="N586" s="622" t="s">
        <v>1711</v>
      </c>
    </row>
    <row r="587" spans="2:14" ht="29.1">
      <c r="B587" s="513" t="s">
        <v>272</v>
      </c>
      <c r="C587" s="658">
        <v>2015</v>
      </c>
      <c r="D587" s="513">
        <v>-567251.90440585092</v>
      </c>
      <c r="E587" s="513">
        <v>560982.0902841331</v>
      </c>
      <c r="F587" s="513">
        <v>560982.0902841331</v>
      </c>
      <c r="G587" s="660">
        <v>-6269.8141217178199</v>
      </c>
      <c r="H587" s="512">
        <v>0</v>
      </c>
      <c r="I587" s="659" t="s">
        <v>103</v>
      </c>
      <c r="J587" s="513">
        <v>0</v>
      </c>
      <c r="K587" s="513">
        <v>0</v>
      </c>
      <c r="L587" s="513">
        <v>0</v>
      </c>
      <c r="M587" s="513">
        <v>-6269.8141217178199</v>
      </c>
      <c r="N587" s="622" t="s">
        <v>1711</v>
      </c>
    </row>
    <row r="588" spans="2:14">
      <c r="B588" s="513" t="s">
        <v>272</v>
      </c>
      <c r="C588" s="658">
        <v>2016</v>
      </c>
      <c r="D588" s="513">
        <v>-6269.8141217194498</v>
      </c>
      <c r="E588" s="513">
        <v>420974.35618405801</v>
      </c>
      <c r="F588" s="513">
        <v>420974.35618405801</v>
      </c>
      <c r="G588" s="660">
        <v>0</v>
      </c>
      <c r="H588" s="660">
        <v>0</v>
      </c>
      <c r="I588" s="659" t="s">
        <v>103</v>
      </c>
      <c r="J588" s="513">
        <v>0</v>
      </c>
      <c r="K588" s="513">
        <v>0</v>
      </c>
      <c r="L588" s="513">
        <v>0</v>
      </c>
      <c r="M588" s="513">
        <v>414704.54206233856</v>
      </c>
      <c r="N588" s="622"/>
    </row>
    <row r="589" spans="2:14">
      <c r="B589" s="513" t="s">
        <v>272</v>
      </c>
      <c r="C589" s="658">
        <v>2017</v>
      </c>
      <c r="D589" s="513">
        <v>414704.54206233844</v>
      </c>
      <c r="E589" s="513">
        <v>393544.90787536913</v>
      </c>
      <c r="F589" s="513">
        <v>393544.90787536913</v>
      </c>
      <c r="G589" s="660">
        <v>0</v>
      </c>
      <c r="H589" s="660">
        <v>0</v>
      </c>
      <c r="I589" s="659" t="s">
        <v>103</v>
      </c>
      <c r="J589" s="513">
        <v>0</v>
      </c>
      <c r="K589" s="513">
        <v>0</v>
      </c>
      <c r="L589" s="513">
        <v>0</v>
      </c>
      <c r="M589" s="513">
        <v>808249.44993770751</v>
      </c>
      <c r="N589" s="622"/>
    </row>
    <row r="590" spans="2:14">
      <c r="B590" s="513" t="s">
        <v>272</v>
      </c>
      <c r="C590" s="889">
        <v>2018</v>
      </c>
      <c r="D590" s="513">
        <v>808249.44993770751</v>
      </c>
      <c r="E590" s="513">
        <f>VLOOKUP(B590,'[6]2018 allocation'!$A$11:$B$218,2, FALSE)</f>
        <v>416939.40368602495</v>
      </c>
      <c r="F590" s="513">
        <f>E590</f>
        <v>416939.40368602495</v>
      </c>
      <c r="G590" s="513">
        <v>0</v>
      </c>
      <c r="H590" s="513">
        <v>0</v>
      </c>
      <c r="I590" s="622" t="s">
        <v>103</v>
      </c>
      <c r="J590" s="513">
        <f>VLOOKUP(B590,'[6]Annual Spending Worksheet '!$C$6:$AG$250,28,FALSE)</f>
        <v>0</v>
      </c>
      <c r="K590" s="513">
        <f>VLOOKUP(B590,'[6]Annual Spending Worksheet '!$C$6:$AG$250,29,FALSE)</f>
        <v>0</v>
      </c>
      <c r="L590" s="513">
        <v>0</v>
      </c>
      <c r="M590" s="513">
        <f>D590+E590+H590-J590</f>
        <v>1225188.8536237325</v>
      </c>
      <c r="N590" s="513"/>
    </row>
    <row r="591" spans="2:14">
      <c r="B591" s="513" t="s">
        <v>272</v>
      </c>
      <c r="C591" s="889">
        <v>2019</v>
      </c>
      <c r="D591" s="513">
        <v>1225188.8536237325</v>
      </c>
      <c r="E591" s="513">
        <v>441523.19974177296</v>
      </c>
      <c r="F591" s="513">
        <v>441523.19974177296</v>
      </c>
      <c r="G591" s="513">
        <v>0</v>
      </c>
      <c r="H591" s="513">
        <v>0</v>
      </c>
      <c r="I591" s="622" t="s">
        <v>103</v>
      </c>
      <c r="J591" s="513">
        <v>0</v>
      </c>
      <c r="K591" s="513">
        <v>0</v>
      </c>
      <c r="L591" s="513">
        <v>0</v>
      </c>
      <c r="M591" s="513">
        <v>1666712.0533655053</v>
      </c>
      <c r="N591" s="513"/>
    </row>
    <row r="592" spans="2:14" ht="29.1">
      <c r="B592" s="513" t="s">
        <v>276</v>
      </c>
      <c r="C592" s="658">
        <v>2008</v>
      </c>
      <c r="D592" s="513">
        <v>-237706.18599999999</v>
      </c>
      <c r="E592" s="512">
        <v>14083.737912875971</v>
      </c>
      <c r="F592" s="513">
        <v>14083.737912875971</v>
      </c>
      <c r="G592" s="512">
        <v>-223622.44808712401</v>
      </c>
      <c r="H592" s="512">
        <v>0</v>
      </c>
      <c r="I592" s="659" t="s">
        <v>103</v>
      </c>
      <c r="J592" s="513">
        <v>0</v>
      </c>
      <c r="K592" s="513">
        <v>0</v>
      </c>
      <c r="L592" s="513">
        <v>0</v>
      </c>
      <c r="M592" s="513">
        <v>-223622.44808712401</v>
      </c>
      <c r="N592" s="622" t="s">
        <v>1711</v>
      </c>
    </row>
    <row r="593" spans="2:14" ht="29.1">
      <c r="B593" s="513" t="s">
        <v>276</v>
      </c>
      <c r="C593" s="658">
        <v>2009</v>
      </c>
      <c r="D593" s="513">
        <v>-223622.44808712404</v>
      </c>
      <c r="E593" s="512">
        <v>11272.008542604915</v>
      </c>
      <c r="F593" s="513">
        <v>11272.008542604915</v>
      </c>
      <c r="G593" s="512">
        <v>-212350.43954451912</v>
      </c>
      <c r="H593" s="512">
        <v>0</v>
      </c>
      <c r="I593" s="659" t="s">
        <v>103</v>
      </c>
      <c r="J593" s="513">
        <v>0</v>
      </c>
      <c r="K593" s="513">
        <v>0</v>
      </c>
      <c r="L593" s="513">
        <v>0</v>
      </c>
      <c r="M593" s="513">
        <v>-212350.43954451912</v>
      </c>
      <c r="N593" s="622" t="s">
        <v>1711</v>
      </c>
    </row>
    <row r="594" spans="2:14" ht="29.1">
      <c r="B594" s="513" t="s">
        <v>276</v>
      </c>
      <c r="C594" s="658">
        <v>2010</v>
      </c>
      <c r="D594" s="513">
        <v>-212350.43954451912</v>
      </c>
      <c r="E594" s="512">
        <v>11260.01</v>
      </c>
      <c r="F594" s="513">
        <v>11260.01</v>
      </c>
      <c r="G594" s="512">
        <v>-201090.42954451911</v>
      </c>
      <c r="H594" s="512">
        <v>0</v>
      </c>
      <c r="I594" s="659" t="s">
        <v>103</v>
      </c>
      <c r="J594" s="513">
        <v>0</v>
      </c>
      <c r="K594" s="513">
        <v>0</v>
      </c>
      <c r="L594" s="513">
        <v>0</v>
      </c>
      <c r="M594" s="513">
        <v>-201090.42954451911</v>
      </c>
      <c r="N594" s="622" t="s">
        <v>1711</v>
      </c>
    </row>
    <row r="595" spans="2:14" ht="29.1">
      <c r="B595" s="513" t="s">
        <v>276</v>
      </c>
      <c r="C595" s="658">
        <v>2011</v>
      </c>
      <c r="D595" s="513">
        <v>-201090.42882644053</v>
      </c>
      <c r="E595" s="512">
        <v>11474.757192111207</v>
      </c>
      <c r="F595" s="513">
        <v>11474.757192111207</v>
      </c>
      <c r="G595" s="512">
        <v>-189615.67163432934</v>
      </c>
      <c r="H595" s="512">
        <v>0</v>
      </c>
      <c r="I595" s="659" t="s">
        <v>103</v>
      </c>
      <c r="J595" s="513">
        <v>0</v>
      </c>
      <c r="K595" s="513">
        <v>0</v>
      </c>
      <c r="L595" s="513">
        <v>0</v>
      </c>
      <c r="M595" s="513">
        <v>-189615.67163432934</v>
      </c>
      <c r="N595" s="622" t="s">
        <v>1711</v>
      </c>
    </row>
    <row r="596" spans="2:14" ht="29.1">
      <c r="B596" s="513" t="s">
        <v>276</v>
      </c>
      <c r="C596" s="658">
        <v>2012</v>
      </c>
      <c r="D596" s="513">
        <v>-189615.67163432931</v>
      </c>
      <c r="E596" s="512">
        <v>8358.946353687279</v>
      </c>
      <c r="F596" s="513">
        <v>8358.946353687279</v>
      </c>
      <c r="G596" s="660">
        <v>-181256.72528064204</v>
      </c>
      <c r="H596" s="512">
        <v>0</v>
      </c>
      <c r="I596" s="659" t="s">
        <v>103</v>
      </c>
      <c r="J596" s="513">
        <v>0</v>
      </c>
      <c r="K596" s="513">
        <v>0</v>
      </c>
      <c r="L596" s="513">
        <v>0</v>
      </c>
      <c r="M596" s="513">
        <v>-181256.72528064204</v>
      </c>
      <c r="N596" s="622" t="s">
        <v>1711</v>
      </c>
    </row>
    <row r="597" spans="2:14" ht="29.1">
      <c r="B597" s="513" t="s">
        <v>276</v>
      </c>
      <c r="C597" s="658">
        <v>2013</v>
      </c>
      <c r="D597" s="513">
        <v>-181256.72528064204</v>
      </c>
      <c r="E597" s="513">
        <v>12689.745932733713</v>
      </c>
      <c r="F597" s="513">
        <v>12689.745932733713</v>
      </c>
      <c r="G597" s="660">
        <v>-168566.97934790835</v>
      </c>
      <c r="H597" s="512">
        <v>0</v>
      </c>
      <c r="I597" s="659" t="s">
        <v>103</v>
      </c>
      <c r="J597" s="513">
        <v>0</v>
      </c>
      <c r="K597" s="513">
        <v>0</v>
      </c>
      <c r="L597" s="513">
        <v>0</v>
      </c>
      <c r="M597" s="513">
        <v>-168566.97934790835</v>
      </c>
      <c r="N597" s="622" t="s">
        <v>1711</v>
      </c>
    </row>
    <row r="598" spans="2:14" ht="29.1">
      <c r="B598" s="513" t="s">
        <v>276</v>
      </c>
      <c r="C598" s="658">
        <v>2014</v>
      </c>
      <c r="D598" s="513">
        <v>-168566.97934790835</v>
      </c>
      <c r="E598" s="513">
        <v>13185.12811563379</v>
      </c>
      <c r="F598" s="513">
        <v>13185.12811563379</v>
      </c>
      <c r="G598" s="660">
        <v>-155381.85123227455</v>
      </c>
      <c r="H598" s="512">
        <v>0</v>
      </c>
      <c r="I598" s="659" t="s">
        <v>103</v>
      </c>
      <c r="J598" s="513">
        <v>0</v>
      </c>
      <c r="K598" s="513">
        <v>0</v>
      </c>
      <c r="L598" s="513">
        <v>0</v>
      </c>
      <c r="M598" s="513">
        <v>-155381.85123227455</v>
      </c>
      <c r="N598" s="622" t="s">
        <v>1711</v>
      </c>
    </row>
    <row r="599" spans="2:14" ht="29.1">
      <c r="B599" s="513" t="s">
        <v>276</v>
      </c>
      <c r="C599" s="658">
        <v>2015</v>
      </c>
      <c r="D599" s="513">
        <v>-155381.85123227455</v>
      </c>
      <c r="E599" s="513">
        <v>13369.025940278341</v>
      </c>
      <c r="F599" s="513">
        <v>13369.025940278341</v>
      </c>
      <c r="G599" s="660">
        <v>-142012.82529199621</v>
      </c>
      <c r="H599" s="512">
        <v>0</v>
      </c>
      <c r="I599" s="659" t="s">
        <v>103</v>
      </c>
      <c r="J599" s="513">
        <v>0</v>
      </c>
      <c r="K599" s="513">
        <v>0</v>
      </c>
      <c r="L599" s="513">
        <v>0</v>
      </c>
      <c r="M599" s="513">
        <v>-142012.82529199621</v>
      </c>
      <c r="N599" s="622" t="s">
        <v>1711</v>
      </c>
    </row>
    <row r="600" spans="2:14" ht="29.1">
      <c r="B600" s="513" t="s">
        <v>276</v>
      </c>
      <c r="C600" s="658">
        <v>2016</v>
      </c>
      <c r="D600" s="513">
        <v>-142012.82529199624</v>
      </c>
      <c r="E600" s="513">
        <v>9757.6085081333422</v>
      </c>
      <c r="F600" s="513">
        <v>9757.6085081333422</v>
      </c>
      <c r="G600" s="660">
        <v>-132255.21678386291</v>
      </c>
      <c r="H600" s="660">
        <v>0</v>
      </c>
      <c r="I600" s="659" t="s">
        <v>103</v>
      </c>
      <c r="J600" s="513">
        <v>0</v>
      </c>
      <c r="K600" s="513">
        <v>0</v>
      </c>
      <c r="L600" s="513">
        <v>0</v>
      </c>
      <c r="M600" s="513">
        <v>-132255.21678386291</v>
      </c>
      <c r="N600" s="622" t="s">
        <v>1711</v>
      </c>
    </row>
    <row r="601" spans="2:14" ht="29.1">
      <c r="B601" s="513" t="s">
        <v>276</v>
      </c>
      <c r="C601" s="658">
        <v>2017</v>
      </c>
      <c r="D601" s="513">
        <v>-132255.21678386291</v>
      </c>
      <c r="E601" s="513">
        <v>9039.1856143343593</v>
      </c>
      <c r="F601" s="513">
        <v>9039.1856143343593</v>
      </c>
      <c r="G601" s="660">
        <v>-123216.03116952855</v>
      </c>
      <c r="H601" s="660">
        <v>0</v>
      </c>
      <c r="I601" s="659" t="s">
        <v>103</v>
      </c>
      <c r="J601" s="513">
        <v>0</v>
      </c>
      <c r="K601" s="513">
        <v>0</v>
      </c>
      <c r="L601" s="513">
        <v>0</v>
      </c>
      <c r="M601" s="513">
        <v>-123216.03116952855</v>
      </c>
      <c r="N601" s="622" t="s">
        <v>1711</v>
      </c>
    </row>
    <row r="602" spans="2:14" ht="29.1">
      <c r="B602" s="513" t="s">
        <v>276</v>
      </c>
      <c r="C602" s="889">
        <v>2018</v>
      </c>
      <c r="D602" s="513">
        <v>-123216.03116952855</v>
      </c>
      <c r="E602" s="513">
        <f>VLOOKUP(B602,'[6]2018 allocation'!$A$11:$B$218,2, FALSE)</f>
        <v>9613.6897190068121</v>
      </c>
      <c r="F602" s="513">
        <f>E602</f>
        <v>9613.6897190068121</v>
      </c>
      <c r="G602" s="513">
        <f>D602+E602</f>
        <v>-113602.34145052174</v>
      </c>
      <c r="H602" s="513">
        <v>0</v>
      </c>
      <c r="I602" s="622" t="s">
        <v>103</v>
      </c>
      <c r="J602" s="513">
        <f>VLOOKUP(B602,'[6]Annual Spending Worksheet '!$C$6:$AG$250,28,FALSE)</f>
        <v>0</v>
      </c>
      <c r="K602" s="513">
        <f>VLOOKUP(B602,'[6]Annual Spending Worksheet '!$C$6:$AG$250,29,FALSE)</f>
        <v>0</v>
      </c>
      <c r="L602" s="513">
        <v>0</v>
      </c>
      <c r="M602" s="513">
        <f>D602+E602+H602-J602</f>
        <v>-113602.34145052174</v>
      </c>
      <c r="N602" s="622" t="s">
        <v>1711</v>
      </c>
    </row>
    <row r="603" spans="2:14" ht="29.1">
      <c r="B603" s="513" t="s">
        <v>276</v>
      </c>
      <c r="C603" s="889">
        <v>2019</v>
      </c>
      <c r="D603" s="513">
        <v>-113602.34145052174</v>
      </c>
      <c r="E603" s="513">
        <v>10237.027272762165</v>
      </c>
      <c r="F603" s="513">
        <v>10237.027272762165</v>
      </c>
      <c r="G603" s="513">
        <v>-103365.31417775957</v>
      </c>
      <c r="H603" s="513">
        <v>0</v>
      </c>
      <c r="I603" s="622" t="s">
        <v>103</v>
      </c>
      <c r="J603" s="513">
        <v>0</v>
      </c>
      <c r="K603" s="513">
        <v>0</v>
      </c>
      <c r="L603" s="513">
        <v>0</v>
      </c>
      <c r="M603" s="513">
        <v>-103365.31417775957</v>
      </c>
      <c r="N603" s="622" t="s">
        <v>1711</v>
      </c>
    </row>
    <row r="604" spans="2:14" ht="29.1">
      <c r="B604" s="513" t="s">
        <v>277</v>
      </c>
      <c r="C604" s="658">
        <v>2008</v>
      </c>
      <c r="D604" s="513">
        <v>-4460739.2910000002</v>
      </c>
      <c r="E604" s="512">
        <v>101008.87326841656</v>
      </c>
      <c r="F604" s="513">
        <v>101008.87326841656</v>
      </c>
      <c r="G604" s="660">
        <v>-4359730.417731584</v>
      </c>
      <c r="H604" s="512">
        <v>0</v>
      </c>
      <c r="I604" s="659" t="s">
        <v>103</v>
      </c>
      <c r="J604" s="513">
        <v>0</v>
      </c>
      <c r="K604" s="513">
        <v>0</v>
      </c>
      <c r="L604" s="513">
        <v>0</v>
      </c>
      <c r="M604" s="513">
        <v>-4359730.417731584</v>
      </c>
      <c r="N604" s="622" t="s">
        <v>1711</v>
      </c>
    </row>
    <row r="605" spans="2:14" ht="29.1">
      <c r="B605" s="513" t="s">
        <v>277</v>
      </c>
      <c r="C605" s="658">
        <v>2009</v>
      </c>
      <c r="D605" s="513">
        <v>-4359730.4177315831</v>
      </c>
      <c r="E605" s="512">
        <v>83904.965038963099</v>
      </c>
      <c r="F605" s="513">
        <v>83904.965038963099</v>
      </c>
      <c r="G605" s="660">
        <v>-4275825.4526926205</v>
      </c>
      <c r="H605" s="512">
        <v>0</v>
      </c>
      <c r="I605" s="659" t="s">
        <v>103</v>
      </c>
      <c r="J605" s="513">
        <v>0</v>
      </c>
      <c r="K605" s="513">
        <v>0</v>
      </c>
      <c r="L605" s="513">
        <v>0</v>
      </c>
      <c r="M605" s="513">
        <v>-4275825.4526926205</v>
      </c>
      <c r="N605" s="622" t="s">
        <v>1711</v>
      </c>
    </row>
    <row r="606" spans="2:14" ht="29.1">
      <c r="B606" s="513" t="s">
        <v>277</v>
      </c>
      <c r="C606" s="658">
        <v>2010</v>
      </c>
      <c r="D606" s="513">
        <v>-4275825.4526926214</v>
      </c>
      <c r="E606" s="512">
        <v>83650.52</v>
      </c>
      <c r="F606" s="513">
        <v>83650.52</v>
      </c>
      <c r="G606" s="660">
        <v>-4192174.9326926214</v>
      </c>
      <c r="H606" s="512">
        <v>0</v>
      </c>
      <c r="I606" s="659" t="s">
        <v>103</v>
      </c>
      <c r="J606" s="513">
        <v>0</v>
      </c>
      <c r="K606" s="513">
        <v>0</v>
      </c>
      <c r="L606" s="513">
        <v>0</v>
      </c>
      <c r="M606" s="513">
        <v>-4192174.9326926214</v>
      </c>
      <c r="N606" s="622" t="s">
        <v>1711</v>
      </c>
    </row>
    <row r="607" spans="2:14" ht="29.1">
      <c r="B607" s="513" t="s">
        <v>277</v>
      </c>
      <c r="C607" s="658">
        <v>2011</v>
      </c>
      <c r="D607" s="513">
        <v>-4192174.9348995984</v>
      </c>
      <c r="E607" s="512">
        <v>85052.647596164214</v>
      </c>
      <c r="F607" s="513">
        <v>85052.647596164214</v>
      </c>
      <c r="G607" s="660">
        <v>-4107122.2873034342</v>
      </c>
      <c r="H607" s="512">
        <v>0</v>
      </c>
      <c r="I607" s="659" t="s">
        <v>103</v>
      </c>
      <c r="J607" s="513">
        <v>0</v>
      </c>
      <c r="K607" s="513">
        <v>0</v>
      </c>
      <c r="L607" s="513">
        <v>0</v>
      </c>
      <c r="M607" s="513">
        <v>-4107122.2873034342</v>
      </c>
      <c r="N607" s="622" t="s">
        <v>1711</v>
      </c>
    </row>
    <row r="608" spans="2:14" ht="29.1">
      <c r="B608" s="513" t="s">
        <v>277</v>
      </c>
      <c r="C608" s="658">
        <v>2012</v>
      </c>
      <c r="D608" s="513">
        <v>-4107122.2873034338</v>
      </c>
      <c r="E608" s="512">
        <v>64810.79890207899</v>
      </c>
      <c r="F608" s="513">
        <v>64810.79890207899</v>
      </c>
      <c r="G608" s="660">
        <v>-4042311.4884013548</v>
      </c>
      <c r="H608" s="512">
        <v>0</v>
      </c>
      <c r="I608" s="659" t="s">
        <v>103</v>
      </c>
      <c r="J608" s="513">
        <v>0</v>
      </c>
      <c r="K608" s="513">
        <v>0</v>
      </c>
      <c r="L608" s="513">
        <v>0</v>
      </c>
      <c r="M608" s="513">
        <v>-4042311.4884013548</v>
      </c>
      <c r="N608" s="622" t="s">
        <v>1711</v>
      </c>
    </row>
    <row r="609" spans="2:14" ht="29.1">
      <c r="B609" s="513" t="s">
        <v>277</v>
      </c>
      <c r="C609" s="658">
        <v>2013</v>
      </c>
      <c r="D609" s="513">
        <v>-4042311.4884013552</v>
      </c>
      <c r="E609" s="513">
        <v>92761.019445778191</v>
      </c>
      <c r="F609" s="513">
        <v>92761.019445778191</v>
      </c>
      <c r="G609" s="660">
        <v>-3949550.4689555769</v>
      </c>
      <c r="H609" s="512">
        <v>0</v>
      </c>
      <c r="I609" s="659" t="s">
        <v>103</v>
      </c>
      <c r="J609" s="513">
        <v>0</v>
      </c>
      <c r="K609" s="513">
        <v>0</v>
      </c>
      <c r="L609" s="513">
        <v>0</v>
      </c>
      <c r="M609" s="513">
        <v>-3949550.4689555769</v>
      </c>
      <c r="N609" s="622" t="s">
        <v>1711</v>
      </c>
    </row>
    <row r="610" spans="2:14" ht="29.1">
      <c r="B610" s="513" t="s">
        <v>277</v>
      </c>
      <c r="C610" s="658">
        <v>2014</v>
      </c>
      <c r="D610" s="513">
        <v>-3949550.4689555764</v>
      </c>
      <c r="E610" s="513">
        <v>96006.341391353897</v>
      </c>
      <c r="F610" s="513">
        <v>96006.341391353897</v>
      </c>
      <c r="G610" s="660">
        <v>-3853544.1275642226</v>
      </c>
      <c r="H610" s="512">
        <v>0</v>
      </c>
      <c r="I610" s="659" t="s">
        <v>103</v>
      </c>
      <c r="J610" s="513">
        <v>0</v>
      </c>
      <c r="K610" s="513">
        <v>0</v>
      </c>
      <c r="L610" s="513">
        <v>0</v>
      </c>
      <c r="M610" s="513">
        <v>-3853544.1275642226</v>
      </c>
      <c r="N610" s="622" t="s">
        <v>1711</v>
      </c>
    </row>
    <row r="611" spans="2:14" ht="29.1">
      <c r="B611" s="513" t="s">
        <v>277</v>
      </c>
      <c r="C611" s="658">
        <v>2015</v>
      </c>
      <c r="D611" s="513">
        <v>-3853544.1275642226</v>
      </c>
      <c r="E611" s="513">
        <v>97321.771939144121</v>
      </c>
      <c r="F611" s="513">
        <v>97321.771939144121</v>
      </c>
      <c r="G611" s="660">
        <v>-3756222.3556250785</v>
      </c>
      <c r="H611" s="512">
        <v>0</v>
      </c>
      <c r="I611" s="659" t="s">
        <v>103</v>
      </c>
      <c r="J611" s="513">
        <v>0</v>
      </c>
      <c r="K611" s="513">
        <v>0</v>
      </c>
      <c r="L611" s="513">
        <v>0</v>
      </c>
      <c r="M611" s="513">
        <v>-3756222.3556250785</v>
      </c>
      <c r="N611" s="622" t="s">
        <v>1711</v>
      </c>
    </row>
    <row r="612" spans="2:14" ht="29.1">
      <c r="B612" s="513" t="s">
        <v>277</v>
      </c>
      <c r="C612" s="658">
        <v>2016</v>
      </c>
      <c r="D612" s="513">
        <v>-3756222.3556250781</v>
      </c>
      <c r="E612" s="513">
        <v>73212.896691522998</v>
      </c>
      <c r="F612" s="513">
        <v>73212.896691522998</v>
      </c>
      <c r="G612" s="660">
        <v>-3683009.4589335551</v>
      </c>
      <c r="H612" s="660">
        <v>0</v>
      </c>
      <c r="I612" s="659" t="s">
        <v>103</v>
      </c>
      <c r="J612" s="513">
        <v>0</v>
      </c>
      <c r="K612" s="513">
        <v>0</v>
      </c>
      <c r="L612" s="513">
        <v>0</v>
      </c>
      <c r="M612" s="513">
        <v>-3683009.4589335551</v>
      </c>
      <c r="N612" s="622" t="s">
        <v>1711</v>
      </c>
    </row>
    <row r="613" spans="2:14" ht="29.1">
      <c r="B613" s="513" t="s">
        <v>277</v>
      </c>
      <c r="C613" s="658">
        <v>2017</v>
      </c>
      <c r="D613" s="513">
        <v>-3683009.4589335555</v>
      </c>
      <c r="E613" s="513">
        <v>68527.88124567036</v>
      </c>
      <c r="F613" s="513">
        <v>68527.88124567036</v>
      </c>
      <c r="G613" s="660">
        <v>-3614481.5776878851</v>
      </c>
      <c r="H613" s="660">
        <v>0</v>
      </c>
      <c r="I613" s="659" t="s">
        <v>103</v>
      </c>
      <c r="J613" s="513">
        <v>0</v>
      </c>
      <c r="K613" s="513">
        <v>0</v>
      </c>
      <c r="L613" s="513">
        <v>0</v>
      </c>
      <c r="M613" s="513">
        <v>-3614481.5776878851</v>
      </c>
      <c r="N613" s="622" t="s">
        <v>1711</v>
      </c>
    </row>
    <row r="614" spans="2:14" ht="29.1">
      <c r="B614" s="513" t="s">
        <v>277</v>
      </c>
      <c r="C614" s="889">
        <v>2018</v>
      </c>
      <c r="D614" s="513">
        <v>-3614481.5776878851</v>
      </c>
      <c r="E614" s="513">
        <f>VLOOKUP(B614,'[6]2018 allocation'!$A$11:$B$218,2, FALSE)</f>
        <v>72549.06674155184</v>
      </c>
      <c r="F614" s="513">
        <f>E614</f>
        <v>72549.06674155184</v>
      </c>
      <c r="G614" s="513">
        <f>D614+E614</f>
        <v>-3541932.5109463334</v>
      </c>
      <c r="H614" s="513">
        <v>0</v>
      </c>
      <c r="I614" s="622" t="s">
        <v>103</v>
      </c>
      <c r="J614" s="513">
        <f>VLOOKUP(B614,'[6]Annual Spending Worksheet '!$C$6:$AG$250,28,FALSE)</f>
        <v>0</v>
      </c>
      <c r="K614" s="513">
        <f>VLOOKUP(B614,'[6]Annual Spending Worksheet '!$C$6:$AG$250,29,FALSE)</f>
        <v>0</v>
      </c>
      <c r="L614" s="513">
        <v>0</v>
      </c>
      <c r="M614" s="513">
        <f>D614+E614+H614-J614</f>
        <v>-3541932.5109463334</v>
      </c>
      <c r="N614" s="622" t="s">
        <v>1711</v>
      </c>
    </row>
    <row r="615" spans="2:14" ht="29.1">
      <c r="B615" s="513" t="s">
        <v>277</v>
      </c>
      <c r="C615" s="889">
        <v>2019</v>
      </c>
      <c r="D615" s="513">
        <v>-3541932.5109463334</v>
      </c>
      <c r="E615" s="513">
        <v>76771.752067548674</v>
      </c>
      <c r="F615" s="513">
        <v>76771.752067548674</v>
      </c>
      <c r="G615" s="513">
        <v>-3465160.7588787847</v>
      </c>
      <c r="H615" s="513">
        <v>0</v>
      </c>
      <c r="I615" s="622" t="s">
        <v>103</v>
      </c>
      <c r="J615" s="513">
        <v>0</v>
      </c>
      <c r="K615" s="513">
        <v>0</v>
      </c>
      <c r="L615" s="513">
        <v>0</v>
      </c>
      <c r="M615" s="513">
        <v>-3465160.7588787847</v>
      </c>
      <c r="N615" s="622" t="s">
        <v>1711</v>
      </c>
    </row>
    <row r="616" spans="2:14">
      <c r="B616" s="513" t="s">
        <v>278</v>
      </c>
      <c r="C616" s="658">
        <v>2008</v>
      </c>
      <c r="D616" s="513">
        <v>610365.201</v>
      </c>
      <c r="E616" s="512">
        <v>24313.802433555669</v>
      </c>
      <c r="F616" s="513">
        <v>24313.802433555669</v>
      </c>
      <c r="G616" s="513">
        <v>0</v>
      </c>
      <c r="H616" s="512">
        <v>0</v>
      </c>
      <c r="I616" s="659" t="s">
        <v>103</v>
      </c>
      <c r="J616" s="513">
        <v>47016.09</v>
      </c>
      <c r="K616" s="513">
        <v>0</v>
      </c>
      <c r="L616" s="513">
        <v>0</v>
      </c>
      <c r="M616" s="513">
        <v>587662.91343355575</v>
      </c>
      <c r="N616" s="622"/>
    </row>
    <row r="617" spans="2:14">
      <c r="B617" s="513" t="s">
        <v>278</v>
      </c>
      <c r="C617" s="658">
        <v>2009</v>
      </c>
      <c r="D617" s="513">
        <v>587662.91343355575</v>
      </c>
      <c r="E617" s="512">
        <v>20170.101475130537</v>
      </c>
      <c r="F617" s="513">
        <v>20170.101475130537</v>
      </c>
      <c r="G617" s="660">
        <v>0</v>
      </c>
      <c r="H617" s="512">
        <v>0</v>
      </c>
      <c r="I617" s="659" t="s">
        <v>103</v>
      </c>
      <c r="J617" s="513">
        <v>31721.739999999998</v>
      </c>
      <c r="K617" s="513">
        <v>0</v>
      </c>
      <c r="L617" s="513">
        <v>0</v>
      </c>
      <c r="M617" s="513">
        <v>576111.27490868629</v>
      </c>
      <c r="N617" s="622"/>
    </row>
    <row r="618" spans="2:14">
      <c r="B618" s="513" t="s">
        <v>278</v>
      </c>
      <c r="C618" s="658">
        <v>2010</v>
      </c>
      <c r="D618" s="513">
        <v>576111.27490868629</v>
      </c>
      <c r="E618" s="512">
        <v>20148.830000000002</v>
      </c>
      <c r="F618" s="513">
        <v>20148.830000000002</v>
      </c>
      <c r="G618" s="660">
        <v>0</v>
      </c>
      <c r="H618" s="512">
        <v>0</v>
      </c>
      <c r="I618" s="659" t="s">
        <v>103</v>
      </c>
      <c r="J618" s="513">
        <v>2455.25</v>
      </c>
      <c r="K618" s="513">
        <v>0</v>
      </c>
      <c r="L618" s="513">
        <v>0</v>
      </c>
      <c r="M618" s="513">
        <v>593804.85490868625</v>
      </c>
      <c r="N618" s="622"/>
    </row>
    <row r="619" spans="2:14">
      <c r="B619" s="513" t="s">
        <v>278</v>
      </c>
      <c r="C619" s="658">
        <v>2011</v>
      </c>
      <c r="D619" s="513">
        <v>593804.85356064199</v>
      </c>
      <c r="E619" s="512">
        <v>20440.49717694764</v>
      </c>
      <c r="F619" s="513">
        <v>20440.49717694764</v>
      </c>
      <c r="G619" s="512">
        <v>0</v>
      </c>
      <c r="H619" s="512">
        <v>0</v>
      </c>
      <c r="I619" s="659" t="s">
        <v>103</v>
      </c>
      <c r="J619" s="513">
        <v>535332.23999999976</v>
      </c>
      <c r="K619" s="513">
        <v>636723</v>
      </c>
      <c r="L619" s="513">
        <v>0</v>
      </c>
      <c r="M619" s="513">
        <v>78913.110737589886</v>
      </c>
      <c r="N619" s="622"/>
    </row>
    <row r="620" spans="2:14">
      <c r="B620" s="513" t="s">
        <v>278</v>
      </c>
      <c r="C620" s="658">
        <v>2012</v>
      </c>
      <c r="D620" s="513">
        <v>78913.110737589886</v>
      </c>
      <c r="E620" s="513">
        <v>15503.168380340743</v>
      </c>
      <c r="F620" s="513">
        <v>15503.168380340743</v>
      </c>
      <c r="G620" s="512">
        <v>0</v>
      </c>
      <c r="H620" s="512">
        <v>0</v>
      </c>
      <c r="I620" s="659" t="s">
        <v>103</v>
      </c>
      <c r="J620" s="513">
        <v>11611.100000000002</v>
      </c>
      <c r="K620" s="513">
        <v>0</v>
      </c>
      <c r="L620" s="513">
        <v>0</v>
      </c>
      <c r="M620" s="513">
        <v>82805.179117930616</v>
      </c>
      <c r="N620" s="622"/>
    </row>
    <row r="621" spans="2:14">
      <c r="B621" s="513" t="s">
        <v>278</v>
      </c>
      <c r="C621" s="658">
        <v>2013</v>
      </c>
      <c r="D621" s="513">
        <v>82805.179117930587</v>
      </c>
      <c r="E621" s="513">
        <v>22322.505243181902</v>
      </c>
      <c r="F621" s="513">
        <v>22322.505243181902</v>
      </c>
      <c r="G621" s="512">
        <v>0</v>
      </c>
      <c r="H621" s="512">
        <v>0</v>
      </c>
      <c r="I621" s="659" t="s">
        <v>103</v>
      </c>
      <c r="J621" s="513">
        <v>-323.82999999999981</v>
      </c>
      <c r="K621" s="513">
        <v>0</v>
      </c>
      <c r="L621" s="513">
        <v>8982.64</v>
      </c>
      <c r="M621" s="513">
        <v>96468.874361112496</v>
      </c>
      <c r="N621" s="622"/>
    </row>
    <row r="622" spans="2:14">
      <c r="B622" s="513" t="s">
        <v>278</v>
      </c>
      <c r="C622" s="658">
        <v>2014</v>
      </c>
      <c r="D622" s="513">
        <v>96468.874361112365</v>
      </c>
      <c r="E622" s="513">
        <v>23120.67728171841</v>
      </c>
      <c r="F622" s="513">
        <v>23120.67728171841</v>
      </c>
      <c r="G622" s="512">
        <v>0</v>
      </c>
      <c r="H622" s="512">
        <v>0</v>
      </c>
      <c r="I622" s="659" t="s">
        <v>103</v>
      </c>
      <c r="J622" s="513">
        <v>0</v>
      </c>
      <c r="K622" s="513">
        <v>0</v>
      </c>
      <c r="L622" s="513">
        <v>0</v>
      </c>
      <c r="M622" s="513">
        <v>119589.55164283077</v>
      </c>
      <c r="N622" s="622"/>
    </row>
    <row r="623" spans="2:14">
      <c r="B623" s="513" t="s">
        <v>278</v>
      </c>
      <c r="C623" s="658">
        <v>2015</v>
      </c>
      <c r="D623" s="513">
        <v>119589.55164283072</v>
      </c>
      <c r="E623" s="513">
        <v>23438.647483910307</v>
      </c>
      <c r="F623" s="513">
        <v>23438.647483910307</v>
      </c>
      <c r="G623" s="660">
        <v>0</v>
      </c>
      <c r="H623" s="660">
        <v>0</v>
      </c>
      <c r="I623" s="659" t="s">
        <v>103</v>
      </c>
      <c r="J623" s="513">
        <v>0</v>
      </c>
      <c r="K623" s="513">
        <v>0</v>
      </c>
      <c r="L623" s="513">
        <v>-72.72</v>
      </c>
      <c r="M623" s="513">
        <v>143100.91912674104</v>
      </c>
      <c r="N623" s="622"/>
    </row>
    <row r="624" spans="2:14">
      <c r="B624" s="513" t="s">
        <v>278</v>
      </c>
      <c r="C624" s="658">
        <v>2016</v>
      </c>
      <c r="D624" s="513">
        <v>143100.91912674101</v>
      </c>
      <c r="E624" s="513">
        <v>17534.265813394377</v>
      </c>
      <c r="F624" s="513">
        <v>17534.265813394377</v>
      </c>
      <c r="G624" s="660">
        <v>0</v>
      </c>
      <c r="H624" s="660">
        <v>0</v>
      </c>
      <c r="I624" s="659" t="s">
        <v>103</v>
      </c>
      <c r="J624" s="513">
        <v>0</v>
      </c>
      <c r="K624" s="513">
        <v>0</v>
      </c>
      <c r="L624" s="513">
        <v>0</v>
      </c>
      <c r="M624" s="513">
        <v>160635.1849401354</v>
      </c>
      <c r="N624" s="622"/>
    </row>
    <row r="625" spans="2:14">
      <c r="B625" s="513" t="s">
        <v>278</v>
      </c>
      <c r="C625" s="658">
        <v>2017</v>
      </c>
      <c r="D625" s="513">
        <v>160635.18494013534</v>
      </c>
      <c r="E625" s="513">
        <v>16362.822705446313</v>
      </c>
      <c r="F625" s="513">
        <v>16362.822705446313</v>
      </c>
      <c r="G625" s="513">
        <v>0</v>
      </c>
      <c r="H625" s="513">
        <v>0</v>
      </c>
      <c r="I625" s="659" t="s">
        <v>103</v>
      </c>
      <c r="J625" s="513">
        <v>0</v>
      </c>
      <c r="K625" s="513">
        <v>0</v>
      </c>
      <c r="L625" s="513">
        <v>0</v>
      </c>
      <c r="M625" s="513">
        <v>176998.00764558165</v>
      </c>
      <c r="N625" s="622"/>
    </row>
    <row r="626" spans="2:14">
      <c r="B626" s="513" t="s">
        <v>278</v>
      </c>
      <c r="C626" s="889">
        <v>2018</v>
      </c>
      <c r="D626" s="513">
        <v>176998.00764558165</v>
      </c>
      <c r="E626" s="513">
        <f>VLOOKUP(B626,'[6]2018 allocation'!$A$11:$B$218,2, FALSE)</f>
        <v>17355.121083066704</v>
      </c>
      <c r="F626" s="513">
        <f>E626</f>
        <v>17355.121083066704</v>
      </c>
      <c r="G626" s="513">
        <v>0</v>
      </c>
      <c r="H626" s="513">
        <v>0</v>
      </c>
      <c r="I626" s="622" t="s">
        <v>103</v>
      </c>
      <c r="J626" s="513">
        <f>VLOOKUP(B626,'[6]Annual Spending Worksheet '!$C$6:$AG$250,28,FALSE)</f>
        <v>0</v>
      </c>
      <c r="K626" s="513">
        <f>VLOOKUP(B626,'[6]Annual Spending Worksheet '!$C$6:$AG$250,29,FALSE)</f>
        <v>0</v>
      </c>
      <c r="L626" s="513">
        <v>0</v>
      </c>
      <c r="M626" s="513">
        <f>D626+E626+H626-J626</f>
        <v>194353.12872864836</v>
      </c>
      <c r="N626" s="513"/>
    </row>
    <row r="627" spans="2:14">
      <c r="B627" s="513" t="s">
        <v>278</v>
      </c>
      <c r="C627" s="889">
        <v>2019</v>
      </c>
      <c r="D627" s="513">
        <v>194353.12872864836</v>
      </c>
      <c r="E627" s="513">
        <v>18389.36418420769</v>
      </c>
      <c r="F627" s="513">
        <v>18389.36418420769</v>
      </c>
      <c r="G627" s="513">
        <v>0</v>
      </c>
      <c r="H627" s="513">
        <v>0</v>
      </c>
      <c r="I627" s="622" t="s">
        <v>103</v>
      </c>
      <c r="J627" s="513">
        <v>0</v>
      </c>
      <c r="K627" s="513">
        <v>0</v>
      </c>
      <c r="L627" s="513">
        <v>0</v>
      </c>
      <c r="M627" s="513">
        <v>212742.49291285605</v>
      </c>
      <c r="N627" s="513"/>
    </row>
    <row r="628" spans="2:14" ht="29.1">
      <c r="B628" s="513" t="s">
        <v>284</v>
      </c>
      <c r="C628" s="658">
        <v>2008</v>
      </c>
      <c r="D628" s="513">
        <v>-513761.38499999978</v>
      </c>
      <c r="E628" s="512">
        <v>175665.25367878238</v>
      </c>
      <c r="F628" s="513">
        <v>175665.25367878238</v>
      </c>
      <c r="G628" s="660">
        <v>-338096.1313212174</v>
      </c>
      <c r="H628" s="512">
        <v>0</v>
      </c>
      <c r="I628" s="659" t="s">
        <v>103</v>
      </c>
      <c r="J628" s="513">
        <v>0</v>
      </c>
      <c r="K628" s="513">
        <v>0</v>
      </c>
      <c r="L628" s="513">
        <v>0</v>
      </c>
      <c r="M628" s="513">
        <v>-338096.1313212174</v>
      </c>
      <c r="N628" s="622" t="s">
        <v>1711</v>
      </c>
    </row>
    <row r="629" spans="2:14" ht="29.1">
      <c r="B629" s="513" t="s">
        <v>284</v>
      </c>
      <c r="C629" s="658">
        <v>2009</v>
      </c>
      <c r="D629" s="513">
        <v>-338096.13132121786</v>
      </c>
      <c r="E629" s="512">
        <v>142327.37996655997</v>
      </c>
      <c r="F629" s="513">
        <v>142327.37996655997</v>
      </c>
      <c r="G629" s="660">
        <v>-195768.7513546579</v>
      </c>
      <c r="H629" s="512">
        <v>0</v>
      </c>
      <c r="I629" s="659" t="s">
        <v>103</v>
      </c>
      <c r="J629" s="513">
        <v>0</v>
      </c>
      <c r="K629" s="513">
        <v>0</v>
      </c>
      <c r="L629" s="513">
        <v>0</v>
      </c>
      <c r="M629" s="513">
        <v>-195768.7513546579</v>
      </c>
      <c r="N629" s="622" t="s">
        <v>1711</v>
      </c>
    </row>
    <row r="630" spans="2:14" ht="29.1">
      <c r="B630" s="513" t="s">
        <v>284</v>
      </c>
      <c r="C630" s="658">
        <v>2010</v>
      </c>
      <c r="D630" s="513">
        <v>-195768.75135465804</v>
      </c>
      <c r="E630" s="512">
        <v>142129.35999999999</v>
      </c>
      <c r="F630" s="513">
        <v>142129.35999999999</v>
      </c>
      <c r="G630" s="660">
        <v>-53639.391354658059</v>
      </c>
      <c r="H630" s="512">
        <v>0</v>
      </c>
      <c r="I630" s="659" t="s">
        <v>103</v>
      </c>
      <c r="J630" s="513">
        <v>0</v>
      </c>
      <c r="K630" s="513">
        <v>0</v>
      </c>
      <c r="L630" s="513">
        <v>0</v>
      </c>
      <c r="M630" s="513">
        <v>-53639.391354658059</v>
      </c>
      <c r="N630" s="622" t="s">
        <v>1711</v>
      </c>
    </row>
    <row r="631" spans="2:14" ht="29.1">
      <c r="B631" s="513" t="s">
        <v>284</v>
      </c>
      <c r="C631" s="658">
        <v>2011</v>
      </c>
      <c r="D631" s="513">
        <v>-53639.38693755772</v>
      </c>
      <c r="E631" s="512">
        <v>144527.25389499398</v>
      </c>
      <c r="F631" s="513">
        <v>144527.25389499398</v>
      </c>
      <c r="G631" s="512">
        <v>0</v>
      </c>
      <c r="H631" s="512">
        <v>500000</v>
      </c>
      <c r="I631" s="659" t="s">
        <v>1726</v>
      </c>
      <c r="J631" s="513">
        <v>0</v>
      </c>
      <c r="K631" s="513">
        <v>0</v>
      </c>
      <c r="L631" s="513">
        <v>0</v>
      </c>
      <c r="M631" s="513">
        <v>590887.86695743632</v>
      </c>
      <c r="N631" s="622"/>
    </row>
    <row r="632" spans="2:14">
      <c r="B632" s="513" t="s">
        <v>284</v>
      </c>
      <c r="C632" s="658">
        <v>2012</v>
      </c>
      <c r="D632" s="513">
        <v>590887.86695743632</v>
      </c>
      <c r="E632" s="513">
        <v>104788.28316228691</v>
      </c>
      <c r="F632" s="513">
        <v>104788.28316228691</v>
      </c>
      <c r="G632" s="512">
        <v>0</v>
      </c>
      <c r="H632" s="512">
        <v>0</v>
      </c>
      <c r="I632" s="659" t="s">
        <v>103</v>
      </c>
      <c r="J632" s="513">
        <v>0</v>
      </c>
      <c r="K632" s="513">
        <v>0</v>
      </c>
      <c r="L632" s="513">
        <v>0</v>
      </c>
      <c r="M632" s="513">
        <v>695676.15011972329</v>
      </c>
      <c r="N632" s="622"/>
    </row>
    <row r="633" spans="2:14">
      <c r="B633" s="513" t="s">
        <v>284</v>
      </c>
      <c r="C633" s="658">
        <v>2013</v>
      </c>
      <c r="D633" s="513">
        <v>695676.15011972282</v>
      </c>
      <c r="E633" s="513">
        <v>159679.0264529881</v>
      </c>
      <c r="F633" s="513">
        <v>159679.0264529881</v>
      </c>
      <c r="G633" s="512">
        <v>0</v>
      </c>
      <c r="H633" s="512">
        <v>0</v>
      </c>
      <c r="I633" s="659" t="s">
        <v>103</v>
      </c>
      <c r="J633" s="513">
        <v>0</v>
      </c>
      <c r="K633" s="513">
        <v>0</v>
      </c>
      <c r="L633" s="513">
        <v>0</v>
      </c>
      <c r="M633" s="513">
        <v>855355.17657271097</v>
      </c>
      <c r="N633" s="622"/>
    </row>
    <row r="634" spans="2:14">
      <c r="B634" s="513" t="s">
        <v>284</v>
      </c>
      <c r="C634" s="658">
        <v>2014</v>
      </c>
      <c r="D634" s="513">
        <v>855355.17657271121</v>
      </c>
      <c r="E634" s="513">
        <v>166071.8878006055</v>
      </c>
      <c r="F634" s="513">
        <v>166071.8878006055</v>
      </c>
      <c r="G634" s="512">
        <v>0</v>
      </c>
      <c r="H634" s="512">
        <v>0</v>
      </c>
      <c r="I634" s="659" t="s">
        <v>103</v>
      </c>
      <c r="J634" s="513">
        <v>0</v>
      </c>
      <c r="K634" s="513">
        <v>0</v>
      </c>
      <c r="L634" s="513">
        <v>0</v>
      </c>
      <c r="M634" s="513">
        <v>1021427.0643733167</v>
      </c>
      <c r="N634" s="622"/>
    </row>
    <row r="635" spans="2:14">
      <c r="B635" s="513" t="s">
        <v>284</v>
      </c>
      <c r="C635" s="658">
        <v>2015</v>
      </c>
      <c r="D635" s="513">
        <v>1021427.0643733162</v>
      </c>
      <c r="E635" s="513">
        <v>168662.16972470609</v>
      </c>
      <c r="F635" s="513">
        <v>168662.16972470609</v>
      </c>
      <c r="G635" s="660">
        <v>0</v>
      </c>
      <c r="H635" s="660">
        <v>0</v>
      </c>
      <c r="I635" s="659" t="s">
        <v>103</v>
      </c>
      <c r="J635" s="513">
        <v>0</v>
      </c>
      <c r="K635" s="513">
        <v>0</v>
      </c>
      <c r="L635" s="513">
        <v>0</v>
      </c>
      <c r="M635" s="513">
        <v>1190089.2340980223</v>
      </c>
      <c r="N635" s="622"/>
    </row>
    <row r="636" spans="2:14">
      <c r="B636" s="513" t="s">
        <v>284</v>
      </c>
      <c r="C636" s="658">
        <v>2016</v>
      </c>
      <c r="D636" s="513">
        <v>1190089.2340980228</v>
      </c>
      <c r="E636" s="513">
        <v>121233.68688928529</v>
      </c>
      <c r="F636" s="513">
        <v>121233.68688928529</v>
      </c>
      <c r="G636" s="660">
        <v>0</v>
      </c>
      <c r="H636" s="660">
        <v>0</v>
      </c>
      <c r="I636" s="659" t="s">
        <v>103</v>
      </c>
      <c r="J636" s="513">
        <v>0</v>
      </c>
      <c r="K636" s="513">
        <v>0</v>
      </c>
      <c r="L636" s="513">
        <v>0</v>
      </c>
      <c r="M636" s="513">
        <v>1311322.920987308</v>
      </c>
      <c r="N636" s="622"/>
    </row>
    <row r="637" spans="2:14">
      <c r="B637" s="513" t="s">
        <v>284</v>
      </c>
      <c r="C637" s="658">
        <v>2017</v>
      </c>
      <c r="D637" s="513">
        <v>1311322.920987308</v>
      </c>
      <c r="E637" s="513">
        <v>112038.54968500607</v>
      </c>
      <c r="F637" s="513">
        <v>112038.54968500607</v>
      </c>
      <c r="G637" s="513">
        <v>0</v>
      </c>
      <c r="H637" s="513">
        <v>0</v>
      </c>
      <c r="I637" s="659" t="s">
        <v>103</v>
      </c>
      <c r="J637" s="513">
        <v>0</v>
      </c>
      <c r="K637" s="513">
        <v>0</v>
      </c>
      <c r="L637" s="513">
        <v>0</v>
      </c>
      <c r="M637" s="513">
        <v>1423361.4706723141</v>
      </c>
      <c r="N637" s="622"/>
    </row>
    <row r="638" spans="2:14">
      <c r="B638" s="513" t="s">
        <v>284</v>
      </c>
      <c r="C638" s="889">
        <v>2018</v>
      </c>
      <c r="D638" s="513">
        <v>1423361.4706723141</v>
      </c>
      <c r="E638" s="513">
        <f>VLOOKUP(B638,'[6]2018 allocation'!$A$11:$B$218,2, FALSE)</f>
        <v>119948.8233579541</v>
      </c>
      <c r="F638" s="513">
        <f>E638</f>
        <v>119948.8233579541</v>
      </c>
      <c r="G638" s="513">
        <v>0</v>
      </c>
      <c r="H638" s="513">
        <v>0</v>
      </c>
      <c r="I638" s="622" t="s">
        <v>103</v>
      </c>
      <c r="J638" s="513">
        <f>VLOOKUP(B638,'[6]Annual Spending Worksheet '!$C$6:$AG$250,28,FALSE)</f>
        <v>0</v>
      </c>
      <c r="K638" s="513">
        <f>VLOOKUP(B638,'[6]Annual Spending Worksheet '!$C$6:$AG$250,29,FALSE)</f>
        <v>0</v>
      </c>
      <c r="L638" s="513">
        <v>0</v>
      </c>
      <c r="M638" s="513">
        <f>D638+E638+H638-J638</f>
        <v>1543310.2940302682</v>
      </c>
      <c r="N638" s="513"/>
    </row>
    <row r="639" spans="2:14">
      <c r="B639" s="513" t="s">
        <v>284</v>
      </c>
      <c r="C639" s="889">
        <v>2019</v>
      </c>
      <c r="D639" s="513">
        <v>1543310.2940302682</v>
      </c>
      <c r="E639" s="513">
        <v>128253.39262713764</v>
      </c>
      <c r="F639" s="513">
        <v>128253.39262713764</v>
      </c>
      <c r="G639" s="513">
        <v>0</v>
      </c>
      <c r="H639" s="513">
        <v>0</v>
      </c>
      <c r="I639" s="622" t="s">
        <v>103</v>
      </c>
      <c r="J639" s="513">
        <v>0</v>
      </c>
      <c r="K639" s="513">
        <v>0</v>
      </c>
      <c r="L639" s="513">
        <v>0</v>
      </c>
      <c r="M639" s="513">
        <v>1671563.6866574059</v>
      </c>
      <c r="N639" s="513"/>
    </row>
    <row r="640" spans="2:14">
      <c r="B640" s="513" t="s">
        <v>285</v>
      </c>
      <c r="C640" s="658">
        <v>2008</v>
      </c>
      <c r="D640" s="513">
        <v>1823826.0520000001</v>
      </c>
      <c r="E640" s="512">
        <v>128388.36341808463</v>
      </c>
      <c r="F640" s="513">
        <v>128388.36341808463</v>
      </c>
      <c r="G640" s="512">
        <v>0</v>
      </c>
      <c r="H640" s="512">
        <v>0</v>
      </c>
      <c r="I640" s="659" t="s">
        <v>103</v>
      </c>
      <c r="J640" s="513">
        <v>0</v>
      </c>
      <c r="K640" s="513">
        <v>0</v>
      </c>
      <c r="L640" s="513">
        <v>0</v>
      </c>
      <c r="M640" s="513">
        <v>1952214.4154180847</v>
      </c>
      <c r="N640" s="622"/>
    </row>
    <row r="641" spans="2:14">
      <c r="B641" s="513" t="s">
        <v>285</v>
      </c>
      <c r="C641" s="658">
        <v>2009</v>
      </c>
      <c r="D641" s="513">
        <v>1952214.4154180847</v>
      </c>
      <c r="E641" s="512">
        <v>105139.36607401959</v>
      </c>
      <c r="F641" s="513">
        <v>105139.36607401959</v>
      </c>
      <c r="G641" s="512">
        <v>0</v>
      </c>
      <c r="H641" s="512">
        <v>0</v>
      </c>
      <c r="I641" s="659" t="s">
        <v>103</v>
      </c>
      <c r="J641" s="513">
        <v>0</v>
      </c>
      <c r="K641" s="513">
        <v>0</v>
      </c>
      <c r="L641" s="513">
        <v>0</v>
      </c>
      <c r="M641" s="513">
        <v>2057353.7814921043</v>
      </c>
      <c r="N641" s="622"/>
    </row>
    <row r="642" spans="2:14">
      <c r="B642" s="513" t="s">
        <v>285</v>
      </c>
      <c r="C642" s="658">
        <v>2010</v>
      </c>
      <c r="D642" s="513">
        <v>2057353.7814921043</v>
      </c>
      <c r="E642" s="512">
        <v>104998.37</v>
      </c>
      <c r="F642" s="513">
        <v>104998.37</v>
      </c>
      <c r="G642" s="512">
        <v>0</v>
      </c>
      <c r="H642" s="512">
        <v>0</v>
      </c>
      <c r="I642" s="659" t="s">
        <v>103</v>
      </c>
      <c r="J642" s="513">
        <v>0</v>
      </c>
      <c r="K642" s="513">
        <v>0</v>
      </c>
      <c r="L642" s="513">
        <v>0</v>
      </c>
      <c r="M642" s="513">
        <v>2162352.1514921044</v>
      </c>
      <c r="N642" s="622"/>
    </row>
    <row r="643" spans="2:14">
      <c r="B643" s="513" t="s">
        <v>285</v>
      </c>
      <c r="C643" s="658">
        <v>2011</v>
      </c>
      <c r="D643" s="513">
        <v>2162352.1470714542</v>
      </c>
      <c r="E643" s="512">
        <v>106662.95139089499</v>
      </c>
      <c r="F643" s="513">
        <v>106662.95139089499</v>
      </c>
      <c r="G643" s="512">
        <v>0</v>
      </c>
      <c r="H643" s="512">
        <v>0</v>
      </c>
      <c r="I643" s="659" t="s">
        <v>103</v>
      </c>
      <c r="J643" s="513">
        <v>0</v>
      </c>
      <c r="K643" s="513">
        <v>0</v>
      </c>
      <c r="L643" s="513">
        <v>0</v>
      </c>
      <c r="M643" s="513">
        <v>2269015.0984623493</v>
      </c>
      <c r="N643" s="622"/>
    </row>
    <row r="644" spans="2:14">
      <c r="B644" s="513" t="s">
        <v>285</v>
      </c>
      <c r="C644" s="658">
        <v>2012</v>
      </c>
      <c r="D644" s="513">
        <v>2269015.0984623493</v>
      </c>
      <c r="E644" s="513">
        <v>78916.595833862972</v>
      </c>
      <c r="F644" s="513">
        <v>78916.595833862972</v>
      </c>
      <c r="G644" s="512">
        <v>0</v>
      </c>
      <c r="H644" s="512">
        <v>0</v>
      </c>
      <c r="I644" s="659" t="s">
        <v>103</v>
      </c>
      <c r="J644" s="513">
        <v>0</v>
      </c>
      <c r="K644" s="513">
        <v>0</v>
      </c>
      <c r="L644" s="513">
        <v>0</v>
      </c>
      <c r="M644" s="513">
        <v>2347931.6942962124</v>
      </c>
      <c r="N644" s="622"/>
    </row>
    <row r="645" spans="2:14">
      <c r="B645" s="513" t="s">
        <v>285</v>
      </c>
      <c r="C645" s="658">
        <v>2013</v>
      </c>
      <c r="D645" s="513">
        <v>2347931.6942962124</v>
      </c>
      <c r="E645" s="513">
        <v>117242.30496607922</v>
      </c>
      <c r="F645" s="513">
        <v>117242.30496607922</v>
      </c>
      <c r="G645" s="512">
        <v>0</v>
      </c>
      <c r="H645" s="512">
        <v>0</v>
      </c>
      <c r="I645" s="659" t="s">
        <v>103</v>
      </c>
      <c r="J645" s="513">
        <v>0</v>
      </c>
      <c r="K645" s="513">
        <v>0</v>
      </c>
      <c r="L645" s="513">
        <v>0</v>
      </c>
      <c r="M645" s="513">
        <v>2465173.9992622915</v>
      </c>
      <c r="N645" s="622"/>
    </row>
    <row r="646" spans="2:14">
      <c r="B646" s="513" t="s">
        <v>285</v>
      </c>
      <c r="C646" s="658">
        <v>2014</v>
      </c>
      <c r="D646" s="513">
        <v>2465173.9992622919</v>
      </c>
      <c r="E646" s="513">
        <v>121696.13458720691</v>
      </c>
      <c r="F646" s="513">
        <v>121696.13458720691</v>
      </c>
      <c r="G646" s="512">
        <v>0</v>
      </c>
      <c r="H646" s="512">
        <v>0</v>
      </c>
      <c r="I646" s="659" t="s">
        <v>103</v>
      </c>
      <c r="J646" s="513">
        <v>0</v>
      </c>
      <c r="K646" s="513">
        <v>0</v>
      </c>
      <c r="L646" s="513">
        <v>0</v>
      </c>
      <c r="M646" s="513">
        <v>2586870.1338494988</v>
      </c>
      <c r="N646" s="622"/>
    </row>
    <row r="647" spans="2:14">
      <c r="B647" s="513" t="s">
        <v>285</v>
      </c>
      <c r="C647" s="658">
        <v>2015</v>
      </c>
      <c r="D647" s="513">
        <v>2586870.1338494988</v>
      </c>
      <c r="E647" s="513">
        <v>123527.11399329026</v>
      </c>
      <c r="F647" s="513">
        <v>123527.11399329026</v>
      </c>
      <c r="G647" s="660">
        <v>0</v>
      </c>
      <c r="H647" s="660">
        <v>0</v>
      </c>
      <c r="I647" s="659" t="s">
        <v>103</v>
      </c>
      <c r="J647" s="513">
        <v>13074.619999999999</v>
      </c>
      <c r="K647" s="513">
        <v>0</v>
      </c>
      <c r="L647" s="513">
        <v>0</v>
      </c>
      <c r="M647" s="513">
        <v>2697322.6278427891</v>
      </c>
      <c r="N647" s="622"/>
    </row>
    <row r="648" spans="2:14">
      <c r="B648" s="513" t="s">
        <v>285</v>
      </c>
      <c r="C648" s="658">
        <v>2016</v>
      </c>
      <c r="D648" s="513">
        <v>2697322.6278427886</v>
      </c>
      <c r="E648" s="513">
        <v>90291.808150754136</v>
      </c>
      <c r="F648" s="513">
        <v>90291.808150754136</v>
      </c>
      <c r="G648" s="660">
        <v>0</v>
      </c>
      <c r="H648" s="660">
        <v>0</v>
      </c>
      <c r="I648" s="659" t="s">
        <v>103</v>
      </c>
      <c r="J648" s="513">
        <v>24905.470000000005</v>
      </c>
      <c r="K648" s="513">
        <v>0</v>
      </c>
      <c r="L648" s="513">
        <v>0</v>
      </c>
      <c r="M648" s="513">
        <v>2762708.9659935427</v>
      </c>
      <c r="N648" s="622"/>
    </row>
    <row r="649" spans="2:14">
      <c r="B649" s="513" t="s">
        <v>285</v>
      </c>
      <c r="C649" s="658">
        <v>2017</v>
      </c>
      <c r="D649" s="513">
        <v>2762708.9659935432</v>
      </c>
      <c r="E649" s="513">
        <v>83752.967022442914</v>
      </c>
      <c r="F649" s="513">
        <v>83752.967022442914</v>
      </c>
      <c r="G649" s="513">
        <v>0</v>
      </c>
      <c r="H649" s="513">
        <v>0</v>
      </c>
      <c r="I649" s="659" t="s">
        <v>103</v>
      </c>
      <c r="J649" s="513">
        <v>11526.47</v>
      </c>
      <c r="K649" s="513">
        <v>0</v>
      </c>
      <c r="L649" s="513">
        <v>0</v>
      </c>
      <c r="M649" s="513">
        <v>2834935.4630159857</v>
      </c>
      <c r="N649" s="622"/>
    </row>
    <row r="650" spans="2:14">
      <c r="B650" s="513" t="s">
        <v>285</v>
      </c>
      <c r="C650" s="889">
        <v>2018</v>
      </c>
      <c r="D650" s="513">
        <v>2834935.4630159857</v>
      </c>
      <c r="E650" s="513">
        <f>VLOOKUP(B650,'[6]2018 allocation'!$A$11:$B$218,2, FALSE)</f>
        <v>89241.365341510726</v>
      </c>
      <c r="F650" s="513">
        <f>E650</f>
        <v>89241.365341510726</v>
      </c>
      <c r="G650" s="513">
        <v>0</v>
      </c>
      <c r="H650" s="513">
        <v>0</v>
      </c>
      <c r="I650" s="622" t="s">
        <v>103</v>
      </c>
      <c r="J650" s="513">
        <f>VLOOKUP(B650,'[6]Annual Spending Worksheet '!$C$6:$AG$250,28,FALSE)</f>
        <v>1155693.3600000001</v>
      </c>
      <c r="K650" s="513">
        <f>VLOOKUP(B650,'[6]Annual Spending Worksheet '!$C$6:$AG$250,29,FALSE)</f>
        <v>0</v>
      </c>
      <c r="L650" s="513">
        <v>0</v>
      </c>
      <c r="M650" s="513">
        <f>D650+E650+H650-J650</f>
        <v>1768483.4683574962</v>
      </c>
      <c r="N650" s="513"/>
    </row>
    <row r="651" spans="2:14">
      <c r="B651" s="513" t="s">
        <v>285</v>
      </c>
      <c r="C651" s="889">
        <v>2019</v>
      </c>
      <c r="D651" s="513">
        <v>1768483.4683574962</v>
      </c>
      <c r="E651" s="513">
        <v>95094.684835546053</v>
      </c>
      <c r="F651" s="513">
        <v>95094.684835546053</v>
      </c>
      <c r="G651" s="513">
        <v>0</v>
      </c>
      <c r="H651" s="513">
        <v>0</v>
      </c>
      <c r="I651" s="622" t="s">
        <v>103</v>
      </c>
      <c r="J651" s="513">
        <v>555171.8899999999</v>
      </c>
      <c r="K651" s="513">
        <v>1760371.81</v>
      </c>
      <c r="L651" s="513">
        <v>0</v>
      </c>
      <c r="M651" s="513">
        <v>1308406.2631930423</v>
      </c>
      <c r="N651" s="513"/>
    </row>
    <row r="652" spans="2:14">
      <c r="B652" s="513" t="s">
        <v>289</v>
      </c>
      <c r="C652" s="658">
        <v>2008</v>
      </c>
      <c r="D652" s="513">
        <v>160543.07999999999</v>
      </c>
      <c r="E652" s="512">
        <v>81267.102758803347</v>
      </c>
      <c r="F652" s="513">
        <v>81267.102758803347</v>
      </c>
      <c r="G652" s="512">
        <v>0</v>
      </c>
      <c r="H652" s="512">
        <v>0</v>
      </c>
      <c r="I652" s="659" t="s">
        <v>103</v>
      </c>
      <c r="J652" s="513">
        <v>0</v>
      </c>
      <c r="K652" s="513">
        <v>0</v>
      </c>
      <c r="L652" s="513">
        <v>0</v>
      </c>
      <c r="M652" s="513">
        <v>241810.18275880333</v>
      </c>
      <c r="N652" s="622"/>
    </row>
    <row r="653" spans="2:14">
      <c r="B653" s="513" t="s">
        <v>289</v>
      </c>
      <c r="C653" s="658">
        <v>2009</v>
      </c>
      <c r="D653" s="513">
        <v>241810.18275880348</v>
      </c>
      <c r="E653" s="512">
        <v>64924.708783606562</v>
      </c>
      <c r="F653" s="513">
        <v>64924.708783606562</v>
      </c>
      <c r="G653" s="512">
        <v>0</v>
      </c>
      <c r="H653" s="512">
        <v>0</v>
      </c>
      <c r="I653" s="659" t="s">
        <v>103</v>
      </c>
      <c r="J653" s="513">
        <v>0</v>
      </c>
      <c r="K653" s="513">
        <v>0</v>
      </c>
      <c r="L653" s="513">
        <v>0</v>
      </c>
      <c r="M653" s="513">
        <v>306734.89154241001</v>
      </c>
      <c r="N653" s="622"/>
    </row>
    <row r="654" spans="2:14">
      <c r="B654" s="513" t="s">
        <v>289</v>
      </c>
      <c r="C654" s="658">
        <v>2010</v>
      </c>
      <c r="D654" s="513">
        <v>306734.89154241001</v>
      </c>
      <c r="E654" s="512">
        <v>64831.46</v>
      </c>
      <c r="F654" s="513">
        <v>64831.46</v>
      </c>
      <c r="G654" s="512">
        <v>0</v>
      </c>
      <c r="H654" s="512">
        <v>0</v>
      </c>
      <c r="I654" s="659" t="s">
        <v>103</v>
      </c>
      <c r="J654" s="513">
        <v>0</v>
      </c>
      <c r="K654" s="513">
        <v>0</v>
      </c>
      <c r="L654" s="513">
        <v>0</v>
      </c>
      <c r="M654" s="513">
        <v>371566.35154241003</v>
      </c>
      <c r="N654" s="622"/>
    </row>
    <row r="655" spans="2:14">
      <c r="B655" s="513" t="s">
        <v>289</v>
      </c>
      <c r="C655" s="658">
        <v>2011</v>
      </c>
      <c r="D655" s="513">
        <v>371566.35225522006</v>
      </c>
      <c r="E655" s="512">
        <v>66029.759030584246</v>
      </c>
      <c r="F655" s="513">
        <v>66029.759030584246</v>
      </c>
      <c r="G655" s="512">
        <v>0</v>
      </c>
      <c r="H655" s="512">
        <v>0</v>
      </c>
      <c r="I655" s="659" t="s">
        <v>103</v>
      </c>
      <c r="J655" s="513">
        <v>0</v>
      </c>
      <c r="K655" s="513">
        <v>0</v>
      </c>
      <c r="L655" s="513">
        <v>0</v>
      </c>
      <c r="M655" s="513">
        <v>437596.11128580431</v>
      </c>
      <c r="N655" s="622"/>
    </row>
    <row r="656" spans="2:14">
      <c r="B656" s="513" t="s">
        <v>289</v>
      </c>
      <c r="C656" s="658">
        <v>2012</v>
      </c>
      <c r="D656" s="513">
        <v>437596.11128580431</v>
      </c>
      <c r="E656" s="513">
        <v>46659.67117596334</v>
      </c>
      <c r="F656" s="513">
        <v>46659.67117596334</v>
      </c>
      <c r="G656" s="512">
        <v>0</v>
      </c>
      <c r="H656" s="512">
        <v>0</v>
      </c>
      <c r="I656" s="659" t="s">
        <v>103</v>
      </c>
      <c r="J656" s="513">
        <v>0</v>
      </c>
      <c r="K656" s="513">
        <v>0</v>
      </c>
      <c r="L656" s="513">
        <v>0</v>
      </c>
      <c r="M656" s="513">
        <v>484255.78246176767</v>
      </c>
      <c r="N656" s="622"/>
    </row>
    <row r="657" spans="2:14">
      <c r="B657" s="513" t="s">
        <v>289</v>
      </c>
      <c r="C657" s="658">
        <v>2013</v>
      </c>
      <c r="D657" s="513">
        <v>484255.78246176755</v>
      </c>
      <c r="E657" s="513">
        <v>73394.312257122496</v>
      </c>
      <c r="F657" s="513">
        <v>73394.312257122496</v>
      </c>
      <c r="G657" s="512">
        <v>0</v>
      </c>
      <c r="H657" s="512">
        <v>0</v>
      </c>
      <c r="I657" s="659" t="s">
        <v>103</v>
      </c>
      <c r="J657" s="513">
        <v>0</v>
      </c>
      <c r="K657" s="513">
        <v>0</v>
      </c>
      <c r="L657" s="513">
        <v>0</v>
      </c>
      <c r="M657" s="513">
        <v>557650.09471889003</v>
      </c>
      <c r="N657" s="622"/>
    </row>
    <row r="658" spans="2:14">
      <c r="B658" s="513" t="s">
        <v>289</v>
      </c>
      <c r="C658" s="658">
        <v>2014</v>
      </c>
      <c r="D658" s="513">
        <v>557650.09471889026</v>
      </c>
      <c r="E658" s="513">
        <v>76503.809615656035</v>
      </c>
      <c r="F658" s="513">
        <v>76503.809615656035</v>
      </c>
      <c r="G658" s="512">
        <v>0</v>
      </c>
      <c r="H658" s="512">
        <v>0</v>
      </c>
      <c r="I658" s="659" t="s">
        <v>103</v>
      </c>
      <c r="J658" s="513">
        <v>0</v>
      </c>
      <c r="K658" s="513">
        <v>0</v>
      </c>
      <c r="L658" s="513">
        <v>0</v>
      </c>
      <c r="M658" s="513">
        <v>634153.9043345463</v>
      </c>
      <c r="N658" s="622"/>
    </row>
    <row r="659" spans="2:14">
      <c r="B659" s="513" t="s">
        <v>289</v>
      </c>
      <c r="C659" s="658">
        <v>2015</v>
      </c>
      <c r="D659" s="513">
        <v>634153.90433454653</v>
      </c>
      <c r="E659" s="513">
        <v>77862.919503019555</v>
      </c>
      <c r="F659" s="513">
        <v>77862.919503019555</v>
      </c>
      <c r="G659" s="660">
        <v>0</v>
      </c>
      <c r="H659" s="660">
        <v>3100000</v>
      </c>
      <c r="I659" s="659" t="s">
        <v>1727</v>
      </c>
      <c r="J659" s="513">
        <v>0</v>
      </c>
      <c r="K659" s="513">
        <v>0</v>
      </c>
      <c r="L659" s="513">
        <v>0</v>
      </c>
      <c r="M659" s="513">
        <v>3812016.8238375662</v>
      </c>
      <c r="N659" s="622"/>
    </row>
    <row r="660" spans="2:14">
      <c r="B660" s="513" t="s">
        <v>289</v>
      </c>
      <c r="C660" s="658">
        <v>2016</v>
      </c>
      <c r="D660" s="513">
        <v>3812016.8238375657</v>
      </c>
      <c r="E660" s="513">
        <v>54461.240537464866</v>
      </c>
      <c r="F660" s="513">
        <v>54461.240537464866</v>
      </c>
      <c r="G660" s="660">
        <v>0</v>
      </c>
      <c r="H660" s="660">
        <v>0</v>
      </c>
      <c r="I660" s="659" t="s">
        <v>103</v>
      </c>
      <c r="J660" s="513">
        <v>151653.44</v>
      </c>
      <c r="K660" s="513">
        <v>0</v>
      </c>
      <c r="L660" s="513">
        <v>0</v>
      </c>
      <c r="M660" s="513">
        <v>3714824.6243750309</v>
      </c>
      <c r="N660" s="622"/>
    </row>
    <row r="661" spans="2:14">
      <c r="B661" s="513" t="s">
        <v>289</v>
      </c>
      <c r="C661" s="658">
        <v>2017</v>
      </c>
      <c r="D661" s="513">
        <v>3714824.6243750313</v>
      </c>
      <c r="E661" s="513">
        <v>49914.752921116989</v>
      </c>
      <c r="F661" s="513">
        <v>49914.752921116989</v>
      </c>
      <c r="G661" s="513">
        <v>0</v>
      </c>
      <c r="H661" s="513">
        <v>0</v>
      </c>
      <c r="I661" s="659" t="s">
        <v>103</v>
      </c>
      <c r="J661" s="513">
        <v>31002.010000000002</v>
      </c>
      <c r="K661" s="513">
        <v>0</v>
      </c>
      <c r="L661" s="513">
        <v>0</v>
      </c>
      <c r="M661" s="513">
        <v>3733737.3672961486</v>
      </c>
      <c r="N661" s="622"/>
    </row>
    <row r="662" spans="2:14">
      <c r="B662" s="513" t="s">
        <v>289</v>
      </c>
      <c r="C662" s="889">
        <v>2018</v>
      </c>
      <c r="D662" s="513">
        <v>3733737.3672961486</v>
      </c>
      <c r="E662" s="513">
        <f>VLOOKUP(B662,'[6]2018 allocation'!$A$11:$B$218,2, FALSE)</f>
        <v>53813.646963533538</v>
      </c>
      <c r="F662" s="513">
        <f>E662</f>
        <v>53813.646963533538</v>
      </c>
      <c r="G662" s="513">
        <v>0</v>
      </c>
      <c r="H662" s="513">
        <v>0</v>
      </c>
      <c r="I662" s="622" t="s">
        <v>103</v>
      </c>
      <c r="J662" s="513">
        <f>VLOOKUP(B662,'[6]Annual Spending Worksheet '!$C$6:$AG$250,28,FALSE)</f>
        <v>19588.079999999998</v>
      </c>
      <c r="K662" s="513">
        <f>VLOOKUP(B662,'[6]Annual Spending Worksheet '!$C$6:$AG$250,29,FALSE)</f>
        <v>0</v>
      </c>
      <c r="L662" s="513">
        <v>0</v>
      </c>
      <c r="M662" s="513">
        <f>D662+E662+H662-J662</f>
        <v>3767962.934259682</v>
      </c>
      <c r="N662" s="513"/>
    </row>
    <row r="663" spans="2:14">
      <c r="B663" s="513" t="s">
        <v>289</v>
      </c>
      <c r="C663" s="889">
        <v>2019</v>
      </c>
      <c r="D663" s="513">
        <v>3767962.934259682</v>
      </c>
      <c r="E663" s="513">
        <v>57932.082079053886</v>
      </c>
      <c r="F663" s="513">
        <v>57932.082079053886</v>
      </c>
      <c r="G663" s="513">
        <v>0</v>
      </c>
      <c r="H663" s="513">
        <v>0</v>
      </c>
      <c r="I663" s="622" t="s">
        <v>103</v>
      </c>
      <c r="J663" s="513">
        <v>8451.9699999999993</v>
      </c>
      <c r="K663" s="513">
        <v>0</v>
      </c>
      <c r="L663" s="513">
        <v>0</v>
      </c>
      <c r="M663" s="513">
        <v>3817443.0463387356</v>
      </c>
      <c r="N663" s="513"/>
    </row>
    <row r="664" spans="2:14">
      <c r="B664" s="513" t="s">
        <v>295</v>
      </c>
      <c r="C664" s="658">
        <v>2008</v>
      </c>
      <c r="D664" s="513">
        <v>3072634.0429999987</v>
      </c>
      <c r="E664" s="512">
        <v>379099.90554283408</v>
      </c>
      <c r="F664" s="513">
        <v>379099.90554283408</v>
      </c>
      <c r="G664" s="512">
        <v>0</v>
      </c>
      <c r="H664" s="512">
        <v>0</v>
      </c>
      <c r="I664" s="659" t="s">
        <v>103</v>
      </c>
      <c r="J664" s="513">
        <v>681409.80999999994</v>
      </c>
      <c r="K664" s="513">
        <v>0</v>
      </c>
      <c r="L664" s="513">
        <v>0</v>
      </c>
      <c r="M664" s="513">
        <v>2770324.1385428328</v>
      </c>
      <c r="N664" s="622"/>
    </row>
    <row r="665" spans="2:14">
      <c r="B665" s="513" t="s">
        <v>295</v>
      </c>
      <c r="C665" s="658">
        <v>2009</v>
      </c>
      <c r="D665" s="513">
        <v>2770324.1385428328</v>
      </c>
      <c r="E665" s="512">
        <v>311254.45537997322</v>
      </c>
      <c r="F665" s="513">
        <v>311254.45537997322</v>
      </c>
      <c r="G665" s="512">
        <v>0</v>
      </c>
      <c r="H665" s="512">
        <v>0</v>
      </c>
      <c r="I665" s="659" t="s">
        <v>103</v>
      </c>
      <c r="J665" s="513">
        <v>628847.91</v>
      </c>
      <c r="K665" s="513">
        <v>0</v>
      </c>
      <c r="L665" s="513">
        <v>0</v>
      </c>
      <c r="M665" s="513">
        <v>2452730.6839228058</v>
      </c>
      <c r="N665" s="622"/>
    </row>
    <row r="666" spans="2:14">
      <c r="B666" s="513" t="s">
        <v>295</v>
      </c>
      <c r="C666" s="658">
        <v>2010</v>
      </c>
      <c r="D666" s="513">
        <v>2452730.6839228068</v>
      </c>
      <c r="E666" s="512">
        <v>310866.56</v>
      </c>
      <c r="F666" s="513">
        <v>310866.56</v>
      </c>
      <c r="G666" s="512">
        <v>0</v>
      </c>
      <c r="H666" s="512">
        <v>0</v>
      </c>
      <c r="I666" s="659" t="s">
        <v>103</v>
      </c>
      <c r="J666" s="513">
        <v>667765.30000000005</v>
      </c>
      <c r="K666" s="513">
        <v>0</v>
      </c>
      <c r="L666" s="513">
        <v>0</v>
      </c>
      <c r="M666" s="513">
        <v>2095831.9439228068</v>
      </c>
      <c r="N666" s="622"/>
    </row>
    <row r="667" spans="2:14">
      <c r="B667" s="513" t="s">
        <v>295</v>
      </c>
      <c r="C667" s="658">
        <v>2011</v>
      </c>
      <c r="D667" s="513">
        <v>2095831.9464797936</v>
      </c>
      <c r="E667" s="512">
        <v>315858.30971004389</v>
      </c>
      <c r="F667" s="513">
        <v>315858.30971004389</v>
      </c>
      <c r="G667" s="512">
        <v>0</v>
      </c>
      <c r="H667" s="512">
        <v>0</v>
      </c>
      <c r="I667" s="659" t="s">
        <v>103</v>
      </c>
      <c r="J667" s="513">
        <v>250581.84000000003</v>
      </c>
      <c r="K667" s="513">
        <v>0</v>
      </c>
      <c r="L667" s="513">
        <v>0</v>
      </c>
      <c r="M667" s="513">
        <v>2161108.4161898377</v>
      </c>
      <c r="N667" s="622"/>
    </row>
    <row r="668" spans="2:14">
      <c r="B668" s="513" t="s">
        <v>295</v>
      </c>
      <c r="C668" s="658">
        <v>2012</v>
      </c>
      <c r="D668" s="513">
        <v>2161108.4161898363</v>
      </c>
      <c r="E668" s="513">
        <v>235541.75639092588</v>
      </c>
      <c r="F668" s="513">
        <v>235541.75639092588</v>
      </c>
      <c r="G668" s="512">
        <v>0</v>
      </c>
      <c r="H668" s="512">
        <v>0</v>
      </c>
      <c r="I668" s="659" t="s">
        <v>103</v>
      </c>
      <c r="J668" s="513">
        <v>-24361.569999999996</v>
      </c>
      <c r="K668" s="513">
        <v>0</v>
      </c>
      <c r="L668" s="513">
        <v>8355.25</v>
      </c>
      <c r="M668" s="513">
        <v>2412656.4925807621</v>
      </c>
      <c r="N668" s="622"/>
    </row>
    <row r="669" spans="2:14">
      <c r="B669" s="513" t="s">
        <v>295</v>
      </c>
      <c r="C669" s="658">
        <v>2013</v>
      </c>
      <c r="D669" s="513">
        <v>2412656.4925807621</v>
      </c>
      <c r="E669" s="513">
        <v>346464.11244286457</v>
      </c>
      <c r="F669" s="513">
        <v>346464.11244286457</v>
      </c>
      <c r="G669" s="512">
        <v>0</v>
      </c>
      <c r="H669" s="512">
        <v>0</v>
      </c>
      <c r="I669" s="659" t="s">
        <v>103</v>
      </c>
      <c r="J669" s="513">
        <v>-52460.380000000012</v>
      </c>
      <c r="K669" s="513">
        <v>2576332</v>
      </c>
      <c r="L669" s="513">
        <v>0</v>
      </c>
      <c r="M669" s="513">
        <v>2811580.9850236266</v>
      </c>
      <c r="N669" s="622"/>
    </row>
    <row r="670" spans="2:14">
      <c r="B670" s="513" t="s">
        <v>295</v>
      </c>
      <c r="C670" s="658">
        <v>2014</v>
      </c>
      <c r="D670" s="513">
        <v>2811580.9850236271</v>
      </c>
      <c r="E670" s="513">
        <v>359401.21947323706</v>
      </c>
      <c r="F670" s="513">
        <v>359401.21947323706</v>
      </c>
      <c r="G670" s="512">
        <v>0</v>
      </c>
      <c r="H670" s="512">
        <v>0</v>
      </c>
      <c r="I670" s="659" t="s">
        <v>103</v>
      </c>
      <c r="J670" s="513">
        <v>0</v>
      </c>
      <c r="K670" s="513">
        <v>0</v>
      </c>
      <c r="L670" s="513">
        <v>0</v>
      </c>
      <c r="M670" s="513">
        <v>3170982.2044968642</v>
      </c>
      <c r="N670" s="622"/>
    </row>
    <row r="671" spans="2:14">
      <c r="B671" s="513" t="s">
        <v>295</v>
      </c>
      <c r="C671" s="658">
        <v>2015</v>
      </c>
      <c r="D671" s="513">
        <v>3170982.2044968642</v>
      </c>
      <c r="E671" s="513">
        <v>364707.88782604208</v>
      </c>
      <c r="F671" s="513">
        <v>364707.88782604208</v>
      </c>
      <c r="G671" s="660">
        <v>0</v>
      </c>
      <c r="H671" s="660">
        <v>0</v>
      </c>
      <c r="I671" s="659" t="s">
        <v>103</v>
      </c>
      <c r="J671" s="513">
        <v>0</v>
      </c>
      <c r="K671" s="513">
        <v>0</v>
      </c>
      <c r="L671" s="513">
        <v>0</v>
      </c>
      <c r="M671" s="513">
        <v>3535690.0923229065</v>
      </c>
      <c r="N671" s="622"/>
    </row>
    <row r="672" spans="2:14">
      <c r="B672" s="513" t="s">
        <v>295</v>
      </c>
      <c r="C672" s="658">
        <v>2016</v>
      </c>
      <c r="D672" s="513">
        <v>3535690.0923229065</v>
      </c>
      <c r="E672" s="513">
        <v>268319.79021125659</v>
      </c>
      <c r="F672" s="513">
        <v>268319.79021125659</v>
      </c>
      <c r="G672" s="660">
        <v>0</v>
      </c>
      <c r="H672" s="660">
        <v>0</v>
      </c>
      <c r="I672" s="659" t="s">
        <v>103</v>
      </c>
      <c r="J672" s="513">
        <v>0</v>
      </c>
      <c r="K672" s="513">
        <v>0</v>
      </c>
      <c r="L672" s="513">
        <v>0</v>
      </c>
      <c r="M672" s="513">
        <v>3804009.8825341631</v>
      </c>
      <c r="N672" s="622"/>
    </row>
    <row r="673" spans="2:14">
      <c r="B673" s="513" t="s">
        <v>295</v>
      </c>
      <c r="C673" s="658">
        <v>2017</v>
      </c>
      <c r="D673" s="513">
        <v>3804009.8825341631</v>
      </c>
      <c r="E673" s="513">
        <v>249418.40532807185</v>
      </c>
      <c r="F673" s="513">
        <v>249418.40532807185</v>
      </c>
      <c r="G673" s="513">
        <v>0</v>
      </c>
      <c r="H673" s="513">
        <v>0</v>
      </c>
      <c r="I673" s="659" t="s">
        <v>103</v>
      </c>
      <c r="J673" s="513">
        <v>0</v>
      </c>
      <c r="K673" s="513">
        <v>0</v>
      </c>
      <c r="L673" s="513">
        <v>0</v>
      </c>
      <c r="M673" s="513">
        <v>4053428.2878622347</v>
      </c>
      <c r="N673" s="622"/>
    </row>
    <row r="674" spans="2:14">
      <c r="B674" s="513" t="s">
        <v>295</v>
      </c>
      <c r="C674" s="889">
        <v>2018</v>
      </c>
      <c r="D674" s="513">
        <v>4053428.2878622347</v>
      </c>
      <c r="E674" s="513">
        <f>VLOOKUP(B674,'[6]2018 allocation'!$A$11:$B$218,2, FALSE)</f>
        <v>265519.00575070817</v>
      </c>
      <c r="F674" s="513">
        <f>E674</f>
        <v>265519.00575070817</v>
      </c>
      <c r="G674" s="513">
        <v>0</v>
      </c>
      <c r="H674" s="513">
        <v>0</v>
      </c>
      <c r="I674" s="622" t="s">
        <v>103</v>
      </c>
      <c r="J674" s="513">
        <f>VLOOKUP(B674,'[6]Annual Spending Worksheet '!$C$6:$AG$250,28,FALSE)</f>
        <v>0</v>
      </c>
      <c r="K674" s="513">
        <f>VLOOKUP(B674,'[6]Annual Spending Worksheet '!$C$6:$AG$250,29,FALSE)</f>
        <v>0</v>
      </c>
      <c r="L674" s="513">
        <v>0</v>
      </c>
      <c r="M674" s="513">
        <f>D674+E674+H674-J674</f>
        <v>4318947.293612943</v>
      </c>
      <c r="N674" s="513"/>
    </row>
    <row r="675" spans="2:14">
      <c r="B675" s="513" t="s">
        <v>295</v>
      </c>
      <c r="C675" s="889">
        <v>2019</v>
      </c>
      <c r="D675" s="513">
        <v>4318947.293612943</v>
      </c>
      <c r="E675" s="513">
        <v>282466.68150142964</v>
      </c>
      <c r="F675" s="513">
        <v>282466.68150142964</v>
      </c>
      <c r="G675" s="513">
        <v>0</v>
      </c>
      <c r="H675" s="513">
        <v>0</v>
      </c>
      <c r="I675" s="622" t="s">
        <v>103</v>
      </c>
      <c r="J675" s="513">
        <v>0</v>
      </c>
      <c r="K675" s="513">
        <v>0</v>
      </c>
      <c r="L675" s="513">
        <v>0</v>
      </c>
      <c r="M675" s="513">
        <v>4601413.9751143726</v>
      </c>
      <c r="N675" s="513"/>
    </row>
    <row r="676" spans="2:14">
      <c r="B676" s="513" t="s">
        <v>303</v>
      </c>
      <c r="C676" s="658">
        <v>2008</v>
      </c>
      <c r="D676" s="513">
        <v>2675076.54</v>
      </c>
      <c r="E676" s="512">
        <v>290396.24627247726</v>
      </c>
      <c r="F676" s="513">
        <v>290396.24627247726</v>
      </c>
      <c r="G676" s="512">
        <v>0</v>
      </c>
      <c r="H676" s="512">
        <v>0</v>
      </c>
      <c r="I676" s="659" t="s">
        <v>103</v>
      </c>
      <c r="J676" s="513">
        <v>0</v>
      </c>
      <c r="K676" s="513">
        <v>0</v>
      </c>
      <c r="L676" s="513">
        <v>0</v>
      </c>
      <c r="M676" s="513">
        <v>2965472.7862724774</v>
      </c>
      <c r="N676" s="622"/>
    </row>
    <row r="677" spans="2:14">
      <c r="B677" s="513" t="s">
        <v>303</v>
      </c>
      <c r="C677" s="658">
        <v>2009</v>
      </c>
      <c r="D677" s="513">
        <v>2965472.7862724783</v>
      </c>
      <c r="E677" s="512">
        <v>224646.86530801174</v>
      </c>
      <c r="F677" s="513">
        <v>224646.86530801174</v>
      </c>
      <c r="G677" s="512">
        <v>0</v>
      </c>
      <c r="H677" s="512">
        <v>0</v>
      </c>
      <c r="I677" s="659" t="s">
        <v>103</v>
      </c>
      <c r="J677" s="513">
        <v>110217.5</v>
      </c>
      <c r="K677" s="513">
        <v>0</v>
      </c>
      <c r="L677" s="513">
        <v>0</v>
      </c>
      <c r="M677" s="513">
        <v>3079902.1515804902</v>
      </c>
      <c r="N677" s="622"/>
    </row>
    <row r="678" spans="2:14">
      <c r="B678" s="513" t="s">
        <v>303</v>
      </c>
      <c r="C678" s="658">
        <v>2010</v>
      </c>
      <c r="D678" s="513">
        <v>3079902.1515804902</v>
      </c>
      <c r="E678" s="512">
        <v>224228.66</v>
      </c>
      <c r="F678" s="513">
        <v>224228.66</v>
      </c>
      <c r="G678" s="512">
        <v>0</v>
      </c>
      <c r="H678" s="512">
        <v>0</v>
      </c>
      <c r="I678" s="659" t="s">
        <v>103</v>
      </c>
      <c r="J678" s="513">
        <v>44049.74</v>
      </c>
      <c r="K678" s="513">
        <v>0</v>
      </c>
      <c r="L678" s="513">
        <v>0</v>
      </c>
      <c r="M678" s="513">
        <v>3260081.0715804901</v>
      </c>
      <c r="N678" s="622"/>
    </row>
    <row r="679" spans="2:14">
      <c r="B679" s="513" t="s">
        <v>303</v>
      </c>
      <c r="C679" s="658">
        <v>2011</v>
      </c>
      <c r="D679" s="513">
        <v>3260081.0721467761</v>
      </c>
      <c r="E679" s="512">
        <v>228943.10877797924</v>
      </c>
      <c r="F679" s="513">
        <v>228943.10877797924</v>
      </c>
      <c r="G679" s="512">
        <v>0</v>
      </c>
      <c r="H679" s="512">
        <v>0</v>
      </c>
      <c r="I679" s="659" t="s">
        <v>103</v>
      </c>
      <c r="J679" s="513">
        <v>75328.460000000006</v>
      </c>
      <c r="K679" s="513">
        <v>0</v>
      </c>
      <c r="L679" s="513">
        <v>0</v>
      </c>
      <c r="M679" s="513">
        <v>3413695.7209247556</v>
      </c>
      <c r="N679" s="622"/>
    </row>
    <row r="680" spans="2:14">
      <c r="B680" s="513" t="s">
        <v>303</v>
      </c>
      <c r="C680" s="658">
        <v>2012</v>
      </c>
      <c r="D680" s="513">
        <v>3413695.7209247556</v>
      </c>
      <c r="E680" s="513">
        <v>149919.76185889752</v>
      </c>
      <c r="F680" s="513">
        <v>149919.76185889752</v>
      </c>
      <c r="G680" s="512">
        <v>0</v>
      </c>
      <c r="H680" s="512">
        <v>0</v>
      </c>
      <c r="I680" s="659" t="s">
        <v>103</v>
      </c>
      <c r="J680" s="513">
        <v>1464647.2100000042</v>
      </c>
      <c r="K680" s="513">
        <v>1698447</v>
      </c>
      <c r="L680" s="513">
        <v>-1289.9000000000001</v>
      </c>
      <c r="M680" s="513">
        <v>2100258.1727836486</v>
      </c>
      <c r="N680" s="622"/>
    </row>
    <row r="681" spans="2:14">
      <c r="B681" s="513" t="s">
        <v>303</v>
      </c>
      <c r="C681" s="658">
        <v>2013</v>
      </c>
      <c r="D681" s="513">
        <v>2100258.1727836542</v>
      </c>
      <c r="E681" s="513">
        <v>258985.0951998386</v>
      </c>
      <c r="F681" s="513">
        <v>258985.0951998386</v>
      </c>
      <c r="G681" s="512">
        <v>0</v>
      </c>
      <c r="H681" s="512">
        <v>0</v>
      </c>
      <c r="I681" s="659" t="s">
        <v>103</v>
      </c>
      <c r="J681" s="513">
        <v>17382.57</v>
      </c>
      <c r="K681" s="513">
        <v>0</v>
      </c>
      <c r="L681" s="513">
        <v>-11888.2</v>
      </c>
      <c r="M681" s="513">
        <v>2353748.8979834933</v>
      </c>
      <c r="N681" s="622"/>
    </row>
    <row r="682" spans="2:14">
      <c r="B682" s="513" t="s">
        <v>303</v>
      </c>
      <c r="C682" s="658">
        <v>2014</v>
      </c>
      <c r="D682" s="513">
        <v>2353748.8979834924</v>
      </c>
      <c r="E682" s="513">
        <v>271653.98254703649</v>
      </c>
      <c r="F682" s="513">
        <v>271653.98254703649</v>
      </c>
      <c r="G682" s="512">
        <v>0</v>
      </c>
      <c r="H682" s="512">
        <v>0</v>
      </c>
      <c r="I682" s="659" t="s">
        <v>103</v>
      </c>
      <c r="J682" s="513">
        <v>0</v>
      </c>
      <c r="K682" s="513">
        <v>0</v>
      </c>
      <c r="L682" s="513">
        <v>0</v>
      </c>
      <c r="M682" s="513">
        <v>2625402.8805305287</v>
      </c>
      <c r="N682" s="622"/>
    </row>
    <row r="683" spans="2:14">
      <c r="B683" s="513" t="s">
        <v>303</v>
      </c>
      <c r="C683" s="658">
        <v>2015</v>
      </c>
      <c r="D683" s="513">
        <v>2625402.8805305278</v>
      </c>
      <c r="E683" s="513">
        <v>276843.38967963849</v>
      </c>
      <c r="F683" s="513">
        <v>276843.38967963849</v>
      </c>
      <c r="G683" s="660">
        <v>0</v>
      </c>
      <c r="H683" s="660">
        <v>0</v>
      </c>
      <c r="I683" s="659" t="s">
        <v>103</v>
      </c>
      <c r="J683" s="513">
        <v>0</v>
      </c>
      <c r="K683" s="513">
        <v>0</v>
      </c>
      <c r="L683" s="513">
        <v>0</v>
      </c>
      <c r="M683" s="513">
        <v>2902246.2702101665</v>
      </c>
      <c r="N683" s="622"/>
    </row>
    <row r="684" spans="2:14">
      <c r="B684" s="513" t="s">
        <v>303</v>
      </c>
      <c r="C684" s="658">
        <v>2016</v>
      </c>
      <c r="D684" s="513">
        <v>2902246.2702101665</v>
      </c>
      <c r="E684" s="513">
        <v>183413.72768430298</v>
      </c>
      <c r="F684" s="513">
        <v>183413.72768430298</v>
      </c>
      <c r="G684" s="660">
        <v>0</v>
      </c>
      <c r="H684" s="660">
        <v>0</v>
      </c>
      <c r="I684" s="659" t="s">
        <v>103</v>
      </c>
      <c r="J684" s="513">
        <v>0</v>
      </c>
      <c r="K684" s="513">
        <v>0</v>
      </c>
      <c r="L684" s="513">
        <v>0</v>
      </c>
      <c r="M684" s="513">
        <v>3085659.9978944696</v>
      </c>
      <c r="N684" s="622"/>
    </row>
    <row r="685" spans="2:14">
      <c r="B685" s="513" t="s">
        <v>303</v>
      </c>
      <c r="C685" s="658">
        <v>2017</v>
      </c>
      <c r="D685" s="513">
        <v>3085659.9978944687</v>
      </c>
      <c r="E685" s="513">
        <v>164350.93463711126</v>
      </c>
      <c r="F685" s="513">
        <v>164350.93463711126</v>
      </c>
      <c r="G685" s="513">
        <v>0</v>
      </c>
      <c r="H685" s="513">
        <v>0</v>
      </c>
      <c r="I685" s="659" t="s">
        <v>103</v>
      </c>
      <c r="J685" s="513">
        <v>0</v>
      </c>
      <c r="K685" s="513">
        <v>0</v>
      </c>
      <c r="L685" s="513">
        <v>0</v>
      </c>
      <c r="M685" s="513">
        <v>3250010.9325315799</v>
      </c>
      <c r="N685" s="622"/>
    </row>
    <row r="686" spans="2:14">
      <c r="B686" s="513" t="s">
        <v>303</v>
      </c>
      <c r="C686" s="889">
        <v>2018</v>
      </c>
      <c r="D686" s="513">
        <v>3250010.9325315799</v>
      </c>
      <c r="E686" s="513">
        <f>VLOOKUP(B686,'[6]2018 allocation'!$A$11:$B$218,2, FALSE)</f>
        <v>179987.25900341338</v>
      </c>
      <c r="F686" s="513">
        <f>E686</f>
        <v>179987.25900341338</v>
      </c>
      <c r="G686" s="513">
        <v>0</v>
      </c>
      <c r="H686" s="513">
        <v>0</v>
      </c>
      <c r="I686" s="622" t="s">
        <v>103</v>
      </c>
      <c r="J686" s="513">
        <f>VLOOKUP(B686,'[6]Annual Spending Worksheet '!$C$6:$AG$250,28,FALSE)</f>
        <v>0</v>
      </c>
      <c r="K686" s="513">
        <f>VLOOKUP(B686,'[6]Annual Spending Worksheet '!$C$6:$AG$250,29,FALSE)</f>
        <v>0</v>
      </c>
      <c r="L686" s="513">
        <v>0</v>
      </c>
      <c r="M686" s="513">
        <f>D686+E686+H686-J686</f>
        <v>3429998.1915349932</v>
      </c>
      <c r="N686" s="513"/>
    </row>
    <row r="687" spans="2:14">
      <c r="B687" s="513" t="s">
        <v>303</v>
      </c>
      <c r="C687" s="889">
        <v>2019</v>
      </c>
      <c r="D687" s="513">
        <v>3429998.1915349932</v>
      </c>
      <c r="E687" s="513">
        <v>196270.99911496867</v>
      </c>
      <c r="F687" s="513">
        <v>196270.99911496867</v>
      </c>
      <c r="G687" s="513">
        <v>0</v>
      </c>
      <c r="H687" s="513">
        <v>0</v>
      </c>
      <c r="I687" s="622" t="s">
        <v>103</v>
      </c>
      <c r="J687" s="513">
        <v>0</v>
      </c>
      <c r="K687" s="513">
        <v>0</v>
      </c>
      <c r="L687" s="513">
        <v>0</v>
      </c>
      <c r="M687" s="513">
        <v>3626269.1906499621</v>
      </c>
      <c r="N687" s="513"/>
    </row>
    <row r="688" spans="2:14" ht="29.1">
      <c r="B688" s="513" t="s">
        <v>309</v>
      </c>
      <c r="C688" s="658">
        <v>2008</v>
      </c>
      <c r="D688" s="513">
        <v>-1885924.5929999999</v>
      </c>
      <c r="E688" s="512">
        <v>138293.19338669389</v>
      </c>
      <c r="F688" s="513">
        <v>138293.19338669389</v>
      </c>
      <c r="G688" s="512">
        <v>-1747631.3996133059</v>
      </c>
      <c r="H688" s="512">
        <v>0</v>
      </c>
      <c r="I688" s="659" t="s">
        <v>103</v>
      </c>
      <c r="J688" s="513">
        <v>-11951</v>
      </c>
      <c r="K688" s="513">
        <v>0</v>
      </c>
      <c r="L688" s="513">
        <v>0</v>
      </c>
      <c r="M688" s="513">
        <v>-1735680.3996133059</v>
      </c>
      <c r="N688" s="622" t="s">
        <v>1711</v>
      </c>
    </row>
    <row r="689" spans="2:14" ht="29.1">
      <c r="B689" s="513" t="s">
        <v>309</v>
      </c>
      <c r="C689" s="658">
        <v>2009</v>
      </c>
      <c r="D689" s="513">
        <v>-1735680.3996133059</v>
      </c>
      <c r="E689" s="512">
        <v>114985.70901498145</v>
      </c>
      <c r="F689" s="513">
        <v>114985.70901498145</v>
      </c>
      <c r="G689" s="512">
        <v>-1620694.6905983244</v>
      </c>
      <c r="H689" s="512">
        <v>0</v>
      </c>
      <c r="I689" s="659" t="s">
        <v>103</v>
      </c>
      <c r="J689" s="513">
        <v>0</v>
      </c>
      <c r="K689" s="513">
        <v>0</v>
      </c>
      <c r="L689" s="513">
        <v>0</v>
      </c>
      <c r="M689" s="513">
        <v>-1620694.6905983244</v>
      </c>
      <c r="N689" s="622" t="s">
        <v>1711</v>
      </c>
    </row>
    <row r="690" spans="2:14" ht="29.1">
      <c r="B690" s="513" t="s">
        <v>309</v>
      </c>
      <c r="C690" s="658">
        <v>2010</v>
      </c>
      <c r="D690" s="513">
        <v>-1620694.6905983249</v>
      </c>
      <c r="E690" s="512">
        <v>114856.18</v>
      </c>
      <c r="F690" s="513">
        <v>114856.18</v>
      </c>
      <c r="G690" s="512">
        <v>-1505838.5105983249</v>
      </c>
      <c r="H690" s="512">
        <v>0</v>
      </c>
      <c r="I690" s="659" t="s">
        <v>103</v>
      </c>
      <c r="J690" s="513">
        <v>0</v>
      </c>
      <c r="K690" s="513">
        <v>0</v>
      </c>
      <c r="L690" s="513">
        <v>0</v>
      </c>
      <c r="M690" s="513">
        <v>-1505838.5105983249</v>
      </c>
      <c r="N690" s="622" t="s">
        <v>1711</v>
      </c>
    </row>
    <row r="691" spans="2:14" ht="29.1">
      <c r="B691" s="513" t="s">
        <v>309</v>
      </c>
      <c r="C691" s="658">
        <v>2011</v>
      </c>
      <c r="D691" s="513">
        <v>-1505838.5104211764</v>
      </c>
      <c r="E691" s="512">
        <v>116652.39860721186</v>
      </c>
      <c r="F691" s="513">
        <v>116652.39860721186</v>
      </c>
      <c r="G691" s="512">
        <v>-1389186.1118139646</v>
      </c>
      <c r="H691" s="512">
        <v>0</v>
      </c>
      <c r="I691" s="659" t="s">
        <v>103</v>
      </c>
      <c r="J691" s="513">
        <v>0</v>
      </c>
      <c r="K691" s="513">
        <v>0</v>
      </c>
      <c r="L691" s="513">
        <v>0</v>
      </c>
      <c r="M691" s="513">
        <v>-1389186.1118139646</v>
      </c>
      <c r="N691" s="622" t="s">
        <v>1711</v>
      </c>
    </row>
    <row r="692" spans="2:14" ht="29.1">
      <c r="B692" s="513" t="s">
        <v>309</v>
      </c>
      <c r="C692" s="658">
        <v>2012</v>
      </c>
      <c r="D692" s="513">
        <v>-1389186.1118139643</v>
      </c>
      <c r="E692" s="512">
        <v>89573.642578255298</v>
      </c>
      <c r="F692" s="513">
        <v>89573.642578255298</v>
      </c>
      <c r="G692" s="660">
        <v>-1299612.4692357089</v>
      </c>
      <c r="H692" s="512">
        <v>0</v>
      </c>
      <c r="I692" s="659" t="s">
        <v>103</v>
      </c>
      <c r="J692" s="513">
        <v>0</v>
      </c>
      <c r="K692" s="513">
        <v>0</v>
      </c>
      <c r="L692" s="513">
        <v>0</v>
      </c>
      <c r="M692" s="513">
        <v>-1299612.4692357089</v>
      </c>
      <c r="N692" s="622" t="s">
        <v>1711</v>
      </c>
    </row>
    <row r="693" spans="2:14" ht="29.1">
      <c r="B693" s="513" t="s">
        <v>309</v>
      </c>
      <c r="C693" s="658">
        <v>2013</v>
      </c>
      <c r="D693" s="513">
        <v>-1299612.4692357089</v>
      </c>
      <c r="E693" s="513">
        <v>126981.76084509329</v>
      </c>
      <c r="F693" s="513">
        <v>126981.76084509329</v>
      </c>
      <c r="G693" s="660">
        <v>-1172630.7083906156</v>
      </c>
      <c r="H693" s="512">
        <v>0</v>
      </c>
      <c r="I693" s="659" t="s">
        <v>103</v>
      </c>
      <c r="J693" s="513">
        <v>0</v>
      </c>
      <c r="K693" s="513">
        <v>0</v>
      </c>
      <c r="L693" s="513">
        <v>0</v>
      </c>
      <c r="M693" s="513">
        <v>-1172630.7083906156</v>
      </c>
      <c r="N693" s="622" t="s">
        <v>1711</v>
      </c>
    </row>
    <row r="694" spans="2:14" ht="29.1">
      <c r="B694" s="513" t="s">
        <v>309</v>
      </c>
      <c r="C694" s="658">
        <v>2014</v>
      </c>
      <c r="D694" s="513">
        <v>-1172630.7083906159</v>
      </c>
      <c r="E694" s="513">
        <v>131340.91238480035</v>
      </c>
      <c r="F694" s="513">
        <v>131340.91238480035</v>
      </c>
      <c r="G694" s="660">
        <v>-1041289.7960058155</v>
      </c>
      <c r="H694" s="512">
        <v>0</v>
      </c>
      <c r="I694" s="659" t="s">
        <v>103</v>
      </c>
      <c r="J694" s="513">
        <v>0</v>
      </c>
      <c r="K694" s="513">
        <v>0</v>
      </c>
      <c r="L694" s="513">
        <v>0</v>
      </c>
      <c r="M694" s="513">
        <v>-1041289.7960058155</v>
      </c>
      <c r="N694" s="622" t="s">
        <v>1711</v>
      </c>
    </row>
    <row r="695" spans="2:14" ht="29.1">
      <c r="B695" s="513" t="s">
        <v>309</v>
      </c>
      <c r="C695" s="658">
        <v>2015</v>
      </c>
      <c r="D695" s="513">
        <v>-1041289.7960058153</v>
      </c>
      <c r="E695" s="513">
        <v>133120.59097766731</v>
      </c>
      <c r="F695" s="513">
        <v>133120.59097766731</v>
      </c>
      <c r="G695" s="660">
        <v>-908169.2050281479</v>
      </c>
      <c r="H695" s="512">
        <v>0</v>
      </c>
      <c r="I695" s="659" t="s">
        <v>103</v>
      </c>
      <c r="J695" s="513">
        <v>0</v>
      </c>
      <c r="K695" s="513">
        <v>0</v>
      </c>
      <c r="L695" s="513">
        <v>0</v>
      </c>
      <c r="M695" s="513">
        <v>-908169.2050281479</v>
      </c>
      <c r="N695" s="622" t="s">
        <v>1711</v>
      </c>
    </row>
    <row r="696" spans="2:14" ht="29.1">
      <c r="B696" s="513" t="s">
        <v>309</v>
      </c>
      <c r="C696" s="658">
        <v>2016</v>
      </c>
      <c r="D696" s="513">
        <v>-908169.20502814837</v>
      </c>
      <c r="E696" s="513">
        <v>100695.80807147913</v>
      </c>
      <c r="F696" s="513">
        <v>100695.80807147913</v>
      </c>
      <c r="G696" s="660">
        <v>-807473.39695666928</v>
      </c>
      <c r="H696" s="660">
        <v>0</v>
      </c>
      <c r="I696" s="659" t="s">
        <v>103</v>
      </c>
      <c r="J696" s="513">
        <v>0</v>
      </c>
      <c r="K696" s="513">
        <v>0</v>
      </c>
      <c r="L696" s="513">
        <v>0</v>
      </c>
      <c r="M696" s="513">
        <v>-807473.39695666928</v>
      </c>
      <c r="N696" s="622" t="s">
        <v>1711</v>
      </c>
    </row>
    <row r="697" spans="2:14" ht="29.1">
      <c r="B697" s="513" t="s">
        <v>309</v>
      </c>
      <c r="C697" s="658">
        <v>2017</v>
      </c>
      <c r="D697" s="513">
        <v>-807473.39695666917</v>
      </c>
      <c r="E697" s="513">
        <v>94186.890879778977</v>
      </c>
      <c r="F697" s="513">
        <v>94186.890879778977</v>
      </c>
      <c r="G697" s="660">
        <v>-713286.50607689016</v>
      </c>
      <c r="H697" s="660">
        <v>0</v>
      </c>
      <c r="I697" s="659" t="s">
        <v>103</v>
      </c>
      <c r="J697" s="513">
        <v>0</v>
      </c>
      <c r="K697" s="513">
        <v>0</v>
      </c>
      <c r="L697" s="513">
        <v>0</v>
      </c>
      <c r="M697" s="513">
        <v>-713286.50607689016</v>
      </c>
      <c r="N697" s="622" t="s">
        <v>1711</v>
      </c>
    </row>
    <row r="698" spans="2:14" ht="29.1">
      <c r="B698" s="513" t="s">
        <v>309</v>
      </c>
      <c r="C698" s="889">
        <v>2018</v>
      </c>
      <c r="D698" s="513">
        <v>-713286.50607689016</v>
      </c>
      <c r="E698" s="513">
        <f>VLOOKUP(B698,'[6]2018 allocation'!$A$11:$B$218,2, FALSE)</f>
        <v>99610.641648484016</v>
      </c>
      <c r="F698" s="513">
        <f>E698</f>
        <v>99610.641648484016</v>
      </c>
      <c r="G698" s="513">
        <f>D698+E698</f>
        <v>-613675.86442840612</v>
      </c>
      <c r="H698" s="513">
        <v>0</v>
      </c>
      <c r="I698" s="622" t="s">
        <v>103</v>
      </c>
      <c r="J698" s="513">
        <f>VLOOKUP(B698,'[6]Annual Spending Worksheet '!$C$6:$AG$250,28,FALSE)</f>
        <v>0</v>
      </c>
      <c r="K698" s="513">
        <f>VLOOKUP(B698,'[6]Annual Spending Worksheet '!$C$6:$AG$250,29,FALSE)</f>
        <v>0</v>
      </c>
      <c r="L698" s="513">
        <v>0</v>
      </c>
      <c r="M698" s="513">
        <f>D698+E698+H698-J698</f>
        <v>-613675.86442840612</v>
      </c>
      <c r="N698" s="622" t="s">
        <v>1711</v>
      </c>
    </row>
    <row r="699" spans="2:14" ht="29.1">
      <c r="B699" s="513" t="s">
        <v>309</v>
      </c>
      <c r="C699" s="889">
        <v>2019</v>
      </c>
      <c r="D699" s="513">
        <v>-613675.86442840612</v>
      </c>
      <c r="E699" s="513">
        <v>105347.70166882695</v>
      </c>
      <c r="F699" s="513">
        <v>105347.70166882695</v>
      </c>
      <c r="G699" s="513">
        <v>-508328.16275957914</v>
      </c>
      <c r="H699" s="513">
        <v>0</v>
      </c>
      <c r="I699" s="622" t="s">
        <v>103</v>
      </c>
      <c r="J699" s="513">
        <v>0</v>
      </c>
      <c r="K699" s="513">
        <v>0</v>
      </c>
      <c r="L699" s="513">
        <v>0</v>
      </c>
      <c r="M699" s="513">
        <v>-508328.16275957914</v>
      </c>
      <c r="N699" s="622" t="s">
        <v>1711</v>
      </c>
    </row>
    <row r="700" spans="2:14" ht="29.1">
      <c r="B700" s="513" t="s">
        <v>313</v>
      </c>
      <c r="C700" s="658">
        <v>2008</v>
      </c>
      <c r="D700" s="513">
        <v>-968209.26399999997</v>
      </c>
      <c r="E700" s="512">
        <v>108076.96934564196</v>
      </c>
      <c r="F700" s="513">
        <v>108076.96934564196</v>
      </c>
      <c r="G700" s="512">
        <v>-860132.29465435795</v>
      </c>
      <c r="H700" s="512">
        <v>0</v>
      </c>
      <c r="I700" s="659" t="s">
        <v>103</v>
      </c>
      <c r="J700" s="513">
        <v>0</v>
      </c>
      <c r="K700" s="513">
        <v>0</v>
      </c>
      <c r="L700" s="513">
        <v>0</v>
      </c>
      <c r="M700" s="513">
        <v>-860132.29465435795</v>
      </c>
      <c r="N700" s="622" t="s">
        <v>1711</v>
      </c>
    </row>
    <row r="701" spans="2:14" ht="29.1">
      <c r="B701" s="513" t="s">
        <v>313</v>
      </c>
      <c r="C701" s="658">
        <v>2009</v>
      </c>
      <c r="D701" s="513">
        <v>-860132.29465435818</v>
      </c>
      <c r="E701" s="512">
        <v>88800.178805426418</v>
      </c>
      <c r="F701" s="513">
        <v>88800.178805426418</v>
      </c>
      <c r="G701" s="512">
        <v>-771332.11584893172</v>
      </c>
      <c r="H701" s="512">
        <v>0</v>
      </c>
      <c r="I701" s="659" t="s">
        <v>103</v>
      </c>
      <c r="J701" s="513">
        <v>0</v>
      </c>
      <c r="K701" s="513">
        <v>0</v>
      </c>
      <c r="L701" s="513">
        <v>0</v>
      </c>
      <c r="M701" s="513">
        <v>-771332.11584893172</v>
      </c>
      <c r="N701" s="622" t="s">
        <v>1711</v>
      </c>
    </row>
    <row r="702" spans="2:14" ht="29.1">
      <c r="B702" s="513" t="s">
        <v>313</v>
      </c>
      <c r="C702" s="658">
        <v>2010</v>
      </c>
      <c r="D702" s="513">
        <v>-771332.11584893195</v>
      </c>
      <c r="E702" s="512">
        <v>88662.63</v>
      </c>
      <c r="F702" s="513">
        <v>88662.63</v>
      </c>
      <c r="G702" s="512">
        <v>-682669.48584893194</v>
      </c>
      <c r="H702" s="512">
        <v>0</v>
      </c>
      <c r="I702" s="659" t="s">
        <v>103</v>
      </c>
      <c r="J702" s="513">
        <v>0</v>
      </c>
      <c r="K702" s="513">
        <v>0</v>
      </c>
      <c r="L702" s="513">
        <v>0</v>
      </c>
      <c r="M702" s="513">
        <v>-682669.48584893194</v>
      </c>
      <c r="N702" s="622" t="s">
        <v>1711</v>
      </c>
    </row>
    <row r="703" spans="2:14" ht="29.1">
      <c r="B703" s="513" t="s">
        <v>313</v>
      </c>
      <c r="C703" s="658">
        <v>2011</v>
      </c>
      <c r="D703" s="513">
        <v>-682669.48293152219</v>
      </c>
      <c r="E703" s="512">
        <v>90250.397065157755</v>
      </c>
      <c r="F703" s="513">
        <v>90250.397065157755</v>
      </c>
      <c r="G703" s="660">
        <v>-592419.08586636442</v>
      </c>
      <c r="H703" s="512">
        <v>0</v>
      </c>
      <c r="I703" s="659" t="s">
        <v>103</v>
      </c>
      <c r="J703" s="513">
        <v>0</v>
      </c>
      <c r="K703" s="513">
        <v>0</v>
      </c>
      <c r="L703" s="513">
        <v>0</v>
      </c>
      <c r="M703" s="513">
        <v>-592419.08586636442</v>
      </c>
      <c r="N703" s="622" t="s">
        <v>1711</v>
      </c>
    </row>
    <row r="704" spans="2:14" ht="29.1">
      <c r="B704" s="513" t="s">
        <v>313</v>
      </c>
      <c r="C704" s="658">
        <v>2012</v>
      </c>
      <c r="D704" s="513">
        <v>-592419.08586636465</v>
      </c>
      <c r="E704" s="513">
        <v>68111.814232941906</v>
      </c>
      <c r="F704" s="513">
        <v>68111.814232941906</v>
      </c>
      <c r="G704" s="660">
        <v>-524307.2716334227</v>
      </c>
      <c r="H704" s="512">
        <v>0</v>
      </c>
      <c r="I704" s="659" t="s">
        <v>103</v>
      </c>
      <c r="J704" s="513">
        <v>0</v>
      </c>
      <c r="K704" s="513">
        <v>0</v>
      </c>
      <c r="L704" s="513">
        <v>0</v>
      </c>
      <c r="M704" s="513">
        <v>-524307.2716334227</v>
      </c>
      <c r="N704" s="622" t="s">
        <v>1711</v>
      </c>
    </row>
    <row r="705" spans="2:14" ht="29.1">
      <c r="B705" s="513" t="s">
        <v>313</v>
      </c>
      <c r="C705" s="658">
        <v>2013</v>
      </c>
      <c r="D705" s="513">
        <v>-524307.27163342293</v>
      </c>
      <c r="E705" s="513">
        <v>98685.327019102333</v>
      </c>
      <c r="F705" s="513">
        <v>98685.327019102333</v>
      </c>
      <c r="G705" s="660">
        <v>-425621.94461432059</v>
      </c>
      <c r="H705" s="512">
        <v>0</v>
      </c>
      <c r="I705" s="659" t="s">
        <v>103</v>
      </c>
      <c r="J705" s="513">
        <v>0</v>
      </c>
      <c r="K705" s="513">
        <v>0</v>
      </c>
      <c r="L705" s="513">
        <v>0</v>
      </c>
      <c r="M705" s="513">
        <v>-425621.94461432059</v>
      </c>
      <c r="N705" s="622" t="s">
        <v>1711</v>
      </c>
    </row>
    <row r="706" spans="2:14" ht="29.1">
      <c r="B706" s="513" t="s">
        <v>313</v>
      </c>
      <c r="C706" s="658">
        <v>2014</v>
      </c>
      <c r="D706" s="513">
        <v>-425621.94461432099</v>
      </c>
      <c r="E706" s="513">
        <v>102262.22710819147</v>
      </c>
      <c r="F706" s="513">
        <v>102262.22710819147</v>
      </c>
      <c r="G706" s="660">
        <v>-323359.71750612953</v>
      </c>
      <c r="H706" s="512">
        <v>0</v>
      </c>
      <c r="I706" s="659" t="s">
        <v>103</v>
      </c>
      <c r="J706" s="513">
        <v>0</v>
      </c>
      <c r="K706" s="513">
        <v>0</v>
      </c>
      <c r="L706" s="513">
        <v>0</v>
      </c>
      <c r="M706" s="513">
        <v>-323359.71750612953</v>
      </c>
      <c r="N706" s="622" t="s">
        <v>1711</v>
      </c>
    </row>
    <row r="707" spans="2:14" ht="29.1">
      <c r="B707" s="513" t="s">
        <v>313</v>
      </c>
      <c r="C707" s="658">
        <v>2015</v>
      </c>
      <c r="D707" s="513">
        <v>-323359.71750612929</v>
      </c>
      <c r="E707" s="513">
        <v>103718.4998590636</v>
      </c>
      <c r="F707" s="513">
        <v>103718.4998590636</v>
      </c>
      <c r="G707" s="660">
        <v>-219641.2176470657</v>
      </c>
      <c r="H707" s="660">
        <v>0</v>
      </c>
      <c r="I707" s="659" t="s">
        <v>103</v>
      </c>
      <c r="J707" s="513">
        <v>0</v>
      </c>
      <c r="K707" s="513">
        <v>0</v>
      </c>
      <c r="L707" s="513">
        <v>0</v>
      </c>
      <c r="M707" s="513">
        <v>-219641.2176470657</v>
      </c>
      <c r="N707" s="622" t="s">
        <v>1711</v>
      </c>
    </row>
    <row r="708" spans="2:14" ht="29.1">
      <c r="B708" s="513" t="s">
        <v>313</v>
      </c>
      <c r="C708" s="658">
        <v>2016</v>
      </c>
      <c r="D708" s="513">
        <v>-219641.21764706634</v>
      </c>
      <c r="E708" s="513">
        <v>77146.574599606538</v>
      </c>
      <c r="F708" s="513">
        <v>77146.574599606538</v>
      </c>
      <c r="G708" s="660">
        <v>-142494.6430474598</v>
      </c>
      <c r="H708" s="660">
        <v>0</v>
      </c>
      <c r="I708" s="659" t="s">
        <v>103</v>
      </c>
      <c r="J708" s="513">
        <v>0</v>
      </c>
      <c r="K708" s="513">
        <v>0</v>
      </c>
      <c r="L708" s="513">
        <v>0</v>
      </c>
      <c r="M708" s="513">
        <v>-142494.6430474598</v>
      </c>
      <c r="N708" s="622" t="s">
        <v>1711</v>
      </c>
    </row>
    <row r="709" spans="2:14" ht="29.1">
      <c r="B709" s="513" t="s">
        <v>313</v>
      </c>
      <c r="C709" s="658">
        <v>2017</v>
      </c>
      <c r="D709" s="513">
        <v>-142494.64304745942</v>
      </c>
      <c r="E709" s="513">
        <v>71956.56598800444</v>
      </c>
      <c r="F709" s="513">
        <v>71956.56598800444</v>
      </c>
      <c r="G709" s="513">
        <v>-70538.077059454983</v>
      </c>
      <c r="H709" s="513">
        <v>0</v>
      </c>
      <c r="I709" s="659" t="s">
        <v>103</v>
      </c>
      <c r="J709" s="513">
        <v>0</v>
      </c>
      <c r="K709" s="513">
        <v>0</v>
      </c>
      <c r="L709" s="513">
        <v>0</v>
      </c>
      <c r="M709" s="513">
        <v>-70538.077059454983</v>
      </c>
      <c r="N709" s="622" t="s">
        <v>1711</v>
      </c>
    </row>
    <row r="710" spans="2:14">
      <c r="B710" s="513" t="s">
        <v>313</v>
      </c>
      <c r="C710" s="889">
        <v>2018</v>
      </c>
      <c r="D710" s="513">
        <v>-70538.077059454983</v>
      </c>
      <c r="E710" s="513">
        <f>VLOOKUP(B710,'[6]2018 allocation'!$A$11:$B$218,2, FALSE)</f>
        <v>76346.308447707968</v>
      </c>
      <c r="F710" s="513">
        <f>E710</f>
        <v>76346.308447707968</v>
      </c>
      <c r="G710" s="513">
        <v>0</v>
      </c>
      <c r="H710" s="513">
        <v>0</v>
      </c>
      <c r="I710" s="622" t="s">
        <v>103</v>
      </c>
      <c r="J710" s="513">
        <f>VLOOKUP(B710,'[6]Annual Spending Worksheet '!$C$6:$AG$250,28,FALSE)</f>
        <v>0</v>
      </c>
      <c r="K710" s="513">
        <f>VLOOKUP(B710,'[6]Annual Spending Worksheet '!$C$6:$AG$250,29,FALSE)</f>
        <v>0</v>
      </c>
      <c r="L710" s="513">
        <v>0</v>
      </c>
      <c r="M710" s="513">
        <f>D710+E710+H710-J710</f>
        <v>5808.2313882529852</v>
      </c>
      <c r="N710" s="513"/>
    </row>
    <row r="711" spans="2:14">
      <c r="B711" s="513" t="s">
        <v>313</v>
      </c>
      <c r="C711" s="889">
        <v>2019</v>
      </c>
      <c r="D711" s="513">
        <v>5808.2313882529852</v>
      </c>
      <c r="E711" s="513">
        <v>81001.362769414816</v>
      </c>
      <c r="F711" s="513">
        <v>81001.362769414816</v>
      </c>
      <c r="G711" s="513">
        <v>0</v>
      </c>
      <c r="H711" s="513">
        <v>0</v>
      </c>
      <c r="I711" s="622" t="s">
        <v>103</v>
      </c>
      <c r="J711" s="513">
        <v>0</v>
      </c>
      <c r="K711" s="513">
        <v>0</v>
      </c>
      <c r="L711" s="513">
        <v>0</v>
      </c>
      <c r="M711" s="513">
        <v>86809.594157667801</v>
      </c>
      <c r="N711" s="513"/>
    </row>
    <row r="712" spans="2:14">
      <c r="B712" s="513" t="s">
        <v>314</v>
      </c>
      <c r="C712" s="658">
        <v>2008</v>
      </c>
      <c r="D712" s="513">
        <v>8560030.2779999971</v>
      </c>
      <c r="E712" s="512">
        <v>2284638.0639429241</v>
      </c>
      <c r="F712" s="513">
        <v>2284638.0639429241</v>
      </c>
      <c r="G712" s="512">
        <v>0</v>
      </c>
      <c r="H712" s="512">
        <v>0</v>
      </c>
      <c r="I712" s="659" t="s">
        <v>103</v>
      </c>
      <c r="J712" s="513">
        <v>56333.850000000006</v>
      </c>
      <c r="K712" s="513">
        <v>12786024</v>
      </c>
      <c r="L712" s="513">
        <v>0</v>
      </c>
      <c r="M712" s="513">
        <v>10788334.491942922</v>
      </c>
      <c r="N712" s="622"/>
    </row>
    <row r="713" spans="2:14">
      <c r="B713" s="513" t="s">
        <v>314</v>
      </c>
      <c r="C713" s="658">
        <v>2009</v>
      </c>
      <c r="D713" s="513">
        <v>10788334.49194292</v>
      </c>
      <c r="E713" s="513">
        <v>1864641.1316235871</v>
      </c>
      <c r="F713" s="513">
        <v>1864641.1316235871</v>
      </c>
      <c r="G713" s="512">
        <v>0</v>
      </c>
      <c r="H713" s="512">
        <v>0</v>
      </c>
      <c r="I713" s="659" t="s">
        <v>103</v>
      </c>
      <c r="J713" s="513">
        <v>40161.079999999987</v>
      </c>
      <c r="K713" s="513">
        <v>0</v>
      </c>
      <c r="L713" s="513">
        <v>0</v>
      </c>
      <c r="M713" s="513">
        <v>12612814.543566506</v>
      </c>
      <c r="N713" s="622"/>
    </row>
    <row r="714" spans="2:14">
      <c r="B714" s="513" t="s">
        <v>314</v>
      </c>
      <c r="C714" s="658">
        <v>2010</v>
      </c>
      <c r="D714" s="513">
        <v>12612814.54356651</v>
      </c>
      <c r="E714" s="513">
        <v>1862097.5</v>
      </c>
      <c r="F714" s="513">
        <v>1862097.5</v>
      </c>
      <c r="G714" s="512">
        <v>0</v>
      </c>
      <c r="H714" s="512">
        <v>0</v>
      </c>
      <c r="I714" s="659" t="s">
        <v>103</v>
      </c>
      <c r="J714" s="513">
        <v>48360.009999999995</v>
      </c>
      <c r="K714" s="513">
        <v>0</v>
      </c>
      <c r="L714" s="513">
        <v>0</v>
      </c>
      <c r="M714" s="513">
        <v>14426552.03356651</v>
      </c>
      <c r="N714" s="622"/>
    </row>
    <row r="715" spans="2:14">
      <c r="B715" s="513" t="s">
        <v>314</v>
      </c>
      <c r="C715" s="658">
        <v>2011</v>
      </c>
      <c r="D715" s="513">
        <v>14426552.034060173</v>
      </c>
      <c r="E715" s="513">
        <v>1892777.8840375687</v>
      </c>
      <c r="F715" s="513">
        <v>1892777.8840375687</v>
      </c>
      <c r="G715" s="512">
        <v>0</v>
      </c>
      <c r="H715" s="512">
        <v>0</v>
      </c>
      <c r="I715" s="659" t="s">
        <v>103</v>
      </c>
      <c r="J715" s="513">
        <v>18906.799999999959</v>
      </c>
      <c r="K715" s="513">
        <v>0</v>
      </c>
      <c r="L715" s="513">
        <v>0</v>
      </c>
      <c r="M715" s="513">
        <v>16300423.118097741</v>
      </c>
      <c r="N715" s="622"/>
    </row>
    <row r="716" spans="2:14">
      <c r="B716" s="513" t="s">
        <v>314</v>
      </c>
      <c r="C716" s="658">
        <v>2012</v>
      </c>
      <c r="D716" s="513">
        <v>16300423.118097737</v>
      </c>
      <c r="E716" s="513">
        <v>1392608.6689810001</v>
      </c>
      <c r="F716" s="513">
        <v>1392608.6689810001</v>
      </c>
      <c r="G716" s="660">
        <v>0</v>
      </c>
      <c r="H716" s="660">
        <v>0</v>
      </c>
      <c r="I716" s="659" t="s">
        <v>103</v>
      </c>
      <c r="J716" s="513">
        <v>168940.85000000027</v>
      </c>
      <c r="K716" s="513">
        <v>0</v>
      </c>
      <c r="L716" s="513">
        <v>-5707.87</v>
      </c>
      <c r="M716" s="513">
        <v>17529798.807078738</v>
      </c>
      <c r="N716" s="622"/>
    </row>
    <row r="717" spans="2:14">
      <c r="B717" s="513" t="s">
        <v>314</v>
      </c>
      <c r="C717" s="658">
        <v>2013</v>
      </c>
      <c r="D717" s="513">
        <v>17529798.807078741</v>
      </c>
      <c r="E717" s="513">
        <v>2083082.4351055005</v>
      </c>
      <c r="F717" s="513">
        <v>2083082.4351055005</v>
      </c>
      <c r="G717" s="660">
        <v>0</v>
      </c>
      <c r="H717" s="660">
        <v>0</v>
      </c>
      <c r="I717" s="659" t="s">
        <v>103</v>
      </c>
      <c r="J717" s="513">
        <v>3156075.0599999968</v>
      </c>
      <c r="K717" s="513">
        <v>0</v>
      </c>
      <c r="L717" s="513">
        <v>0</v>
      </c>
      <c r="M717" s="513">
        <v>16456806.182184244</v>
      </c>
      <c r="N717" s="622"/>
    </row>
    <row r="718" spans="2:14">
      <c r="B718" s="513" t="s">
        <v>314</v>
      </c>
      <c r="C718" s="658">
        <v>2014</v>
      </c>
      <c r="D718" s="513">
        <v>16456806.182184249</v>
      </c>
      <c r="E718" s="513">
        <v>2163521.2875357992</v>
      </c>
      <c r="F718" s="513">
        <v>2163521.2875357992</v>
      </c>
      <c r="G718" s="513">
        <v>0</v>
      </c>
      <c r="H718" s="513">
        <v>0</v>
      </c>
      <c r="I718" s="659" t="s">
        <v>103</v>
      </c>
      <c r="J718" s="513">
        <v>2846417.5499999966</v>
      </c>
      <c r="K718" s="513">
        <v>0</v>
      </c>
      <c r="L718" s="513">
        <v>0</v>
      </c>
      <c r="M718" s="513">
        <v>15773909.91972005</v>
      </c>
      <c r="N718" s="622"/>
    </row>
    <row r="719" spans="2:14">
      <c r="B719" s="513" t="s">
        <v>314</v>
      </c>
      <c r="C719" s="658">
        <v>2015</v>
      </c>
      <c r="D719" s="513">
        <v>15773909.919720054</v>
      </c>
      <c r="E719" s="512">
        <v>2196472.0135923126</v>
      </c>
      <c r="F719" s="513">
        <v>2196472.0135923126</v>
      </c>
      <c r="G719" s="512">
        <v>0</v>
      </c>
      <c r="H719" s="512">
        <v>0</v>
      </c>
      <c r="I719" s="659" t="s">
        <v>103</v>
      </c>
      <c r="J719" s="513">
        <v>-462820.05000000005</v>
      </c>
      <c r="K719" s="513">
        <v>5221752</v>
      </c>
      <c r="L719" s="513">
        <v>0</v>
      </c>
      <c r="M719" s="513">
        <v>18433201.983312368</v>
      </c>
      <c r="N719" s="622"/>
    </row>
    <row r="720" spans="2:14">
      <c r="B720" s="513" t="s">
        <v>314</v>
      </c>
      <c r="C720" s="658">
        <v>2016</v>
      </c>
      <c r="D720" s="513">
        <v>18433201.983312376</v>
      </c>
      <c r="E720" s="512">
        <v>1597479.4036922881</v>
      </c>
      <c r="F720" s="513">
        <v>1597479.4036922881</v>
      </c>
      <c r="G720" s="512">
        <v>0</v>
      </c>
      <c r="H720" s="512">
        <v>0</v>
      </c>
      <c r="I720" s="659" t="s">
        <v>103</v>
      </c>
      <c r="J720" s="513">
        <v>5632679.0300000012</v>
      </c>
      <c r="K720" s="513">
        <v>0</v>
      </c>
      <c r="L720" s="513">
        <v>-290531.95</v>
      </c>
      <c r="M720" s="513">
        <v>14688534.30700466</v>
      </c>
      <c r="N720" s="622"/>
    </row>
    <row r="721" spans="2:14">
      <c r="B721" s="513" t="s">
        <v>314</v>
      </c>
      <c r="C721" s="658">
        <v>2017</v>
      </c>
      <c r="D721" s="513">
        <v>14688534.307004653</v>
      </c>
      <c r="E721" s="512">
        <v>1479241.5565266574</v>
      </c>
      <c r="F721" s="513">
        <v>1479241.5565266574</v>
      </c>
      <c r="G721" s="512">
        <v>0</v>
      </c>
      <c r="H721" s="512">
        <v>0</v>
      </c>
      <c r="I721" s="659" t="s">
        <v>103</v>
      </c>
      <c r="J721" s="513">
        <v>621320.32999999996</v>
      </c>
      <c r="K721" s="513">
        <v>0</v>
      </c>
      <c r="L721" s="513">
        <v>0</v>
      </c>
      <c r="M721" s="513">
        <v>15546455.53353131</v>
      </c>
      <c r="N721" s="622"/>
    </row>
    <row r="722" spans="2:14">
      <c r="B722" s="513" t="s">
        <v>314</v>
      </c>
      <c r="C722" s="889">
        <v>2018</v>
      </c>
      <c r="D722" s="513">
        <v>15546455.53353131</v>
      </c>
      <c r="E722" s="513">
        <f>VLOOKUP(B722,'[6]2018 allocation'!$A$11:$B$218,2, FALSE)</f>
        <v>1579254.1861748695</v>
      </c>
      <c r="F722" s="513">
        <f>E722</f>
        <v>1579254.1861748695</v>
      </c>
      <c r="G722" s="513">
        <v>0</v>
      </c>
      <c r="H722" s="513">
        <v>0</v>
      </c>
      <c r="I722" s="622" t="s">
        <v>103</v>
      </c>
      <c r="J722" s="513">
        <f>VLOOKUP(B722,'[6]Annual Spending Worksheet '!$C$6:$AG$250,28,FALSE)</f>
        <v>568374.9</v>
      </c>
      <c r="K722" s="513">
        <f>VLOOKUP(B722,'[6]Annual Spending Worksheet '!$C$6:$AG$250,29,FALSE)</f>
        <v>0</v>
      </c>
      <c r="L722" s="513">
        <v>0</v>
      </c>
      <c r="M722" s="513">
        <f>D722+E722+H722-J722</f>
        <v>16557334.819706177</v>
      </c>
      <c r="N722" s="513"/>
    </row>
    <row r="723" spans="2:14">
      <c r="B723" s="513" t="s">
        <v>314</v>
      </c>
      <c r="C723" s="889">
        <v>2019</v>
      </c>
      <c r="D723" s="513">
        <v>16557334.819706177</v>
      </c>
      <c r="E723" s="513">
        <v>1684735.733717835</v>
      </c>
      <c r="F723" s="513">
        <v>1684735.733717835</v>
      </c>
      <c r="G723" s="513">
        <v>0</v>
      </c>
      <c r="H723" s="513">
        <v>0</v>
      </c>
      <c r="I723" s="622" t="s">
        <v>103</v>
      </c>
      <c r="J723" s="513">
        <v>42994.65</v>
      </c>
      <c r="K723" s="513">
        <v>0</v>
      </c>
      <c r="L723" s="513">
        <v>0</v>
      </c>
      <c r="M723" s="513">
        <v>18199075.903424013</v>
      </c>
      <c r="N723" s="513"/>
    </row>
    <row r="724" spans="2:14">
      <c r="B724" s="513" t="s">
        <v>324</v>
      </c>
      <c r="C724" s="658">
        <v>2008</v>
      </c>
      <c r="D724" s="513">
        <v>8096.59</v>
      </c>
      <c r="E724" s="512">
        <v>8387.4577439665409</v>
      </c>
      <c r="F724" s="513">
        <v>8387.4577439665409</v>
      </c>
      <c r="G724" s="512">
        <v>0</v>
      </c>
      <c r="H724" s="512">
        <v>0</v>
      </c>
      <c r="I724" s="659" t="s">
        <v>103</v>
      </c>
      <c r="J724" s="513">
        <v>0</v>
      </c>
      <c r="K724" s="513">
        <v>0</v>
      </c>
      <c r="L724" s="513">
        <v>0</v>
      </c>
      <c r="M724" s="513">
        <v>16484.047743966541</v>
      </c>
      <c r="N724" s="622"/>
    </row>
    <row r="725" spans="2:14">
      <c r="B725" s="513" t="s">
        <v>324</v>
      </c>
      <c r="C725" s="658">
        <v>2009</v>
      </c>
      <c r="D725" s="513">
        <v>16484.047743966541</v>
      </c>
      <c r="E725" s="512">
        <v>6574.7007709294194</v>
      </c>
      <c r="F725" s="513">
        <v>6574.7007709294194</v>
      </c>
      <c r="G725" s="512">
        <v>0</v>
      </c>
      <c r="H725" s="512">
        <v>0</v>
      </c>
      <c r="I725" s="659" t="s">
        <v>103</v>
      </c>
      <c r="J725" s="513">
        <v>0</v>
      </c>
      <c r="K725" s="513">
        <v>0</v>
      </c>
      <c r="L725" s="513">
        <v>0</v>
      </c>
      <c r="M725" s="513">
        <v>23058.74851489596</v>
      </c>
      <c r="N725" s="622"/>
    </row>
    <row r="726" spans="2:14">
      <c r="B726" s="513" t="s">
        <v>324</v>
      </c>
      <c r="C726" s="658">
        <v>2010</v>
      </c>
      <c r="D726" s="513">
        <v>23058.74851489596</v>
      </c>
      <c r="E726" s="512">
        <v>6715.45</v>
      </c>
      <c r="F726" s="513">
        <v>6715.45</v>
      </c>
      <c r="G726" s="512">
        <v>0</v>
      </c>
      <c r="H726" s="512">
        <v>0</v>
      </c>
      <c r="I726" s="659" t="s">
        <v>103</v>
      </c>
      <c r="J726" s="513">
        <v>0</v>
      </c>
      <c r="K726" s="513">
        <v>0</v>
      </c>
      <c r="L726" s="513">
        <v>0</v>
      </c>
      <c r="M726" s="513">
        <v>29774.198514895961</v>
      </c>
      <c r="N726" s="622"/>
    </row>
    <row r="727" spans="2:14">
      <c r="B727" s="513" t="s">
        <v>324</v>
      </c>
      <c r="C727" s="658">
        <v>2011</v>
      </c>
      <c r="D727" s="513">
        <v>29774.19636680562</v>
      </c>
      <c r="E727" s="512">
        <v>6803.1820715449885</v>
      </c>
      <c r="F727" s="513">
        <v>6803.1820715449885</v>
      </c>
      <c r="G727" s="512">
        <v>0</v>
      </c>
      <c r="H727" s="512">
        <v>0</v>
      </c>
      <c r="I727" s="659" t="s">
        <v>103</v>
      </c>
      <c r="J727" s="513">
        <v>0</v>
      </c>
      <c r="K727" s="513">
        <v>0</v>
      </c>
      <c r="L727" s="513">
        <v>0</v>
      </c>
      <c r="M727" s="513">
        <v>36577.378438350606</v>
      </c>
      <c r="N727" s="622"/>
    </row>
    <row r="728" spans="2:14">
      <c r="B728" s="513" t="s">
        <v>324</v>
      </c>
      <c r="C728" s="658">
        <v>2012</v>
      </c>
      <c r="D728" s="513">
        <v>36577.378438350606</v>
      </c>
      <c r="E728" s="513">
        <v>4951.7252930342129</v>
      </c>
      <c r="F728" s="513">
        <v>4951.7252930342129</v>
      </c>
      <c r="G728" s="512">
        <v>0</v>
      </c>
      <c r="H728" s="512">
        <v>0</v>
      </c>
      <c r="I728" s="659" t="s">
        <v>103</v>
      </c>
      <c r="J728" s="513">
        <v>0</v>
      </c>
      <c r="K728" s="513">
        <v>0</v>
      </c>
      <c r="L728" s="513">
        <v>0</v>
      </c>
      <c r="M728" s="513">
        <v>41529.103731384821</v>
      </c>
      <c r="N728" s="622"/>
    </row>
    <row r="729" spans="2:14">
      <c r="B729" s="513" t="s">
        <v>324</v>
      </c>
      <c r="C729" s="658">
        <v>2013</v>
      </c>
      <c r="D729" s="513">
        <v>41529.103731384821</v>
      </c>
      <c r="E729" s="513">
        <v>7515.3304202392355</v>
      </c>
      <c r="F729" s="513">
        <v>7515.3304202392355</v>
      </c>
      <c r="G729" s="512">
        <v>0</v>
      </c>
      <c r="H729" s="512">
        <v>0</v>
      </c>
      <c r="I729" s="659" t="s">
        <v>103</v>
      </c>
      <c r="J729" s="513">
        <v>0</v>
      </c>
      <c r="K729" s="513">
        <v>0</v>
      </c>
      <c r="L729" s="513">
        <v>0</v>
      </c>
      <c r="M729" s="513">
        <v>49044.434151624053</v>
      </c>
      <c r="N729" s="622"/>
    </row>
    <row r="730" spans="2:14">
      <c r="B730" s="513" t="s">
        <v>324</v>
      </c>
      <c r="C730" s="658">
        <v>2014</v>
      </c>
      <c r="D730" s="513">
        <v>49044.434151624053</v>
      </c>
      <c r="E730" s="513">
        <v>7937.1465877002511</v>
      </c>
      <c r="F730" s="513">
        <v>7937.1465877002511</v>
      </c>
      <c r="G730" s="512">
        <v>0</v>
      </c>
      <c r="H730" s="512">
        <v>0</v>
      </c>
      <c r="I730" s="659" t="s">
        <v>103</v>
      </c>
      <c r="J730" s="513">
        <v>0</v>
      </c>
      <c r="K730" s="513">
        <v>0</v>
      </c>
      <c r="L730" s="513">
        <v>0</v>
      </c>
      <c r="M730" s="513">
        <v>56981.580739324301</v>
      </c>
      <c r="N730" s="622"/>
    </row>
    <row r="731" spans="2:14">
      <c r="B731" s="513" t="s">
        <v>324</v>
      </c>
      <c r="C731" s="658">
        <v>2015</v>
      </c>
      <c r="D731" s="513">
        <v>56981.580739324301</v>
      </c>
      <c r="E731" s="513">
        <v>8171.3705456485241</v>
      </c>
      <c r="F731" s="513">
        <v>8171.3705456485241</v>
      </c>
      <c r="G731" s="660">
        <v>0</v>
      </c>
      <c r="H731" s="660">
        <v>0</v>
      </c>
      <c r="I731" s="659" t="s">
        <v>103</v>
      </c>
      <c r="J731" s="513">
        <v>0</v>
      </c>
      <c r="K731" s="513">
        <v>0</v>
      </c>
      <c r="L731" s="513">
        <v>0</v>
      </c>
      <c r="M731" s="513">
        <v>65152.951284972827</v>
      </c>
      <c r="N731" s="622"/>
    </row>
    <row r="732" spans="2:14">
      <c r="B732" s="513" t="s">
        <v>324</v>
      </c>
      <c r="C732" s="658">
        <v>2016</v>
      </c>
      <c r="D732" s="513">
        <v>65152.951284972827</v>
      </c>
      <c r="E732" s="513">
        <v>5170.8510261554857</v>
      </c>
      <c r="F732" s="513">
        <v>5170.8510261554857</v>
      </c>
      <c r="G732" s="660">
        <v>0</v>
      </c>
      <c r="H732" s="660">
        <v>0</v>
      </c>
      <c r="I732" s="659" t="s">
        <v>103</v>
      </c>
      <c r="J732" s="513">
        <v>0</v>
      </c>
      <c r="K732" s="513">
        <v>0</v>
      </c>
      <c r="L732" s="513">
        <v>0</v>
      </c>
      <c r="M732" s="513">
        <v>70323.802311128311</v>
      </c>
      <c r="N732" s="622"/>
    </row>
    <row r="733" spans="2:14">
      <c r="B733" s="513" t="s">
        <v>324</v>
      </c>
      <c r="C733" s="658">
        <v>2017</v>
      </c>
      <c r="D733" s="513">
        <v>70323.802311128311</v>
      </c>
      <c r="E733" s="513">
        <v>4470.3461530036693</v>
      </c>
      <c r="F733" s="513">
        <v>4470.3461530036693</v>
      </c>
      <c r="G733" s="513">
        <v>0</v>
      </c>
      <c r="H733" s="513">
        <v>0</v>
      </c>
      <c r="I733" s="659" t="s">
        <v>103</v>
      </c>
      <c r="J733" s="513">
        <v>0</v>
      </c>
      <c r="K733" s="513">
        <v>0</v>
      </c>
      <c r="L733" s="513">
        <v>0</v>
      </c>
      <c r="M733" s="513">
        <v>74794.148464131984</v>
      </c>
      <c r="N733" s="622"/>
    </row>
    <row r="734" spans="2:14">
      <c r="B734" s="513" t="s">
        <v>324</v>
      </c>
      <c r="C734" s="889">
        <v>2018</v>
      </c>
      <c r="D734" s="513">
        <v>74794.148464131984</v>
      </c>
      <c r="E734" s="513">
        <f>VLOOKUP(B734,'[6]2018 allocation'!$A$11:$B$218,2, FALSE)</f>
        <v>4761.9899740204628</v>
      </c>
      <c r="F734" s="513">
        <f>E734</f>
        <v>4761.9899740204628</v>
      </c>
      <c r="G734" s="513">
        <v>0</v>
      </c>
      <c r="H734" s="513">
        <v>0</v>
      </c>
      <c r="I734" s="622" t="s">
        <v>103</v>
      </c>
      <c r="J734" s="513">
        <f>VLOOKUP(B734,'[6]Annual Spending Worksheet '!$C$6:$AG$250,28,FALSE)</f>
        <v>0</v>
      </c>
      <c r="K734" s="513">
        <f>VLOOKUP(B734,'[6]Annual Spending Worksheet '!$C$6:$AG$250,29,FALSE)</f>
        <v>0</v>
      </c>
      <c r="L734" s="513">
        <v>0</v>
      </c>
      <c r="M734" s="513">
        <f>D734+E734+H734-J734</f>
        <v>79556.13843815244</v>
      </c>
      <c r="N734" s="513"/>
    </row>
    <row r="735" spans="2:14">
      <c r="B735" s="513" t="s">
        <v>324</v>
      </c>
      <c r="C735" s="889">
        <v>2019</v>
      </c>
      <c r="D735" s="513">
        <v>79556.13843815244</v>
      </c>
      <c r="E735" s="513">
        <v>5262.4020494198412</v>
      </c>
      <c r="F735" s="513">
        <v>5262.4020494198412</v>
      </c>
      <c r="G735" s="513">
        <v>0</v>
      </c>
      <c r="H735" s="513">
        <v>0</v>
      </c>
      <c r="I735" s="622" t="s">
        <v>103</v>
      </c>
      <c r="J735" s="513">
        <v>0</v>
      </c>
      <c r="K735" s="513">
        <v>0</v>
      </c>
      <c r="L735" s="513">
        <v>0</v>
      </c>
      <c r="M735" s="513">
        <v>84818.540487572289</v>
      </c>
      <c r="N735" s="513"/>
    </row>
    <row r="736" spans="2:14">
      <c r="B736" s="513" t="s">
        <v>325</v>
      </c>
      <c r="C736" s="658">
        <v>2008</v>
      </c>
      <c r="D736" s="513">
        <v>2763072.78</v>
      </c>
      <c r="E736" s="512">
        <v>235628.44263704171</v>
      </c>
      <c r="F736" s="513">
        <v>235628.44263704171</v>
      </c>
      <c r="G736" s="512">
        <v>0</v>
      </c>
      <c r="H736" s="512">
        <v>0</v>
      </c>
      <c r="I736" s="659" t="s">
        <v>103</v>
      </c>
      <c r="J736" s="513">
        <v>-2923.7599999999925</v>
      </c>
      <c r="K736" s="513">
        <v>0</v>
      </c>
      <c r="L736" s="513">
        <v>0</v>
      </c>
      <c r="M736" s="513">
        <v>3001624.9826370412</v>
      </c>
      <c r="N736" s="622"/>
    </row>
    <row r="737" spans="2:14">
      <c r="B737" s="513" t="s">
        <v>325</v>
      </c>
      <c r="C737" s="658">
        <v>2009</v>
      </c>
      <c r="D737" s="513">
        <v>3001624.9826370412</v>
      </c>
      <c r="E737" s="512">
        <v>194674.03591814052</v>
      </c>
      <c r="F737" s="513">
        <v>194674.03591814052</v>
      </c>
      <c r="G737" s="512">
        <v>0</v>
      </c>
      <c r="H737" s="512">
        <v>0</v>
      </c>
      <c r="I737" s="659" t="s">
        <v>103</v>
      </c>
      <c r="J737" s="513">
        <v>313109.25999999995</v>
      </c>
      <c r="K737" s="513">
        <v>0</v>
      </c>
      <c r="L737" s="513">
        <v>0</v>
      </c>
      <c r="M737" s="513">
        <v>2883189.7585551818</v>
      </c>
      <c r="N737" s="622"/>
    </row>
    <row r="738" spans="2:14">
      <c r="B738" s="513" t="s">
        <v>325</v>
      </c>
      <c r="C738" s="658">
        <v>2010</v>
      </c>
      <c r="D738" s="513">
        <v>2883189.7585551823</v>
      </c>
      <c r="E738" s="512">
        <v>194422.03</v>
      </c>
      <c r="F738" s="513">
        <v>194422.03</v>
      </c>
      <c r="G738" s="512">
        <v>0</v>
      </c>
      <c r="H738" s="512">
        <v>0</v>
      </c>
      <c r="I738" s="659" t="s">
        <v>103</v>
      </c>
      <c r="J738" s="513">
        <v>38846.859999999993</v>
      </c>
      <c r="K738" s="513">
        <v>0</v>
      </c>
      <c r="L738" s="513">
        <v>0</v>
      </c>
      <c r="M738" s="513">
        <v>3038764.9285551822</v>
      </c>
      <c r="N738" s="622"/>
    </row>
    <row r="739" spans="2:14">
      <c r="B739" s="513" t="s">
        <v>325</v>
      </c>
      <c r="C739" s="658">
        <v>2011</v>
      </c>
      <c r="D739" s="513">
        <v>3038764.9259265373</v>
      </c>
      <c r="E739" s="512">
        <v>197339.52298362224</v>
      </c>
      <c r="F739" s="513">
        <v>197339.52298362224</v>
      </c>
      <c r="G739" s="512">
        <v>0</v>
      </c>
      <c r="H739" s="512">
        <v>0</v>
      </c>
      <c r="I739" s="659" t="s">
        <v>103</v>
      </c>
      <c r="J739" s="513">
        <v>115074.57999999984</v>
      </c>
      <c r="K739" s="513">
        <v>0</v>
      </c>
      <c r="L739" s="513">
        <v>0</v>
      </c>
      <c r="M739" s="513">
        <v>3121029.8689101599</v>
      </c>
      <c r="N739" s="622"/>
    </row>
    <row r="740" spans="2:14">
      <c r="B740" s="513" t="s">
        <v>325</v>
      </c>
      <c r="C740" s="658">
        <v>2012</v>
      </c>
      <c r="D740" s="513">
        <v>3121029.868910159</v>
      </c>
      <c r="E740" s="513">
        <v>149978.58973181102</v>
      </c>
      <c r="F740" s="513">
        <v>149978.58973181102</v>
      </c>
      <c r="G740" s="512">
        <v>0</v>
      </c>
      <c r="H740" s="512">
        <v>0</v>
      </c>
      <c r="I740" s="659" t="s">
        <v>103</v>
      </c>
      <c r="J740" s="513">
        <v>1542115.2899999954</v>
      </c>
      <c r="K740" s="513">
        <v>2290697.27</v>
      </c>
      <c r="L740" s="513">
        <v>0</v>
      </c>
      <c r="M740" s="513">
        <v>1728893.1686419747</v>
      </c>
      <c r="N740" s="622"/>
    </row>
    <row r="741" spans="2:14">
      <c r="B741" s="513" t="s">
        <v>325</v>
      </c>
      <c r="C741" s="658">
        <v>2013</v>
      </c>
      <c r="D741" s="513">
        <v>1728893.1686419742</v>
      </c>
      <c r="E741" s="513">
        <v>215746.95683492723</v>
      </c>
      <c r="F741" s="513">
        <v>215746.95683492723</v>
      </c>
      <c r="G741" s="512">
        <v>0</v>
      </c>
      <c r="H741" s="512">
        <v>0</v>
      </c>
      <c r="I741" s="659" t="s">
        <v>103</v>
      </c>
      <c r="J741" s="513">
        <v>209549.8</v>
      </c>
      <c r="K741" s="513">
        <v>0</v>
      </c>
      <c r="L741" s="513">
        <v>0</v>
      </c>
      <c r="M741" s="513">
        <v>1735090.3254769014</v>
      </c>
      <c r="N741" s="622"/>
    </row>
    <row r="742" spans="2:14">
      <c r="B742" s="513" t="s">
        <v>325</v>
      </c>
      <c r="C742" s="658">
        <v>2014</v>
      </c>
      <c r="D742" s="513">
        <v>1735090.3254769025</v>
      </c>
      <c r="E742" s="513">
        <v>223426.37964147475</v>
      </c>
      <c r="F742" s="513">
        <v>223426.37964147475</v>
      </c>
      <c r="G742" s="512">
        <v>0</v>
      </c>
      <c r="H742" s="512">
        <v>0</v>
      </c>
      <c r="I742" s="659" t="s">
        <v>103</v>
      </c>
      <c r="J742" s="513">
        <v>3506.9499999999953</v>
      </c>
      <c r="K742" s="513">
        <v>0</v>
      </c>
      <c r="L742" s="513">
        <v>0</v>
      </c>
      <c r="M742" s="513">
        <v>1955009.7551183773</v>
      </c>
      <c r="N742" s="622"/>
    </row>
    <row r="743" spans="2:14">
      <c r="B743" s="513" t="s">
        <v>325</v>
      </c>
      <c r="C743" s="658">
        <v>2015</v>
      </c>
      <c r="D743" s="513">
        <v>1955009.7551183775</v>
      </c>
      <c r="E743" s="513">
        <v>226566.31345491952</v>
      </c>
      <c r="F743" s="513">
        <v>226566.31345491952</v>
      </c>
      <c r="G743" s="660">
        <v>0</v>
      </c>
      <c r="H743" s="660">
        <v>0</v>
      </c>
      <c r="I743" s="659" t="s">
        <v>103</v>
      </c>
      <c r="J743" s="513">
        <v>48864.02</v>
      </c>
      <c r="K743" s="513">
        <v>0</v>
      </c>
      <c r="L743" s="513">
        <v>0</v>
      </c>
      <c r="M743" s="513">
        <v>2132712.048573297</v>
      </c>
      <c r="N743" s="622"/>
    </row>
    <row r="744" spans="2:14">
      <c r="B744" s="513" t="s">
        <v>325</v>
      </c>
      <c r="C744" s="658">
        <v>2016</v>
      </c>
      <c r="D744" s="513">
        <v>2132712.0485732965</v>
      </c>
      <c r="E744" s="513">
        <v>169563.79600332939</v>
      </c>
      <c r="F744" s="513">
        <v>169563.79600332939</v>
      </c>
      <c r="G744" s="660">
        <v>0</v>
      </c>
      <c r="H744" s="660">
        <v>0</v>
      </c>
      <c r="I744" s="659" t="s">
        <v>103</v>
      </c>
      <c r="J744" s="513">
        <v>-3978.07</v>
      </c>
      <c r="K744" s="513">
        <v>0</v>
      </c>
      <c r="L744" s="513">
        <v>0</v>
      </c>
      <c r="M744" s="513">
        <v>2306253.9145766259</v>
      </c>
      <c r="N744" s="622"/>
    </row>
    <row r="745" spans="2:14">
      <c r="B745" s="513" t="s">
        <v>325</v>
      </c>
      <c r="C745" s="658">
        <v>2017</v>
      </c>
      <c r="D745" s="513">
        <v>2306253.9145766255</v>
      </c>
      <c r="E745" s="513">
        <v>158359.23436975721</v>
      </c>
      <c r="F745" s="513">
        <v>158359.23436975721</v>
      </c>
      <c r="G745" s="513">
        <v>0</v>
      </c>
      <c r="H745" s="513">
        <v>0</v>
      </c>
      <c r="I745" s="659" t="s">
        <v>103</v>
      </c>
      <c r="J745" s="513">
        <v>0</v>
      </c>
      <c r="K745" s="513">
        <v>0</v>
      </c>
      <c r="L745" s="513">
        <v>-89769.69</v>
      </c>
      <c r="M745" s="513">
        <v>2554382.8389463825</v>
      </c>
      <c r="N745" s="622"/>
    </row>
    <row r="746" spans="2:14">
      <c r="B746" s="513" t="s">
        <v>325</v>
      </c>
      <c r="C746" s="889">
        <v>2018</v>
      </c>
      <c r="D746" s="513">
        <v>2554382.8389463825</v>
      </c>
      <c r="E746" s="513">
        <f>VLOOKUP(B746,'[6]2018 allocation'!$A$11:$B$218,2, FALSE)</f>
        <v>167832.48391980751</v>
      </c>
      <c r="F746" s="513">
        <f>E746</f>
        <v>167832.48391980751</v>
      </c>
      <c r="G746" s="513">
        <v>0</v>
      </c>
      <c r="H746" s="513">
        <v>0</v>
      </c>
      <c r="I746" s="622" t="s">
        <v>103</v>
      </c>
      <c r="J746" s="513">
        <f>VLOOKUP(B746,'[6]Annual Spending Worksheet '!$C$6:$AG$250,28,FALSE)</f>
        <v>0</v>
      </c>
      <c r="K746" s="513">
        <f>VLOOKUP(B746,'[6]Annual Spending Worksheet '!$C$6:$AG$250,29,FALSE)</f>
        <v>0</v>
      </c>
      <c r="L746" s="513">
        <v>0</v>
      </c>
      <c r="M746" s="513">
        <f>D746+E746+H746-J746</f>
        <v>2722215.3228661902</v>
      </c>
      <c r="N746" s="513"/>
    </row>
    <row r="747" spans="2:14">
      <c r="B747" s="513" t="s">
        <v>325</v>
      </c>
      <c r="C747" s="889">
        <v>2019</v>
      </c>
      <c r="D747" s="513">
        <v>2722215.3228661902</v>
      </c>
      <c r="E747" s="513">
        <v>177864.3737107951</v>
      </c>
      <c r="F747" s="513">
        <v>177864.3737107951</v>
      </c>
      <c r="G747" s="513">
        <v>0</v>
      </c>
      <c r="H747" s="513">
        <v>-2722215</v>
      </c>
      <c r="I747" s="622" t="s">
        <v>1728</v>
      </c>
      <c r="J747" s="513">
        <v>0</v>
      </c>
      <c r="K747" s="513">
        <v>0</v>
      </c>
      <c r="L747" s="513">
        <v>0</v>
      </c>
      <c r="M747" s="513">
        <v>177864.69657698553</v>
      </c>
      <c r="N747" s="513"/>
    </row>
    <row r="748" spans="2:14" ht="29.1">
      <c r="B748" s="513" t="s">
        <v>330</v>
      </c>
      <c r="C748" s="658">
        <v>2008</v>
      </c>
      <c r="D748" s="513">
        <v>-903991.43900000001</v>
      </c>
      <c r="E748" s="512">
        <v>55555.180795896216</v>
      </c>
      <c r="F748" s="513">
        <v>55555.180795896216</v>
      </c>
      <c r="G748" s="512">
        <v>-848436.2582041038</v>
      </c>
      <c r="H748" s="512">
        <v>0</v>
      </c>
      <c r="I748" s="659" t="s">
        <v>103</v>
      </c>
      <c r="J748" s="513">
        <v>0</v>
      </c>
      <c r="K748" s="513">
        <v>0</v>
      </c>
      <c r="L748" s="513">
        <v>0</v>
      </c>
      <c r="M748" s="513">
        <v>-848436.2582041038</v>
      </c>
      <c r="N748" s="622" t="s">
        <v>1711</v>
      </c>
    </row>
    <row r="749" spans="2:14" ht="29.1">
      <c r="B749" s="513" t="s">
        <v>330</v>
      </c>
      <c r="C749" s="658">
        <v>2009</v>
      </c>
      <c r="D749" s="513">
        <v>-848436.25820410391</v>
      </c>
      <c r="E749" s="512">
        <v>44077.688707276982</v>
      </c>
      <c r="F749" s="513">
        <v>44077.688707276982</v>
      </c>
      <c r="G749" s="512">
        <v>-804358.56949682697</v>
      </c>
      <c r="H749" s="512">
        <v>0</v>
      </c>
      <c r="I749" s="659" t="s">
        <v>103</v>
      </c>
      <c r="J749" s="513">
        <v>0</v>
      </c>
      <c r="K749" s="513">
        <v>0</v>
      </c>
      <c r="L749" s="513">
        <v>0</v>
      </c>
      <c r="M749" s="513">
        <v>-804358.56949682697</v>
      </c>
      <c r="N749" s="622" t="s">
        <v>1711</v>
      </c>
    </row>
    <row r="750" spans="2:14" ht="29.1">
      <c r="B750" s="513" t="s">
        <v>330</v>
      </c>
      <c r="C750" s="658">
        <v>2010</v>
      </c>
      <c r="D750" s="513">
        <v>-804358.5694968265</v>
      </c>
      <c r="E750" s="512">
        <v>44020.33</v>
      </c>
      <c r="F750" s="513">
        <v>44020.33</v>
      </c>
      <c r="G750" s="512">
        <v>-760338.23949682654</v>
      </c>
      <c r="H750" s="512">
        <v>0</v>
      </c>
      <c r="I750" s="659" t="s">
        <v>103</v>
      </c>
      <c r="J750" s="513">
        <v>0</v>
      </c>
      <c r="K750" s="513">
        <v>0</v>
      </c>
      <c r="L750" s="513">
        <v>0</v>
      </c>
      <c r="M750" s="513">
        <v>-760338.23949682654</v>
      </c>
      <c r="N750" s="622" t="s">
        <v>1711</v>
      </c>
    </row>
    <row r="751" spans="2:14" ht="29.1">
      <c r="B751" s="513" t="s">
        <v>330</v>
      </c>
      <c r="C751" s="658">
        <v>2011</v>
      </c>
      <c r="D751" s="513">
        <v>-760338.23952088784</v>
      </c>
      <c r="E751" s="512">
        <v>44841.772319893338</v>
      </c>
      <c r="F751" s="513">
        <v>44841.772319893338</v>
      </c>
      <c r="G751" s="512">
        <v>-715496.46720099449</v>
      </c>
      <c r="H751" s="512">
        <v>0</v>
      </c>
      <c r="I751" s="659" t="s">
        <v>103</v>
      </c>
      <c r="J751" s="513">
        <v>0</v>
      </c>
      <c r="K751" s="513">
        <v>0</v>
      </c>
      <c r="L751" s="513">
        <v>0</v>
      </c>
      <c r="M751" s="513">
        <v>-715496.46720099449</v>
      </c>
      <c r="N751" s="622" t="s">
        <v>1711</v>
      </c>
    </row>
    <row r="752" spans="2:14" ht="29.1">
      <c r="B752" s="513" t="s">
        <v>330</v>
      </c>
      <c r="C752" s="658">
        <v>2012</v>
      </c>
      <c r="D752" s="513">
        <v>-715496.46720099449</v>
      </c>
      <c r="E752" s="512">
        <v>31235.25828729981</v>
      </c>
      <c r="F752" s="513">
        <v>31235.25828729981</v>
      </c>
      <c r="G752" s="660">
        <v>-684261.20891369472</v>
      </c>
      <c r="H752" s="512">
        <v>0</v>
      </c>
      <c r="I752" s="659" t="s">
        <v>103</v>
      </c>
      <c r="J752" s="513">
        <v>0</v>
      </c>
      <c r="K752" s="513">
        <v>0</v>
      </c>
      <c r="L752" s="513">
        <v>0</v>
      </c>
      <c r="M752" s="513">
        <v>-684261.20891369472</v>
      </c>
      <c r="N752" s="622" t="s">
        <v>1711</v>
      </c>
    </row>
    <row r="753" spans="2:14" ht="29.1">
      <c r="B753" s="513" t="s">
        <v>330</v>
      </c>
      <c r="C753" s="658">
        <v>2013</v>
      </c>
      <c r="D753" s="513">
        <v>-684261.20891369507</v>
      </c>
      <c r="E753" s="513">
        <v>49968.17531482382</v>
      </c>
      <c r="F753" s="513">
        <v>49968.17531482382</v>
      </c>
      <c r="G753" s="660">
        <v>-634293.0335988712</v>
      </c>
      <c r="H753" s="512">
        <v>0</v>
      </c>
      <c r="I753" s="659" t="s">
        <v>103</v>
      </c>
      <c r="J753" s="513">
        <v>0</v>
      </c>
      <c r="K753" s="513">
        <v>0</v>
      </c>
      <c r="L753" s="513">
        <v>0</v>
      </c>
      <c r="M753" s="513">
        <v>-634293.0335988712</v>
      </c>
      <c r="N753" s="622" t="s">
        <v>1711</v>
      </c>
    </row>
    <row r="754" spans="2:14" ht="29.1">
      <c r="B754" s="513" t="s">
        <v>330</v>
      </c>
      <c r="C754" s="658">
        <v>2014</v>
      </c>
      <c r="D754" s="513">
        <v>-634293.03359887097</v>
      </c>
      <c r="E754" s="513">
        <v>52070.58290397888</v>
      </c>
      <c r="F754" s="513">
        <v>52070.58290397888</v>
      </c>
      <c r="G754" s="660">
        <v>-582222.45069489209</v>
      </c>
      <c r="H754" s="512">
        <v>0</v>
      </c>
      <c r="I754" s="659" t="s">
        <v>103</v>
      </c>
      <c r="J754" s="513">
        <v>0</v>
      </c>
      <c r="K754" s="513">
        <v>0</v>
      </c>
      <c r="L754" s="513">
        <v>0</v>
      </c>
      <c r="M754" s="513">
        <v>-582222.45069489209</v>
      </c>
      <c r="N754" s="622" t="s">
        <v>1711</v>
      </c>
    </row>
    <row r="755" spans="2:14" ht="29.1">
      <c r="B755" s="513" t="s">
        <v>330</v>
      </c>
      <c r="C755" s="658">
        <v>2015</v>
      </c>
      <c r="D755" s="513">
        <v>-582222.45069489209</v>
      </c>
      <c r="E755" s="513">
        <v>52912.568616959317</v>
      </c>
      <c r="F755" s="513">
        <v>52912.568616959317</v>
      </c>
      <c r="G755" s="660">
        <v>-529309.88207793282</v>
      </c>
      <c r="H755" s="512">
        <v>0</v>
      </c>
      <c r="I755" s="659" t="s">
        <v>103</v>
      </c>
      <c r="J755" s="513">
        <v>0</v>
      </c>
      <c r="K755" s="513">
        <v>0</v>
      </c>
      <c r="L755" s="513">
        <v>0</v>
      </c>
      <c r="M755" s="513">
        <v>-529309.88207793282</v>
      </c>
      <c r="N755" s="622" t="s">
        <v>1711</v>
      </c>
    </row>
    <row r="756" spans="2:14" ht="29.1">
      <c r="B756" s="513" t="s">
        <v>330</v>
      </c>
      <c r="C756" s="658">
        <v>2016</v>
      </c>
      <c r="D756" s="513">
        <v>-529309.88207793282</v>
      </c>
      <c r="E756" s="513">
        <v>37240.557580931069</v>
      </c>
      <c r="F756" s="513">
        <v>37240.557580931069</v>
      </c>
      <c r="G756" s="660">
        <v>-492069.32449700177</v>
      </c>
      <c r="H756" s="660">
        <v>0</v>
      </c>
      <c r="I756" s="659" t="s">
        <v>103</v>
      </c>
      <c r="J756" s="513">
        <v>0</v>
      </c>
      <c r="K756" s="513">
        <v>0</v>
      </c>
      <c r="L756" s="513">
        <v>0</v>
      </c>
      <c r="M756" s="513">
        <v>-492069.32449700177</v>
      </c>
      <c r="N756" s="622" t="s">
        <v>1711</v>
      </c>
    </row>
    <row r="757" spans="2:14" ht="29.1">
      <c r="B757" s="513" t="s">
        <v>330</v>
      </c>
      <c r="C757" s="658">
        <v>2017</v>
      </c>
      <c r="D757" s="513">
        <v>-492069.32449700171</v>
      </c>
      <c r="E757" s="513">
        <v>34167.386956268965</v>
      </c>
      <c r="F757" s="513">
        <v>34167.386956268965</v>
      </c>
      <c r="G757" s="660">
        <v>-457901.93754073273</v>
      </c>
      <c r="H757" s="660">
        <v>0</v>
      </c>
      <c r="I757" s="659" t="s">
        <v>103</v>
      </c>
      <c r="J757" s="513">
        <v>0</v>
      </c>
      <c r="K757" s="513">
        <v>0</v>
      </c>
      <c r="L757" s="513">
        <v>0</v>
      </c>
      <c r="M757" s="513">
        <v>-457901.93754073273</v>
      </c>
      <c r="N757" s="622" t="s">
        <v>1711</v>
      </c>
    </row>
    <row r="758" spans="2:14" ht="29.1">
      <c r="B758" s="513" t="s">
        <v>330</v>
      </c>
      <c r="C758" s="889">
        <v>2018</v>
      </c>
      <c r="D758" s="513">
        <v>-457901.93754073273</v>
      </c>
      <c r="E758" s="513">
        <f>VLOOKUP(B758,'[6]2018 allocation'!$A$11:$B$218,2, FALSE)</f>
        <v>36791.397295215378</v>
      </c>
      <c r="F758" s="513">
        <f>E758</f>
        <v>36791.397295215378</v>
      </c>
      <c r="G758" s="513">
        <f>D758+E758</f>
        <v>-421110.54024551733</v>
      </c>
      <c r="H758" s="513">
        <v>0</v>
      </c>
      <c r="I758" s="622" t="s">
        <v>103</v>
      </c>
      <c r="J758" s="513">
        <f>VLOOKUP(B758,'[6]Annual Spending Worksheet '!$C$6:$AG$250,28,FALSE)</f>
        <v>0</v>
      </c>
      <c r="K758" s="513">
        <f>VLOOKUP(B758,'[6]Annual Spending Worksheet '!$C$6:$AG$250,29,FALSE)</f>
        <v>0</v>
      </c>
      <c r="L758" s="513">
        <v>0</v>
      </c>
      <c r="M758" s="513">
        <f>D758+E758+H758-J758</f>
        <v>-421110.54024551733</v>
      </c>
      <c r="N758" s="622" t="s">
        <v>1711</v>
      </c>
    </row>
    <row r="759" spans="2:14" ht="29.1">
      <c r="B759" s="513" t="s">
        <v>330</v>
      </c>
      <c r="C759" s="889">
        <v>2019</v>
      </c>
      <c r="D759" s="513">
        <v>-421110.54024551733</v>
      </c>
      <c r="E759" s="513">
        <v>39702.088670037352</v>
      </c>
      <c r="F759" s="513">
        <v>39702.088670037352</v>
      </c>
      <c r="G759" s="513">
        <v>-381408.45157547999</v>
      </c>
      <c r="H759" s="513">
        <v>0</v>
      </c>
      <c r="I759" s="622" t="s">
        <v>103</v>
      </c>
      <c r="J759" s="513">
        <v>0</v>
      </c>
      <c r="K759" s="513">
        <v>0</v>
      </c>
      <c r="L759" s="513">
        <v>0</v>
      </c>
      <c r="M759" s="513">
        <v>-381408.45157547999</v>
      </c>
      <c r="N759" s="622" t="s">
        <v>1711</v>
      </c>
    </row>
    <row r="760" spans="2:14" ht="29.1">
      <c r="B760" s="513" t="s">
        <v>331</v>
      </c>
      <c r="C760" s="658">
        <v>2008</v>
      </c>
      <c r="D760" s="513">
        <v>-6107333.4389999993</v>
      </c>
      <c r="E760" s="512">
        <v>214602.45339400583</v>
      </c>
      <c r="F760" s="513">
        <v>214602.45339400583</v>
      </c>
      <c r="G760" s="660">
        <v>-5892730.9856059933</v>
      </c>
      <c r="H760" s="512">
        <v>0</v>
      </c>
      <c r="I760" s="659" t="s">
        <v>103</v>
      </c>
      <c r="J760" s="513">
        <v>49927.240000000165</v>
      </c>
      <c r="K760" s="513">
        <v>0</v>
      </c>
      <c r="L760" s="513">
        <v>0</v>
      </c>
      <c r="M760" s="513">
        <v>-5942658.2256059935</v>
      </c>
      <c r="N760" s="622" t="s">
        <v>1711</v>
      </c>
    </row>
    <row r="761" spans="2:14" ht="29.1">
      <c r="B761" s="513" t="s">
        <v>331</v>
      </c>
      <c r="C761" s="658">
        <v>2009</v>
      </c>
      <c r="D761" s="513">
        <v>-5942658.3756059976</v>
      </c>
      <c r="E761" s="512">
        <v>180209.18673083975</v>
      </c>
      <c r="F761" s="513">
        <v>180209.18673083975</v>
      </c>
      <c r="G761" s="660">
        <v>-5762449.1888751583</v>
      </c>
      <c r="H761" s="512">
        <v>0</v>
      </c>
      <c r="I761" s="659" t="s">
        <v>103</v>
      </c>
      <c r="J761" s="513">
        <v>8289.0400000000081</v>
      </c>
      <c r="K761" s="513">
        <v>0</v>
      </c>
      <c r="L761" s="513">
        <v>0</v>
      </c>
      <c r="M761" s="513">
        <v>-5770738.2288751584</v>
      </c>
      <c r="N761" s="622" t="s">
        <v>1711</v>
      </c>
    </row>
    <row r="762" spans="2:14" ht="29.1">
      <c r="B762" s="513" t="s">
        <v>331</v>
      </c>
      <c r="C762" s="658">
        <v>2010</v>
      </c>
      <c r="D762" s="513">
        <v>-5770738.2288751574</v>
      </c>
      <c r="E762" s="512">
        <v>180076.21</v>
      </c>
      <c r="F762" s="513">
        <v>180076.21</v>
      </c>
      <c r="G762" s="660">
        <v>-5590662.0188751575</v>
      </c>
      <c r="H762" s="512">
        <v>0</v>
      </c>
      <c r="I762" s="659" t="s">
        <v>103</v>
      </c>
      <c r="J762" s="513">
        <v>315.51</v>
      </c>
      <c r="K762" s="513">
        <v>0</v>
      </c>
      <c r="L762" s="513">
        <v>0</v>
      </c>
      <c r="M762" s="513">
        <v>-5590977.5288751572</v>
      </c>
      <c r="N762" s="622" t="s">
        <v>1711</v>
      </c>
    </row>
    <row r="763" spans="2:14" ht="29.1">
      <c r="B763" s="513" t="s">
        <v>331</v>
      </c>
      <c r="C763" s="658">
        <v>2011</v>
      </c>
      <c r="D763" s="513">
        <v>-5590977.5251649572</v>
      </c>
      <c r="E763" s="512">
        <v>182702.6492579339</v>
      </c>
      <c r="F763" s="513">
        <v>182702.6492579339</v>
      </c>
      <c r="G763" s="660">
        <v>-5408274.8759070234</v>
      </c>
      <c r="H763" s="512">
        <v>0</v>
      </c>
      <c r="I763" s="659" t="s">
        <v>103</v>
      </c>
      <c r="J763" s="513">
        <v>0</v>
      </c>
      <c r="K763" s="513">
        <v>0</v>
      </c>
      <c r="L763" s="513">
        <v>0</v>
      </c>
      <c r="M763" s="513">
        <v>-5408274.8759070234</v>
      </c>
      <c r="N763" s="622" t="s">
        <v>1711</v>
      </c>
    </row>
    <row r="764" spans="2:14" ht="29.1">
      <c r="B764" s="513" t="s">
        <v>331</v>
      </c>
      <c r="C764" s="658">
        <v>2012</v>
      </c>
      <c r="D764" s="513">
        <v>-5408274.8759070234</v>
      </c>
      <c r="E764" s="512">
        <v>143448.26763251546</v>
      </c>
      <c r="F764" s="513">
        <v>143448.26763251546</v>
      </c>
      <c r="G764" s="660">
        <v>-5264826.6082745083</v>
      </c>
      <c r="H764" s="512">
        <v>0</v>
      </c>
      <c r="I764" s="659" t="s">
        <v>103</v>
      </c>
      <c r="J764" s="513">
        <v>0</v>
      </c>
      <c r="K764" s="513">
        <v>0</v>
      </c>
      <c r="L764" s="513">
        <v>0</v>
      </c>
      <c r="M764" s="513">
        <v>-5264826.6082745083</v>
      </c>
      <c r="N764" s="622" t="s">
        <v>1711</v>
      </c>
    </row>
    <row r="765" spans="2:14" ht="29.1">
      <c r="B765" s="513" t="s">
        <v>331</v>
      </c>
      <c r="C765" s="658">
        <v>2013</v>
      </c>
      <c r="D765" s="513">
        <v>-5264826.6082745083</v>
      </c>
      <c r="E765" s="512">
        <v>197682.91678481497</v>
      </c>
      <c r="F765" s="513">
        <v>197682.91678481497</v>
      </c>
      <c r="G765" s="660">
        <v>-5067143.6914896937</v>
      </c>
      <c r="H765" s="512">
        <v>0</v>
      </c>
      <c r="I765" s="659" t="s">
        <v>103</v>
      </c>
      <c r="J765" s="513">
        <v>-0.03</v>
      </c>
      <c r="K765" s="513">
        <v>0</v>
      </c>
      <c r="L765" s="513">
        <v>0</v>
      </c>
      <c r="M765" s="513">
        <v>-5067143.6614896934</v>
      </c>
      <c r="N765" s="622" t="s">
        <v>1711</v>
      </c>
    </row>
    <row r="766" spans="2:14" ht="29.1">
      <c r="B766" s="513" t="s">
        <v>331</v>
      </c>
      <c r="C766" s="658">
        <v>2014</v>
      </c>
      <c r="D766" s="513">
        <v>-5067143.6614896962</v>
      </c>
      <c r="E766" s="513">
        <v>203912.12506825922</v>
      </c>
      <c r="F766" s="513">
        <v>203912.12506825922</v>
      </c>
      <c r="G766" s="660">
        <v>-4863231.5364214368</v>
      </c>
      <c r="H766" s="512">
        <v>0</v>
      </c>
      <c r="I766" s="659" t="s">
        <v>103</v>
      </c>
      <c r="J766" s="513">
        <v>0</v>
      </c>
      <c r="K766" s="513">
        <v>0</v>
      </c>
      <c r="L766" s="513">
        <v>0</v>
      </c>
      <c r="M766" s="513">
        <v>-4863231.5364214368</v>
      </c>
      <c r="N766" s="622" t="s">
        <v>1711</v>
      </c>
    </row>
    <row r="767" spans="2:14" ht="29.1">
      <c r="B767" s="513" t="s">
        <v>331</v>
      </c>
      <c r="C767" s="658">
        <v>2015</v>
      </c>
      <c r="D767" s="513">
        <v>-4863231.5364214368</v>
      </c>
      <c r="E767" s="513">
        <v>206395.33131288204</v>
      </c>
      <c r="F767" s="513">
        <v>206395.33131288204</v>
      </c>
      <c r="G767" s="660">
        <v>-4656836.205108555</v>
      </c>
      <c r="H767" s="512">
        <v>0</v>
      </c>
      <c r="I767" s="659" t="s">
        <v>103</v>
      </c>
      <c r="J767" s="513">
        <v>0</v>
      </c>
      <c r="K767" s="513">
        <v>0</v>
      </c>
      <c r="L767" s="513">
        <v>10444.280000000001</v>
      </c>
      <c r="M767" s="513">
        <v>-4667280.4851085553</v>
      </c>
      <c r="N767" s="622" t="s">
        <v>1711</v>
      </c>
    </row>
    <row r="768" spans="2:14" ht="29.1">
      <c r="B768" s="513" t="s">
        <v>331</v>
      </c>
      <c r="C768" s="658">
        <v>2016</v>
      </c>
      <c r="D768" s="513">
        <v>-4667280.4850085508</v>
      </c>
      <c r="E768" s="513">
        <v>160196.77863444353</v>
      </c>
      <c r="F768" s="513">
        <v>160196.77863444353</v>
      </c>
      <c r="G768" s="660">
        <v>-4507083.7063741069</v>
      </c>
      <c r="H768" s="512">
        <v>0</v>
      </c>
      <c r="I768" s="659" t="s">
        <v>103</v>
      </c>
      <c r="J768" s="513">
        <v>0</v>
      </c>
      <c r="K768" s="513">
        <v>0</v>
      </c>
      <c r="L768" s="513">
        <v>0</v>
      </c>
      <c r="M768" s="513">
        <v>-4507083.7063741069</v>
      </c>
      <c r="N768" s="622" t="s">
        <v>1711</v>
      </c>
    </row>
    <row r="769" spans="2:14" ht="29.1">
      <c r="B769" s="513" t="s">
        <v>331</v>
      </c>
      <c r="C769" s="658">
        <v>2017</v>
      </c>
      <c r="D769" s="513">
        <v>-4507083.7063741069</v>
      </c>
      <c r="E769" s="513">
        <v>151436.09307089265</v>
      </c>
      <c r="F769" s="513">
        <v>151436.09307089265</v>
      </c>
      <c r="G769" s="660">
        <v>-4355647.6133032143</v>
      </c>
      <c r="H769" s="660">
        <v>0</v>
      </c>
      <c r="I769" s="659" t="s">
        <v>103</v>
      </c>
      <c r="J769" s="513">
        <v>0</v>
      </c>
      <c r="K769" s="513">
        <v>0</v>
      </c>
      <c r="L769" s="513">
        <v>0</v>
      </c>
      <c r="M769" s="513">
        <v>-4355647.6133032143</v>
      </c>
      <c r="N769" s="622" t="s">
        <v>1711</v>
      </c>
    </row>
    <row r="770" spans="2:14" ht="29.1">
      <c r="B770" s="513" t="s">
        <v>331</v>
      </c>
      <c r="C770" s="889">
        <v>2018</v>
      </c>
      <c r="D770" s="513">
        <v>-4355647.6133032143</v>
      </c>
      <c r="E770" s="513">
        <f>VLOOKUP(B770,'[6]2018 allocation'!$A$11:$B$218,2, FALSE)</f>
        <v>159229.51713243086</v>
      </c>
      <c r="F770" s="513">
        <f>E770</f>
        <v>159229.51713243086</v>
      </c>
      <c r="G770" s="513">
        <f>D770+E770</f>
        <v>-4196418.096170783</v>
      </c>
      <c r="H770" s="513">
        <v>0</v>
      </c>
      <c r="I770" s="622" t="s">
        <v>103</v>
      </c>
      <c r="J770" s="513">
        <f>VLOOKUP(B770,'[6]Annual Spending Worksheet '!$C$6:$AG$250,28,FALSE)</f>
        <v>0</v>
      </c>
      <c r="K770" s="513">
        <f>VLOOKUP(B770,'[6]Annual Spending Worksheet '!$C$6:$AG$250,29,FALSE)</f>
        <v>0</v>
      </c>
      <c r="L770" s="513">
        <v>0</v>
      </c>
      <c r="M770" s="513">
        <f>D770+E770+H770-J770</f>
        <v>-4196418.096170783</v>
      </c>
      <c r="N770" s="622" t="s">
        <v>1711</v>
      </c>
    </row>
    <row r="771" spans="2:14" ht="29.1">
      <c r="B771" s="513" t="s">
        <v>331</v>
      </c>
      <c r="C771" s="889">
        <v>2019</v>
      </c>
      <c r="D771" s="513">
        <v>-4196418.096170783</v>
      </c>
      <c r="E771" s="513">
        <v>167484.15763282977</v>
      </c>
      <c r="F771" s="513">
        <v>167484.15763282977</v>
      </c>
      <c r="G771" s="513">
        <v>-4028933.9385379534</v>
      </c>
      <c r="H771" s="513">
        <v>0</v>
      </c>
      <c r="I771" s="622" t="s">
        <v>103</v>
      </c>
      <c r="J771" s="513">
        <v>0</v>
      </c>
      <c r="K771" s="513">
        <v>0</v>
      </c>
      <c r="L771" s="513">
        <v>0</v>
      </c>
      <c r="M771" s="513">
        <v>-4028933.9385379534</v>
      </c>
      <c r="N771" s="622" t="s">
        <v>1711</v>
      </c>
    </row>
    <row r="772" spans="2:14">
      <c r="B772" s="513" t="s">
        <v>335</v>
      </c>
      <c r="C772" s="658">
        <v>2008</v>
      </c>
      <c r="D772" s="513">
        <v>1935370.27</v>
      </c>
      <c r="E772" s="512">
        <v>104145.76674125067</v>
      </c>
      <c r="F772" s="513">
        <v>104145.76674125067</v>
      </c>
      <c r="G772" s="512">
        <v>0</v>
      </c>
      <c r="H772" s="512">
        <v>0</v>
      </c>
      <c r="I772" s="659" t="s">
        <v>103</v>
      </c>
      <c r="J772" s="513">
        <v>0</v>
      </c>
      <c r="K772" s="513">
        <v>0</v>
      </c>
      <c r="L772" s="513">
        <v>0</v>
      </c>
      <c r="M772" s="513">
        <v>2039516.0367412507</v>
      </c>
      <c r="N772" s="622"/>
    </row>
    <row r="773" spans="2:14">
      <c r="B773" s="513" t="s">
        <v>335</v>
      </c>
      <c r="C773" s="658">
        <v>2009</v>
      </c>
      <c r="D773" s="513">
        <v>2039516.0367412507</v>
      </c>
      <c r="E773" s="512">
        <v>86397.24925256944</v>
      </c>
      <c r="F773" s="513">
        <v>86397.24925256944</v>
      </c>
      <c r="G773" s="512">
        <v>0</v>
      </c>
      <c r="H773" s="512">
        <v>0</v>
      </c>
      <c r="I773" s="659" t="s">
        <v>103</v>
      </c>
      <c r="J773" s="513">
        <v>0</v>
      </c>
      <c r="K773" s="513">
        <v>0</v>
      </c>
      <c r="L773" s="513">
        <v>0</v>
      </c>
      <c r="M773" s="513">
        <v>2125913.2859938201</v>
      </c>
      <c r="N773" s="622"/>
    </row>
    <row r="774" spans="2:14">
      <c r="B774" s="513" t="s">
        <v>335</v>
      </c>
      <c r="C774" s="658">
        <v>2010</v>
      </c>
      <c r="D774" s="513">
        <v>2125913.2859938201</v>
      </c>
      <c r="E774" s="512">
        <v>86275.48</v>
      </c>
      <c r="F774" s="513">
        <v>86275.48</v>
      </c>
      <c r="G774" s="512">
        <v>0</v>
      </c>
      <c r="H774" s="512">
        <v>0</v>
      </c>
      <c r="I774" s="659" t="s">
        <v>103</v>
      </c>
      <c r="J774" s="513">
        <v>0</v>
      </c>
      <c r="K774" s="513">
        <v>0</v>
      </c>
      <c r="L774" s="513">
        <v>0</v>
      </c>
      <c r="M774" s="513">
        <v>2212188.76599382</v>
      </c>
      <c r="N774" s="622"/>
    </row>
    <row r="775" spans="2:14">
      <c r="B775" s="513" t="s">
        <v>335</v>
      </c>
      <c r="C775" s="658">
        <v>2011</v>
      </c>
      <c r="D775" s="513">
        <v>2212188.7621173887</v>
      </c>
      <c r="E775" s="512">
        <v>87547.759084250793</v>
      </c>
      <c r="F775" s="513">
        <v>87547.759084250793</v>
      </c>
      <c r="G775" s="512">
        <v>0</v>
      </c>
      <c r="H775" s="512">
        <v>0</v>
      </c>
      <c r="I775" s="659" t="s">
        <v>103</v>
      </c>
      <c r="J775" s="513">
        <v>0</v>
      </c>
      <c r="K775" s="513">
        <v>0</v>
      </c>
      <c r="L775" s="513">
        <v>0</v>
      </c>
      <c r="M775" s="513">
        <v>2299736.5212016394</v>
      </c>
      <c r="N775" s="622"/>
    </row>
    <row r="776" spans="2:14">
      <c r="B776" s="513" t="s">
        <v>335</v>
      </c>
      <c r="C776" s="658">
        <v>2012</v>
      </c>
      <c r="D776" s="513">
        <v>2299736.5212016394</v>
      </c>
      <c r="E776" s="513">
        <v>66670.05052662309</v>
      </c>
      <c r="F776" s="513">
        <v>66670.05052662309</v>
      </c>
      <c r="G776" s="512">
        <v>0</v>
      </c>
      <c r="H776" s="512">
        <v>0</v>
      </c>
      <c r="I776" s="659" t="s">
        <v>103</v>
      </c>
      <c r="J776" s="513">
        <v>0</v>
      </c>
      <c r="K776" s="513">
        <v>0</v>
      </c>
      <c r="L776" s="513">
        <v>0</v>
      </c>
      <c r="M776" s="513">
        <v>2366406.5717282626</v>
      </c>
      <c r="N776" s="622"/>
    </row>
    <row r="777" spans="2:14">
      <c r="B777" s="513" t="s">
        <v>335</v>
      </c>
      <c r="C777" s="658">
        <v>2013</v>
      </c>
      <c r="D777" s="513">
        <v>2366406.5717282626</v>
      </c>
      <c r="E777" s="513">
        <v>95600.630758485131</v>
      </c>
      <c r="F777" s="513">
        <v>95600.630758485131</v>
      </c>
      <c r="G777" s="512">
        <v>0</v>
      </c>
      <c r="H777" s="512">
        <v>0</v>
      </c>
      <c r="I777" s="659" t="s">
        <v>103</v>
      </c>
      <c r="J777" s="513">
        <v>0</v>
      </c>
      <c r="K777" s="513">
        <v>0</v>
      </c>
      <c r="L777" s="513">
        <v>0</v>
      </c>
      <c r="M777" s="513">
        <v>2462007.2024867479</v>
      </c>
      <c r="N777" s="622"/>
    </row>
    <row r="778" spans="2:14">
      <c r="B778" s="513" t="s">
        <v>335</v>
      </c>
      <c r="C778" s="658">
        <v>2014</v>
      </c>
      <c r="D778" s="513">
        <v>2462007.2024867479</v>
      </c>
      <c r="E778" s="513">
        <v>98966.631202338103</v>
      </c>
      <c r="F778" s="513">
        <v>98966.631202338103</v>
      </c>
      <c r="G778" s="512">
        <v>0</v>
      </c>
      <c r="H778" s="512">
        <v>0</v>
      </c>
      <c r="I778" s="659" t="s">
        <v>103</v>
      </c>
      <c r="J778" s="513">
        <v>0</v>
      </c>
      <c r="K778" s="513">
        <v>0</v>
      </c>
      <c r="L778" s="513">
        <v>0</v>
      </c>
      <c r="M778" s="513">
        <v>2560973.8336890861</v>
      </c>
      <c r="N778" s="622"/>
    </row>
    <row r="779" spans="2:14">
      <c r="B779" s="513" t="s">
        <v>335</v>
      </c>
      <c r="C779" s="658">
        <v>2015</v>
      </c>
      <c r="D779" s="513">
        <v>2560973.8336890861</v>
      </c>
      <c r="E779" s="513">
        <v>100304.10104020422</v>
      </c>
      <c r="F779" s="513">
        <v>100304.10104020422</v>
      </c>
      <c r="G779" s="660">
        <v>0</v>
      </c>
      <c r="H779" s="660">
        <v>0</v>
      </c>
      <c r="I779" s="659" t="s">
        <v>103</v>
      </c>
      <c r="J779" s="513">
        <v>0</v>
      </c>
      <c r="K779" s="513">
        <v>0</v>
      </c>
      <c r="L779" s="513">
        <v>0</v>
      </c>
      <c r="M779" s="513">
        <v>2661277.9347292902</v>
      </c>
      <c r="N779" s="622"/>
    </row>
    <row r="780" spans="2:14">
      <c r="B780" s="513" t="s">
        <v>335</v>
      </c>
      <c r="C780" s="658">
        <v>2016</v>
      </c>
      <c r="D780" s="513">
        <v>2661277.9347292902</v>
      </c>
      <c r="E780" s="513">
        <v>75355.910699513086</v>
      </c>
      <c r="F780" s="513">
        <v>75355.910699513086</v>
      </c>
      <c r="G780" s="660">
        <v>0</v>
      </c>
      <c r="H780" s="660">
        <v>0</v>
      </c>
      <c r="I780" s="659" t="s">
        <v>103</v>
      </c>
      <c r="J780" s="513">
        <v>0</v>
      </c>
      <c r="K780" s="513">
        <v>0</v>
      </c>
      <c r="L780" s="513">
        <v>0</v>
      </c>
      <c r="M780" s="513">
        <v>2736633.8454288035</v>
      </c>
      <c r="N780" s="622"/>
    </row>
    <row r="781" spans="2:14">
      <c r="B781" s="513" t="s">
        <v>335</v>
      </c>
      <c r="C781" s="658">
        <v>2017</v>
      </c>
      <c r="D781" s="513">
        <v>2736633.8454288035</v>
      </c>
      <c r="E781" s="513">
        <v>70457.551157495705</v>
      </c>
      <c r="F781" s="513">
        <v>70457.551157495705</v>
      </c>
      <c r="G781" s="513">
        <v>0</v>
      </c>
      <c r="H781" s="513">
        <v>0</v>
      </c>
      <c r="I781" s="659" t="s">
        <v>103</v>
      </c>
      <c r="J781" s="513">
        <v>0</v>
      </c>
      <c r="K781" s="513">
        <v>0</v>
      </c>
      <c r="L781" s="513">
        <v>0</v>
      </c>
      <c r="M781" s="513">
        <v>2807091.3965862989</v>
      </c>
      <c r="N781" s="622"/>
    </row>
    <row r="782" spans="2:14">
      <c r="B782" s="513" t="s">
        <v>335</v>
      </c>
      <c r="C782" s="889">
        <v>2018</v>
      </c>
      <c r="D782" s="513">
        <v>2807091.3965862989</v>
      </c>
      <c r="E782" s="513">
        <f>VLOOKUP(B782,'[6]2018 allocation'!$A$11:$B$218,2, FALSE)</f>
        <v>74629.15152358741</v>
      </c>
      <c r="F782" s="513">
        <f>E782</f>
        <v>74629.15152358741</v>
      </c>
      <c r="G782" s="513">
        <v>0</v>
      </c>
      <c r="H782" s="513">
        <v>0</v>
      </c>
      <c r="I782" s="622" t="s">
        <v>103</v>
      </c>
      <c r="J782" s="513">
        <f>VLOOKUP(B782,'[6]Annual Spending Worksheet '!$C$6:$AG$250,28,FALSE)</f>
        <v>0</v>
      </c>
      <c r="K782" s="513">
        <f>VLOOKUP(B782,'[6]Annual Spending Worksheet '!$C$6:$AG$250,29,FALSE)</f>
        <v>0</v>
      </c>
      <c r="L782" s="513">
        <v>0</v>
      </c>
      <c r="M782" s="513">
        <f>D782+E782+H782-J782</f>
        <v>2881720.5481098862</v>
      </c>
      <c r="N782" s="513"/>
    </row>
    <row r="783" spans="2:14">
      <c r="B783" s="513" t="s">
        <v>335</v>
      </c>
      <c r="C783" s="889">
        <v>2019</v>
      </c>
      <c r="D783" s="513">
        <v>2881720.5481098862</v>
      </c>
      <c r="E783" s="513">
        <v>79000.077276301687</v>
      </c>
      <c r="F783" s="513">
        <v>79000.077276301687</v>
      </c>
      <c r="G783" s="513">
        <v>0</v>
      </c>
      <c r="H783" s="513">
        <v>0</v>
      </c>
      <c r="I783" s="622" t="s">
        <v>103</v>
      </c>
      <c r="J783" s="513">
        <v>0</v>
      </c>
      <c r="K783" s="513">
        <v>0</v>
      </c>
      <c r="L783" s="513">
        <v>0</v>
      </c>
      <c r="M783" s="513">
        <v>2960720.6253861878</v>
      </c>
      <c r="N783" s="513"/>
    </row>
    <row r="784" spans="2:14">
      <c r="B784" s="513" t="s">
        <v>336</v>
      </c>
      <c r="C784" s="658">
        <v>2008</v>
      </c>
      <c r="D784" s="513">
        <v>3659826.6610000003</v>
      </c>
      <c r="E784" s="512">
        <v>197125.06751486444</v>
      </c>
      <c r="F784" s="513">
        <v>197125.06751486444</v>
      </c>
      <c r="G784" s="512">
        <v>0</v>
      </c>
      <c r="H784" s="512">
        <v>0</v>
      </c>
      <c r="I784" s="659" t="s">
        <v>103</v>
      </c>
      <c r="J784" s="513">
        <v>1484689.46</v>
      </c>
      <c r="K784" s="513">
        <v>0</v>
      </c>
      <c r="L784" s="513">
        <v>0</v>
      </c>
      <c r="M784" s="513">
        <v>2372262.2685148646</v>
      </c>
      <c r="N784" s="622"/>
    </row>
    <row r="785" spans="2:14">
      <c r="B785" s="513" t="s">
        <v>336</v>
      </c>
      <c r="C785" s="658">
        <v>2009</v>
      </c>
      <c r="D785" s="513">
        <v>2372262.2685148651</v>
      </c>
      <c r="E785" s="512">
        <v>162872.22882039141</v>
      </c>
      <c r="F785" s="513">
        <v>162872.22882039141</v>
      </c>
      <c r="G785" s="512">
        <v>0</v>
      </c>
      <c r="H785" s="512">
        <v>0</v>
      </c>
      <c r="I785" s="659" t="s">
        <v>103</v>
      </c>
      <c r="J785" s="513">
        <v>2021900.29</v>
      </c>
      <c r="K785" s="513">
        <v>1731971</v>
      </c>
      <c r="L785" s="513">
        <v>0</v>
      </c>
      <c r="M785" s="513">
        <v>513234.20733525651</v>
      </c>
      <c r="N785" s="622"/>
    </row>
    <row r="786" spans="2:14" ht="29.1">
      <c r="B786" s="513" t="s">
        <v>336</v>
      </c>
      <c r="C786" s="658">
        <v>2010</v>
      </c>
      <c r="D786" s="513">
        <v>513234.20733525604</v>
      </c>
      <c r="E786" s="512">
        <v>162675.99</v>
      </c>
      <c r="F786" s="513">
        <v>162675.99</v>
      </c>
      <c r="G786" s="512">
        <v>0</v>
      </c>
      <c r="H786" s="512">
        <v>0</v>
      </c>
      <c r="I786" s="659" t="s">
        <v>103</v>
      </c>
      <c r="J786" s="513">
        <v>1301682.04</v>
      </c>
      <c r="K786" s="513">
        <v>0</v>
      </c>
      <c r="L786" s="513">
        <v>0</v>
      </c>
      <c r="M786" s="513">
        <v>-625771.84266474401</v>
      </c>
      <c r="N786" s="622" t="s">
        <v>1729</v>
      </c>
    </row>
    <row r="787" spans="2:14" ht="29.1">
      <c r="B787" s="513" t="s">
        <v>336</v>
      </c>
      <c r="C787" s="658">
        <v>2011</v>
      </c>
      <c r="D787" s="513">
        <v>-625771.84368805867</v>
      </c>
      <c r="E787" s="512">
        <v>165108.4610806561</v>
      </c>
      <c r="F787" s="513">
        <v>165108.4610806561</v>
      </c>
      <c r="G787" s="660">
        <v>-460663.38260740257</v>
      </c>
      <c r="H787" s="512">
        <v>0</v>
      </c>
      <c r="I787" s="659" t="s">
        <v>103</v>
      </c>
      <c r="J787" s="513">
        <v>4437.5299999998442</v>
      </c>
      <c r="K787" s="513">
        <v>0</v>
      </c>
      <c r="L787" s="513">
        <v>281796.53000000003</v>
      </c>
      <c r="M787" s="513">
        <v>-746897.44260740245</v>
      </c>
      <c r="N787" s="622" t="s">
        <v>1729</v>
      </c>
    </row>
    <row r="788" spans="2:14" ht="29.1">
      <c r="B788" s="513" t="s">
        <v>336</v>
      </c>
      <c r="C788" s="658">
        <v>2012</v>
      </c>
      <c r="D788" s="513">
        <v>-746897.44250740111</v>
      </c>
      <c r="E788" s="513">
        <v>124171.92943365808</v>
      </c>
      <c r="F788" s="513">
        <v>124171.92943365808</v>
      </c>
      <c r="G788" s="660">
        <v>-622725.51307374309</v>
      </c>
      <c r="H788" s="512">
        <v>0</v>
      </c>
      <c r="I788" s="659" t="s">
        <v>103</v>
      </c>
      <c r="J788" s="513">
        <v>85848</v>
      </c>
      <c r="K788" s="513">
        <v>0</v>
      </c>
      <c r="L788" s="513">
        <v>0</v>
      </c>
      <c r="M788" s="513">
        <v>-708573.51307374309</v>
      </c>
      <c r="N788" s="622" t="s">
        <v>1729</v>
      </c>
    </row>
    <row r="789" spans="2:14" ht="29.1">
      <c r="B789" s="513" t="s">
        <v>336</v>
      </c>
      <c r="C789" s="658">
        <v>2013</v>
      </c>
      <c r="D789" s="513">
        <v>-708579.24307374377</v>
      </c>
      <c r="E789" s="513">
        <v>180717.88978364025</v>
      </c>
      <c r="F789" s="513">
        <v>180717.88978364025</v>
      </c>
      <c r="G789" s="660">
        <v>-527861.35329010349</v>
      </c>
      <c r="H789" s="512">
        <v>0</v>
      </c>
      <c r="I789" s="659" t="s">
        <v>103</v>
      </c>
      <c r="J789" s="513">
        <v>319497.60999999993</v>
      </c>
      <c r="K789" s="513">
        <v>0</v>
      </c>
      <c r="L789" s="513">
        <v>-276856.57</v>
      </c>
      <c r="M789" s="513">
        <v>-570502.39329010341</v>
      </c>
      <c r="N789" s="622" t="s">
        <v>1729</v>
      </c>
    </row>
    <row r="790" spans="2:14" ht="29.1">
      <c r="B790" s="513" t="s">
        <v>336</v>
      </c>
      <c r="C790" s="658">
        <v>2014</v>
      </c>
      <c r="D790" s="513">
        <v>-570502.39329010341</v>
      </c>
      <c r="E790" s="513">
        <v>187309.46184329697</v>
      </c>
      <c r="F790" s="513">
        <v>187309.46184329697</v>
      </c>
      <c r="G790" s="660">
        <v>-383192.93144680641</v>
      </c>
      <c r="H790" s="512">
        <v>0</v>
      </c>
      <c r="I790" s="659" t="s">
        <v>103</v>
      </c>
      <c r="J790" s="513">
        <v>0</v>
      </c>
      <c r="K790" s="513">
        <v>3734440</v>
      </c>
      <c r="L790" s="513">
        <v>36013.31</v>
      </c>
      <c r="M790" s="513">
        <v>-419206.24144680641</v>
      </c>
      <c r="N790" s="622" t="s">
        <v>1729</v>
      </c>
    </row>
    <row r="791" spans="2:14" ht="29.1">
      <c r="B791" s="513" t="s">
        <v>336</v>
      </c>
      <c r="C791" s="658">
        <v>2015</v>
      </c>
      <c r="D791" s="513">
        <v>-419206.24144680612</v>
      </c>
      <c r="E791" s="513">
        <v>189997.11289570385</v>
      </c>
      <c r="F791" s="513">
        <v>189997.11289570385</v>
      </c>
      <c r="G791" s="660">
        <v>-229209.12855110227</v>
      </c>
      <c r="H791" s="660">
        <v>0</v>
      </c>
      <c r="I791" s="659" t="s">
        <v>103</v>
      </c>
      <c r="J791" s="513">
        <v>0</v>
      </c>
      <c r="K791" s="513">
        <v>0</v>
      </c>
      <c r="L791" s="513">
        <v>0</v>
      </c>
      <c r="M791" s="513">
        <v>-229209.12855110227</v>
      </c>
      <c r="N791" s="622" t="s">
        <v>1729</v>
      </c>
    </row>
    <row r="792" spans="2:14" ht="29.1">
      <c r="B792" s="513" t="s">
        <v>336</v>
      </c>
      <c r="C792" s="658">
        <v>2016</v>
      </c>
      <c r="D792" s="513">
        <v>-229209.12855110224</v>
      </c>
      <c r="E792" s="513">
        <v>141021.99462392402</v>
      </c>
      <c r="F792" s="513">
        <v>141021.99462392402</v>
      </c>
      <c r="G792" s="660">
        <v>-88187.13392717822</v>
      </c>
      <c r="H792" s="660">
        <v>0</v>
      </c>
      <c r="I792" s="659" t="s">
        <v>103</v>
      </c>
      <c r="J792" s="513">
        <v>0</v>
      </c>
      <c r="K792" s="513">
        <v>0</v>
      </c>
      <c r="L792" s="513">
        <v>0</v>
      </c>
      <c r="M792" s="513">
        <v>-88187.13392717822</v>
      </c>
      <c r="N792" s="622" t="s">
        <v>1729</v>
      </c>
    </row>
    <row r="793" spans="2:14">
      <c r="B793" s="513" t="s">
        <v>336</v>
      </c>
      <c r="C793" s="658">
        <v>2017</v>
      </c>
      <c r="D793" s="513">
        <v>-88187.133927178569</v>
      </c>
      <c r="E793" s="513">
        <v>131448.68976904597</v>
      </c>
      <c r="F793" s="513">
        <v>131448.68976904597</v>
      </c>
      <c r="G793" s="513">
        <v>0</v>
      </c>
      <c r="H793" s="513">
        <v>0</v>
      </c>
      <c r="I793" s="659" t="s">
        <v>103</v>
      </c>
      <c r="J793" s="513">
        <v>0</v>
      </c>
      <c r="K793" s="513">
        <v>0</v>
      </c>
      <c r="L793" s="513">
        <v>0</v>
      </c>
      <c r="M793" s="513">
        <v>43261.555841867405</v>
      </c>
      <c r="N793" s="622"/>
    </row>
    <row r="794" spans="2:14">
      <c r="B794" s="513" t="s">
        <v>336</v>
      </c>
      <c r="C794" s="889">
        <v>2018</v>
      </c>
      <c r="D794" s="513">
        <v>43261.555841867405</v>
      </c>
      <c r="E794" s="513">
        <f>VLOOKUP(B794,'[6]2018 allocation'!$A$11:$B$218,2, FALSE)</f>
        <v>139505.6260383022</v>
      </c>
      <c r="F794" s="513">
        <f>E794</f>
        <v>139505.6260383022</v>
      </c>
      <c r="G794" s="513">
        <v>0</v>
      </c>
      <c r="H794" s="513">
        <v>0</v>
      </c>
      <c r="I794" s="622" t="s">
        <v>103</v>
      </c>
      <c r="J794" s="513">
        <f>VLOOKUP(B794,'[6]Annual Spending Worksheet '!$C$6:$AG$250,28,FALSE)</f>
        <v>0</v>
      </c>
      <c r="K794" s="513">
        <f>VLOOKUP(B794,'[6]Annual Spending Worksheet '!$C$6:$AG$250,29,FALSE)</f>
        <v>0</v>
      </c>
      <c r="L794" s="513">
        <v>0</v>
      </c>
      <c r="M794" s="513">
        <f>D794+E794+H794-J794</f>
        <v>182767.18188016961</v>
      </c>
      <c r="N794" s="513"/>
    </row>
    <row r="795" spans="2:14">
      <c r="B795" s="513" t="s">
        <v>336</v>
      </c>
      <c r="C795" s="889">
        <v>2019</v>
      </c>
      <c r="D795" s="513">
        <v>182767.18188016961</v>
      </c>
      <c r="E795" s="513">
        <v>147960.84577324233</v>
      </c>
      <c r="F795" s="513">
        <v>147960.84577324233</v>
      </c>
      <c r="G795" s="513">
        <v>0</v>
      </c>
      <c r="H795" s="513">
        <v>0</v>
      </c>
      <c r="I795" s="622" t="s">
        <v>103</v>
      </c>
      <c r="J795" s="513">
        <v>0</v>
      </c>
      <c r="K795" s="513">
        <v>0</v>
      </c>
      <c r="L795" s="513">
        <v>0</v>
      </c>
      <c r="M795" s="513">
        <v>330728.02765341196</v>
      </c>
      <c r="N795" s="513"/>
    </row>
    <row r="796" spans="2:14">
      <c r="B796" s="513" t="s">
        <v>341</v>
      </c>
      <c r="C796" s="658">
        <v>2008</v>
      </c>
      <c r="D796" s="513">
        <v>118290.41199999955</v>
      </c>
      <c r="E796" s="512">
        <v>268446.37394326332</v>
      </c>
      <c r="F796" s="513">
        <v>268446.37394326332</v>
      </c>
      <c r="G796" s="512">
        <v>0</v>
      </c>
      <c r="H796" s="512">
        <v>0</v>
      </c>
      <c r="I796" s="659" t="s">
        <v>103</v>
      </c>
      <c r="J796" s="513">
        <v>10103.439999999979</v>
      </c>
      <c r="K796" s="513">
        <v>0</v>
      </c>
      <c r="L796" s="513">
        <v>0</v>
      </c>
      <c r="M796" s="513">
        <v>376633.34594326286</v>
      </c>
      <c r="N796" s="622"/>
    </row>
    <row r="797" spans="2:14">
      <c r="B797" s="513" t="s">
        <v>341</v>
      </c>
      <c r="C797" s="658">
        <v>2009</v>
      </c>
      <c r="D797" s="513">
        <v>376633.3459432628</v>
      </c>
      <c r="E797" s="512">
        <v>218960.79824381028</v>
      </c>
      <c r="F797" s="513">
        <v>218960.79824381028</v>
      </c>
      <c r="G797" s="512">
        <v>0</v>
      </c>
      <c r="H797" s="512">
        <v>0</v>
      </c>
      <c r="I797" s="659" t="s">
        <v>103</v>
      </c>
      <c r="J797" s="513">
        <v>941.6000000000015</v>
      </c>
      <c r="K797" s="513">
        <v>0</v>
      </c>
      <c r="L797" s="513">
        <v>0</v>
      </c>
      <c r="M797" s="513">
        <v>594652.54418707313</v>
      </c>
      <c r="N797" s="622"/>
    </row>
    <row r="798" spans="2:14">
      <c r="B798" s="513" t="s">
        <v>341</v>
      </c>
      <c r="C798" s="658">
        <v>2010</v>
      </c>
      <c r="D798" s="513">
        <v>594652.5441870736</v>
      </c>
      <c r="E798" s="512">
        <v>218672.82</v>
      </c>
      <c r="F798" s="513">
        <v>218672.82</v>
      </c>
      <c r="G798" s="512">
        <v>0</v>
      </c>
      <c r="H798" s="512">
        <v>0</v>
      </c>
      <c r="I798" s="659" t="s">
        <v>103</v>
      </c>
      <c r="J798" s="513">
        <v>19516.220000000012</v>
      </c>
      <c r="K798" s="513">
        <v>0</v>
      </c>
      <c r="L798" s="513">
        <v>-998.24</v>
      </c>
      <c r="M798" s="513">
        <v>794807.38418707368</v>
      </c>
      <c r="N798" s="622"/>
    </row>
    <row r="799" spans="2:14">
      <c r="B799" s="513" t="s">
        <v>341</v>
      </c>
      <c r="C799" s="658">
        <v>2011</v>
      </c>
      <c r="D799" s="513">
        <v>794807.38530254364</v>
      </c>
      <c r="E799" s="512">
        <v>222214.8140654749</v>
      </c>
      <c r="F799" s="513">
        <v>222214.8140654749</v>
      </c>
      <c r="G799" s="512">
        <v>0</v>
      </c>
      <c r="H799" s="512">
        <v>0</v>
      </c>
      <c r="I799" s="659" t="s">
        <v>103</v>
      </c>
      <c r="J799" s="513">
        <v>47470.610000000008</v>
      </c>
      <c r="K799" s="513">
        <v>0</v>
      </c>
      <c r="L799" s="513">
        <v>-8.9600000000000009</v>
      </c>
      <c r="M799" s="513">
        <v>969560.54936801852</v>
      </c>
      <c r="N799" s="622"/>
    </row>
    <row r="800" spans="2:14">
      <c r="B800" s="513" t="s">
        <v>341</v>
      </c>
      <c r="C800" s="658">
        <v>2012</v>
      </c>
      <c r="D800" s="513">
        <v>969560.54936801735</v>
      </c>
      <c r="E800" s="512">
        <v>164273.0713144964</v>
      </c>
      <c r="F800" s="513">
        <v>164273.0713144964</v>
      </c>
      <c r="G800" s="512">
        <v>0</v>
      </c>
      <c r="H800" s="512">
        <v>0</v>
      </c>
      <c r="I800" s="659" t="s">
        <v>103</v>
      </c>
      <c r="J800" s="513">
        <v>20543.219999999998</v>
      </c>
      <c r="K800" s="513">
        <v>0</v>
      </c>
      <c r="L800" s="513">
        <v>0</v>
      </c>
      <c r="M800" s="513">
        <v>1113290.4006825138</v>
      </c>
      <c r="N800" s="622"/>
    </row>
    <row r="801" spans="2:14">
      <c r="B801" s="513" t="s">
        <v>341</v>
      </c>
      <c r="C801" s="658">
        <v>2013</v>
      </c>
      <c r="D801" s="513">
        <v>1113290.4006825145</v>
      </c>
      <c r="E801" s="513">
        <v>244565.20303169402</v>
      </c>
      <c r="F801" s="513">
        <v>244565.20303169402</v>
      </c>
      <c r="G801" s="512">
        <v>0</v>
      </c>
      <c r="H801" s="512">
        <v>0</v>
      </c>
      <c r="I801" s="659" t="s">
        <v>103</v>
      </c>
      <c r="J801" s="513">
        <v>10679.729999999998</v>
      </c>
      <c r="K801" s="513">
        <v>0</v>
      </c>
      <c r="L801" s="513">
        <v>0</v>
      </c>
      <c r="M801" s="513">
        <v>1347175.8737142086</v>
      </c>
      <c r="N801" s="622"/>
    </row>
    <row r="802" spans="2:14">
      <c r="B802" s="513" t="s">
        <v>341</v>
      </c>
      <c r="C802" s="658">
        <v>2014</v>
      </c>
      <c r="D802" s="513">
        <v>1347175.8737142086</v>
      </c>
      <c r="E802" s="513">
        <v>253921.46031787238</v>
      </c>
      <c r="F802" s="513">
        <v>253921.46031787238</v>
      </c>
      <c r="G802" s="512">
        <v>0</v>
      </c>
      <c r="H802" s="512">
        <v>0</v>
      </c>
      <c r="I802" s="659" t="s">
        <v>103</v>
      </c>
      <c r="J802" s="513">
        <v>18838.419999999998</v>
      </c>
      <c r="K802" s="513">
        <v>0</v>
      </c>
      <c r="L802" s="513">
        <v>557.24</v>
      </c>
      <c r="M802" s="513">
        <v>1581701.6740320812</v>
      </c>
      <c r="N802" s="622"/>
    </row>
    <row r="803" spans="2:14">
      <c r="B803" s="513" t="s">
        <v>341</v>
      </c>
      <c r="C803" s="658">
        <v>2015</v>
      </c>
      <c r="D803" s="513">
        <v>1581701.6740320818</v>
      </c>
      <c r="E803" s="513">
        <v>257730.99627813458</v>
      </c>
      <c r="F803" s="513">
        <v>257730.99627813458</v>
      </c>
      <c r="G803" s="512">
        <v>0</v>
      </c>
      <c r="H803" s="512">
        <v>0</v>
      </c>
      <c r="I803" s="659" t="s">
        <v>103</v>
      </c>
      <c r="J803" s="513">
        <v>10547.84</v>
      </c>
      <c r="K803" s="513">
        <v>0</v>
      </c>
      <c r="L803" s="513">
        <v>0</v>
      </c>
      <c r="M803" s="513">
        <v>1828884.8303102164</v>
      </c>
      <c r="N803" s="622"/>
    </row>
    <row r="804" spans="2:14">
      <c r="B804" s="513" t="s">
        <v>341</v>
      </c>
      <c r="C804" s="658">
        <v>2016</v>
      </c>
      <c r="D804" s="513">
        <v>1828884.8303102162</v>
      </c>
      <c r="E804" s="513">
        <v>188115.09987446008</v>
      </c>
      <c r="F804" s="513">
        <v>188115.09987446008</v>
      </c>
      <c r="G804" s="660">
        <v>0</v>
      </c>
      <c r="H804" s="660">
        <v>0</v>
      </c>
      <c r="I804" s="659" t="s">
        <v>103</v>
      </c>
      <c r="J804" s="513">
        <v>13400.49</v>
      </c>
      <c r="K804" s="513">
        <v>0</v>
      </c>
      <c r="L804" s="513">
        <v>-3791.49</v>
      </c>
      <c r="M804" s="513">
        <v>2007390.9301846763</v>
      </c>
      <c r="N804" s="622"/>
    </row>
    <row r="805" spans="2:14">
      <c r="B805" s="513" t="s">
        <v>341</v>
      </c>
      <c r="C805" s="658">
        <v>2017</v>
      </c>
      <c r="D805" s="513">
        <v>2007390.9301846754</v>
      </c>
      <c r="E805" s="513">
        <v>174529.11687047171</v>
      </c>
      <c r="F805" s="513">
        <v>174529.11687047171</v>
      </c>
      <c r="G805" s="660">
        <v>0</v>
      </c>
      <c r="H805" s="660">
        <v>0</v>
      </c>
      <c r="I805" s="659" t="s">
        <v>103</v>
      </c>
      <c r="J805" s="513">
        <v>2300.7600000000002</v>
      </c>
      <c r="K805" s="513">
        <v>0</v>
      </c>
      <c r="L805" s="513">
        <v>0</v>
      </c>
      <c r="M805" s="513">
        <v>2179619.2870551473</v>
      </c>
      <c r="N805" s="622"/>
    </row>
    <row r="806" spans="2:14">
      <c r="B806" s="513" t="s">
        <v>341</v>
      </c>
      <c r="C806" s="889">
        <v>2018</v>
      </c>
      <c r="D806" s="513">
        <v>2179619.2870551473</v>
      </c>
      <c r="E806" s="513">
        <f>VLOOKUP(B806,'[6]2018 allocation'!$A$11:$B$218,2, FALSE)</f>
        <v>186108.47692345112</v>
      </c>
      <c r="F806" s="513">
        <f>E806</f>
        <v>186108.47692345112</v>
      </c>
      <c r="G806" s="513">
        <v>0</v>
      </c>
      <c r="H806" s="513">
        <v>0</v>
      </c>
      <c r="I806" s="622" t="s">
        <v>103</v>
      </c>
      <c r="J806" s="513">
        <f>VLOOKUP(B806,'[6]Annual Spending Worksheet '!$C$6:$AG$250,28,FALSE)</f>
        <v>1963.1100000000001</v>
      </c>
      <c r="K806" s="513">
        <f>VLOOKUP(B806,'[6]Annual Spending Worksheet '!$C$6:$AG$250,29,FALSE)</f>
        <v>0</v>
      </c>
      <c r="L806" s="513">
        <v>0</v>
      </c>
      <c r="M806" s="513">
        <f>D806+E806+H806-J806</f>
        <v>2363764.6539785988</v>
      </c>
      <c r="N806" s="513"/>
    </row>
    <row r="807" spans="2:14">
      <c r="B807" s="513" t="s">
        <v>341</v>
      </c>
      <c r="C807" s="889">
        <v>2019</v>
      </c>
      <c r="D807" s="513">
        <v>2363764.6539785988</v>
      </c>
      <c r="E807" s="513">
        <v>198317.96683899738</v>
      </c>
      <c r="F807" s="513">
        <v>198317.96683899738</v>
      </c>
      <c r="G807" s="513">
        <v>0</v>
      </c>
      <c r="H807" s="513">
        <v>0</v>
      </c>
      <c r="I807" s="622" t="s">
        <v>103</v>
      </c>
      <c r="J807" s="513">
        <v>2268.91</v>
      </c>
      <c r="K807" s="513">
        <v>0</v>
      </c>
      <c r="L807" s="513">
        <v>0</v>
      </c>
      <c r="M807" s="513">
        <v>2559813.7108175959</v>
      </c>
      <c r="N807" s="513"/>
    </row>
    <row r="808" spans="2:14">
      <c r="B808" s="513" t="s">
        <v>352</v>
      </c>
      <c r="C808" s="658">
        <v>2008</v>
      </c>
      <c r="D808" s="513">
        <v>4707261.6150000021</v>
      </c>
      <c r="E808" s="512">
        <v>288220.6961401797</v>
      </c>
      <c r="F808" s="513">
        <v>288220.6961401797</v>
      </c>
      <c r="G808" s="513">
        <v>0</v>
      </c>
      <c r="H808" s="512">
        <v>0</v>
      </c>
      <c r="I808" s="659" t="s">
        <v>103</v>
      </c>
      <c r="J808" s="513">
        <v>0</v>
      </c>
      <c r="K808" s="513">
        <v>0</v>
      </c>
      <c r="L808" s="513">
        <v>0</v>
      </c>
      <c r="M808" s="513">
        <v>4995482.3111401815</v>
      </c>
      <c r="N808" s="622"/>
    </row>
    <row r="809" spans="2:14">
      <c r="B809" s="513" t="s">
        <v>352</v>
      </c>
      <c r="C809" s="658">
        <v>2009</v>
      </c>
      <c r="D809" s="513">
        <v>4995482.3111401796</v>
      </c>
      <c r="E809" s="512">
        <v>238066.2460521989</v>
      </c>
      <c r="F809" s="513">
        <v>238066.2460521989</v>
      </c>
      <c r="G809" s="512">
        <v>0</v>
      </c>
      <c r="H809" s="512">
        <v>0</v>
      </c>
      <c r="I809" s="659" t="s">
        <v>103</v>
      </c>
      <c r="J809" s="513">
        <v>91930.77</v>
      </c>
      <c r="K809" s="513">
        <v>0</v>
      </c>
      <c r="L809" s="513">
        <v>0</v>
      </c>
      <c r="M809" s="513">
        <v>5141617.7871923791</v>
      </c>
      <c r="N809" s="622"/>
    </row>
    <row r="810" spans="2:14">
      <c r="B810" s="513" t="s">
        <v>352</v>
      </c>
      <c r="C810" s="658">
        <v>2010</v>
      </c>
      <c r="D810" s="513">
        <v>5141617.7871923801</v>
      </c>
      <c r="E810" s="512">
        <v>237790.31</v>
      </c>
      <c r="F810" s="513">
        <v>237790.31</v>
      </c>
      <c r="G810" s="512">
        <v>0</v>
      </c>
      <c r="H810" s="512">
        <v>0</v>
      </c>
      <c r="I810" s="659" t="s">
        <v>103</v>
      </c>
      <c r="J810" s="513">
        <v>7443.93</v>
      </c>
      <c r="K810" s="513">
        <v>0</v>
      </c>
      <c r="L810" s="513">
        <v>0</v>
      </c>
      <c r="M810" s="513">
        <v>5371964.1671923799</v>
      </c>
      <c r="N810" s="622"/>
    </row>
    <row r="811" spans="2:14">
      <c r="B811" s="513" t="s">
        <v>352</v>
      </c>
      <c r="C811" s="658">
        <v>2011</v>
      </c>
      <c r="D811" s="513">
        <v>5371964.1648814986</v>
      </c>
      <c r="E811" s="512">
        <v>241536.47322842487</v>
      </c>
      <c r="F811" s="513">
        <v>241536.47322842487</v>
      </c>
      <c r="G811" s="512">
        <v>0</v>
      </c>
      <c r="H811" s="512">
        <v>0</v>
      </c>
      <c r="I811" s="659" t="s">
        <v>103</v>
      </c>
      <c r="J811" s="513">
        <v>15508.950000000003</v>
      </c>
      <c r="K811" s="513">
        <v>0</v>
      </c>
      <c r="L811" s="513">
        <v>0</v>
      </c>
      <c r="M811" s="513">
        <v>5597991.6881099232</v>
      </c>
      <c r="N811" s="622"/>
    </row>
    <row r="812" spans="2:14">
      <c r="B812" s="513" t="s">
        <v>352</v>
      </c>
      <c r="C812" s="658">
        <v>2012</v>
      </c>
      <c r="D812" s="513">
        <v>5597991.6881099232</v>
      </c>
      <c r="E812" s="513">
        <v>182542.3064930141</v>
      </c>
      <c r="F812" s="513">
        <v>182542.3064930141</v>
      </c>
      <c r="G812" s="512">
        <v>0</v>
      </c>
      <c r="H812" s="512">
        <v>0</v>
      </c>
      <c r="I812" s="659" t="s">
        <v>103</v>
      </c>
      <c r="J812" s="513">
        <v>6778.6899999999987</v>
      </c>
      <c r="K812" s="513">
        <v>0</v>
      </c>
      <c r="L812" s="513">
        <v>0</v>
      </c>
      <c r="M812" s="513">
        <v>5773755.3046029368</v>
      </c>
      <c r="N812" s="622"/>
    </row>
    <row r="813" spans="2:14">
      <c r="B813" s="513" t="s">
        <v>352</v>
      </c>
      <c r="C813" s="658">
        <v>2013</v>
      </c>
      <c r="D813" s="513">
        <v>5773755.3046029378</v>
      </c>
      <c r="E813" s="513">
        <v>264007.29713523114</v>
      </c>
      <c r="F813" s="513">
        <v>264007.29713523114</v>
      </c>
      <c r="G813" s="512">
        <v>0</v>
      </c>
      <c r="H813" s="512">
        <v>0</v>
      </c>
      <c r="I813" s="659" t="s">
        <v>103</v>
      </c>
      <c r="J813" s="513">
        <v>7520.4800000000005</v>
      </c>
      <c r="K813" s="513">
        <v>0</v>
      </c>
      <c r="L813" s="513">
        <v>0</v>
      </c>
      <c r="M813" s="513">
        <v>6030242.1217381684</v>
      </c>
      <c r="N813" s="622"/>
    </row>
    <row r="814" spans="2:14">
      <c r="B814" s="513" t="s">
        <v>352</v>
      </c>
      <c r="C814" s="658">
        <v>2014</v>
      </c>
      <c r="D814" s="513">
        <v>6030242.1217381693</v>
      </c>
      <c r="E814" s="513">
        <v>273514.18354469503</v>
      </c>
      <c r="F814" s="513">
        <v>273514.18354469503</v>
      </c>
      <c r="G814" s="512">
        <v>0</v>
      </c>
      <c r="H814" s="512">
        <v>0</v>
      </c>
      <c r="I814" s="659" t="s">
        <v>103</v>
      </c>
      <c r="J814" s="513">
        <v>11166.28</v>
      </c>
      <c r="K814" s="513">
        <v>0</v>
      </c>
      <c r="L814" s="513">
        <v>0</v>
      </c>
      <c r="M814" s="513">
        <v>6292590.0252828645</v>
      </c>
      <c r="N814" s="622"/>
    </row>
    <row r="815" spans="2:14">
      <c r="B815" s="513" t="s">
        <v>352</v>
      </c>
      <c r="C815" s="658">
        <v>2015</v>
      </c>
      <c r="D815" s="513">
        <v>6292590.0252828654</v>
      </c>
      <c r="E815" s="513">
        <v>277384.28468139353</v>
      </c>
      <c r="F815" s="513">
        <v>277384.28468139353</v>
      </c>
      <c r="G815" s="660">
        <v>0</v>
      </c>
      <c r="H815" s="660">
        <v>0</v>
      </c>
      <c r="I815" s="659" t="s">
        <v>103</v>
      </c>
      <c r="J815" s="513">
        <v>2212.4700000000003</v>
      </c>
      <c r="K815" s="513">
        <v>0</v>
      </c>
      <c r="L815" s="513">
        <v>0</v>
      </c>
      <c r="M815" s="513">
        <v>6567761.8399642594</v>
      </c>
      <c r="N815" s="622"/>
    </row>
    <row r="816" spans="2:14">
      <c r="B816" s="513" t="s">
        <v>352</v>
      </c>
      <c r="C816" s="658">
        <v>2016</v>
      </c>
      <c r="D816" s="513">
        <v>6567761.8399642576</v>
      </c>
      <c r="E816" s="513">
        <v>206736.65761745471</v>
      </c>
      <c r="F816" s="513">
        <v>206736.65761745471</v>
      </c>
      <c r="G816" s="660">
        <v>0</v>
      </c>
      <c r="H816" s="660">
        <v>0</v>
      </c>
      <c r="I816" s="659" t="s">
        <v>103</v>
      </c>
      <c r="J816" s="513">
        <v>7982.95</v>
      </c>
      <c r="K816" s="513">
        <v>0</v>
      </c>
      <c r="L816" s="513">
        <v>0</v>
      </c>
      <c r="M816" s="513">
        <v>6766515.5475817118</v>
      </c>
      <c r="N816" s="622"/>
    </row>
    <row r="817" spans="2:14">
      <c r="B817" s="513" t="s">
        <v>352</v>
      </c>
      <c r="C817" s="658">
        <v>2017</v>
      </c>
      <c r="D817" s="513">
        <v>6766515.5475817136</v>
      </c>
      <c r="E817" s="513">
        <v>192890.13162712823</v>
      </c>
      <c r="F817" s="513">
        <v>192890.13162712823</v>
      </c>
      <c r="G817" s="513">
        <v>0</v>
      </c>
      <c r="H817" s="513">
        <v>0</v>
      </c>
      <c r="I817" s="659" t="s">
        <v>103</v>
      </c>
      <c r="J817" s="513">
        <v>1370.62</v>
      </c>
      <c r="K817" s="513">
        <v>0</v>
      </c>
      <c r="L817" s="513">
        <v>0</v>
      </c>
      <c r="M817" s="513">
        <v>6958035.059208842</v>
      </c>
      <c r="N817" s="622"/>
    </row>
    <row r="818" spans="2:14">
      <c r="B818" s="513" t="s">
        <v>352</v>
      </c>
      <c r="C818" s="889">
        <v>2018</v>
      </c>
      <c r="D818" s="513">
        <v>6958035.059208842</v>
      </c>
      <c r="E818" s="513">
        <f>VLOOKUP(B818,'[6]2018 allocation'!$A$11:$B$218,2, FALSE)</f>
        <v>204692.83644372452</v>
      </c>
      <c r="F818" s="513">
        <f>E818</f>
        <v>204692.83644372452</v>
      </c>
      <c r="G818" s="513">
        <v>0</v>
      </c>
      <c r="H818" s="513">
        <v>0</v>
      </c>
      <c r="I818" s="622" t="s">
        <v>103</v>
      </c>
      <c r="J818" s="513">
        <f>VLOOKUP(B818,'[6]Annual Spending Worksheet '!$C$6:$AG$250,28,FALSE)</f>
        <v>1169.47</v>
      </c>
      <c r="K818" s="513">
        <f>VLOOKUP(B818,'[6]Annual Spending Worksheet '!$C$6:$AG$250,29,FALSE)</f>
        <v>0</v>
      </c>
      <c r="L818" s="513">
        <v>0</v>
      </c>
      <c r="M818" s="513">
        <f>D818+E818+H818-J818</f>
        <v>7161558.4256525664</v>
      </c>
      <c r="N818" s="513"/>
    </row>
    <row r="819" spans="2:14">
      <c r="B819" s="513" t="s">
        <v>352</v>
      </c>
      <c r="C819" s="889">
        <v>2019</v>
      </c>
      <c r="D819" s="513">
        <v>7161558.4256525664</v>
      </c>
      <c r="E819" s="513">
        <v>217148.52569803857</v>
      </c>
      <c r="F819" s="513">
        <v>217148.52569803857</v>
      </c>
      <c r="G819" s="513">
        <v>0</v>
      </c>
      <c r="H819" s="513">
        <v>0</v>
      </c>
      <c r="I819" s="622" t="s">
        <v>103</v>
      </c>
      <c r="J819" s="513">
        <v>1351.6399999999999</v>
      </c>
      <c r="K819" s="513">
        <v>0</v>
      </c>
      <c r="L819" s="513">
        <v>0</v>
      </c>
      <c r="M819" s="513">
        <v>7377355.3113506055</v>
      </c>
      <c r="N819" s="513"/>
    </row>
    <row r="820" spans="2:14">
      <c r="B820" s="513" t="s">
        <v>356</v>
      </c>
      <c r="C820" s="658">
        <v>2008</v>
      </c>
      <c r="D820" s="513">
        <v>4594522.029000001</v>
      </c>
      <c r="E820" s="512">
        <v>373702.42587276478</v>
      </c>
      <c r="F820" s="513">
        <v>373702.42587276478</v>
      </c>
      <c r="G820" s="512">
        <v>0</v>
      </c>
      <c r="H820" s="512">
        <v>0</v>
      </c>
      <c r="I820" s="659" t="s">
        <v>103</v>
      </c>
      <c r="J820" s="513">
        <v>40528.36</v>
      </c>
      <c r="K820" s="513">
        <v>0</v>
      </c>
      <c r="L820" s="513">
        <v>0</v>
      </c>
      <c r="M820" s="513">
        <v>4927696.0948727652</v>
      </c>
      <c r="N820" s="622"/>
    </row>
    <row r="821" spans="2:14">
      <c r="B821" s="513" t="s">
        <v>356</v>
      </c>
      <c r="C821" s="658">
        <v>2009</v>
      </c>
      <c r="D821" s="513">
        <v>4927696.0948727671</v>
      </c>
      <c r="E821" s="512">
        <v>307507.53820921079</v>
      </c>
      <c r="F821" s="513">
        <v>307507.53820921079</v>
      </c>
      <c r="G821" s="512">
        <v>0</v>
      </c>
      <c r="H821" s="512">
        <v>0</v>
      </c>
      <c r="I821" s="659" t="s">
        <v>103</v>
      </c>
      <c r="J821" s="513">
        <v>25715.09</v>
      </c>
      <c r="K821" s="513">
        <v>0</v>
      </c>
      <c r="L821" s="513">
        <v>0</v>
      </c>
      <c r="M821" s="513">
        <v>5209488.5430819783</v>
      </c>
      <c r="N821" s="622"/>
    </row>
    <row r="822" spans="2:14">
      <c r="B822" s="513" t="s">
        <v>356</v>
      </c>
      <c r="C822" s="658">
        <v>2010</v>
      </c>
      <c r="D822" s="513">
        <v>5209488.5430819783</v>
      </c>
      <c r="E822" s="512">
        <v>307123.63</v>
      </c>
      <c r="F822" s="513">
        <v>307123.63</v>
      </c>
      <c r="G822" s="512">
        <v>0</v>
      </c>
      <c r="H822" s="512">
        <v>0</v>
      </c>
      <c r="I822" s="659" t="s">
        <v>103</v>
      </c>
      <c r="J822" s="513">
        <v>283044.16000000003</v>
      </c>
      <c r="K822" s="513">
        <v>0</v>
      </c>
      <c r="L822" s="513">
        <v>0</v>
      </c>
      <c r="M822" s="513">
        <v>5233568.0130819781</v>
      </c>
      <c r="N822" s="622"/>
    </row>
    <row r="823" spans="2:14">
      <c r="B823" s="513" t="s">
        <v>356</v>
      </c>
      <c r="C823" s="658">
        <v>2011</v>
      </c>
      <c r="D823" s="513">
        <v>5233568.0098276995</v>
      </c>
      <c r="E823" s="512">
        <v>311870.14428764116</v>
      </c>
      <c r="F823" s="513">
        <v>311870.14428764116</v>
      </c>
      <c r="G823" s="512">
        <v>0</v>
      </c>
      <c r="H823" s="512">
        <v>0</v>
      </c>
      <c r="I823" s="659" t="s">
        <v>103</v>
      </c>
      <c r="J823" s="513">
        <v>1272157.1699999997</v>
      </c>
      <c r="K823" s="513">
        <v>0</v>
      </c>
      <c r="L823" s="513">
        <v>0</v>
      </c>
      <c r="M823" s="513">
        <v>4273280.9841153407</v>
      </c>
      <c r="N823" s="622"/>
    </row>
    <row r="824" spans="2:14">
      <c r="B824" s="513" t="s">
        <v>356</v>
      </c>
      <c r="C824" s="658">
        <v>2012</v>
      </c>
      <c r="D824" s="513">
        <v>4273280.9841153417</v>
      </c>
      <c r="E824" s="513">
        <v>232877.19385678848</v>
      </c>
      <c r="F824" s="513">
        <v>232877.19385678848</v>
      </c>
      <c r="G824" s="512">
        <v>0</v>
      </c>
      <c r="H824" s="512">
        <v>0</v>
      </c>
      <c r="I824" s="659" t="s">
        <v>103</v>
      </c>
      <c r="J824" s="513">
        <v>230115.8299999999</v>
      </c>
      <c r="K824" s="513">
        <v>0</v>
      </c>
      <c r="L824" s="513">
        <v>0</v>
      </c>
      <c r="M824" s="513">
        <v>4276042.3479721304</v>
      </c>
      <c r="N824" s="622"/>
    </row>
    <row r="825" spans="2:14">
      <c r="B825" s="513" t="s">
        <v>356</v>
      </c>
      <c r="C825" s="658">
        <v>2013</v>
      </c>
      <c r="D825" s="513">
        <v>4276042.3479721313</v>
      </c>
      <c r="E825" s="513">
        <v>341880.52717530925</v>
      </c>
      <c r="F825" s="513">
        <v>341880.52717530925</v>
      </c>
      <c r="G825" s="512">
        <v>0</v>
      </c>
      <c r="H825" s="512">
        <v>0</v>
      </c>
      <c r="I825" s="659" t="s">
        <v>103</v>
      </c>
      <c r="J825" s="513">
        <v>192390.93999999983</v>
      </c>
      <c r="K825" s="513">
        <v>0</v>
      </c>
      <c r="L825" s="513">
        <v>0</v>
      </c>
      <c r="M825" s="513">
        <v>4425531.935147441</v>
      </c>
      <c r="N825" s="622"/>
    </row>
    <row r="826" spans="2:14">
      <c r="B826" s="513" t="s">
        <v>356</v>
      </c>
      <c r="C826" s="658">
        <v>2014</v>
      </c>
      <c r="D826" s="513">
        <v>4425531.9351474401</v>
      </c>
      <c r="E826" s="513">
        <v>354519.07036649465</v>
      </c>
      <c r="F826" s="513">
        <v>354519.07036649465</v>
      </c>
      <c r="G826" s="512">
        <v>0</v>
      </c>
      <c r="H826" s="512">
        <v>0</v>
      </c>
      <c r="I826" s="659" t="s">
        <v>103</v>
      </c>
      <c r="J826" s="513">
        <v>166956.57999999996</v>
      </c>
      <c r="K826" s="513">
        <v>0</v>
      </c>
      <c r="L826" s="513">
        <v>37422.01</v>
      </c>
      <c r="M826" s="513">
        <v>4575672.4155139346</v>
      </c>
      <c r="N826" s="622"/>
    </row>
    <row r="827" spans="2:14">
      <c r="B827" s="513" t="s">
        <v>356</v>
      </c>
      <c r="C827" s="658">
        <v>2015</v>
      </c>
      <c r="D827" s="513">
        <v>4575672.4155139346</v>
      </c>
      <c r="E827" s="513">
        <v>359699.86300247</v>
      </c>
      <c r="F827" s="513">
        <v>359699.86300247</v>
      </c>
      <c r="G827" s="660">
        <v>0</v>
      </c>
      <c r="H827" s="660">
        <v>0</v>
      </c>
      <c r="I827" s="659" t="s">
        <v>103</v>
      </c>
      <c r="J827" s="513">
        <v>197088.63</v>
      </c>
      <c r="K827" s="513">
        <v>0</v>
      </c>
      <c r="L827" s="513">
        <v>0</v>
      </c>
      <c r="M827" s="513">
        <v>4738283.6485164044</v>
      </c>
      <c r="N827" s="622"/>
    </row>
    <row r="828" spans="2:14">
      <c r="B828" s="513" t="s">
        <v>356</v>
      </c>
      <c r="C828" s="658">
        <v>2016</v>
      </c>
      <c r="D828" s="513">
        <v>4738283.2286164034</v>
      </c>
      <c r="E828" s="513">
        <v>265588.73733434145</v>
      </c>
      <c r="F828" s="513">
        <v>265588.73733434145</v>
      </c>
      <c r="G828" s="660">
        <v>0</v>
      </c>
      <c r="H828" s="660">
        <v>0</v>
      </c>
      <c r="I828" s="659" t="s">
        <v>103</v>
      </c>
      <c r="J828" s="513">
        <v>187861.33999999997</v>
      </c>
      <c r="K828" s="513">
        <v>0</v>
      </c>
      <c r="L828" s="513">
        <v>0</v>
      </c>
      <c r="M828" s="513">
        <v>4816010.6259507453</v>
      </c>
      <c r="N828" s="622"/>
    </row>
    <row r="829" spans="2:14">
      <c r="B829" s="513" t="s">
        <v>356</v>
      </c>
      <c r="C829" s="658">
        <v>2017</v>
      </c>
      <c r="D829" s="513">
        <v>4816010.6259507444</v>
      </c>
      <c r="E829" s="513">
        <v>247268.35610591166</v>
      </c>
      <c r="F829" s="513">
        <v>247268.35610591166</v>
      </c>
      <c r="G829" s="513">
        <v>0</v>
      </c>
      <c r="H829" s="513">
        <v>0</v>
      </c>
      <c r="I829" s="659" t="s">
        <v>103</v>
      </c>
      <c r="J829" s="513">
        <v>485653.97999999992</v>
      </c>
      <c r="K829" s="513">
        <v>0</v>
      </c>
      <c r="L829" s="513">
        <v>0</v>
      </c>
      <c r="M829" s="513">
        <v>4577625.0020566564</v>
      </c>
      <c r="N829" s="622"/>
    </row>
    <row r="830" spans="2:14">
      <c r="B830" s="513" t="s">
        <v>356</v>
      </c>
      <c r="C830" s="889">
        <v>2018</v>
      </c>
      <c r="D830" s="513">
        <v>4577625.0020566564</v>
      </c>
      <c r="E830" s="513">
        <f>VLOOKUP(B830,'[6]2018 allocation'!$A$11:$B$218,2, FALSE)</f>
        <v>262981.94918366103</v>
      </c>
      <c r="F830" s="513">
        <f>E830</f>
        <v>262981.94918366103</v>
      </c>
      <c r="G830" s="513">
        <v>0</v>
      </c>
      <c r="H830" s="513">
        <v>0</v>
      </c>
      <c r="I830" s="622" t="s">
        <v>103</v>
      </c>
      <c r="J830" s="513">
        <f>VLOOKUP(B830,'[6]Annual Spending Worksheet '!$C$6:$AG$250,28,FALSE)</f>
        <v>1709537.3000000003</v>
      </c>
      <c r="K830" s="513">
        <f>VLOOKUP(B830,'[6]Annual Spending Worksheet '!$C$6:$AG$250,29,FALSE)</f>
        <v>0</v>
      </c>
      <c r="L830" s="513">
        <v>0</v>
      </c>
      <c r="M830" s="513">
        <f>D830+E830+H830-J830</f>
        <v>3131069.6512403176</v>
      </c>
      <c r="N830" s="513"/>
    </row>
    <row r="831" spans="2:14">
      <c r="B831" s="513" t="s">
        <v>356</v>
      </c>
      <c r="C831" s="889">
        <v>2019</v>
      </c>
      <c r="D831" s="513">
        <v>3131069.6512403176</v>
      </c>
      <c r="E831" s="513">
        <v>279498.81747593038</v>
      </c>
      <c r="F831" s="513">
        <v>279498.81747593038</v>
      </c>
      <c r="G831" s="513">
        <v>0</v>
      </c>
      <c r="H831" s="513">
        <v>0</v>
      </c>
      <c r="I831" s="622" t="s">
        <v>103</v>
      </c>
      <c r="J831" s="513">
        <v>252774.48000000004</v>
      </c>
      <c r="K831" s="513">
        <v>0</v>
      </c>
      <c r="L831" s="513">
        <v>0</v>
      </c>
      <c r="M831" s="513">
        <v>3157793.988716248</v>
      </c>
      <c r="N831" s="513"/>
    </row>
    <row r="832" spans="2:14">
      <c r="B832" s="513" t="s">
        <v>362</v>
      </c>
      <c r="C832" s="658">
        <v>2008</v>
      </c>
      <c r="D832" s="513">
        <v>417147.98</v>
      </c>
      <c r="E832" s="512">
        <v>173941.34952470986</v>
      </c>
      <c r="F832" s="513">
        <v>173941.34952470986</v>
      </c>
      <c r="G832" s="512">
        <v>0</v>
      </c>
      <c r="H832" s="512">
        <v>0</v>
      </c>
      <c r="I832" s="659" t="s">
        <v>103</v>
      </c>
      <c r="J832" s="513">
        <v>0</v>
      </c>
      <c r="K832" s="513">
        <v>0</v>
      </c>
      <c r="L832" s="513">
        <v>0</v>
      </c>
      <c r="M832" s="513">
        <v>591089.32952470984</v>
      </c>
      <c r="N832" s="622"/>
    </row>
    <row r="833" spans="2:14">
      <c r="B833" s="513" t="s">
        <v>362</v>
      </c>
      <c r="C833" s="658">
        <v>2009</v>
      </c>
      <c r="D833" s="513">
        <v>591089.32952470984</v>
      </c>
      <c r="E833" s="512">
        <v>122276.39613288868</v>
      </c>
      <c r="F833" s="513">
        <v>122276.39613288868</v>
      </c>
      <c r="G833" s="512">
        <v>0</v>
      </c>
      <c r="H833" s="512">
        <v>0</v>
      </c>
      <c r="I833" s="659" t="s">
        <v>103</v>
      </c>
      <c r="J833" s="513">
        <v>0</v>
      </c>
      <c r="K833" s="513">
        <v>0</v>
      </c>
      <c r="L833" s="513">
        <v>0</v>
      </c>
      <c r="M833" s="513">
        <v>713365.72565759858</v>
      </c>
      <c r="N833" s="622"/>
    </row>
    <row r="834" spans="2:14">
      <c r="B834" s="513" t="s">
        <v>362</v>
      </c>
      <c r="C834" s="658">
        <v>2010</v>
      </c>
      <c r="D834" s="513">
        <v>713365.72565759858</v>
      </c>
      <c r="E834" s="512">
        <v>121895.3</v>
      </c>
      <c r="F834" s="513">
        <v>121895.3</v>
      </c>
      <c r="G834" s="512">
        <v>0</v>
      </c>
      <c r="H834" s="512">
        <v>0</v>
      </c>
      <c r="I834" s="659" t="s">
        <v>103</v>
      </c>
      <c r="J834" s="513">
        <v>0</v>
      </c>
      <c r="K834" s="513">
        <v>0</v>
      </c>
      <c r="L834" s="513">
        <v>0</v>
      </c>
      <c r="M834" s="513">
        <v>835261.02565759863</v>
      </c>
      <c r="N834" s="622"/>
    </row>
    <row r="835" spans="2:14">
      <c r="B835" s="513" t="s">
        <v>362</v>
      </c>
      <c r="C835" s="658">
        <v>2011</v>
      </c>
      <c r="D835" s="513">
        <v>835261.02886562655</v>
      </c>
      <c r="E835" s="512">
        <v>125625.56964650378</v>
      </c>
      <c r="F835" s="513">
        <v>125625.56964650378</v>
      </c>
      <c r="G835" s="512">
        <v>0</v>
      </c>
      <c r="H835" s="512">
        <v>0</v>
      </c>
      <c r="I835" s="659" t="s">
        <v>103</v>
      </c>
      <c r="J835" s="513">
        <v>0</v>
      </c>
      <c r="K835" s="513">
        <v>0</v>
      </c>
      <c r="L835" s="513">
        <v>0</v>
      </c>
      <c r="M835" s="513">
        <v>960886.59851213032</v>
      </c>
      <c r="N835" s="622"/>
    </row>
    <row r="836" spans="2:14">
      <c r="B836" s="513" t="s">
        <v>362</v>
      </c>
      <c r="C836" s="658">
        <v>2012</v>
      </c>
      <c r="D836" s="513">
        <v>960886.59851213032</v>
      </c>
      <c r="E836" s="513">
        <v>63106.683308047344</v>
      </c>
      <c r="F836" s="513">
        <v>63106.683308047344</v>
      </c>
      <c r="G836" s="512">
        <v>0</v>
      </c>
      <c r="H836" s="512">
        <v>0</v>
      </c>
      <c r="I836" s="659" t="s">
        <v>103</v>
      </c>
      <c r="J836" s="513">
        <v>0</v>
      </c>
      <c r="K836" s="513">
        <v>0</v>
      </c>
      <c r="L836" s="513">
        <v>0</v>
      </c>
      <c r="M836" s="513">
        <v>1023993.2818201777</v>
      </c>
      <c r="N836" s="622"/>
    </row>
    <row r="837" spans="2:14">
      <c r="B837" s="513" t="s">
        <v>362</v>
      </c>
      <c r="C837" s="658">
        <v>2013</v>
      </c>
      <c r="D837" s="513">
        <v>1023993.2818201776</v>
      </c>
      <c r="E837" s="513">
        <v>149387.98596264992</v>
      </c>
      <c r="F837" s="513">
        <v>149387.98596264992</v>
      </c>
      <c r="G837" s="512">
        <v>0</v>
      </c>
      <c r="H837" s="512">
        <v>0</v>
      </c>
      <c r="I837" s="659" t="s">
        <v>103</v>
      </c>
      <c r="J837" s="513">
        <v>0</v>
      </c>
      <c r="K837" s="513">
        <v>0</v>
      </c>
      <c r="L837" s="513">
        <v>0</v>
      </c>
      <c r="M837" s="513">
        <v>1173381.2677828274</v>
      </c>
      <c r="N837" s="622"/>
    </row>
    <row r="838" spans="2:14">
      <c r="B838" s="513" t="s">
        <v>362</v>
      </c>
      <c r="C838" s="658">
        <v>2014</v>
      </c>
      <c r="D838" s="513">
        <v>1173381.2677828274</v>
      </c>
      <c r="E838" s="513">
        <v>159395.92817150123</v>
      </c>
      <c r="F838" s="513">
        <v>159395.92817150123</v>
      </c>
      <c r="G838" s="512">
        <v>0</v>
      </c>
      <c r="H838" s="512">
        <v>0</v>
      </c>
      <c r="I838" s="659" t="s">
        <v>103</v>
      </c>
      <c r="J838" s="513">
        <v>0</v>
      </c>
      <c r="K838" s="513">
        <v>0</v>
      </c>
      <c r="L838" s="513">
        <v>0</v>
      </c>
      <c r="M838" s="513">
        <v>1332777.1959543286</v>
      </c>
      <c r="N838" s="622"/>
    </row>
    <row r="839" spans="2:14">
      <c r="B839" s="513" t="s">
        <v>362</v>
      </c>
      <c r="C839" s="658">
        <v>2015</v>
      </c>
      <c r="D839" s="513">
        <v>1332777.1959543289</v>
      </c>
      <c r="E839" s="513">
        <v>163535.29777369666</v>
      </c>
      <c r="F839" s="513">
        <v>163535.29777369666</v>
      </c>
      <c r="G839" s="660">
        <v>0</v>
      </c>
      <c r="H839" s="660">
        <v>0</v>
      </c>
      <c r="I839" s="659" t="s">
        <v>103</v>
      </c>
      <c r="J839" s="513">
        <v>0</v>
      </c>
      <c r="K839" s="513">
        <v>0</v>
      </c>
      <c r="L839" s="513">
        <v>0</v>
      </c>
      <c r="M839" s="513">
        <v>1496312.4937280256</v>
      </c>
      <c r="N839" s="622"/>
    </row>
    <row r="840" spans="2:14">
      <c r="B840" s="513" t="s">
        <v>362</v>
      </c>
      <c r="C840" s="658">
        <v>2016</v>
      </c>
      <c r="D840" s="513">
        <v>1496312.4937280254</v>
      </c>
      <c r="E840" s="513">
        <v>88957.169886530319</v>
      </c>
      <c r="F840" s="513">
        <v>88957.169886530319</v>
      </c>
      <c r="G840" s="660">
        <v>0</v>
      </c>
      <c r="H840" s="660">
        <v>0</v>
      </c>
      <c r="I840" s="659" t="s">
        <v>103</v>
      </c>
      <c r="J840" s="513">
        <v>0</v>
      </c>
      <c r="K840" s="513">
        <v>0</v>
      </c>
      <c r="L840" s="513">
        <v>0</v>
      </c>
      <c r="M840" s="513">
        <v>1585269.6636145557</v>
      </c>
      <c r="N840" s="622"/>
    </row>
    <row r="841" spans="2:14">
      <c r="B841" s="513" t="s">
        <v>362</v>
      </c>
      <c r="C841" s="658">
        <v>2017</v>
      </c>
      <c r="D841" s="513">
        <v>1585269.6636145557</v>
      </c>
      <c r="E841" s="513">
        <v>74150.859697551437</v>
      </c>
      <c r="F841" s="513">
        <v>74150.859697551437</v>
      </c>
      <c r="G841" s="513">
        <v>0</v>
      </c>
      <c r="H841" s="513">
        <v>0</v>
      </c>
      <c r="I841" s="659" t="s">
        <v>103</v>
      </c>
      <c r="J841" s="513">
        <v>0</v>
      </c>
      <c r="K841" s="513">
        <v>0</v>
      </c>
      <c r="L841" s="513">
        <v>0</v>
      </c>
      <c r="M841" s="513">
        <v>1659420.5233121072</v>
      </c>
      <c r="N841" s="622"/>
    </row>
    <row r="842" spans="2:14">
      <c r="B842" s="513" t="s">
        <v>362</v>
      </c>
      <c r="C842" s="889">
        <v>2018</v>
      </c>
      <c r="D842" s="513">
        <v>1659420.5233121072</v>
      </c>
      <c r="E842" s="513">
        <f>VLOOKUP(B842,'[6]2018 allocation'!$A$11:$B$218,2, FALSE)</f>
        <v>86521.247671209596</v>
      </c>
      <c r="F842" s="513">
        <f>E842</f>
        <v>86521.247671209596</v>
      </c>
      <c r="G842" s="513">
        <v>0</v>
      </c>
      <c r="H842" s="513">
        <v>0</v>
      </c>
      <c r="I842" s="622" t="s">
        <v>103</v>
      </c>
      <c r="J842" s="513">
        <f>VLOOKUP(B842,'[6]Annual Spending Worksheet '!$C$6:$AG$250,28,FALSE)</f>
        <v>0</v>
      </c>
      <c r="K842" s="513">
        <f>VLOOKUP(B842,'[6]Annual Spending Worksheet '!$C$6:$AG$250,29,FALSE)</f>
        <v>0</v>
      </c>
      <c r="L842" s="513">
        <v>0</v>
      </c>
      <c r="M842" s="513">
        <f>D842+E842+H842-J842</f>
        <v>1745941.7709833167</v>
      </c>
      <c r="N842" s="513"/>
    </row>
    <row r="843" spans="2:14">
      <c r="B843" s="513" t="s">
        <v>362</v>
      </c>
      <c r="C843" s="889">
        <v>2019</v>
      </c>
      <c r="D843" s="513">
        <v>1745941.7709833167</v>
      </c>
      <c r="E843" s="513">
        <v>99712.861294316652</v>
      </c>
      <c r="F843" s="513">
        <v>99712.861294316652</v>
      </c>
      <c r="G843" s="513">
        <v>0</v>
      </c>
      <c r="H843" s="513">
        <v>0</v>
      </c>
      <c r="I843" s="622" t="s">
        <v>103</v>
      </c>
      <c r="J843" s="513">
        <v>0</v>
      </c>
      <c r="K843" s="513">
        <v>0</v>
      </c>
      <c r="L843" s="513">
        <v>0</v>
      </c>
      <c r="M843" s="513">
        <v>1845654.6322776333</v>
      </c>
      <c r="N843" s="513"/>
    </row>
    <row r="844" spans="2:14">
      <c r="B844" s="513" t="s">
        <v>363</v>
      </c>
      <c r="C844" s="658">
        <v>2008</v>
      </c>
      <c r="D844" s="513">
        <v>471167.44200000004</v>
      </c>
      <c r="E844" s="512">
        <v>46725.137029435748</v>
      </c>
      <c r="F844" s="513">
        <v>46725.137029435748</v>
      </c>
      <c r="G844" s="512">
        <v>0</v>
      </c>
      <c r="H844" s="512">
        <v>0</v>
      </c>
      <c r="I844" s="659" t="s">
        <v>103</v>
      </c>
      <c r="J844" s="513">
        <v>0</v>
      </c>
      <c r="K844" s="513">
        <v>0</v>
      </c>
      <c r="L844" s="513">
        <v>0</v>
      </c>
      <c r="M844" s="513">
        <v>517892.57902943576</v>
      </c>
      <c r="N844" s="622"/>
    </row>
    <row r="845" spans="2:14">
      <c r="B845" s="513" t="s">
        <v>363</v>
      </c>
      <c r="C845" s="658">
        <v>2009</v>
      </c>
      <c r="D845" s="513">
        <v>517892.57902943576</v>
      </c>
      <c r="E845" s="512">
        <v>37884.466319581501</v>
      </c>
      <c r="F845" s="513">
        <v>37884.466319581501</v>
      </c>
      <c r="G845" s="512">
        <v>0</v>
      </c>
      <c r="H845" s="512">
        <v>0</v>
      </c>
      <c r="I845" s="659" t="s">
        <v>103</v>
      </c>
      <c r="J845" s="513">
        <v>0</v>
      </c>
      <c r="K845" s="513">
        <v>0</v>
      </c>
      <c r="L845" s="513">
        <v>0</v>
      </c>
      <c r="M845" s="513">
        <v>555777.04534901725</v>
      </c>
      <c r="N845" s="622"/>
    </row>
    <row r="846" spans="2:14">
      <c r="B846" s="513" t="s">
        <v>363</v>
      </c>
      <c r="C846" s="658">
        <v>2010</v>
      </c>
      <c r="D846" s="513">
        <v>555777.04534901725</v>
      </c>
      <c r="E846" s="512">
        <v>37835.22</v>
      </c>
      <c r="F846" s="513">
        <v>37835.22</v>
      </c>
      <c r="G846" s="512">
        <v>0</v>
      </c>
      <c r="H846" s="512">
        <v>0</v>
      </c>
      <c r="I846" s="659" t="s">
        <v>103</v>
      </c>
      <c r="J846" s="513">
        <v>0</v>
      </c>
      <c r="K846" s="513">
        <v>0</v>
      </c>
      <c r="L846" s="513">
        <v>0</v>
      </c>
      <c r="M846" s="513">
        <v>593612.26534901722</v>
      </c>
      <c r="N846" s="622"/>
    </row>
    <row r="847" spans="2:14">
      <c r="B847" s="513" t="s">
        <v>363</v>
      </c>
      <c r="C847" s="658">
        <v>2011</v>
      </c>
      <c r="D847" s="513">
        <v>593612.26515009929</v>
      </c>
      <c r="E847" s="512">
        <v>38535.546102156026</v>
      </c>
      <c r="F847" s="513">
        <v>38535.546102156026</v>
      </c>
      <c r="G847" s="512">
        <v>0</v>
      </c>
      <c r="H847" s="512">
        <v>0</v>
      </c>
      <c r="I847" s="659" t="s">
        <v>103</v>
      </c>
      <c r="J847" s="513">
        <v>0</v>
      </c>
      <c r="K847" s="513">
        <v>0</v>
      </c>
      <c r="L847" s="513">
        <v>0</v>
      </c>
      <c r="M847" s="513">
        <v>632147.81125225534</v>
      </c>
      <c r="N847" s="622"/>
    </row>
    <row r="848" spans="2:14">
      <c r="B848" s="513" t="s">
        <v>363</v>
      </c>
      <c r="C848" s="658">
        <v>2012</v>
      </c>
      <c r="D848" s="513">
        <v>632147.81125225523</v>
      </c>
      <c r="E848" s="513">
        <v>28372.710859593481</v>
      </c>
      <c r="F848" s="513">
        <v>28372.710859593481</v>
      </c>
      <c r="G848" s="512">
        <v>0</v>
      </c>
      <c r="H848" s="512">
        <v>0</v>
      </c>
      <c r="I848" s="659" t="s">
        <v>103</v>
      </c>
      <c r="J848" s="513">
        <v>0</v>
      </c>
      <c r="K848" s="513">
        <v>0</v>
      </c>
      <c r="L848" s="513">
        <v>0</v>
      </c>
      <c r="M848" s="513">
        <v>660520.5221118487</v>
      </c>
      <c r="N848" s="622"/>
    </row>
    <row r="849" spans="2:14">
      <c r="B849" s="513" t="s">
        <v>363</v>
      </c>
      <c r="C849" s="658">
        <v>2013</v>
      </c>
      <c r="D849" s="513">
        <v>660520.5221118487</v>
      </c>
      <c r="E849" s="513">
        <v>42406.499540914163</v>
      </c>
      <c r="F849" s="513">
        <v>42406.499540914163</v>
      </c>
      <c r="G849" s="512">
        <v>0</v>
      </c>
      <c r="H849" s="512">
        <v>0</v>
      </c>
      <c r="I849" s="659" t="s">
        <v>103</v>
      </c>
      <c r="J849" s="513">
        <v>0</v>
      </c>
      <c r="K849" s="513">
        <v>0</v>
      </c>
      <c r="L849" s="513">
        <v>477136.00000000012</v>
      </c>
      <c r="M849" s="513">
        <v>225791.02165276278</v>
      </c>
      <c r="N849" s="622"/>
    </row>
    <row r="850" spans="2:14">
      <c r="B850" s="513" t="s">
        <v>363</v>
      </c>
      <c r="C850" s="658">
        <v>2014</v>
      </c>
      <c r="D850" s="513">
        <v>225791.02165276278</v>
      </c>
      <c r="E850" s="513">
        <v>44029.716996715149</v>
      </c>
      <c r="F850" s="513">
        <v>44029.716996715149</v>
      </c>
      <c r="G850" s="512">
        <v>0</v>
      </c>
      <c r="H850" s="512">
        <v>0</v>
      </c>
      <c r="I850" s="659" t="s">
        <v>103</v>
      </c>
      <c r="J850" s="513">
        <v>0</v>
      </c>
      <c r="K850" s="513">
        <v>0</v>
      </c>
      <c r="L850" s="513">
        <v>-715704</v>
      </c>
      <c r="M850" s="513">
        <v>985524.73864947795</v>
      </c>
      <c r="N850" s="622"/>
    </row>
    <row r="851" spans="2:14">
      <c r="B851" s="513" t="s">
        <v>363</v>
      </c>
      <c r="C851" s="658">
        <v>2015</v>
      </c>
      <c r="D851" s="513">
        <v>985524.73864947795</v>
      </c>
      <c r="E851" s="513">
        <v>44688.526864290448</v>
      </c>
      <c r="F851" s="513">
        <v>44688.526864290448</v>
      </c>
      <c r="G851" s="660">
        <v>0</v>
      </c>
      <c r="H851" s="660">
        <v>0</v>
      </c>
      <c r="I851" s="659" t="s">
        <v>103</v>
      </c>
      <c r="J851" s="513">
        <v>0</v>
      </c>
      <c r="K851" s="513">
        <v>0</v>
      </c>
      <c r="L851" s="513">
        <v>0</v>
      </c>
      <c r="M851" s="513">
        <v>1030213.2655137684</v>
      </c>
      <c r="N851" s="622"/>
    </row>
    <row r="852" spans="2:14">
      <c r="B852" s="513" t="s">
        <v>363</v>
      </c>
      <c r="C852" s="658">
        <v>2016</v>
      </c>
      <c r="D852" s="513">
        <v>1030213.2655137684</v>
      </c>
      <c r="E852" s="513">
        <v>32640.911264804865</v>
      </c>
      <c r="F852" s="513">
        <v>32640.911264804865</v>
      </c>
      <c r="G852" s="660">
        <v>0</v>
      </c>
      <c r="H852" s="660">
        <v>0</v>
      </c>
      <c r="I852" s="659" t="s">
        <v>103</v>
      </c>
      <c r="J852" s="513">
        <v>0</v>
      </c>
      <c r="K852" s="513">
        <v>0</v>
      </c>
      <c r="L852" s="513">
        <v>0</v>
      </c>
      <c r="M852" s="513">
        <v>1062854.1767785733</v>
      </c>
      <c r="N852" s="622"/>
    </row>
    <row r="853" spans="2:14">
      <c r="B853" s="513" t="s">
        <v>363</v>
      </c>
      <c r="C853" s="658">
        <v>2017</v>
      </c>
      <c r="D853" s="513">
        <v>1062854.1767785733</v>
      </c>
      <c r="E853" s="513">
        <v>30305.470081848096</v>
      </c>
      <c r="F853" s="513">
        <v>30305.470081848096</v>
      </c>
      <c r="G853" s="513">
        <v>0</v>
      </c>
      <c r="H853" s="513">
        <v>0</v>
      </c>
      <c r="I853" s="659" t="s">
        <v>103</v>
      </c>
      <c r="J853" s="513">
        <v>0</v>
      </c>
      <c r="K853" s="513">
        <v>0</v>
      </c>
      <c r="L853" s="513">
        <v>0</v>
      </c>
      <c r="M853" s="513">
        <v>1093159.6468604214</v>
      </c>
      <c r="N853" s="622"/>
    </row>
    <row r="854" spans="2:14">
      <c r="B854" s="513" t="s">
        <v>363</v>
      </c>
      <c r="C854" s="889">
        <v>2018</v>
      </c>
      <c r="D854" s="513">
        <v>1093159.6468604214</v>
      </c>
      <c r="E854" s="513">
        <f>VLOOKUP(B854,'[6]2018 allocation'!$A$11:$B$218,2, FALSE)</f>
        <v>32331.821683632748</v>
      </c>
      <c r="F854" s="513">
        <f>E854</f>
        <v>32331.821683632748</v>
      </c>
      <c r="G854" s="513">
        <v>0</v>
      </c>
      <c r="H854" s="513">
        <v>-1125491</v>
      </c>
      <c r="I854" s="622" t="s">
        <v>1730</v>
      </c>
      <c r="J854" s="513">
        <f>VLOOKUP(B854,'[6]Annual Spending Worksheet '!$C$6:$AG$250,28,FALSE)</f>
        <v>0</v>
      </c>
      <c r="K854" s="513">
        <f>VLOOKUP(B854,'[6]Annual Spending Worksheet '!$C$6:$AG$250,29,FALSE)</f>
        <v>0</v>
      </c>
      <c r="L854" s="513">
        <v>0</v>
      </c>
      <c r="M854" s="513">
        <f>D854+E854+H854-J854</f>
        <v>0.4685440540779382</v>
      </c>
      <c r="N854" s="513"/>
    </row>
    <row r="855" spans="2:14">
      <c r="B855" s="513" t="s">
        <v>363</v>
      </c>
      <c r="C855" s="889">
        <v>2019</v>
      </c>
      <c r="D855" s="513">
        <v>0.4685440540779382</v>
      </c>
      <c r="E855" s="513">
        <v>34426.497296525828</v>
      </c>
      <c r="F855" s="513">
        <v>34426.497296525828</v>
      </c>
      <c r="G855" s="513">
        <v>0</v>
      </c>
      <c r="H855" s="513">
        <v>0</v>
      </c>
      <c r="I855" s="622" t="s">
        <v>103</v>
      </c>
      <c r="J855" s="513">
        <v>0</v>
      </c>
      <c r="K855" s="513">
        <v>0</v>
      </c>
      <c r="L855" s="513">
        <v>0</v>
      </c>
      <c r="M855" s="513">
        <v>34426.965840579905</v>
      </c>
      <c r="N855" s="513"/>
    </row>
    <row r="856" spans="2:14" ht="29.1">
      <c r="B856" s="513" t="s">
        <v>364</v>
      </c>
      <c r="C856" s="658">
        <v>2008</v>
      </c>
      <c r="D856" s="513">
        <v>-357296.96899999958</v>
      </c>
      <c r="E856" s="512">
        <v>173501.68159721643</v>
      </c>
      <c r="F856" s="513">
        <v>173501.68159721643</v>
      </c>
      <c r="G856" s="512">
        <v>-183795.28740278314</v>
      </c>
      <c r="H856" s="512">
        <v>0</v>
      </c>
      <c r="I856" s="659" t="s">
        <v>103</v>
      </c>
      <c r="J856" s="513">
        <v>0</v>
      </c>
      <c r="K856" s="513">
        <v>0</v>
      </c>
      <c r="L856" s="513">
        <v>0</v>
      </c>
      <c r="M856" s="513">
        <v>-183795.28740278314</v>
      </c>
      <c r="N856" s="622" t="s">
        <v>1711</v>
      </c>
    </row>
    <row r="857" spans="2:14" ht="29.1">
      <c r="B857" s="513" t="s">
        <v>364</v>
      </c>
      <c r="C857" s="658">
        <v>2009</v>
      </c>
      <c r="D857" s="513">
        <v>-183795.28740278352</v>
      </c>
      <c r="E857" s="512">
        <v>140944.52258549724</v>
      </c>
      <c r="F857" s="513">
        <v>140944.52258549724</v>
      </c>
      <c r="G857" s="512">
        <v>-42850.764817286283</v>
      </c>
      <c r="H857" s="512">
        <v>0</v>
      </c>
      <c r="I857" s="659" t="s">
        <v>103</v>
      </c>
      <c r="J857" s="513">
        <v>0</v>
      </c>
      <c r="K857" s="513">
        <v>0</v>
      </c>
      <c r="L857" s="513">
        <v>0</v>
      </c>
      <c r="M857" s="513">
        <v>-42850.764817286283</v>
      </c>
      <c r="N857" s="622" t="s">
        <v>1711</v>
      </c>
    </row>
    <row r="858" spans="2:14">
      <c r="B858" s="513" t="s">
        <v>364</v>
      </c>
      <c r="C858" s="658">
        <v>2010</v>
      </c>
      <c r="D858" s="513">
        <v>-42850.764817286283</v>
      </c>
      <c r="E858" s="512">
        <v>140750.54</v>
      </c>
      <c r="F858" s="513">
        <v>140750.54</v>
      </c>
      <c r="G858" s="512">
        <v>0</v>
      </c>
      <c r="H858" s="512">
        <v>0</v>
      </c>
      <c r="I858" s="659" t="s">
        <v>103</v>
      </c>
      <c r="J858" s="513">
        <v>0</v>
      </c>
      <c r="K858" s="513">
        <v>0</v>
      </c>
      <c r="L858" s="513">
        <v>0</v>
      </c>
      <c r="M858" s="513">
        <v>97899.775182713725</v>
      </c>
      <c r="N858" s="622"/>
    </row>
    <row r="859" spans="2:14">
      <c r="B859" s="513" t="s">
        <v>364</v>
      </c>
      <c r="C859" s="658">
        <v>2011</v>
      </c>
      <c r="D859" s="513">
        <v>97899.773772255518</v>
      </c>
      <c r="E859" s="512">
        <v>143071.1915054534</v>
      </c>
      <c r="F859" s="513">
        <v>143071.1915054534</v>
      </c>
      <c r="G859" s="512">
        <v>0</v>
      </c>
      <c r="H859" s="512">
        <v>0</v>
      </c>
      <c r="I859" s="659" t="s">
        <v>103</v>
      </c>
      <c r="J859" s="513">
        <v>0</v>
      </c>
      <c r="K859" s="513">
        <v>0</v>
      </c>
      <c r="L859" s="513">
        <v>0</v>
      </c>
      <c r="M859" s="513">
        <v>240970.96527770892</v>
      </c>
      <c r="N859" s="622"/>
    </row>
    <row r="860" spans="2:14">
      <c r="B860" s="513" t="s">
        <v>364</v>
      </c>
      <c r="C860" s="658">
        <v>2012</v>
      </c>
      <c r="D860" s="513">
        <v>240970.96527770907</v>
      </c>
      <c r="E860" s="513">
        <v>104848.63921339474</v>
      </c>
      <c r="F860" s="513">
        <v>104848.63921339474</v>
      </c>
      <c r="G860" s="512">
        <v>0</v>
      </c>
      <c r="H860" s="512">
        <v>0</v>
      </c>
      <c r="I860" s="659" t="s">
        <v>103</v>
      </c>
      <c r="J860" s="513">
        <v>0</v>
      </c>
      <c r="K860" s="513">
        <v>0</v>
      </c>
      <c r="L860" s="513">
        <v>0</v>
      </c>
      <c r="M860" s="513">
        <v>345819.60449110379</v>
      </c>
      <c r="N860" s="622"/>
    </row>
    <row r="861" spans="2:14">
      <c r="B861" s="513" t="s">
        <v>364</v>
      </c>
      <c r="C861" s="658">
        <v>2013</v>
      </c>
      <c r="D861" s="513">
        <v>345819.60449110344</v>
      </c>
      <c r="E861" s="513">
        <v>157770.51100624204</v>
      </c>
      <c r="F861" s="513">
        <v>157770.51100624204</v>
      </c>
      <c r="G861" s="512">
        <v>0</v>
      </c>
      <c r="H861" s="512">
        <v>0</v>
      </c>
      <c r="I861" s="659" t="s">
        <v>103</v>
      </c>
      <c r="J861" s="513">
        <v>0</v>
      </c>
      <c r="K861" s="513">
        <v>0</v>
      </c>
      <c r="L861" s="513">
        <v>0</v>
      </c>
      <c r="M861" s="513">
        <v>503590.11549734545</v>
      </c>
      <c r="N861" s="622"/>
    </row>
    <row r="862" spans="2:14">
      <c r="B862" s="513" t="s">
        <v>364</v>
      </c>
      <c r="C862" s="658">
        <v>2014</v>
      </c>
      <c r="D862" s="513">
        <v>503590.1154973451</v>
      </c>
      <c r="E862" s="513">
        <v>163914.26085096219</v>
      </c>
      <c r="F862" s="513">
        <v>163914.26085096219</v>
      </c>
      <c r="G862" s="512">
        <v>0</v>
      </c>
      <c r="H862" s="512">
        <v>0</v>
      </c>
      <c r="I862" s="659" t="s">
        <v>103</v>
      </c>
      <c r="J862" s="513">
        <v>0</v>
      </c>
      <c r="K862" s="513">
        <v>0</v>
      </c>
      <c r="L862" s="513">
        <v>0</v>
      </c>
      <c r="M862" s="513">
        <v>667504.37634830736</v>
      </c>
      <c r="N862" s="622"/>
    </row>
    <row r="863" spans="2:14">
      <c r="B863" s="513" t="s">
        <v>364</v>
      </c>
      <c r="C863" s="658">
        <v>2015</v>
      </c>
      <c r="D863" s="513">
        <v>667504.37634830736</v>
      </c>
      <c r="E863" s="513">
        <v>166436.46715426611</v>
      </c>
      <c r="F863" s="513">
        <v>166436.46715426611</v>
      </c>
      <c r="G863" s="660">
        <v>0</v>
      </c>
      <c r="H863" s="660">
        <v>0</v>
      </c>
      <c r="I863" s="659" t="s">
        <v>103</v>
      </c>
      <c r="J863" s="513">
        <v>0</v>
      </c>
      <c r="K863" s="513">
        <v>0</v>
      </c>
      <c r="L863" s="513">
        <v>0</v>
      </c>
      <c r="M863" s="513">
        <v>833940.84350257344</v>
      </c>
      <c r="N863" s="622"/>
    </row>
    <row r="864" spans="2:14">
      <c r="B864" s="513" t="s">
        <v>364</v>
      </c>
      <c r="C864" s="658">
        <v>2016</v>
      </c>
      <c r="D864" s="513">
        <v>833940.84350257367</v>
      </c>
      <c r="E864" s="513">
        <v>120694.17200149769</v>
      </c>
      <c r="F864" s="513">
        <v>120694.17200149769</v>
      </c>
      <c r="G864" s="660">
        <v>0</v>
      </c>
      <c r="H864" s="660">
        <v>0</v>
      </c>
      <c r="I864" s="659" t="s">
        <v>103</v>
      </c>
      <c r="J864" s="513">
        <v>0</v>
      </c>
      <c r="K864" s="513">
        <v>0</v>
      </c>
      <c r="L864" s="513">
        <v>0</v>
      </c>
      <c r="M864" s="513">
        <v>954635.01550407137</v>
      </c>
      <c r="N864" s="622"/>
    </row>
    <row r="865" spans="2:14">
      <c r="B865" s="513" t="s">
        <v>364</v>
      </c>
      <c r="C865" s="658">
        <v>2017</v>
      </c>
      <c r="D865" s="513">
        <v>954635.01550407149</v>
      </c>
      <c r="E865" s="513">
        <v>111779.61074662491</v>
      </c>
      <c r="F865" s="513">
        <v>111779.61074662491</v>
      </c>
      <c r="G865" s="513">
        <v>0</v>
      </c>
      <c r="H865" s="513">
        <v>0</v>
      </c>
      <c r="I865" s="659" t="s">
        <v>103</v>
      </c>
      <c r="J865" s="513">
        <v>0</v>
      </c>
      <c r="K865" s="513">
        <v>0</v>
      </c>
      <c r="L865" s="513">
        <v>0</v>
      </c>
      <c r="M865" s="513">
        <v>1066414.6262506964</v>
      </c>
      <c r="N865" s="622"/>
    </row>
    <row r="866" spans="2:14">
      <c r="B866" s="513" t="s">
        <v>364</v>
      </c>
      <c r="C866" s="889">
        <v>2018</v>
      </c>
      <c r="D866" s="513">
        <v>1066414.6262506964</v>
      </c>
      <c r="E866" s="513">
        <f>VLOOKUP(B866,'[6]2018 allocation'!$A$11:$B$218,2, FALSE)</f>
        <v>119379.4801219947</v>
      </c>
      <c r="F866" s="513">
        <f>E866</f>
        <v>119379.4801219947</v>
      </c>
      <c r="G866" s="513">
        <v>0</v>
      </c>
      <c r="H866" s="513">
        <v>0</v>
      </c>
      <c r="I866" s="622" t="s">
        <v>103</v>
      </c>
      <c r="J866" s="513">
        <f>VLOOKUP(B866,'[6]Annual Spending Worksheet '!$C$6:$AG$250,28,FALSE)</f>
        <v>0</v>
      </c>
      <c r="K866" s="513">
        <f>VLOOKUP(B866,'[6]Annual Spending Worksheet '!$C$6:$AG$250,29,FALSE)</f>
        <v>0</v>
      </c>
      <c r="L866" s="513">
        <v>0</v>
      </c>
      <c r="M866" s="513">
        <f>D866+E866+H866-J866</f>
        <v>1185794.106372691</v>
      </c>
      <c r="N866" s="513"/>
    </row>
    <row r="867" spans="2:14">
      <c r="B867" s="513" t="s">
        <v>364</v>
      </c>
      <c r="C867" s="889">
        <v>2019</v>
      </c>
      <c r="D867" s="513">
        <v>1185794.106372691</v>
      </c>
      <c r="E867" s="513">
        <v>127433.35746377389</v>
      </c>
      <c r="F867" s="513">
        <v>127433.35746377389</v>
      </c>
      <c r="G867" s="513">
        <v>0</v>
      </c>
      <c r="H867" s="513">
        <v>0</v>
      </c>
      <c r="I867" s="622" t="s">
        <v>103</v>
      </c>
      <c r="J867" s="513">
        <v>0</v>
      </c>
      <c r="K867" s="513">
        <v>0</v>
      </c>
      <c r="L867" s="513">
        <v>0</v>
      </c>
      <c r="M867" s="513">
        <v>1313227.4638364648</v>
      </c>
      <c r="N867" s="513"/>
    </row>
    <row r="868" spans="2:14">
      <c r="B868" s="513" t="s">
        <v>365</v>
      </c>
      <c r="C868" s="658">
        <v>2008</v>
      </c>
      <c r="D868" s="513">
        <v>973.71699999999998</v>
      </c>
      <c r="E868" s="512">
        <v>988.02492067391938</v>
      </c>
      <c r="F868" s="513">
        <v>988.02492067391938</v>
      </c>
      <c r="G868" s="512">
        <v>0</v>
      </c>
      <c r="H868" s="512">
        <v>0</v>
      </c>
      <c r="I868" s="659" t="s">
        <v>103</v>
      </c>
      <c r="J868" s="513">
        <v>0</v>
      </c>
      <c r="K868" s="513">
        <v>0</v>
      </c>
      <c r="L868" s="513">
        <v>0</v>
      </c>
      <c r="M868" s="513">
        <v>1961.7419206739194</v>
      </c>
      <c r="N868" s="622"/>
    </row>
    <row r="869" spans="2:14">
      <c r="B869" s="513" t="s">
        <v>365</v>
      </c>
      <c r="C869" s="658">
        <v>2009</v>
      </c>
      <c r="D869" s="513">
        <v>1961.7419206739194</v>
      </c>
      <c r="E869" s="512">
        <v>823.30947992702727</v>
      </c>
      <c r="F869" s="513">
        <v>823.30947992702727</v>
      </c>
      <c r="G869" s="512">
        <v>0</v>
      </c>
      <c r="H869" s="512">
        <v>0</v>
      </c>
      <c r="I869" s="659" t="s">
        <v>103</v>
      </c>
      <c r="J869" s="513">
        <v>0</v>
      </c>
      <c r="K869" s="513">
        <v>0</v>
      </c>
      <c r="L869" s="513">
        <v>0</v>
      </c>
      <c r="M869" s="513">
        <v>2785.0514006009466</v>
      </c>
      <c r="N869" s="622"/>
    </row>
    <row r="870" spans="2:14">
      <c r="B870" s="513" t="s">
        <v>365</v>
      </c>
      <c r="C870" s="658">
        <v>2010</v>
      </c>
      <c r="D870" s="513">
        <v>2785.0514006009471</v>
      </c>
      <c r="E870" s="512">
        <v>815.72</v>
      </c>
      <c r="F870" s="513">
        <v>815.72</v>
      </c>
      <c r="G870" s="512">
        <v>0</v>
      </c>
      <c r="H870" s="512">
        <v>0</v>
      </c>
      <c r="I870" s="659" t="s">
        <v>103</v>
      </c>
      <c r="J870" s="513">
        <v>0</v>
      </c>
      <c r="K870" s="513">
        <v>0</v>
      </c>
      <c r="L870" s="513">
        <v>0</v>
      </c>
      <c r="M870" s="513">
        <v>3600.7714006009473</v>
      </c>
      <c r="N870" s="622"/>
    </row>
    <row r="871" spans="2:14">
      <c r="B871" s="513" t="s">
        <v>365</v>
      </c>
      <c r="C871" s="658">
        <v>2011</v>
      </c>
      <c r="D871" s="513">
        <v>3600.7670392834334</v>
      </c>
      <c r="E871" s="512">
        <v>831.42613147607699</v>
      </c>
      <c r="F871" s="513">
        <v>831.42613147607699</v>
      </c>
      <c r="G871" s="512">
        <v>0</v>
      </c>
      <c r="H871" s="512">
        <v>0</v>
      </c>
      <c r="I871" s="659" t="s">
        <v>103</v>
      </c>
      <c r="J871" s="513">
        <v>0</v>
      </c>
      <c r="K871" s="513">
        <v>0</v>
      </c>
      <c r="L871" s="513">
        <v>0</v>
      </c>
      <c r="M871" s="513">
        <v>4432.1931707595104</v>
      </c>
      <c r="N871" s="622"/>
    </row>
    <row r="872" spans="2:14">
      <c r="B872" s="513" t="s">
        <v>365</v>
      </c>
      <c r="C872" s="658">
        <v>2012</v>
      </c>
      <c r="D872" s="513">
        <v>4432.1931707595104</v>
      </c>
      <c r="E872" s="513">
        <v>625.04011864140534</v>
      </c>
      <c r="F872" s="513">
        <v>625.04011864140534</v>
      </c>
      <c r="G872" s="512">
        <v>0</v>
      </c>
      <c r="H872" s="512">
        <v>0</v>
      </c>
      <c r="I872" s="659" t="s">
        <v>103</v>
      </c>
      <c r="J872" s="513">
        <v>0</v>
      </c>
      <c r="K872" s="513">
        <v>0</v>
      </c>
      <c r="L872" s="513">
        <v>0</v>
      </c>
      <c r="M872" s="513">
        <v>5057.233289400916</v>
      </c>
      <c r="N872" s="622"/>
    </row>
    <row r="873" spans="2:14">
      <c r="B873" s="513" t="s">
        <v>365</v>
      </c>
      <c r="C873" s="658">
        <v>2013</v>
      </c>
      <c r="D873" s="513">
        <v>5057.233289400916</v>
      </c>
      <c r="E873" s="513">
        <v>909.98511044232646</v>
      </c>
      <c r="F873" s="513">
        <v>909.98511044232646</v>
      </c>
      <c r="G873" s="512">
        <v>0</v>
      </c>
      <c r="H873" s="512">
        <v>0</v>
      </c>
      <c r="I873" s="659" t="s">
        <v>103</v>
      </c>
      <c r="J873" s="513">
        <v>0</v>
      </c>
      <c r="K873" s="513">
        <v>0</v>
      </c>
      <c r="L873" s="513">
        <v>0</v>
      </c>
      <c r="M873" s="513">
        <v>5967.2183998432429</v>
      </c>
      <c r="N873" s="622"/>
    </row>
    <row r="874" spans="2:14">
      <c r="B874" s="513" t="s">
        <v>365</v>
      </c>
      <c r="C874" s="658">
        <v>2014</v>
      </c>
      <c r="D874" s="513">
        <v>5967.2183998432429</v>
      </c>
      <c r="E874" s="513">
        <v>942.07369908738895</v>
      </c>
      <c r="F874" s="513">
        <v>942.07369908738895</v>
      </c>
      <c r="G874" s="512">
        <v>0</v>
      </c>
      <c r="H874" s="512">
        <v>0</v>
      </c>
      <c r="I874" s="659" t="s">
        <v>103</v>
      </c>
      <c r="J874" s="513">
        <v>0</v>
      </c>
      <c r="K874" s="513">
        <v>0</v>
      </c>
      <c r="L874" s="513">
        <v>0</v>
      </c>
      <c r="M874" s="513">
        <v>6909.2920989306322</v>
      </c>
      <c r="N874" s="622"/>
    </row>
    <row r="875" spans="2:14">
      <c r="B875" s="513" t="s">
        <v>365</v>
      </c>
      <c r="C875" s="658">
        <v>2015</v>
      </c>
      <c r="D875" s="513">
        <v>6909.2920989306322</v>
      </c>
      <c r="E875" s="513">
        <v>956.01757294924221</v>
      </c>
      <c r="F875" s="513">
        <v>956.01757294924221</v>
      </c>
      <c r="G875" s="660">
        <v>0</v>
      </c>
      <c r="H875" s="660">
        <v>0</v>
      </c>
      <c r="I875" s="659" t="s">
        <v>103</v>
      </c>
      <c r="J875" s="513">
        <v>0</v>
      </c>
      <c r="K875" s="513">
        <v>0</v>
      </c>
      <c r="L875" s="513">
        <v>0</v>
      </c>
      <c r="M875" s="513">
        <v>7865.3096718798743</v>
      </c>
      <c r="N875" s="622"/>
    </row>
    <row r="876" spans="2:14">
      <c r="B876" s="513" t="s">
        <v>365</v>
      </c>
      <c r="C876" s="658">
        <v>2016</v>
      </c>
      <c r="D876" s="513">
        <v>7865.3096718798743</v>
      </c>
      <c r="E876" s="513">
        <v>716.02114731862957</v>
      </c>
      <c r="F876" s="513">
        <v>716.02114731862957</v>
      </c>
      <c r="G876" s="660">
        <v>0</v>
      </c>
      <c r="H876" s="660">
        <v>0</v>
      </c>
      <c r="I876" s="659" t="s">
        <v>103</v>
      </c>
      <c r="J876" s="513">
        <v>0</v>
      </c>
      <c r="K876" s="513">
        <v>0</v>
      </c>
      <c r="L876" s="513">
        <v>0</v>
      </c>
      <c r="M876" s="513">
        <v>8581.3308191985034</v>
      </c>
      <c r="N876" s="622"/>
    </row>
    <row r="877" spans="2:14">
      <c r="B877" s="513" t="s">
        <v>365</v>
      </c>
      <c r="C877" s="658">
        <v>2017</v>
      </c>
      <c r="D877" s="513">
        <v>8581.3308191985034</v>
      </c>
      <c r="E877" s="513">
        <v>649.29009617883037</v>
      </c>
      <c r="F877" s="513">
        <v>649.29009617883037</v>
      </c>
      <c r="G877" s="513">
        <v>0</v>
      </c>
      <c r="H877" s="513">
        <v>0</v>
      </c>
      <c r="I877" s="659" t="s">
        <v>103</v>
      </c>
      <c r="J877" s="513">
        <v>0</v>
      </c>
      <c r="K877" s="513">
        <v>0</v>
      </c>
      <c r="L877" s="513">
        <v>0</v>
      </c>
      <c r="M877" s="513">
        <v>9230.6209153773343</v>
      </c>
      <c r="N877" s="622"/>
    </row>
    <row r="878" spans="2:14">
      <c r="B878" s="513" t="s">
        <v>365</v>
      </c>
      <c r="C878" s="889">
        <v>2018</v>
      </c>
      <c r="D878" s="513">
        <v>9230.6209153773343</v>
      </c>
      <c r="E878" s="513">
        <f>VLOOKUP(B878,'[6]2018 allocation'!$A$11:$B$218,2, FALSE)</f>
        <v>642.42624956411078</v>
      </c>
      <c r="F878" s="513">
        <f>E878</f>
        <v>642.42624956411078</v>
      </c>
      <c r="G878" s="513">
        <v>0</v>
      </c>
      <c r="H878" s="513">
        <v>0</v>
      </c>
      <c r="I878" s="622" t="s">
        <v>103</v>
      </c>
      <c r="J878" s="513">
        <f>VLOOKUP(B878,'[6]Annual Spending Worksheet '!$C$6:$AG$250,28,FALSE)</f>
        <v>0</v>
      </c>
      <c r="K878" s="513">
        <f>VLOOKUP(B878,'[6]Annual Spending Worksheet '!$C$6:$AG$250,29,FALSE)</f>
        <v>0</v>
      </c>
      <c r="L878" s="513">
        <v>0</v>
      </c>
      <c r="M878" s="513">
        <f>D878+E878+H878-J878</f>
        <v>9873.0471649414449</v>
      </c>
      <c r="N878" s="513"/>
    </row>
    <row r="879" spans="2:14">
      <c r="B879" s="513" t="s">
        <v>365</v>
      </c>
      <c r="C879" s="889">
        <v>2019</v>
      </c>
      <c r="D879" s="513">
        <v>9873.0471649414449</v>
      </c>
      <c r="E879" s="513">
        <v>700.4542460683391</v>
      </c>
      <c r="F879" s="513">
        <v>700.4542460683391</v>
      </c>
      <c r="G879" s="513">
        <v>0</v>
      </c>
      <c r="H879" s="513">
        <v>0</v>
      </c>
      <c r="I879" s="622" t="s">
        <v>103</v>
      </c>
      <c r="J879" s="513">
        <v>0</v>
      </c>
      <c r="K879" s="513">
        <v>0</v>
      </c>
      <c r="L879" s="513">
        <v>0</v>
      </c>
      <c r="M879" s="513">
        <v>10573.501411009784</v>
      </c>
      <c r="N879" s="513"/>
    </row>
    <row r="880" spans="2:14" ht="29.1">
      <c r="B880" s="513" t="s">
        <v>366</v>
      </c>
      <c r="C880" s="658">
        <v>2008</v>
      </c>
      <c r="D880" s="513">
        <v>-1311006.0289999992</v>
      </c>
      <c r="E880" s="512">
        <v>230391.28103093777</v>
      </c>
      <c r="F880" s="513">
        <v>230391.28103093777</v>
      </c>
      <c r="G880" s="512">
        <v>-1080614.7479690614</v>
      </c>
      <c r="H880" s="512">
        <v>0</v>
      </c>
      <c r="I880" s="659" t="s">
        <v>103</v>
      </c>
      <c r="J880" s="513">
        <v>3100.5599999999436</v>
      </c>
      <c r="K880" s="513">
        <v>0</v>
      </c>
      <c r="L880" s="513">
        <v>0</v>
      </c>
      <c r="M880" s="513">
        <v>-1083715.3079690614</v>
      </c>
      <c r="N880" s="622" t="s">
        <v>1711</v>
      </c>
    </row>
    <row r="881" spans="2:14" ht="29.1">
      <c r="B881" s="513" t="s">
        <v>366</v>
      </c>
      <c r="C881" s="658">
        <v>2009</v>
      </c>
      <c r="D881" s="513">
        <v>-1083715.3079690617</v>
      </c>
      <c r="E881" s="512">
        <v>189952.61290087504</v>
      </c>
      <c r="F881" s="513">
        <v>189952.61290087504</v>
      </c>
      <c r="G881" s="512">
        <v>-893762.69506818661</v>
      </c>
      <c r="H881" s="512">
        <v>0</v>
      </c>
      <c r="I881" s="659" t="s">
        <v>103</v>
      </c>
      <c r="J881" s="513">
        <v>86.42999999999995</v>
      </c>
      <c r="K881" s="513">
        <v>0</v>
      </c>
      <c r="L881" s="513">
        <v>0</v>
      </c>
      <c r="M881" s="513">
        <v>-893849.12506818667</v>
      </c>
      <c r="N881" s="622" t="s">
        <v>1711</v>
      </c>
    </row>
    <row r="882" spans="2:14" ht="56.1" customHeight="1">
      <c r="B882" s="513" t="s">
        <v>366</v>
      </c>
      <c r="C882" s="658">
        <v>2010</v>
      </c>
      <c r="D882" s="513">
        <v>-891955.68506818637</v>
      </c>
      <c r="E882" s="512">
        <v>189719.4</v>
      </c>
      <c r="F882" s="513">
        <v>189719.4</v>
      </c>
      <c r="G882" s="512">
        <v>-702236.28506818635</v>
      </c>
      <c r="H882" s="512">
        <v>0</v>
      </c>
      <c r="I882" s="659" t="s">
        <v>103</v>
      </c>
      <c r="J882" s="513">
        <v>2773.44</v>
      </c>
      <c r="K882" s="513">
        <v>0</v>
      </c>
      <c r="L882" s="513">
        <v>0</v>
      </c>
      <c r="M882" s="513">
        <v>-705009.72506818629</v>
      </c>
      <c r="N882" s="622" t="s">
        <v>1711</v>
      </c>
    </row>
    <row r="883" spans="2:14" ht="29.1">
      <c r="B883" s="513" t="s">
        <v>366</v>
      </c>
      <c r="C883" s="658">
        <v>2011</v>
      </c>
      <c r="D883" s="513">
        <v>-705009.72766179033</v>
      </c>
      <c r="E883" s="512">
        <v>192698.79936727419</v>
      </c>
      <c r="F883" s="513">
        <v>192698.79936727419</v>
      </c>
      <c r="G883" s="512">
        <v>-512310.92829451617</v>
      </c>
      <c r="H883" s="512">
        <v>0</v>
      </c>
      <c r="I883" s="659" t="s">
        <v>103</v>
      </c>
      <c r="J883" s="513">
        <v>-1.9900000000000002</v>
      </c>
      <c r="K883" s="513">
        <v>0</v>
      </c>
      <c r="L883" s="513">
        <v>0</v>
      </c>
      <c r="M883" s="513">
        <v>-512308.93829451618</v>
      </c>
      <c r="N883" s="622" t="s">
        <v>1711</v>
      </c>
    </row>
    <row r="884" spans="2:14" ht="29.1">
      <c r="B884" s="513" t="s">
        <v>366</v>
      </c>
      <c r="C884" s="658">
        <v>2012</v>
      </c>
      <c r="D884" s="513">
        <v>-512308.93819451611</v>
      </c>
      <c r="E884" s="512">
        <v>144776.35286067688</v>
      </c>
      <c r="F884" s="513">
        <v>144776.35286067688</v>
      </c>
      <c r="G884" s="660">
        <v>-367532.58533383923</v>
      </c>
      <c r="H884" s="512">
        <v>0</v>
      </c>
      <c r="I884" s="659" t="s">
        <v>103</v>
      </c>
      <c r="J884" s="513">
        <v>0</v>
      </c>
      <c r="K884" s="513">
        <v>0</v>
      </c>
      <c r="L884" s="513">
        <v>0</v>
      </c>
      <c r="M884" s="513">
        <v>-367532.58533383923</v>
      </c>
      <c r="N884" s="622" t="s">
        <v>1711</v>
      </c>
    </row>
    <row r="885" spans="2:14" ht="29.1">
      <c r="B885" s="513" t="s">
        <v>366</v>
      </c>
      <c r="C885" s="658">
        <v>2013</v>
      </c>
      <c r="D885" s="513">
        <v>-367532.58533383906</v>
      </c>
      <c r="E885" s="513">
        <v>210970.95568504595</v>
      </c>
      <c r="F885" s="513">
        <v>210970.95568504595</v>
      </c>
      <c r="G885" s="660">
        <v>-156561.62964879311</v>
      </c>
      <c r="H885" s="512">
        <v>0</v>
      </c>
      <c r="I885" s="659" t="s">
        <v>103</v>
      </c>
      <c r="J885" s="513">
        <v>0</v>
      </c>
      <c r="K885" s="513">
        <v>0</v>
      </c>
      <c r="L885" s="513">
        <v>0</v>
      </c>
      <c r="M885" s="513">
        <v>-156561.62964879311</v>
      </c>
      <c r="N885" s="622" t="s">
        <v>1711</v>
      </c>
    </row>
    <row r="886" spans="2:14">
      <c r="B886" s="513" t="s">
        <v>366</v>
      </c>
      <c r="C886" s="658">
        <v>2014</v>
      </c>
      <c r="D886" s="513">
        <v>-156561.62964879349</v>
      </c>
      <c r="E886" s="513">
        <v>218716.7328116658</v>
      </c>
      <c r="F886" s="513">
        <v>218716.7328116658</v>
      </c>
      <c r="G886" s="660">
        <v>0</v>
      </c>
      <c r="H886" s="512">
        <v>0</v>
      </c>
      <c r="I886" s="659" t="s">
        <v>103</v>
      </c>
      <c r="J886" s="513">
        <v>0</v>
      </c>
      <c r="K886" s="513">
        <v>0</v>
      </c>
      <c r="L886" s="513">
        <v>0</v>
      </c>
      <c r="M886" s="513">
        <v>62155.103162872314</v>
      </c>
      <c r="N886" s="622"/>
    </row>
    <row r="887" spans="2:14">
      <c r="B887" s="513" t="s">
        <v>366</v>
      </c>
      <c r="C887" s="658">
        <v>2015</v>
      </c>
      <c r="D887" s="513">
        <v>62155.103162872605</v>
      </c>
      <c r="E887" s="513">
        <v>221871.22025135229</v>
      </c>
      <c r="F887" s="513">
        <v>221871.22025135229</v>
      </c>
      <c r="G887" s="660">
        <v>0</v>
      </c>
      <c r="H887" s="512">
        <v>0</v>
      </c>
      <c r="I887" s="659" t="s">
        <v>103</v>
      </c>
      <c r="J887" s="513">
        <v>0</v>
      </c>
      <c r="K887" s="513">
        <v>0</v>
      </c>
      <c r="L887" s="513">
        <v>0</v>
      </c>
      <c r="M887" s="513">
        <v>284026.3234142249</v>
      </c>
      <c r="N887" s="622"/>
    </row>
    <row r="888" spans="2:14">
      <c r="B888" s="513" t="s">
        <v>366</v>
      </c>
      <c r="C888" s="658">
        <v>2016</v>
      </c>
      <c r="D888" s="513">
        <v>284026.32341422606</v>
      </c>
      <c r="E888" s="513">
        <v>164337.93988098885</v>
      </c>
      <c r="F888" s="513">
        <v>164337.93988098885</v>
      </c>
      <c r="G888" s="660">
        <v>0</v>
      </c>
      <c r="H888" s="660">
        <v>0</v>
      </c>
      <c r="I888" s="659" t="s">
        <v>103</v>
      </c>
      <c r="J888" s="513">
        <v>0</v>
      </c>
      <c r="K888" s="513">
        <v>0</v>
      </c>
      <c r="L888" s="513">
        <v>0</v>
      </c>
      <c r="M888" s="513">
        <v>448364.26329521491</v>
      </c>
      <c r="N888" s="622"/>
    </row>
    <row r="889" spans="2:14">
      <c r="B889" s="513" t="s">
        <v>366</v>
      </c>
      <c r="C889" s="658">
        <v>2017</v>
      </c>
      <c r="D889" s="513">
        <v>448364.26329521369</v>
      </c>
      <c r="E889" s="513">
        <v>153078.4520282374</v>
      </c>
      <c r="F889" s="513">
        <v>153078.4520282374</v>
      </c>
      <c r="G889" s="660">
        <v>0</v>
      </c>
      <c r="H889" s="660">
        <v>0</v>
      </c>
      <c r="I889" s="659" t="s">
        <v>103</v>
      </c>
      <c r="J889" s="513">
        <v>0</v>
      </c>
      <c r="K889" s="513">
        <v>0</v>
      </c>
      <c r="L889" s="513">
        <v>88584.95</v>
      </c>
      <c r="M889" s="513">
        <v>512857.76532345108</v>
      </c>
      <c r="N889" s="622"/>
    </row>
    <row r="890" spans="2:14">
      <c r="B890" s="513" t="s">
        <v>366</v>
      </c>
      <c r="C890" s="889">
        <v>2018</v>
      </c>
      <c r="D890" s="513">
        <v>512857.76532345108</v>
      </c>
      <c r="E890" s="513">
        <f>VLOOKUP(B890,'[6]2018 allocation'!$A$11:$B$218,2, FALSE)</f>
        <v>162857.70453496146</v>
      </c>
      <c r="F890" s="513">
        <f>E890</f>
        <v>162857.70453496146</v>
      </c>
      <c r="G890" s="513">
        <v>0</v>
      </c>
      <c r="H890" s="513">
        <v>0</v>
      </c>
      <c r="I890" s="622" t="s">
        <v>103</v>
      </c>
      <c r="J890" s="513">
        <f>VLOOKUP(B890,'[6]Annual Spending Worksheet '!$C$6:$AG$250,28,FALSE)</f>
        <v>0</v>
      </c>
      <c r="K890" s="513">
        <f>VLOOKUP(B890,'[6]Annual Spending Worksheet '!$C$6:$AG$250,29,FALSE)</f>
        <v>0</v>
      </c>
      <c r="L890" s="513">
        <v>0</v>
      </c>
      <c r="M890" s="513">
        <f>D890+E890+H890-J890</f>
        <v>675715.46985841251</v>
      </c>
      <c r="N890" s="513"/>
    </row>
    <row r="891" spans="2:14">
      <c r="B891" s="513" t="s">
        <v>366</v>
      </c>
      <c r="C891" s="889">
        <v>2019</v>
      </c>
      <c r="D891" s="513">
        <v>675715.46985841251</v>
      </c>
      <c r="E891" s="513">
        <v>172940.77714729522</v>
      </c>
      <c r="F891" s="513">
        <v>172940.77714729522</v>
      </c>
      <c r="G891" s="513">
        <v>0</v>
      </c>
      <c r="H891" s="513">
        <v>0</v>
      </c>
      <c r="I891" s="622" t="s">
        <v>103</v>
      </c>
      <c r="J891" s="513">
        <v>0</v>
      </c>
      <c r="K891" s="513">
        <v>0</v>
      </c>
      <c r="L891" s="513">
        <v>0</v>
      </c>
      <c r="M891" s="513">
        <v>848656.2470057077</v>
      </c>
      <c r="N891" s="513"/>
    </row>
    <row r="892" spans="2:14">
      <c r="B892" s="513" t="s">
        <v>371</v>
      </c>
      <c r="C892" s="658">
        <v>2008</v>
      </c>
      <c r="D892" s="513">
        <v>4722980.256000001</v>
      </c>
      <c r="E892" s="512">
        <v>463592.10303444427</v>
      </c>
      <c r="F892" s="513">
        <v>463592.10303444427</v>
      </c>
      <c r="G892" s="512">
        <v>0</v>
      </c>
      <c r="H892" s="512">
        <v>0</v>
      </c>
      <c r="I892" s="659" t="s">
        <v>103</v>
      </c>
      <c r="J892" s="513">
        <v>10698.849999999991</v>
      </c>
      <c r="K892" s="513">
        <v>0</v>
      </c>
      <c r="L892" s="513">
        <v>0</v>
      </c>
      <c r="M892" s="513">
        <v>5175873.5090344455</v>
      </c>
      <c r="N892" s="622"/>
    </row>
    <row r="893" spans="2:14">
      <c r="B893" s="513" t="s">
        <v>371</v>
      </c>
      <c r="C893" s="658">
        <v>2009</v>
      </c>
      <c r="D893" s="513">
        <v>5175873.5090344455</v>
      </c>
      <c r="E893" s="512">
        <v>374849.51114831952</v>
      </c>
      <c r="F893" s="513">
        <v>374849.51114831952</v>
      </c>
      <c r="G893" s="512">
        <v>0</v>
      </c>
      <c r="H893" s="512">
        <v>0</v>
      </c>
      <c r="I893" s="659" t="s">
        <v>103</v>
      </c>
      <c r="J893" s="513">
        <v>-312392.24</v>
      </c>
      <c r="K893" s="513">
        <v>0</v>
      </c>
      <c r="L893" s="513">
        <v>0</v>
      </c>
      <c r="M893" s="513">
        <v>5863115.2601827653</v>
      </c>
      <c r="N893" s="622"/>
    </row>
    <row r="894" spans="2:14">
      <c r="B894" s="513" t="s">
        <v>371</v>
      </c>
      <c r="C894" s="658">
        <v>2010</v>
      </c>
      <c r="D894" s="513">
        <v>5863115.2601827644</v>
      </c>
      <c r="E894" s="512">
        <v>374305.1</v>
      </c>
      <c r="F894" s="513">
        <v>374305.1</v>
      </c>
      <c r="G894" s="512">
        <v>0</v>
      </c>
      <c r="H894" s="512">
        <v>0</v>
      </c>
      <c r="I894" s="659" t="s">
        <v>103</v>
      </c>
      <c r="J894" s="513">
        <v>-11546.759999999998</v>
      </c>
      <c r="K894" s="513">
        <v>0</v>
      </c>
      <c r="L894" s="513">
        <v>19064</v>
      </c>
      <c r="M894" s="513">
        <v>6229903.1201827638</v>
      </c>
      <c r="N894" s="622"/>
    </row>
    <row r="895" spans="2:14">
      <c r="B895" s="513" t="s">
        <v>371</v>
      </c>
      <c r="C895" s="658">
        <v>2011</v>
      </c>
      <c r="D895" s="513">
        <v>6229902.6853678171</v>
      </c>
      <c r="E895" s="512">
        <v>380700.50617012859</v>
      </c>
      <c r="F895" s="513">
        <v>380700.50617012859</v>
      </c>
      <c r="G895" s="512">
        <v>0</v>
      </c>
      <c r="H895" s="512">
        <v>0</v>
      </c>
      <c r="I895" s="659" t="s">
        <v>103</v>
      </c>
      <c r="J895" s="513">
        <v>919341.46</v>
      </c>
      <c r="K895" s="513">
        <v>926832</v>
      </c>
      <c r="L895" s="513">
        <v>335324.82</v>
      </c>
      <c r="M895" s="513">
        <v>5355936.9115379453</v>
      </c>
      <c r="N895" s="622"/>
    </row>
    <row r="896" spans="2:14">
      <c r="B896" s="513" t="s">
        <v>371</v>
      </c>
      <c r="C896" s="658">
        <v>2012</v>
      </c>
      <c r="D896" s="513">
        <v>5355936.9115379453</v>
      </c>
      <c r="E896" s="513">
        <v>274656.33312336577</v>
      </c>
      <c r="F896" s="513">
        <v>274656.33312336577</v>
      </c>
      <c r="G896" s="512">
        <v>0</v>
      </c>
      <c r="H896" s="512">
        <v>0</v>
      </c>
      <c r="I896" s="659" t="s">
        <v>103</v>
      </c>
      <c r="J896" s="513">
        <v>-11738.619999999999</v>
      </c>
      <c r="K896" s="513">
        <v>0</v>
      </c>
      <c r="L896" s="513">
        <v>0</v>
      </c>
      <c r="M896" s="513">
        <v>5642331.8646613108</v>
      </c>
      <c r="N896" s="622"/>
    </row>
    <row r="897" spans="2:14">
      <c r="B897" s="513" t="s">
        <v>371</v>
      </c>
      <c r="C897" s="658">
        <v>2013</v>
      </c>
      <c r="D897" s="513">
        <v>5642331.8646613117</v>
      </c>
      <c r="E897" s="513">
        <v>421117.4196359943</v>
      </c>
      <c r="F897" s="513">
        <v>421117.4196359943</v>
      </c>
      <c r="G897" s="512">
        <v>0</v>
      </c>
      <c r="H897" s="512">
        <v>0</v>
      </c>
      <c r="I897" s="659" t="s">
        <v>103</v>
      </c>
      <c r="J897" s="513">
        <v>0</v>
      </c>
      <c r="K897" s="513">
        <v>0</v>
      </c>
      <c r="L897" s="513">
        <v>0</v>
      </c>
      <c r="M897" s="513">
        <v>6063449.2842973061</v>
      </c>
      <c r="N897" s="622"/>
    </row>
    <row r="898" spans="2:14">
      <c r="B898" s="513" t="s">
        <v>371</v>
      </c>
      <c r="C898" s="658">
        <v>2014</v>
      </c>
      <c r="D898" s="513">
        <v>6063449.2842973061</v>
      </c>
      <c r="E898" s="513">
        <v>438189.77490375465</v>
      </c>
      <c r="F898" s="513">
        <v>438189.77490375465</v>
      </c>
      <c r="G898" s="512">
        <v>0</v>
      </c>
      <c r="H898" s="512">
        <v>0</v>
      </c>
      <c r="I898" s="659" t="s">
        <v>103</v>
      </c>
      <c r="J898" s="513">
        <v>0</v>
      </c>
      <c r="K898" s="513">
        <v>0</v>
      </c>
      <c r="L898" s="513">
        <v>10835.38</v>
      </c>
      <c r="M898" s="513">
        <v>6490803.6792010609</v>
      </c>
      <c r="N898" s="622"/>
    </row>
    <row r="899" spans="2:14">
      <c r="B899" s="513" t="s">
        <v>371</v>
      </c>
      <c r="C899" s="658">
        <v>2015</v>
      </c>
      <c r="D899" s="513">
        <v>6490803.679201059</v>
      </c>
      <c r="E899" s="513">
        <v>445347.67108326178</v>
      </c>
      <c r="F899" s="513">
        <v>445347.67108326178</v>
      </c>
      <c r="G899" s="660">
        <v>0</v>
      </c>
      <c r="H899" s="660">
        <v>0</v>
      </c>
      <c r="I899" s="659" t="s">
        <v>103</v>
      </c>
      <c r="J899" s="513">
        <v>0</v>
      </c>
      <c r="K899" s="513">
        <v>0</v>
      </c>
      <c r="L899" s="513">
        <v>0</v>
      </c>
      <c r="M899" s="513">
        <v>6936151.3502843212</v>
      </c>
      <c r="N899" s="622"/>
    </row>
    <row r="900" spans="2:14">
      <c r="B900" s="513" t="s">
        <v>371</v>
      </c>
      <c r="C900" s="658">
        <v>2016</v>
      </c>
      <c r="D900" s="513">
        <v>6936151.3502843212</v>
      </c>
      <c r="E900" s="513">
        <v>317743.34369851765</v>
      </c>
      <c r="F900" s="513">
        <v>317743.34369851765</v>
      </c>
      <c r="G900" s="660">
        <v>0</v>
      </c>
      <c r="H900" s="660">
        <v>0</v>
      </c>
      <c r="I900" s="659" t="s">
        <v>103</v>
      </c>
      <c r="J900" s="513">
        <v>0</v>
      </c>
      <c r="K900" s="513">
        <v>0</v>
      </c>
      <c r="L900" s="513">
        <v>0</v>
      </c>
      <c r="M900" s="513">
        <v>7253894.6939828387</v>
      </c>
      <c r="N900" s="622"/>
    </row>
    <row r="901" spans="2:14">
      <c r="B901" s="513" t="s">
        <v>371</v>
      </c>
      <c r="C901" s="658">
        <v>2017</v>
      </c>
      <c r="D901" s="513">
        <v>7253894.6939828377</v>
      </c>
      <c r="E901" s="513">
        <v>292647.09843673056</v>
      </c>
      <c r="F901" s="513">
        <v>292647.09843673056</v>
      </c>
      <c r="G901" s="513">
        <v>0</v>
      </c>
      <c r="H901" s="513">
        <v>0</v>
      </c>
      <c r="I901" s="659" t="s">
        <v>103</v>
      </c>
      <c r="J901" s="513">
        <v>0</v>
      </c>
      <c r="K901" s="513">
        <v>0</v>
      </c>
      <c r="L901" s="513">
        <v>0</v>
      </c>
      <c r="M901" s="513">
        <v>7546541.7924195686</v>
      </c>
      <c r="N901" s="622"/>
    </row>
    <row r="902" spans="2:14">
      <c r="B902" s="513" t="s">
        <v>371</v>
      </c>
      <c r="C902" s="889">
        <v>2018</v>
      </c>
      <c r="D902" s="513">
        <v>7546541.7924195686</v>
      </c>
      <c r="E902" s="513">
        <f>VLOOKUP(B902,'[6]2018 allocation'!$A$11:$B$218,2, FALSE)</f>
        <v>313865.06658035703</v>
      </c>
      <c r="F902" s="513">
        <f>E902</f>
        <v>313865.06658035703</v>
      </c>
      <c r="G902" s="513">
        <v>0</v>
      </c>
      <c r="H902" s="513">
        <v>0</v>
      </c>
      <c r="I902" s="622" t="s">
        <v>103</v>
      </c>
      <c r="J902" s="513">
        <f>VLOOKUP(B902,'[6]Annual Spending Worksheet '!$C$6:$AG$250,28,FALSE)</f>
        <v>0</v>
      </c>
      <c r="K902" s="513">
        <f>VLOOKUP(B902,'[6]Annual Spending Worksheet '!$C$6:$AG$250,29,FALSE)</f>
        <v>0</v>
      </c>
      <c r="L902" s="513">
        <v>0</v>
      </c>
      <c r="M902" s="513">
        <f>D902+E902+H902-J902</f>
        <v>7860406.8589999257</v>
      </c>
      <c r="N902" s="513"/>
    </row>
    <row r="903" spans="2:14">
      <c r="B903" s="513" t="s">
        <v>371</v>
      </c>
      <c r="C903" s="889">
        <v>2019</v>
      </c>
      <c r="D903" s="513">
        <v>7860406.8589999257</v>
      </c>
      <c r="E903" s="513">
        <v>336180.77863231639</v>
      </c>
      <c r="F903" s="513">
        <v>336180.77863231639</v>
      </c>
      <c r="G903" s="513">
        <v>0</v>
      </c>
      <c r="H903" s="513">
        <v>0</v>
      </c>
      <c r="I903" s="622" t="s">
        <v>103</v>
      </c>
      <c r="J903" s="513">
        <v>0</v>
      </c>
      <c r="K903" s="513">
        <v>0</v>
      </c>
      <c r="L903" s="513">
        <v>0</v>
      </c>
      <c r="M903" s="513">
        <v>8196587.6376322424</v>
      </c>
      <c r="N903" s="513"/>
    </row>
    <row r="904" spans="2:14">
      <c r="B904" s="513" t="s">
        <v>378</v>
      </c>
      <c r="C904" s="658">
        <v>2008</v>
      </c>
      <c r="D904" s="513">
        <v>273125.09700000007</v>
      </c>
      <c r="E904" s="512">
        <v>141407.20570864045</v>
      </c>
      <c r="F904" s="513">
        <v>141407.20570864045</v>
      </c>
      <c r="G904" s="512">
        <v>0</v>
      </c>
      <c r="H904" s="512">
        <v>0</v>
      </c>
      <c r="I904" s="659" t="s">
        <v>103</v>
      </c>
      <c r="J904" s="513">
        <v>0</v>
      </c>
      <c r="K904" s="513">
        <v>0</v>
      </c>
      <c r="L904" s="513">
        <v>0</v>
      </c>
      <c r="M904" s="513">
        <v>414532.30270864052</v>
      </c>
      <c r="N904" s="622"/>
    </row>
    <row r="905" spans="2:14">
      <c r="B905" s="513" t="s">
        <v>378</v>
      </c>
      <c r="C905" s="658">
        <v>2009</v>
      </c>
      <c r="D905" s="513">
        <v>414532.30270864069</v>
      </c>
      <c r="E905" s="512">
        <v>113341.93561271568</v>
      </c>
      <c r="F905" s="513">
        <v>113341.93561271568</v>
      </c>
      <c r="G905" s="512">
        <v>0</v>
      </c>
      <c r="H905" s="512">
        <v>0</v>
      </c>
      <c r="I905" s="659" t="s">
        <v>103</v>
      </c>
      <c r="J905" s="513">
        <v>0</v>
      </c>
      <c r="K905" s="513">
        <v>0</v>
      </c>
      <c r="L905" s="513">
        <v>0</v>
      </c>
      <c r="M905" s="513">
        <v>527874.23832135636</v>
      </c>
      <c r="N905" s="622"/>
    </row>
    <row r="906" spans="2:14">
      <c r="B906" s="513" t="s">
        <v>378</v>
      </c>
      <c r="C906" s="658">
        <v>2010</v>
      </c>
      <c r="D906" s="513">
        <v>527874.23832135648</v>
      </c>
      <c r="E906" s="512">
        <v>113172.88</v>
      </c>
      <c r="F906" s="513">
        <v>113172.88</v>
      </c>
      <c r="G906" s="512">
        <v>0</v>
      </c>
      <c r="H906" s="512">
        <v>0</v>
      </c>
      <c r="I906" s="659" t="s">
        <v>103</v>
      </c>
      <c r="J906" s="513">
        <v>0</v>
      </c>
      <c r="K906" s="513">
        <v>0</v>
      </c>
      <c r="L906" s="513">
        <v>0</v>
      </c>
      <c r="M906" s="513">
        <v>641047.11832135648</v>
      </c>
      <c r="N906" s="622"/>
    </row>
    <row r="907" spans="2:14">
      <c r="B907" s="513" t="s">
        <v>378</v>
      </c>
      <c r="C907" s="658">
        <v>2011</v>
      </c>
      <c r="D907" s="513">
        <v>641047.1193497777</v>
      </c>
      <c r="E907" s="512">
        <v>115453.98012676896</v>
      </c>
      <c r="F907" s="513">
        <v>115453.98012676896</v>
      </c>
      <c r="G907" s="512">
        <v>0</v>
      </c>
      <c r="H907" s="512">
        <v>0</v>
      </c>
      <c r="I907" s="659" t="s">
        <v>103</v>
      </c>
      <c r="J907" s="513">
        <v>0</v>
      </c>
      <c r="K907" s="513">
        <v>0</v>
      </c>
      <c r="L907" s="513">
        <v>0</v>
      </c>
      <c r="M907" s="513">
        <v>756501.09947654663</v>
      </c>
      <c r="N907" s="622"/>
    </row>
    <row r="908" spans="2:14">
      <c r="B908" s="513" t="s">
        <v>378</v>
      </c>
      <c r="C908" s="658">
        <v>2012</v>
      </c>
      <c r="D908" s="513">
        <v>756501.09947654605</v>
      </c>
      <c r="E908" s="513">
        <v>83248.309510970139</v>
      </c>
      <c r="F908" s="513">
        <v>83248.309510970139</v>
      </c>
      <c r="G908" s="512">
        <v>0</v>
      </c>
      <c r="H908" s="512">
        <v>0</v>
      </c>
      <c r="I908" s="659" t="s">
        <v>103</v>
      </c>
      <c r="J908" s="513">
        <v>0</v>
      </c>
      <c r="K908" s="513">
        <v>0</v>
      </c>
      <c r="L908" s="513">
        <v>0</v>
      </c>
      <c r="M908" s="513">
        <v>839749.40898751619</v>
      </c>
      <c r="N908" s="622"/>
    </row>
    <row r="909" spans="2:14">
      <c r="B909" s="513" t="s">
        <v>378</v>
      </c>
      <c r="C909" s="658">
        <v>2013</v>
      </c>
      <c r="D909" s="513">
        <v>839749.40898751654</v>
      </c>
      <c r="E909" s="513">
        <v>127669.57732512294</v>
      </c>
      <c r="F909" s="513">
        <v>127669.57732512294</v>
      </c>
      <c r="G909" s="512">
        <v>0</v>
      </c>
      <c r="H909" s="512">
        <v>0</v>
      </c>
      <c r="I909" s="659" t="s">
        <v>103</v>
      </c>
      <c r="J909" s="513">
        <v>0</v>
      </c>
      <c r="K909" s="513">
        <v>0</v>
      </c>
      <c r="L909" s="513">
        <v>0</v>
      </c>
      <c r="M909" s="513">
        <v>967418.98631263943</v>
      </c>
      <c r="N909" s="622"/>
    </row>
    <row r="910" spans="2:14">
      <c r="B910" s="513" t="s">
        <v>378</v>
      </c>
      <c r="C910" s="658">
        <v>2014</v>
      </c>
      <c r="D910" s="513">
        <v>967418.9863126399</v>
      </c>
      <c r="E910" s="513">
        <v>132714.24758903284</v>
      </c>
      <c r="F910" s="513">
        <v>132714.24758903284</v>
      </c>
      <c r="G910" s="512">
        <v>0</v>
      </c>
      <c r="H910" s="512">
        <v>0</v>
      </c>
      <c r="I910" s="659" t="s">
        <v>103</v>
      </c>
      <c r="J910" s="513">
        <v>0</v>
      </c>
      <c r="K910" s="513">
        <v>0</v>
      </c>
      <c r="L910" s="513">
        <v>0</v>
      </c>
      <c r="M910" s="513">
        <v>1100133.2339016728</v>
      </c>
      <c r="N910" s="622"/>
    </row>
    <row r="911" spans="2:14">
      <c r="B911" s="513" t="s">
        <v>378</v>
      </c>
      <c r="C911" s="658">
        <v>2015</v>
      </c>
      <c r="D911" s="513">
        <v>1100133.233901673</v>
      </c>
      <c r="E911" s="513">
        <v>134783.79455890707</v>
      </c>
      <c r="F911" s="513">
        <v>134783.79455890707</v>
      </c>
      <c r="G911" s="660">
        <v>0</v>
      </c>
      <c r="H911" s="660">
        <v>0</v>
      </c>
      <c r="I911" s="659" t="s">
        <v>103</v>
      </c>
      <c r="J911" s="513">
        <v>0</v>
      </c>
      <c r="K911" s="513">
        <v>0</v>
      </c>
      <c r="L911" s="513">
        <v>0</v>
      </c>
      <c r="M911" s="513">
        <v>1234917.0284605802</v>
      </c>
      <c r="N911" s="622"/>
    </row>
    <row r="912" spans="2:14">
      <c r="B912" s="513" t="s">
        <v>378</v>
      </c>
      <c r="C912" s="658">
        <v>2016</v>
      </c>
      <c r="D912" s="513">
        <v>1234917.0284605799</v>
      </c>
      <c r="E912" s="513">
        <v>96864.763406843384</v>
      </c>
      <c r="F912" s="513">
        <v>96864.763406843384</v>
      </c>
      <c r="G912" s="660">
        <v>0</v>
      </c>
      <c r="H912" s="660">
        <v>0</v>
      </c>
      <c r="I912" s="659" t="s">
        <v>103</v>
      </c>
      <c r="J912" s="513">
        <v>0</v>
      </c>
      <c r="K912" s="513">
        <v>0</v>
      </c>
      <c r="L912" s="513">
        <v>0</v>
      </c>
      <c r="M912" s="513">
        <v>1331781.7918674233</v>
      </c>
      <c r="N912" s="622"/>
    </row>
    <row r="913" spans="2:14">
      <c r="B913" s="513" t="s">
        <v>378</v>
      </c>
      <c r="C913" s="658">
        <v>2017</v>
      </c>
      <c r="D913" s="513">
        <v>1331781.7918674229</v>
      </c>
      <c r="E913" s="513">
        <v>89447.377065206732</v>
      </c>
      <c r="F913" s="513">
        <v>89447.377065206732</v>
      </c>
      <c r="G913" s="513">
        <v>0</v>
      </c>
      <c r="H913" s="513">
        <v>0</v>
      </c>
      <c r="I913" s="659" t="s">
        <v>103</v>
      </c>
      <c r="J913" s="513">
        <v>29162.559999999998</v>
      </c>
      <c r="K913" s="513">
        <v>0</v>
      </c>
      <c r="L913" s="513">
        <v>0</v>
      </c>
      <c r="M913" s="513">
        <v>1392066.6089326295</v>
      </c>
      <c r="N913" s="622"/>
    </row>
    <row r="914" spans="2:14">
      <c r="B914" s="513" t="s">
        <v>378</v>
      </c>
      <c r="C914" s="889">
        <v>2018</v>
      </c>
      <c r="D914" s="513">
        <v>1392066.6089326295</v>
      </c>
      <c r="E914" s="513">
        <f>VLOOKUP(B914,'[6]2018 allocation'!$A$11:$B$218,2, FALSE)</f>
        <v>95792.491964629327</v>
      </c>
      <c r="F914" s="513">
        <f>E914</f>
        <v>95792.491964629327</v>
      </c>
      <c r="G914" s="513">
        <v>0</v>
      </c>
      <c r="H914" s="513">
        <v>0</v>
      </c>
      <c r="I914" s="622" t="s">
        <v>103</v>
      </c>
      <c r="J914" s="513">
        <f>VLOOKUP(B914,'[6]Annual Spending Worksheet '!$C$6:$AG$250,28,FALSE)</f>
        <v>15777.49</v>
      </c>
      <c r="K914" s="513">
        <f>VLOOKUP(B914,'[6]Annual Spending Worksheet '!$C$6:$AG$250,29,FALSE)</f>
        <v>0</v>
      </c>
      <c r="L914" s="513">
        <v>0</v>
      </c>
      <c r="M914" s="513">
        <f>D914+E914+H914-J914</f>
        <v>1472081.6108972589</v>
      </c>
      <c r="N914" s="513"/>
    </row>
    <row r="915" spans="2:14">
      <c r="B915" s="513" t="s">
        <v>378</v>
      </c>
      <c r="C915" s="889">
        <v>2019</v>
      </c>
      <c r="D915" s="513">
        <v>1472081.6108972589</v>
      </c>
      <c r="E915" s="513">
        <v>102457.03227593911</v>
      </c>
      <c r="F915" s="513">
        <v>102457.03227593911</v>
      </c>
      <c r="G915" s="513">
        <v>0</v>
      </c>
      <c r="H915" s="513">
        <v>0</v>
      </c>
      <c r="I915" s="622" t="s">
        <v>103</v>
      </c>
      <c r="J915" s="513">
        <v>17261.61</v>
      </c>
      <c r="K915" s="513">
        <v>0</v>
      </c>
      <c r="L915" s="513">
        <v>0</v>
      </c>
      <c r="M915" s="513">
        <v>1557277.0331731979</v>
      </c>
      <c r="N915" s="513"/>
    </row>
    <row r="916" spans="2:14" ht="29.1">
      <c r="B916" s="513" t="s">
        <v>384</v>
      </c>
      <c r="C916" s="658">
        <v>2008</v>
      </c>
      <c r="D916" s="513">
        <v>-619360.34500000067</v>
      </c>
      <c r="E916" s="512">
        <v>408649.62723569764</v>
      </c>
      <c r="F916" s="513">
        <v>408649.62723569764</v>
      </c>
      <c r="G916" s="512">
        <v>-210710.71776430303</v>
      </c>
      <c r="H916" s="512">
        <v>0</v>
      </c>
      <c r="I916" s="659" t="s">
        <v>103</v>
      </c>
      <c r="J916" s="513">
        <v>0</v>
      </c>
      <c r="K916" s="513">
        <v>0</v>
      </c>
      <c r="L916" s="513">
        <v>0</v>
      </c>
      <c r="M916" s="513">
        <v>-210710.71776430303</v>
      </c>
      <c r="N916" s="622" t="s">
        <v>1711</v>
      </c>
    </row>
    <row r="917" spans="2:14">
      <c r="B917" s="513" t="s">
        <v>384</v>
      </c>
      <c r="C917" s="658">
        <v>2009</v>
      </c>
      <c r="D917" s="513">
        <v>-210710.71776430309</v>
      </c>
      <c r="E917" s="512">
        <v>338320.89955290849</v>
      </c>
      <c r="F917" s="513">
        <v>338320.89955290849</v>
      </c>
      <c r="G917" s="512">
        <v>0</v>
      </c>
      <c r="H917" s="512">
        <v>0</v>
      </c>
      <c r="I917" s="659" t="s">
        <v>103</v>
      </c>
      <c r="J917" s="513">
        <v>0</v>
      </c>
      <c r="K917" s="513">
        <v>0</v>
      </c>
      <c r="L917" s="513">
        <v>0</v>
      </c>
      <c r="M917" s="513">
        <v>127610.18178860541</v>
      </c>
      <c r="N917" s="622"/>
    </row>
    <row r="918" spans="2:14">
      <c r="B918" s="513" t="s">
        <v>384</v>
      </c>
      <c r="C918" s="658">
        <v>2010</v>
      </c>
      <c r="D918" s="513">
        <v>127610.18178860471</v>
      </c>
      <c r="E918" s="512">
        <v>337852.92</v>
      </c>
      <c r="F918" s="513">
        <v>337852.92</v>
      </c>
      <c r="G918" s="512">
        <v>0</v>
      </c>
      <c r="H918" s="512">
        <v>0</v>
      </c>
      <c r="I918" s="659" t="s">
        <v>103</v>
      </c>
      <c r="J918" s="513">
        <v>0</v>
      </c>
      <c r="K918" s="513">
        <v>0</v>
      </c>
      <c r="L918" s="513">
        <v>0</v>
      </c>
      <c r="M918" s="513">
        <v>465463.10178860469</v>
      </c>
      <c r="N918" s="622"/>
    </row>
    <row r="919" spans="2:14">
      <c r="B919" s="513" t="s">
        <v>384</v>
      </c>
      <c r="C919" s="658">
        <v>2011</v>
      </c>
      <c r="D919" s="513">
        <v>465463.105301423</v>
      </c>
      <c r="E919" s="512">
        <v>343027.24270724301</v>
      </c>
      <c r="F919" s="513">
        <v>343027.24270724301</v>
      </c>
      <c r="G919" s="512">
        <v>0</v>
      </c>
      <c r="H919" s="512">
        <v>0</v>
      </c>
      <c r="I919" s="659" t="s">
        <v>103</v>
      </c>
      <c r="J919" s="513">
        <v>0</v>
      </c>
      <c r="K919" s="513">
        <v>0</v>
      </c>
      <c r="L919" s="513">
        <v>0</v>
      </c>
      <c r="M919" s="513">
        <v>808490.34800866595</v>
      </c>
      <c r="N919" s="622"/>
    </row>
    <row r="920" spans="2:14">
      <c r="B920" s="513" t="s">
        <v>384</v>
      </c>
      <c r="C920" s="658">
        <v>2012</v>
      </c>
      <c r="D920" s="513">
        <v>808490.34800866619</v>
      </c>
      <c r="E920" s="513">
        <v>259191.04423125921</v>
      </c>
      <c r="F920" s="513">
        <v>259191.04423125921</v>
      </c>
      <c r="G920" s="512">
        <v>0</v>
      </c>
      <c r="H920" s="512">
        <v>0</v>
      </c>
      <c r="I920" s="659" t="s">
        <v>103</v>
      </c>
      <c r="J920" s="513">
        <v>0</v>
      </c>
      <c r="K920" s="513">
        <v>0</v>
      </c>
      <c r="L920" s="513">
        <v>0</v>
      </c>
      <c r="M920" s="513">
        <v>1067681.3922399255</v>
      </c>
      <c r="N920" s="622"/>
    </row>
    <row r="921" spans="2:14">
      <c r="B921" s="513" t="s">
        <v>384</v>
      </c>
      <c r="C921" s="658">
        <v>2013</v>
      </c>
      <c r="D921" s="513">
        <v>1067681.3922399245</v>
      </c>
      <c r="E921" s="513">
        <v>374963.60041986895</v>
      </c>
      <c r="F921" s="513">
        <v>374963.60041986895</v>
      </c>
      <c r="G921" s="512">
        <v>0</v>
      </c>
      <c r="H921" s="512">
        <v>0</v>
      </c>
      <c r="I921" s="659" t="s">
        <v>103</v>
      </c>
      <c r="J921" s="513">
        <v>0</v>
      </c>
      <c r="K921" s="513">
        <v>0</v>
      </c>
      <c r="L921" s="513">
        <v>0</v>
      </c>
      <c r="M921" s="513">
        <v>1442644.9926597935</v>
      </c>
      <c r="N921" s="622"/>
    </row>
    <row r="922" spans="2:14">
      <c r="B922" s="513" t="s">
        <v>384</v>
      </c>
      <c r="C922" s="658">
        <v>2014</v>
      </c>
      <c r="D922" s="513">
        <v>1442644.9926597942</v>
      </c>
      <c r="E922" s="513">
        <v>388444.93831846397</v>
      </c>
      <c r="F922" s="513">
        <v>388444.93831846397</v>
      </c>
      <c r="G922" s="512">
        <v>0</v>
      </c>
      <c r="H922" s="512">
        <v>0</v>
      </c>
      <c r="I922" s="659" t="s">
        <v>103</v>
      </c>
      <c r="J922" s="513">
        <v>48244.78000000005</v>
      </c>
      <c r="K922" s="513">
        <v>0</v>
      </c>
      <c r="L922" s="513">
        <v>0</v>
      </c>
      <c r="M922" s="513">
        <v>1782845.1509782581</v>
      </c>
      <c r="N922" s="622"/>
    </row>
    <row r="923" spans="2:14">
      <c r="B923" s="513" t="s">
        <v>384</v>
      </c>
      <c r="C923" s="658">
        <v>2015</v>
      </c>
      <c r="D923" s="513">
        <v>1782845.1509782579</v>
      </c>
      <c r="E923" s="513">
        <v>393903.94309181679</v>
      </c>
      <c r="F923" s="513">
        <v>393903.94309181679</v>
      </c>
      <c r="G923" s="660">
        <v>0</v>
      </c>
      <c r="H923" s="660">
        <v>0</v>
      </c>
      <c r="I923" s="659" t="s">
        <v>103</v>
      </c>
      <c r="J923" s="513">
        <v>4911.3099999999995</v>
      </c>
      <c r="K923" s="513">
        <v>0</v>
      </c>
      <c r="L923" s="513">
        <v>0</v>
      </c>
      <c r="M923" s="513">
        <v>2171837.7840700746</v>
      </c>
      <c r="N923" s="622"/>
    </row>
    <row r="924" spans="2:14">
      <c r="B924" s="513" t="s">
        <v>384</v>
      </c>
      <c r="C924" s="658">
        <v>2016</v>
      </c>
      <c r="D924" s="513">
        <v>2171837.7840700746</v>
      </c>
      <c r="E924" s="513">
        <v>293732.41532028303</v>
      </c>
      <c r="F924" s="513">
        <v>293732.41532028303</v>
      </c>
      <c r="G924" s="660">
        <v>0</v>
      </c>
      <c r="H924" s="660">
        <v>0</v>
      </c>
      <c r="I924" s="659" t="s">
        <v>103</v>
      </c>
      <c r="J924" s="513">
        <v>17103.89</v>
      </c>
      <c r="K924" s="513">
        <v>0</v>
      </c>
      <c r="L924" s="513">
        <v>0</v>
      </c>
      <c r="M924" s="513">
        <v>2448466.3093903572</v>
      </c>
      <c r="N924" s="622"/>
    </row>
    <row r="925" spans="2:14">
      <c r="B925" s="513" t="s">
        <v>384</v>
      </c>
      <c r="C925" s="658">
        <v>2017</v>
      </c>
      <c r="D925" s="513">
        <v>2448466.3093903568</v>
      </c>
      <c r="E925" s="513">
        <v>274376.60349062469</v>
      </c>
      <c r="F925" s="513">
        <v>274376.60349062469</v>
      </c>
      <c r="G925" s="513">
        <v>0</v>
      </c>
      <c r="H925" s="513">
        <v>0</v>
      </c>
      <c r="I925" s="659" t="s">
        <v>103</v>
      </c>
      <c r="J925" s="513">
        <v>6121.6</v>
      </c>
      <c r="K925" s="513">
        <v>0</v>
      </c>
      <c r="L925" s="513">
        <v>0</v>
      </c>
      <c r="M925" s="513">
        <v>2716721.3128809812</v>
      </c>
      <c r="N925" s="622"/>
    </row>
    <row r="926" spans="2:14">
      <c r="B926" s="513" t="s">
        <v>384</v>
      </c>
      <c r="C926" s="889">
        <v>2018</v>
      </c>
      <c r="D926" s="513">
        <v>2716721.3128809812</v>
      </c>
      <c r="E926" s="513">
        <f>VLOOKUP(B926,'[6]2018 allocation'!$A$11:$B$218,2, FALSE)</f>
        <v>291121.02734348434</v>
      </c>
      <c r="F926" s="513">
        <f>E926</f>
        <v>291121.02734348434</v>
      </c>
      <c r="G926" s="513">
        <v>0</v>
      </c>
      <c r="H926" s="513">
        <v>0</v>
      </c>
      <c r="I926" s="622" t="s">
        <v>103</v>
      </c>
      <c r="J926" s="513">
        <f>VLOOKUP(B926,'[6]Annual Spending Worksheet '!$C$6:$AG$250,28,FALSE)</f>
        <v>80138.22</v>
      </c>
      <c r="K926" s="513">
        <f>VLOOKUP(B926,'[6]Annual Spending Worksheet '!$C$6:$AG$250,29,FALSE)</f>
        <v>0</v>
      </c>
      <c r="L926" s="513">
        <v>0</v>
      </c>
      <c r="M926" s="513">
        <f>D926+E926+H926-J926</f>
        <v>2927704.1202244652</v>
      </c>
      <c r="N926" s="513"/>
    </row>
    <row r="927" spans="2:14">
      <c r="B927" s="513" t="s">
        <v>384</v>
      </c>
      <c r="C927" s="889">
        <v>2019</v>
      </c>
      <c r="D927" s="513">
        <v>2927704.1202244652</v>
      </c>
      <c r="E927" s="513">
        <v>308760.60002059274</v>
      </c>
      <c r="F927" s="513">
        <v>308760.60002059274</v>
      </c>
      <c r="G927" s="513">
        <v>0</v>
      </c>
      <c r="H927" s="513">
        <v>0</v>
      </c>
      <c r="I927" s="622" t="s">
        <v>103</v>
      </c>
      <c r="J927" s="513">
        <v>102822.53</v>
      </c>
      <c r="K927" s="513">
        <v>0</v>
      </c>
      <c r="L927" s="513">
        <v>0</v>
      </c>
      <c r="M927" s="513">
        <v>3133642.1902450579</v>
      </c>
      <c r="N927" s="513"/>
    </row>
    <row r="928" spans="2:14" ht="29.1">
      <c r="B928" s="513" t="s">
        <v>388</v>
      </c>
      <c r="C928" s="658">
        <v>2008</v>
      </c>
      <c r="D928" s="513">
        <v>-19035.119000000006</v>
      </c>
      <c r="E928" s="512">
        <v>9116.1139344810836</v>
      </c>
      <c r="F928" s="513">
        <v>9116.1139344810836</v>
      </c>
      <c r="G928" s="512">
        <v>-9919.0050655189225</v>
      </c>
      <c r="H928" s="512">
        <v>0</v>
      </c>
      <c r="I928" s="659" t="s">
        <v>103</v>
      </c>
      <c r="J928" s="513">
        <v>0</v>
      </c>
      <c r="K928" s="513">
        <v>0</v>
      </c>
      <c r="L928" s="513">
        <v>0</v>
      </c>
      <c r="M928" s="513">
        <v>-9919.0050655189225</v>
      </c>
      <c r="N928" s="622" t="s">
        <v>1711</v>
      </c>
    </row>
    <row r="929" spans="2:14" ht="29.1">
      <c r="B929" s="513" t="s">
        <v>388</v>
      </c>
      <c r="C929" s="658">
        <v>2009</v>
      </c>
      <c r="D929" s="513">
        <v>-9919.005065518897</v>
      </c>
      <c r="E929" s="512">
        <v>7540.9757236155365</v>
      </c>
      <c r="F929" s="513">
        <v>7540.9757236155365</v>
      </c>
      <c r="G929" s="512">
        <v>-2378.0293419033605</v>
      </c>
      <c r="H929" s="512">
        <v>0</v>
      </c>
      <c r="I929" s="659" t="s">
        <v>103</v>
      </c>
      <c r="J929" s="513">
        <v>0</v>
      </c>
      <c r="K929" s="513">
        <v>0</v>
      </c>
      <c r="L929" s="513">
        <v>0</v>
      </c>
      <c r="M929" s="513">
        <v>-2378.0293419033605</v>
      </c>
      <c r="N929" s="622" t="s">
        <v>1711</v>
      </c>
    </row>
    <row r="930" spans="2:14">
      <c r="B930" s="513" t="s">
        <v>388</v>
      </c>
      <c r="C930" s="658">
        <v>2010</v>
      </c>
      <c r="D930" s="513">
        <v>-2378.0293419033405</v>
      </c>
      <c r="E930" s="512">
        <v>7537.27</v>
      </c>
      <c r="F930" s="513">
        <v>7537.27</v>
      </c>
      <c r="G930" s="512">
        <v>0</v>
      </c>
      <c r="H930" s="512">
        <v>0</v>
      </c>
      <c r="I930" s="659" t="s">
        <v>103</v>
      </c>
      <c r="J930" s="513">
        <v>0</v>
      </c>
      <c r="K930" s="513">
        <v>0</v>
      </c>
      <c r="L930" s="513">
        <v>0</v>
      </c>
      <c r="M930" s="513">
        <v>5159.2406580966599</v>
      </c>
      <c r="N930" s="622"/>
    </row>
    <row r="931" spans="2:14">
      <c r="B931" s="513" t="s">
        <v>388</v>
      </c>
      <c r="C931" s="658">
        <v>2011</v>
      </c>
      <c r="D931" s="513">
        <v>5159.2410813215538</v>
      </c>
      <c r="E931" s="512">
        <v>7652.8120332986327</v>
      </c>
      <c r="F931" s="513">
        <v>7652.8120332986327</v>
      </c>
      <c r="G931" s="512">
        <v>0</v>
      </c>
      <c r="H931" s="512">
        <v>0</v>
      </c>
      <c r="I931" s="659" t="s">
        <v>103</v>
      </c>
      <c r="J931" s="513">
        <v>0</v>
      </c>
      <c r="K931" s="513">
        <v>0</v>
      </c>
      <c r="L931" s="513">
        <v>0</v>
      </c>
      <c r="M931" s="513">
        <v>12812.053114620187</v>
      </c>
      <c r="N931" s="622"/>
    </row>
    <row r="932" spans="2:14">
      <c r="B932" s="513" t="s">
        <v>388</v>
      </c>
      <c r="C932" s="658">
        <v>2012</v>
      </c>
      <c r="D932" s="513">
        <v>12812.053114620212</v>
      </c>
      <c r="E932" s="513">
        <v>5893.4161628505863</v>
      </c>
      <c r="F932" s="513">
        <v>5893.4161628505863</v>
      </c>
      <c r="G932" s="512">
        <v>0</v>
      </c>
      <c r="H932" s="512">
        <v>0</v>
      </c>
      <c r="I932" s="659" t="s">
        <v>103</v>
      </c>
      <c r="J932" s="513">
        <v>0</v>
      </c>
      <c r="K932" s="513">
        <v>0</v>
      </c>
      <c r="L932" s="513">
        <v>0</v>
      </c>
      <c r="M932" s="513">
        <v>18705.469277470798</v>
      </c>
      <c r="N932" s="622"/>
    </row>
    <row r="933" spans="2:14">
      <c r="B933" s="513" t="s">
        <v>388</v>
      </c>
      <c r="C933" s="658">
        <v>2013</v>
      </c>
      <c r="D933" s="513">
        <v>18705.46927747078</v>
      </c>
      <c r="E933" s="513">
        <v>8326.8987467975439</v>
      </c>
      <c r="F933" s="513">
        <v>8326.8987467975439</v>
      </c>
      <c r="G933" s="512">
        <v>0</v>
      </c>
      <c r="H933" s="512">
        <v>0</v>
      </c>
      <c r="I933" s="659" t="s">
        <v>103</v>
      </c>
      <c r="J933" s="513">
        <v>0</v>
      </c>
      <c r="K933" s="513">
        <v>0</v>
      </c>
      <c r="L933" s="513">
        <v>0</v>
      </c>
      <c r="M933" s="513">
        <v>27032.368024268326</v>
      </c>
      <c r="N933" s="622"/>
    </row>
    <row r="934" spans="2:14">
      <c r="B934" s="513" t="s">
        <v>388</v>
      </c>
      <c r="C934" s="658">
        <v>2014</v>
      </c>
      <c r="D934" s="513">
        <v>27032.368024268304</v>
      </c>
      <c r="E934" s="513">
        <v>8595.4783730937252</v>
      </c>
      <c r="F934" s="513">
        <v>8595.4783730937252</v>
      </c>
      <c r="G934" s="512">
        <v>0</v>
      </c>
      <c r="H934" s="512">
        <v>0</v>
      </c>
      <c r="I934" s="659" t="s">
        <v>103</v>
      </c>
      <c r="J934" s="513">
        <v>0</v>
      </c>
      <c r="K934" s="513">
        <v>0</v>
      </c>
      <c r="L934" s="513">
        <v>0</v>
      </c>
      <c r="M934" s="513">
        <v>35627.846397362031</v>
      </c>
      <c r="N934" s="622"/>
    </row>
    <row r="935" spans="2:14">
      <c r="B935" s="513" t="s">
        <v>388</v>
      </c>
      <c r="C935" s="658">
        <v>2015</v>
      </c>
      <c r="D935" s="513">
        <v>35627.846397362009</v>
      </c>
      <c r="E935" s="513">
        <v>8698.8685884361075</v>
      </c>
      <c r="F935" s="513">
        <v>8698.8685884361075</v>
      </c>
      <c r="G935" s="660">
        <v>0</v>
      </c>
      <c r="H935" s="660">
        <v>0</v>
      </c>
      <c r="I935" s="659" t="s">
        <v>103</v>
      </c>
      <c r="J935" s="513">
        <v>0</v>
      </c>
      <c r="K935" s="513">
        <v>0</v>
      </c>
      <c r="L935" s="513">
        <v>0</v>
      </c>
      <c r="M935" s="513">
        <v>44326.714985798113</v>
      </c>
      <c r="N935" s="622"/>
    </row>
    <row r="936" spans="2:14">
      <c r="B936" s="513" t="s">
        <v>388</v>
      </c>
      <c r="C936" s="658">
        <v>2016</v>
      </c>
      <c r="D936" s="513">
        <v>44326.714985798113</v>
      </c>
      <c r="E936" s="513">
        <v>6695.7594169188287</v>
      </c>
      <c r="F936" s="513">
        <v>6695.7594169188287</v>
      </c>
      <c r="G936" s="660">
        <v>0</v>
      </c>
      <c r="H936" s="660">
        <v>0</v>
      </c>
      <c r="I936" s="659" t="s">
        <v>103</v>
      </c>
      <c r="J936" s="513">
        <v>0</v>
      </c>
      <c r="K936" s="513">
        <v>0</v>
      </c>
      <c r="L936" s="513">
        <v>0</v>
      </c>
      <c r="M936" s="513">
        <v>51022.474402716944</v>
      </c>
      <c r="N936" s="622"/>
    </row>
    <row r="937" spans="2:14">
      <c r="B937" s="513" t="s">
        <v>388</v>
      </c>
      <c r="C937" s="658">
        <v>2017</v>
      </c>
      <c r="D937" s="513">
        <v>51022.474402716965</v>
      </c>
      <c r="E937" s="513">
        <v>6318.2712179022692</v>
      </c>
      <c r="F937" s="513">
        <v>6318.2712179022692</v>
      </c>
      <c r="G937" s="513">
        <v>0</v>
      </c>
      <c r="H937" s="513">
        <v>0</v>
      </c>
      <c r="I937" s="659" t="s">
        <v>103</v>
      </c>
      <c r="J937" s="513">
        <v>0</v>
      </c>
      <c r="K937" s="513">
        <v>0</v>
      </c>
      <c r="L937" s="513">
        <v>0</v>
      </c>
      <c r="M937" s="513">
        <v>57340.745620619236</v>
      </c>
      <c r="N937" s="622"/>
    </row>
    <row r="938" spans="2:14">
      <c r="B938" s="513" t="s">
        <v>388</v>
      </c>
      <c r="C938" s="889">
        <v>2018</v>
      </c>
      <c r="D938" s="513">
        <v>57340.745620619236</v>
      </c>
      <c r="E938" s="513">
        <f>VLOOKUP(B938,'[6]2018 allocation'!$A$11:$B$218,2, FALSE)</f>
        <v>6651.4094750515223</v>
      </c>
      <c r="F938" s="513">
        <f>E938</f>
        <v>6651.4094750515223</v>
      </c>
      <c r="G938" s="513">
        <v>0</v>
      </c>
      <c r="H938" s="513">
        <v>0</v>
      </c>
      <c r="I938" s="622" t="s">
        <v>103</v>
      </c>
      <c r="J938" s="513">
        <f>VLOOKUP(B938,'[6]Annual Spending Worksheet '!$C$6:$AG$250,28,FALSE)</f>
        <v>0</v>
      </c>
      <c r="K938" s="513">
        <f>VLOOKUP(B938,'[6]Annual Spending Worksheet '!$C$6:$AG$250,29,FALSE)</f>
        <v>0</v>
      </c>
      <c r="L938" s="513">
        <v>0</v>
      </c>
      <c r="M938" s="513">
        <f>D938+E938+H938-J938</f>
        <v>63992.155095670758</v>
      </c>
      <c r="N938" s="513"/>
    </row>
    <row r="939" spans="2:14">
      <c r="B939" s="513" t="s">
        <v>388</v>
      </c>
      <c r="C939" s="889">
        <v>2019</v>
      </c>
      <c r="D939" s="513">
        <v>63992.155095670758</v>
      </c>
      <c r="E939" s="513">
        <v>6977.151616812982</v>
      </c>
      <c r="F939" s="513">
        <v>6977.151616812982</v>
      </c>
      <c r="G939" s="513">
        <v>0</v>
      </c>
      <c r="H939" s="513">
        <v>0</v>
      </c>
      <c r="I939" s="622" t="s">
        <v>103</v>
      </c>
      <c r="J939" s="513">
        <v>0</v>
      </c>
      <c r="K939" s="513">
        <v>0</v>
      </c>
      <c r="L939" s="513">
        <v>0</v>
      </c>
      <c r="M939" s="513">
        <v>70969.30671248374</v>
      </c>
      <c r="N939" s="513"/>
    </row>
    <row r="940" spans="2:14">
      <c r="B940" s="513" t="s">
        <v>389</v>
      </c>
      <c r="C940" s="658">
        <v>2008</v>
      </c>
      <c r="D940" s="513">
        <v>1205628.128</v>
      </c>
      <c r="E940" s="512">
        <v>30113.986852847996</v>
      </c>
      <c r="F940" s="513">
        <v>30113.986852847996</v>
      </c>
      <c r="G940" s="513">
        <v>0</v>
      </c>
      <c r="H940" s="512">
        <v>0</v>
      </c>
      <c r="I940" s="659" t="s">
        <v>103</v>
      </c>
      <c r="J940" s="513">
        <v>17150.089999999997</v>
      </c>
      <c r="K940" s="513">
        <v>0</v>
      </c>
      <c r="L940" s="513">
        <v>0</v>
      </c>
      <c r="M940" s="513">
        <v>1218592.0248528479</v>
      </c>
      <c r="N940" s="622"/>
    </row>
    <row r="941" spans="2:14">
      <c r="B941" s="513" t="s">
        <v>389</v>
      </c>
      <c r="C941" s="658">
        <v>2009</v>
      </c>
      <c r="D941" s="513">
        <v>1218592.0248528479</v>
      </c>
      <c r="E941" s="512">
        <v>24442.405396021848</v>
      </c>
      <c r="F941" s="513">
        <v>24442.405396021848</v>
      </c>
      <c r="G941" s="512">
        <v>0</v>
      </c>
      <c r="H941" s="512">
        <v>0</v>
      </c>
      <c r="I941" s="659" t="s">
        <v>103</v>
      </c>
      <c r="J941" s="513">
        <v>43745.549999999981</v>
      </c>
      <c r="K941" s="513">
        <v>0</v>
      </c>
      <c r="L941" s="513">
        <v>0</v>
      </c>
      <c r="M941" s="513">
        <v>1199288.8802488698</v>
      </c>
      <c r="N941" s="622"/>
    </row>
    <row r="942" spans="2:14">
      <c r="B942" s="513" t="s">
        <v>389</v>
      </c>
      <c r="C942" s="658">
        <v>2010</v>
      </c>
      <c r="D942" s="513">
        <v>1199288.8802488702</v>
      </c>
      <c r="E942" s="512">
        <v>24401.8</v>
      </c>
      <c r="F942" s="513">
        <v>24401.8</v>
      </c>
      <c r="G942" s="512">
        <v>0</v>
      </c>
      <c r="H942" s="512">
        <v>0</v>
      </c>
      <c r="I942" s="659" t="s">
        <v>103</v>
      </c>
      <c r="J942" s="513">
        <v>107996.58</v>
      </c>
      <c r="K942" s="513">
        <v>0</v>
      </c>
      <c r="L942" s="513">
        <v>0</v>
      </c>
      <c r="M942" s="513">
        <v>1115694.1002488702</v>
      </c>
      <c r="N942" s="622"/>
    </row>
    <row r="943" spans="2:14">
      <c r="B943" s="513" t="s">
        <v>389</v>
      </c>
      <c r="C943" s="658">
        <v>2011</v>
      </c>
      <c r="D943" s="513">
        <v>1115694.099796467</v>
      </c>
      <c r="E943" s="512">
        <v>24822.485468933253</v>
      </c>
      <c r="F943" s="513">
        <v>24822.485468933253</v>
      </c>
      <c r="G943" s="512">
        <v>0</v>
      </c>
      <c r="H943" s="512">
        <v>0</v>
      </c>
      <c r="I943" s="659" t="s">
        <v>103</v>
      </c>
      <c r="J943" s="513">
        <v>92565.430000000051</v>
      </c>
      <c r="K943" s="513">
        <v>0</v>
      </c>
      <c r="L943" s="513">
        <v>0</v>
      </c>
      <c r="M943" s="513">
        <v>1047951.1552654003</v>
      </c>
      <c r="N943" s="622"/>
    </row>
    <row r="944" spans="2:14">
      <c r="B944" s="513" t="s">
        <v>389</v>
      </c>
      <c r="C944" s="658">
        <v>2012</v>
      </c>
      <c r="D944" s="513">
        <v>1047951.1552654</v>
      </c>
      <c r="E944" s="513">
        <v>18117.823463299086</v>
      </c>
      <c r="F944" s="513">
        <v>18117.823463299086</v>
      </c>
      <c r="G944" s="512">
        <v>0</v>
      </c>
      <c r="H944" s="512">
        <v>0</v>
      </c>
      <c r="I944" s="659" t="s">
        <v>103</v>
      </c>
      <c r="J944" s="513">
        <v>43570.239999999954</v>
      </c>
      <c r="K944" s="513">
        <v>0</v>
      </c>
      <c r="L944" s="513">
        <v>0</v>
      </c>
      <c r="M944" s="513">
        <v>1022498.738728699</v>
      </c>
      <c r="N944" s="622"/>
    </row>
    <row r="945" spans="2:14">
      <c r="B945" s="513" t="s">
        <v>389</v>
      </c>
      <c r="C945" s="658">
        <v>2013</v>
      </c>
      <c r="D945" s="513">
        <v>1022498.7387286992</v>
      </c>
      <c r="E945" s="513">
        <v>27383.524368190054</v>
      </c>
      <c r="F945" s="513">
        <v>27383.524368190054</v>
      </c>
      <c r="G945" s="512">
        <v>0</v>
      </c>
      <c r="H945" s="512">
        <v>0</v>
      </c>
      <c r="I945" s="659" t="s">
        <v>103</v>
      </c>
      <c r="J945" s="513">
        <v>48396.579999999965</v>
      </c>
      <c r="K945" s="513">
        <v>0</v>
      </c>
      <c r="L945" s="513">
        <v>0</v>
      </c>
      <c r="M945" s="513">
        <v>1001485.6830968893</v>
      </c>
      <c r="N945" s="622"/>
    </row>
    <row r="946" spans="2:14">
      <c r="B946" s="513" t="s">
        <v>389</v>
      </c>
      <c r="C946" s="658">
        <v>2014</v>
      </c>
      <c r="D946" s="513">
        <v>1001485.6830968893</v>
      </c>
      <c r="E946" s="513">
        <v>28464.65397189806</v>
      </c>
      <c r="F946" s="513">
        <v>28464.65397189806</v>
      </c>
      <c r="G946" s="512">
        <v>0</v>
      </c>
      <c r="H946" s="512">
        <v>0</v>
      </c>
      <c r="I946" s="659" t="s">
        <v>103</v>
      </c>
      <c r="J946" s="513">
        <v>393034.64999999979</v>
      </c>
      <c r="K946" s="513">
        <v>0</v>
      </c>
      <c r="L946" s="513">
        <v>0</v>
      </c>
      <c r="M946" s="513">
        <v>636915.68706878752</v>
      </c>
      <c r="N946" s="622"/>
    </row>
    <row r="947" spans="2:14" ht="29.1">
      <c r="B947" s="513" t="s">
        <v>389</v>
      </c>
      <c r="C947" s="658">
        <v>2015</v>
      </c>
      <c r="D947" s="513">
        <v>636915.6870687874</v>
      </c>
      <c r="E947" s="513">
        <v>28901.25620322374</v>
      </c>
      <c r="F947" s="513">
        <v>28901.25620322374</v>
      </c>
      <c r="G947" s="660">
        <v>0</v>
      </c>
      <c r="H947" s="660">
        <v>0</v>
      </c>
      <c r="I947" s="659" t="s">
        <v>103</v>
      </c>
      <c r="J947" s="513">
        <v>851866.53</v>
      </c>
      <c r="K947" s="513">
        <v>1714981</v>
      </c>
      <c r="L947" s="513">
        <v>0</v>
      </c>
      <c r="M947" s="513">
        <v>-186049.58672798891</v>
      </c>
      <c r="N947" s="622" t="s">
        <v>1717</v>
      </c>
    </row>
    <row r="948" spans="2:14">
      <c r="B948" s="513" t="s">
        <v>389</v>
      </c>
      <c r="C948" s="658">
        <v>2016</v>
      </c>
      <c r="D948" s="513">
        <v>-186049.58672798891</v>
      </c>
      <c r="E948" s="513">
        <v>20883.323174641893</v>
      </c>
      <c r="F948" s="513">
        <v>20883.323174641893</v>
      </c>
      <c r="G948" s="660">
        <v>-165166.263553347</v>
      </c>
      <c r="H948" s="660">
        <v>0</v>
      </c>
      <c r="I948" s="659" t="s">
        <v>103</v>
      </c>
      <c r="J948" s="513">
        <v>6249.5599999999986</v>
      </c>
      <c r="K948" s="513">
        <v>0</v>
      </c>
      <c r="L948" s="513">
        <v>-259741.74</v>
      </c>
      <c r="M948" s="513">
        <v>88325.916446652991</v>
      </c>
      <c r="N948" s="622"/>
    </row>
    <row r="949" spans="2:14" ht="29.1">
      <c r="B949" s="513" t="s">
        <v>389</v>
      </c>
      <c r="C949" s="658">
        <v>2017</v>
      </c>
      <c r="D949" s="513">
        <v>88325.916446652729</v>
      </c>
      <c r="E949" s="513">
        <v>19357.20038424943</v>
      </c>
      <c r="F949" s="513">
        <v>19357.20038424943</v>
      </c>
      <c r="G949" s="513">
        <v>0</v>
      </c>
      <c r="H949" s="513">
        <v>0</v>
      </c>
      <c r="I949" s="659" t="s">
        <v>103</v>
      </c>
      <c r="J949" s="513">
        <v>0</v>
      </c>
      <c r="K949" s="513">
        <v>0</v>
      </c>
      <c r="L949" s="513">
        <v>165372.98000000001</v>
      </c>
      <c r="M949" s="513">
        <v>-57689.863169097851</v>
      </c>
      <c r="N949" s="622" t="s">
        <v>1717</v>
      </c>
    </row>
    <row r="950" spans="2:14">
      <c r="B950" s="513" t="s">
        <v>389</v>
      </c>
      <c r="C950" s="889">
        <v>2018</v>
      </c>
      <c r="D950" s="513">
        <v>-57689.863169097851</v>
      </c>
      <c r="E950" s="513">
        <f>VLOOKUP(B950,'[6]2018 allocation'!$A$11:$B$218,2, FALSE)</f>
        <v>20680.005394523731</v>
      </c>
      <c r="F950" s="513">
        <f>E950</f>
        <v>20680.005394523731</v>
      </c>
      <c r="G950" s="513">
        <f>D950+E950</f>
        <v>-37009.85777457412</v>
      </c>
      <c r="H950" s="513">
        <v>1125491</v>
      </c>
      <c r="I950" s="622" t="s">
        <v>1731</v>
      </c>
      <c r="J950" s="513">
        <f>VLOOKUP(B950,'[6]Annual Spending Worksheet '!$C$6:$AG$250,28,FALSE)</f>
        <v>0</v>
      </c>
      <c r="K950" s="513">
        <f>VLOOKUP(B950,'[6]Annual Spending Worksheet '!$C$6:$AG$250,29,FALSE)</f>
        <v>0</v>
      </c>
      <c r="L950" s="513">
        <v>0</v>
      </c>
      <c r="M950" s="513">
        <f>D950+E950+H950-J950</f>
        <v>1088481.1422254259</v>
      </c>
      <c r="N950" s="513"/>
    </row>
    <row r="951" spans="2:14">
      <c r="B951" s="513" t="s">
        <v>389</v>
      </c>
      <c r="C951" s="889">
        <v>2019</v>
      </c>
      <c r="D951" s="513">
        <v>1088481.1422254259</v>
      </c>
      <c r="E951" s="513">
        <v>22110.951533072905</v>
      </c>
      <c r="F951" s="513">
        <v>22110.951533072905</v>
      </c>
      <c r="G951" s="513">
        <v>1110592.0937584988</v>
      </c>
      <c r="H951" s="513">
        <v>0</v>
      </c>
      <c r="I951" s="622" t="s">
        <v>103</v>
      </c>
      <c r="J951" s="513">
        <v>0</v>
      </c>
      <c r="K951" s="513">
        <v>0</v>
      </c>
      <c r="L951" s="513">
        <v>0</v>
      </c>
      <c r="M951" s="513">
        <v>1110592.0937584988</v>
      </c>
      <c r="N951" s="513"/>
    </row>
    <row r="952" spans="2:14">
      <c r="B952" s="513" t="s">
        <v>392</v>
      </c>
      <c r="C952" s="658">
        <v>2008</v>
      </c>
      <c r="D952" s="513">
        <v>967192.84100000095</v>
      </c>
      <c r="E952" s="512">
        <v>206809.14176790038</v>
      </c>
      <c r="F952" s="513">
        <v>206809.14176790038</v>
      </c>
      <c r="G952" s="512">
        <v>0</v>
      </c>
      <c r="H952" s="512">
        <v>0</v>
      </c>
      <c r="I952" s="659" t="s">
        <v>103</v>
      </c>
      <c r="J952" s="513">
        <v>0</v>
      </c>
      <c r="K952" s="513">
        <v>0</v>
      </c>
      <c r="L952" s="513">
        <v>0</v>
      </c>
      <c r="M952" s="513">
        <v>1174001.9827679014</v>
      </c>
      <c r="N952" s="622"/>
    </row>
    <row r="953" spans="2:14">
      <c r="B953" s="513" t="s">
        <v>392</v>
      </c>
      <c r="C953" s="658">
        <v>2009</v>
      </c>
      <c r="D953" s="513">
        <v>1174001.9827679014</v>
      </c>
      <c r="E953" s="512">
        <v>170676.63469974839</v>
      </c>
      <c r="F953" s="513">
        <v>170676.63469974839</v>
      </c>
      <c r="G953" s="512">
        <v>0</v>
      </c>
      <c r="H953" s="512">
        <v>0</v>
      </c>
      <c r="I953" s="659" t="s">
        <v>103</v>
      </c>
      <c r="J953" s="513">
        <v>0</v>
      </c>
      <c r="K953" s="513">
        <v>0</v>
      </c>
      <c r="L953" s="513">
        <v>0</v>
      </c>
      <c r="M953" s="513">
        <v>1344678.6174676497</v>
      </c>
      <c r="N953" s="622"/>
    </row>
    <row r="954" spans="2:14">
      <c r="B954" s="513" t="s">
        <v>392</v>
      </c>
      <c r="C954" s="658">
        <v>2010</v>
      </c>
      <c r="D954" s="513">
        <v>1344678.6174676502</v>
      </c>
      <c r="E954" s="512">
        <v>170459.24</v>
      </c>
      <c r="F954" s="513">
        <v>170459.24</v>
      </c>
      <c r="G954" s="512">
        <v>0</v>
      </c>
      <c r="H954" s="512">
        <v>0</v>
      </c>
      <c r="I954" s="659" t="s">
        <v>103</v>
      </c>
      <c r="J954" s="513">
        <v>0</v>
      </c>
      <c r="K954" s="513">
        <v>0</v>
      </c>
      <c r="L954" s="513">
        <v>0</v>
      </c>
      <c r="M954" s="513">
        <v>1515137.8574676502</v>
      </c>
      <c r="N954" s="622"/>
    </row>
    <row r="955" spans="2:14">
      <c r="B955" s="513" t="s">
        <v>392</v>
      </c>
      <c r="C955" s="658">
        <v>2011</v>
      </c>
      <c r="D955" s="513">
        <v>1515137.8536505559</v>
      </c>
      <c r="E955" s="512">
        <v>173151.99596684714</v>
      </c>
      <c r="F955" s="513">
        <v>173151.99596684714</v>
      </c>
      <c r="G955" s="512">
        <v>0</v>
      </c>
      <c r="H955" s="512">
        <v>0</v>
      </c>
      <c r="I955" s="659" t="s">
        <v>103</v>
      </c>
      <c r="J955" s="513">
        <v>0</v>
      </c>
      <c r="K955" s="513">
        <v>0</v>
      </c>
      <c r="L955" s="513">
        <v>0</v>
      </c>
      <c r="M955" s="513">
        <v>1688289.849617403</v>
      </c>
      <c r="N955" s="622"/>
    </row>
    <row r="956" spans="2:14">
      <c r="B956" s="513" t="s">
        <v>392</v>
      </c>
      <c r="C956" s="658">
        <v>2012</v>
      </c>
      <c r="D956" s="513">
        <v>1688289.849617403</v>
      </c>
      <c r="E956" s="513">
        <v>130524.4217322695</v>
      </c>
      <c r="F956" s="513">
        <v>130524.4217322695</v>
      </c>
      <c r="G956" s="660">
        <v>0</v>
      </c>
      <c r="H956" s="512">
        <v>0</v>
      </c>
      <c r="I956" s="659" t="s">
        <v>103</v>
      </c>
      <c r="J956" s="513">
        <v>0</v>
      </c>
      <c r="K956" s="513">
        <v>0</v>
      </c>
      <c r="L956" s="513">
        <v>0</v>
      </c>
      <c r="M956" s="513">
        <v>1818814.2713496725</v>
      </c>
      <c r="N956" s="622"/>
    </row>
    <row r="957" spans="2:14">
      <c r="B957" s="513" t="s">
        <v>392</v>
      </c>
      <c r="C957" s="658">
        <v>2013</v>
      </c>
      <c r="D957" s="513">
        <v>1818814.2713496722</v>
      </c>
      <c r="E957" s="513">
        <v>189411.59866253624</v>
      </c>
      <c r="F957" s="513">
        <v>189411.59866253624</v>
      </c>
      <c r="G957" s="660">
        <v>0</v>
      </c>
      <c r="H957" s="512">
        <v>0</v>
      </c>
      <c r="I957" s="659" t="s">
        <v>103</v>
      </c>
      <c r="J957" s="513">
        <v>0</v>
      </c>
      <c r="K957" s="513">
        <v>0</v>
      </c>
      <c r="L957" s="513">
        <v>0</v>
      </c>
      <c r="M957" s="513">
        <v>2008225.8700122084</v>
      </c>
      <c r="N957" s="622"/>
    </row>
    <row r="958" spans="2:14">
      <c r="B958" s="513" t="s">
        <v>392</v>
      </c>
      <c r="C958" s="658">
        <v>2014</v>
      </c>
      <c r="D958" s="513">
        <v>2008225.8700122088</v>
      </c>
      <c r="E958" s="513">
        <v>196293.35340484971</v>
      </c>
      <c r="F958" s="513">
        <v>196293.35340484971</v>
      </c>
      <c r="G958" s="660">
        <v>0</v>
      </c>
      <c r="H958" s="512">
        <v>0</v>
      </c>
      <c r="I958" s="659" t="s">
        <v>103</v>
      </c>
      <c r="J958" s="513">
        <v>0</v>
      </c>
      <c r="K958" s="513">
        <v>0</v>
      </c>
      <c r="L958" s="513">
        <v>0</v>
      </c>
      <c r="M958" s="513">
        <v>2204519.2234170586</v>
      </c>
      <c r="N958" s="622"/>
    </row>
    <row r="959" spans="2:14">
      <c r="B959" s="513" t="s">
        <v>392</v>
      </c>
      <c r="C959" s="658">
        <v>2015</v>
      </c>
      <c r="D959" s="513">
        <v>2204519.2234170586</v>
      </c>
      <c r="E959" s="513">
        <v>199102.76712625433</v>
      </c>
      <c r="F959" s="513">
        <v>199102.76712625433</v>
      </c>
      <c r="G959" s="660">
        <v>0</v>
      </c>
      <c r="H959" s="660">
        <v>0</v>
      </c>
      <c r="I959" s="659" t="s">
        <v>103</v>
      </c>
      <c r="J959" s="513">
        <v>0</v>
      </c>
      <c r="K959" s="513">
        <v>0</v>
      </c>
      <c r="L959" s="513">
        <v>0</v>
      </c>
      <c r="M959" s="513">
        <v>2403621.9905433129</v>
      </c>
      <c r="N959" s="622"/>
    </row>
    <row r="960" spans="2:14">
      <c r="B960" s="513" t="s">
        <v>392</v>
      </c>
      <c r="C960" s="658">
        <v>2016</v>
      </c>
      <c r="D960" s="513">
        <v>2403621.9905433133</v>
      </c>
      <c r="E960" s="513">
        <v>147931.48954620873</v>
      </c>
      <c r="F960" s="513">
        <v>147931.48954620873</v>
      </c>
      <c r="G960" s="660">
        <v>0</v>
      </c>
      <c r="H960" s="660">
        <v>0</v>
      </c>
      <c r="I960" s="659" t="s">
        <v>103</v>
      </c>
      <c r="J960" s="513">
        <v>163697.62</v>
      </c>
      <c r="K960" s="513">
        <v>0</v>
      </c>
      <c r="L960" s="513">
        <v>0</v>
      </c>
      <c r="M960" s="513">
        <v>2387855.8600895219</v>
      </c>
      <c r="N960" s="622"/>
    </row>
    <row r="961" spans="2:14">
      <c r="B961" s="513" t="s">
        <v>392</v>
      </c>
      <c r="C961" s="658">
        <v>2017</v>
      </c>
      <c r="D961" s="513">
        <v>2387855.8600895219</v>
      </c>
      <c r="E961" s="513">
        <v>137947.56972351007</v>
      </c>
      <c r="F961" s="513">
        <v>137947.56972351007</v>
      </c>
      <c r="G961" s="513">
        <v>0</v>
      </c>
      <c r="H961" s="513">
        <v>0</v>
      </c>
      <c r="I961" s="659" t="s">
        <v>103</v>
      </c>
      <c r="J961" s="513">
        <v>93903.76</v>
      </c>
      <c r="K961" s="513">
        <v>0</v>
      </c>
      <c r="L961" s="513">
        <v>0</v>
      </c>
      <c r="M961" s="513">
        <v>2431899.6698130323</v>
      </c>
      <c r="N961" s="622"/>
    </row>
    <row r="962" spans="2:14">
      <c r="B962" s="513" t="s">
        <v>392</v>
      </c>
      <c r="C962" s="889">
        <v>2018</v>
      </c>
      <c r="D962" s="513">
        <v>2431899.6698130323</v>
      </c>
      <c r="E962" s="513">
        <f>VLOOKUP(B962,'[6]2018 allocation'!$A$11:$B$218,2, FALSE)</f>
        <v>146398.46316295461</v>
      </c>
      <c r="F962" s="513">
        <f>E962</f>
        <v>146398.46316295461</v>
      </c>
      <c r="G962" s="513">
        <v>0</v>
      </c>
      <c r="H962" s="513">
        <v>0</v>
      </c>
      <c r="I962" s="622" t="s">
        <v>103</v>
      </c>
      <c r="J962" s="513">
        <f>VLOOKUP(B962,'[6]Annual Spending Worksheet '!$C$6:$AG$250,28,FALSE)</f>
        <v>43431.710000000006</v>
      </c>
      <c r="K962" s="513">
        <f>VLOOKUP(B962,'[6]Annual Spending Worksheet '!$C$6:$AG$250,29,FALSE)</f>
        <v>0</v>
      </c>
      <c r="L962" s="513">
        <v>0</v>
      </c>
      <c r="M962" s="513">
        <f>D962+E962+H962-J962</f>
        <v>2534866.4229759867</v>
      </c>
      <c r="N962" s="513"/>
    </row>
    <row r="963" spans="2:14">
      <c r="B963" s="513" t="s">
        <v>392</v>
      </c>
      <c r="C963" s="889">
        <v>2019</v>
      </c>
      <c r="D963" s="513">
        <v>2534866.4229759867</v>
      </c>
      <c r="E963" s="513">
        <v>155368.09489357518</v>
      </c>
      <c r="F963" s="513">
        <v>155368.09489357518</v>
      </c>
      <c r="G963" s="513">
        <v>0</v>
      </c>
      <c r="H963" s="513">
        <v>0</v>
      </c>
      <c r="I963" s="622" t="s">
        <v>103</v>
      </c>
      <c r="J963" s="513">
        <v>756103.34</v>
      </c>
      <c r="K963" s="513">
        <v>0</v>
      </c>
      <c r="L963" s="513">
        <v>0</v>
      </c>
      <c r="M963" s="513">
        <v>1934131.1778695621</v>
      </c>
      <c r="N963" s="513"/>
    </row>
    <row r="964" spans="2:14">
      <c r="B964" s="513" t="s">
        <v>396</v>
      </c>
      <c r="C964" s="658">
        <v>2008</v>
      </c>
      <c r="D964" s="513">
        <v>365172.48200000008</v>
      </c>
      <c r="E964" s="512">
        <v>89449.574410541827</v>
      </c>
      <c r="F964" s="513">
        <v>89449.574410541827</v>
      </c>
      <c r="G964" s="512">
        <v>0</v>
      </c>
      <c r="H964" s="512">
        <v>0</v>
      </c>
      <c r="I964" s="659" t="s">
        <v>103</v>
      </c>
      <c r="J964" s="513">
        <v>0</v>
      </c>
      <c r="K964" s="513">
        <v>0</v>
      </c>
      <c r="L964" s="513">
        <v>0</v>
      </c>
      <c r="M964" s="513">
        <v>454622.05641054187</v>
      </c>
      <c r="N964" s="622"/>
    </row>
    <row r="965" spans="2:14">
      <c r="B965" s="513" t="s">
        <v>396</v>
      </c>
      <c r="C965" s="658">
        <v>2009</v>
      </c>
      <c r="D965" s="513">
        <v>454622.05641054199</v>
      </c>
      <c r="E965" s="512">
        <v>71740.517716721995</v>
      </c>
      <c r="F965" s="513">
        <v>71740.517716721995</v>
      </c>
      <c r="G965" s="512">
        <v>0</v>
      </c>
      <c r="H965" s="512">
        <v>0</v>
      </c>
      <c r="I965" s="659" t="s">
        <v>103</v>
      </c>
      <c r="J965" s="513">
        <v>0</v>
      </c>
      <c r="K965" s="513">
        <v>0</v>
      </c>
      <c r="L965" s="513">
        <v>0</v>
      </c>
      <c r="M965" s="513">
        <v>526362.57412726397</v>
      </c>
      <c r="N965" s="622"/>
    </row>
    <row r="966" spans="2:14">
      <c r="B966" s="513" t="s">
        <v>396</v>
      </c>
      <c r="C966" s="658">
        <v>2010</v>
      </c>
      <c r="D966" s="513">
        <v>526362.57412726409</v>
      </c>
      <c r="E966" s="512">
        <v>71642.95</v>
      </c>
      <c r="F966" s="513">
        <v>71642.95</v>
      </c>
      <c r="G966" s="512">
        <v>0</v>
      </c>
      <c r="H966" s="512">
        <v>0</v>
      </c>
      <c r="I966" s="659" t="s">
        <v>103</v>
      </c>
      <c r="J966" s="513">
        <v>0</v>
      </c>
      <c r="K966" s="513">
        <v>0</v>
      </c>
      <c r="L966" s="513">
        <v>0</v>
      </c>
      <c r="M966" s="513">
        <v>598005.52412726404</v>
      </c>
      <c r="N966" s="622"/>
    </row>
    <row r="967" spans="2:14">
      <c r="B967" s="513" t="s">
        <v>396</v>
      </c>
      <c r="C967" s="658">
        <v>2011</v>
      </c>
      <c r="D967" s="513">
        <v>598005.52823759126</v>
      </c>
      <c r="E967" s="512">
        <v>72941.036889919735</v>
      </c>
      <c r="F967" s="513">
        <v>72941.036889919735</v>
      </c>
      <c r="G967" s="512">
        <v>0</v>
      </c>
      <c r="H967" s="512">
        <v>0</v>
      </c>
      <c r="I967" s="659" t="s">
        <v>103</v>
      </c>
      <c r="J967" s="513">
        <v>0</v>
      </c>
      <c r="K967" s="513">
        <v>0</v>
      </c>
      <c r="L967" s="513">
        <v>0</v>
      </c>
      <c r="M967" s="513">
        <v>670946.56512751104</v>
      </c>
      <c r="N967" s="622"/>
    </row>
    <row r="968" spans="2:14">
      <c r="B968" s="513" t="s">
        <v>396</v>
      </c>
      <c r="C968" s="658">
        <v>2012</v>
      </c>
      <c r="D968" s="513">
        <v>670946.56512751081</v>
      </c>
      <c r="E968" s="513">
        <v>52119.004740904347</v>
      </c>
      <c r="F968" s="513">
        <v>52119.004740904347</v>
      </c>
      <c r="G968" s="512">
        <v>0</v>
      </c>
      <c r="H968" s="512">
        <v>0</v>
      </c>
      <c r="I968" s="659" t="s">
        <v>103</v>
      </c>
      <c r="J968" s="513">
        <v>0</v>
      </c>
      <c r="K968" s="513">
        <v>0</v>
      </c>
      <c r="L968" s="513">
        <v>0</v>
      </c>
      <c r="M968" s="513">
        <v>723065.56986841513</v>
      </c>
      <c r="N968" s="622"/>
    </row>
    <row r="969" spans="2:14">
      <c r="B969" s="513" t="s">
        <v>396</v>
      </c>
      <c r="C969" s="658">
        <v>2013</v>
      </c>
      <c r="D969" s="513">
        <v>723065.56986841536</v>
      </c>
      <c r="E969" s="513">
        <v>80882.223335425952</v>
      </c>
      <c r="F969" s="513">
        <v>80882.223335425952</v>
      </c>
      <c r="G969" s="512">
        <v>0</v>
      </c>
      <c r="H969" s="512">
        <v>0</v>
      </c>
      <c r="I969" s="659" t="s">
        <v>103</v>
      </c>
      <c r="J969" s="513">
        <v>0</v>
      </c>
      <c r="K969" s="513">
        <v>0</v>
      </c>
      <c r="L969" s="513">
        <v>0</v>
      </c>
      <c r="M969" s="513">
        <v>803947.79320384131</v>
      </c>
      <c r="N969" s="622"/>
    </row>
    <row r="970" spans="2:14">
      <c r="B970" s="513" t="s">
        <v>396</v>
      </c>
      <c r="C970" s="658">
        <v>2014</v>
      </c>
      <c r="D970" s="513">
        <v>803947.7932038412</v>
      </c>
      <c r="E970" s="513">
        <v>84210.492009166162</v>
      </c>
      <c r="F970" s="513">
        <v>84210.492009166162</v>
      </c>
      <c r="G970" s="512">
        <v>0</v>
      </c>
      <c r="H970" s="512">
        <v>0</v>
      </c>
      <c r="I970" s="659" t="s">
        <v>103</v>
      </c>
      <c r="J970" s="513">
        <v>0</v>
      </c>
      <c r="K970" s="513">
        <v>0</v>
      </c>
      <c r="L970" s="513">
        <v>0</v>
      </c>
      <c r="M970" s="513">
        <v>888158.28521300736</v>
      </c>
      <c r="N970" s="622"/>
    </row>
    <row r="971" spans="2:14">
      <c r="B971" s="513" t="s">
        <v>396</v>
      </c>
      <c r="C971" s="658">
        <v>2015</v>
      </c>
      <c r="D971" s="513">
        <v>888158.28521300736</v>
      </c>
      <c r="E971" s="513">
        <v>85629.124292033375</v>
      </c>
      <c r="F971" s="513">
        <v>85629.124292033375</v>
      </c>
      <c r="G971" s="660">
        <v>0</v>
      </c>
      <c r="H971" s="660">
        <v>0</v>
      </c>
      <c r="I971" s="659" t="s">
        <v>103</v>
      </c>
      <c r="J971" s="513">
        <v>0</v>
      </c>
      <c r="K971" s="513">
        <v>0</v>
      </c>
      <c r="L971" s="513">
        <v>0</v>
      </c>
      <c r="M971" s="513">
        <v>973787.40950504073</v>
      </c>
      <c r="N971" s="622"/>
    </row>
    <row r="972" spans="2:14">
      <c r="B972" s="513" t="s">
        <v>396</v>
      </c>
      <c r="C972" s="658">
        <v>2016</v>
      </c>
      <c r="D972" s="513">
        <v>973787.40950504062</v>
      </c>
      <c r="E972" s="513">
        <v>60643.542077079117</v>
      </c>
      <c r="F972" s="513">
        <v>60643.542077079117</v>
      </c>
      <c r="G972" s="660">
        <v>0</v>
      </c>
      <c r="H972" s="660">
        <v>0</v>
      </c>
      <c r="I972" s="659" t="s">
        <v>103</v>
      </c>
      <c r="J972" s="513">
        <v>0</v>
      </c>
      <c r="K972" s="513">
        <v>0</v>
      </c>
      <c r="L972" s="513">
        <v>0</v>
      </c>
      <c r="M972" s="513">
        <v>1034430.9515821197</v>
      </c>
      <c r="N972" s="622"/>
    </row>
    <row r="973" spans="2:14">
      <c r="B973" s="513" t="s">
        <v>396</v>
      </c>
      <c r="C973" s="658">
        <v>2017</v>
      </c>
      <c r="D973" s="513">
        <v>1034430.9515821196</v>
      </c>
      <c r="E973" s="513">
        <v>55613.215523938023</v>
      </c>
      <c r="F973" s="513">
        <v>55613.215523938023</v>
      </c>
      <c r="G973" s="513">
        <v>0</v>
      </c>
      <c r="H973" s="513">
        <v>0</v>
      </c>
      <c r="I973" s="659" t="s">
        <v>103</v>
      </c>
      <c r="J973" s="513">
        <v>0</v>
      </c>
      <c r="K973" s="513">
        <v>0</v>
      </c>
      <c r="L973" s="513">
        <v>0</v>
      </c>
      <c r="M973" s="513">
        <v>1090044.1671060575</v>
      </c>
      <c r="N973" s="622"/>
    </row>
    <row r="974" spans="2:14">
      <c r="B974" s="513" t="s">
        <v>396</v>
      </c>
      <c r="C974" s="889">
        <v>2018</v>
      </c>
      <c r="D974" s="513">
        <v>1090044.1671060575</v>
      </c>
      <c r="E974" s="513">
        <f>VLOOKUP(B974,'[6]2018 allocation'!$A$11:$B$218,2, FALSE)</f>
        <v>59788.601111925789</v>
      </c>
      <c r="F974" s="513">
        <f>E974</f>
        <v>59788.601111925789</v>
      </c>
      <c r="G974" s="513">
        <v>0</v>
      </c>
      <c r="H974" s="513">
        <v>0</v>
      </c>
      <c r="I974" s="622" t="s">
        <v>103</v>
      </c>
      <c r="J974" s="513">
        <f>VLOOKUP(B974,'[6]Annual Spending Worksheet '!$C$6:$AG$250,28,FALSE)</f>
        <v>0</v>
      </c>
      <c r="K974" s="513">
        <f>VLOOKUP(B974,'[6]Annual Spending Worksheet '!$C$6:$AG$250,29,FALSE)</f>
        <v>0</v>
      </c>
      <c r="L974" s="513">
        <v>0</v>
      </c>
      <c r="M974" s="513">
        <f>D974+E974+H974-J974</f>
        <v>1149832.7682179832</v>
      </c>
      <c r="N974" s="513"/>
    </row>
    <row r="975" spans="2:14">
      <c r="B975" s="513" t="s">
        <v>396</v>
      </c>
      <c r="C975" s="889">
        <v>2019</v>
      </c>
      <c r="D975" s="513">
        <v>1149832.7682179832</v>
      </c>
      <c r="E975" s="513">
        <v>64239.97871679932</v>
      </c>
      <c r="F975" s="513">
        <v>64239.97871679932</v>
      </c>
      <c r="G975" s="513">
        <v>0</v>
      </c>
      <c r="H975" s="513">
        <v>0</v>
      </c>
      <c r="I975" s="622" t="s">
        <v>103</v>
      </c>
      <c r="J975" s="513">
        <v>0</v>
      </c>
      <c r="K975" s="513">
        <v>0</v>
      </c>
      <c r="L975" s="513">
        <v>0</v>
      </c>
      <c r="M975" s="513">
        <v>1214072.7469347825</v>
      </c>
      <c r="N975" s="513"/>
    </row>
    <row r="976" spans="2:14" ht="29.1">
      <c r="B976" s="513" t="s">
        <v>397</v>
      </c>
      <c r="C976" s="658">
        <v>2008</v>
      </c>
      <c r="D976" s="513">
        <v>-566443.00499999989</v>
      </c>
      <c r="E976" s="512">
        <v>97302.760539208131</v>
      </c>
      <c r="F976" s="513">
        <v>97302.760539208131</v>
      </c>
      <c r="G976" s="660">
        <v>-469140.24446079176</v>
      </c>
      <c r="H976" s="512">
        <v>0</v>
      </c>
      <c r="I976" s="659" t="s">
        <v>103</v>
      </c>
      <c r="J976" s="513">
        <v>0</v>
      </c>
      <c r="K976" s="513">
        <v>0</v>
      </c>
      <c r="L976" s="513">
        <v>0</v>
      </c>
      <c r="M976" s="513">
        <v>-469140.24446079176</v>
      </c>
      <c r="N976" s="622" t="s">
        <v>1711</v>
      </c>
    </row>
    <row r="977" spans="2:14" ht="29.1">
      <c r="B977" s="513" t="s">
        <v>397</v>
      </c>
      <c r="C977" s="658">
        <v>2009</v>
      </c>
      <c r="D977" s="513">
        <v>-469140.24446079182</v>
      </c>
      <c r="E977" s="512">
        <v>80355.934990308233</v>
      </c>
      <c r="F977" s="513">
        <v>80355.934990308233</v>
      </c>
      <c r="G977" s="660">
        <v>-388784.30947048357</v>
      </c>
      <c r="H977" s="512">
        <v>0</v>
      </c>
      <c r="I977" s="659" t="s">
        <v>103</v>
      </c>
      <c r="J977" s="513">
        <v>0</v>
      </c>
      <c r="K977" s="513">
        <v>0</v>
      </c>
      <c r="L977" s="513">
        <v>0</v>
      </c>
      <c r="M977" s="513">
        <v>-388784.30947048357</v>
      </c>
      <c r="N977" s="622" t="s">
        <v>1711</v>
      </c>
    </row>
    <row r="978" spans="2:14" ht="29.1">
      <c r="B978" s="513" t="s">
        <v>397</v>
      </c>
      <c r="C978" s="658">
        <v>2010</v>
      </c>
      <c r="D978" s="513">
        <v>-388784.30947048357</v>
      </c>
      <c r="E978" s="512">
        <v>80246.27</v>
      </c>
      <c r="F978" s="513">
        <v>80246.27</v>
      </c>
      <c r="G978" s="660">
        <v>-308538.03947048355</v>
      </c>
      <c r="H978" s="512">
        <v>0</v>
      </c>
      <c r="I978" s="659" t="s">
        <v>103</v>
      </c>
      <c r="J978" s="513">
        <v>0</v>
      </c>
      <c r="K978" s="513">
        <v>0</v>
      </c>
      <c r="L978" s="513">
        <v>0</v>
      </c>
      <c r="M978" s="513">
        <v>-308538.03947048355</v>
      </c>
      <c r="N978" s="622" t="s">
        <v>1711</v>
      </c>
    </row>
    <row r="979" spans="2:14" ht="29.1">
      <c r="B979" s="513" t="s">
        <v>397</v>
      </c>
      <c r="C979" s="658">
        <v>2011</v>
      </c>
      <c r="D979" s="513">
        <v>-308538.03487577708</v>
      </c>
      <c r="E979" s="512">
        <v>81455.336972951744</v>
      </c>
      <c r="F979" s="513">
        <v>81455.336972951744</v>
      </c>
      <c r="G979" s="660">
        <v>-227082.69790282534</v>
      </c>
      <c r="H979" s="512">
        <v>0</v>
      </c>
      <c r="I979" s="659" t="s">
        <v>103</v>
      </c>
      <c r="J979" s="513">
        <v>0</v>
      </c>
      <c r="K979" s="513">
        <v>0</v>
      </c>
      <c r="L979" s="513">
        <v>0</v>
      </c>
      <c r="M979" s="513">
        <v>-227082.69790282534</v>
      </c>
      <c r="N979" s="622" t="s">
        <v>1711</v>
      </c>
    </row>
    <row r="980" spans="2:14" ht="29.1">
      <c r="B980" s="513" t="s">
        <v>397</v>
      </c>
      <c r="C980" s="658">
        <v>2012</v>
      </c>
      <c r="D980" s="513">
        <v>-227082.6979028252</v>
      </c>
      <c r="E980" s="513">
        <v>61117.431946213102</v>
      </c>
      <c r="F980" s="513">
        <v>61117.431946213102</v>
      </c>
      <c r="G980" s="660">
        <v>-165965.2659566121</v>
      </c>
      <c r="H980" s="512">
        <v>0</v>
      </c>
      <c r="I980" s="659" t="s">
        <v>103</v>
      </c>
      <c r="J980" s="513">
        <v>0</v>
      </c>
      <c r="K980" s="513">
        <v>0</v>
      </c>
      <c r="L980" s="513">
        <v>0</v>
      </c>
      <c r="M980" s="513">
        <v>-165965.2659566121</v>
      </c>
      <c r="N980" s="622" t="s">
        <v>1711</v>
      </c>
    </row>
    <row r="981" spans="2:14" ht="29.1">
      <c r="B981" s="513" t="s">
        <v>397</v>
      </c>
      <c r="C981" s="658">
        <v>2013</v>
      </c>
      <c r="D981" s="513">
        <v>-165965.2659566123</v>
      </c>
      <c r="E981" s="513">
        <v>89159.398952240488</v>
      </c>
      <c r="F981" s="513">
        <v>89159.398952240488</v>
      </c>
      <c r="G981" s="660">
        <v>-76805.867004371816</v>
      </c>
      <c r="H981" s="512">
        <v>0</v>
      </c>
      <c r="I981" s="659" t="s">
        <v>103</v>
      </c>
      <c r="J981" s="513">
        <v>0</v>
      </c>
      <c r="K981" s="513">
        <v>0</v>
      </c>
      <c r="L981" s="513">
        <v>0</v>
      </c>
      <c r="M981" s="513">
        <v>-76805.867004371816</v>
      </c>
      <c r="N981" s="622" t="s">
        <v>1711</v>
      </c>
    </row>
    <row r="982" spans="2:14">
      <c r="B982" s="513" t="s">
        <v>397</v>
      </c>
      <c r="C982" s="658">
        <v>2014</v>
      </c>
      <c r="D982" s="513">
        <v>-76805.867004371714</v>
      </c>
      <c r="E982" s="513">
        <v>92437.727731317384</v>
      </c>
      <c r="F982" s="513">
        <v>92437.727731317384</v>
      </c>
      <c r="G982" s="660">
        <v>0</v>
      </c>
      <c r="H982" s="512">
        <v>0</v>
      </c>
      <c r="I982" s="659" t="s">
        <v>103</v>
      </c>
      <c r="J982" s="513">
        <v>0</v>
      </c>
      <c r="K982" s="513">
        <v>0</v>
      </c>
      <c r="L982" s="513">
        <v>0</v>
      </c>
      <c r="M982" s="513">
        <v>15631.86072694567</v>
      </c>
      <c r="N982" s="622"/>
    </row>
    <row r="983" spans="2:14">
      <c r="B983" s="513" t="s">
        <v>397</v>
      </c>
      <c r="C983" s="658">
        <v>2015</v>
      </c>
      <c r="D983" s="513">
        <v>15631.860726945568</v>
      </c>
      <c r="E983" s="513">
        <v>93778.109214046897</v>
      </c>
      <c r="F983" s="513">
        <v>93778.109214046897</v>
      </c>
      <c r="G983" s="660">
        <v>0</v>
      </c>
      <c r="H983" s="660">
        <v>0</v>
      </c>
      <c r="I983" s="659" t="s">
        <v>103</v>
      </c>
      <c r="J983" s="513">
        <v>0</v>
      </c>
      <c r="K983" s="513">
        <v>0</v>
      </c>
      <c r="L983" s="513">
        <v>0</v>
      </c>
      <c r="M983" s="513">
        <v>109409.96994099247</v>
      </c>
      <c r="N983" s="622"/>
    </row>
    <row r="984" spans="2:14">
      <c r="B984" s="513" t="s">
        <v>397</v>
      </c>
      <c r="C984" s="658">
        <v>2016</v>
      </c>
      <c r="D984" s="513">
        <v>109409.96994099254</v>
      </c>
      <c r="E984" s="513">
        <v>69422.602005263878</v>
      </c>
      <c r="F984" s="513">
        <v>69422.602005263878</v>
      </c>
      <c r="G984" s="660">
        <v>0</v>
      </c>
      <c r="H984" s="660">
        <v>0</v>
      </c>
      <c r="I984" s="659" t="s">
        <v>103</v>
      </c>
      <c r="J984" s="513">
        <v>0</v>
      </c>
      <c r="K984" s="513">
        <v>0</v>
      </c>
      <c r="L984" s="513">
        <v>0</v>
      </c>
      <c r="M984" s="513">
        <v>178832.57194625642</v>
      </c>
      <c r="N984" s="622"/>
    </row>
    <row r="985" spans="2:14">
      <c r="B985" s="513" t="s">
        <v>397</v>
      </c>
      <c r="C985" s="658">
        <v>2017</v>
      </c>
      <c r="D985" s="513">
        <v>178832.57194625633</v>
      </c>
      <c r="E985" s="513">
        <v>64620.649383598771</v>
      </c>
      <c r="F985" s="513">
        <v>64620.649383598771</v>
      </c>
      <c r="G985" s="513">
        <v>0</v>
      </c>
      <c r="H985" s="513">
        <v>0</v>
      </c>
      <c r="I985" s="659" t="s">
        <v>103</v>
      </c>
      <c r="J985" s="513">
        <v>0</v>
      </c>
      <c r="K985" s="513">
        <v>0</v>
      </c>
      <c r="L985" s="513">
        <v>0</v>
      </c>
      <c r="M985" s="513">
        <v>243453.22132985509</v>
      </c>
      <c r="N985" s="622"/>
    </row>
    <row r="986" spans="2:14">
      <c r="B986" s="513" t="s">
        <v>397</v>
      </c>
      <c r="C986" s="889">
        <v>2018</v>
      </c>
      <c r="D986" s="513">
        <v>243453.22132985509</v>
      </c>
      <c r="E986" s="513">
        <f>VLOOKUP(B986,'[6]2018 allocation'!$A$11:$B$218,2, FALSE)</f>
        <v>68665.768616867019</v>
      </c>
      <c r="F986" s="513">
        <f>E986</f>
        <v>68665.768616867019</v>
      </c>
      <c r="G986" s="513">
        <v>0</v>
      </c>
      <c r="H986" s="513">
        <v>0</v>
      </c>
      <c r="I986" s="622" t="s">
        <v>103</v>
      </c>
      <c r="J986" s="513">
        <f>VLOOKUP(B986,'[6]Annual Spending Worksheet '!$C$6:$AG$250,28,FALSE)</f>
        <v>0</v>
      </c>
      <c r="K986" s="513">
        <f>VLOOKUP(B986,'[6]Annual Spending Worksheet '!$C$6:$AG$250,29,FALSE)</f>
        <v>0</v>
      </c>
      <c r="L986" s="513">
        <v>0</v>
      </c>
      <c r="M986" s="513">
        <f>D986+E986+H986-J986</f>
        <v>312118.98994672211</v>
      </c>
      <c r="N986" s="513"/>
    </row>
    <row r="987" spans="2:14">
      <c r="B987" s="513" t="s">
        <v>397</v>
      </c>
      <c r="C987" s="889">
        <v>2019</v>
      </c>
      <c r="D987" s="513">
        <v>312118.98994672211</v>
      </c>
      <c r="E987" s="513">
        <v>72932.114067678165</v>
      </c>
      <c r="F987" s="513">
        <v>72932.114067678165</v>
      </c>
      <c r="G987" s="513">
        <v>0</v>
      </c>
      <c r="H987" s="513">
        <v>0</v>
      </c>
      <c r="I987" s="622" t="s">
        <v>103</v>
      </c>
      <c r="J987" s="513">
        <v>0</v>
      </c>
      <c r="K987" s="513">
        <v>0</v>
      </c>
      <c r="L987" s="513">
        <v>0</v>
      </c>
      <c r="M987" s="513">
        <v>385051.10401440028</v>
      </c>
      <c r="N987" s="513"/>
    </row>
    <row r="988" spans="2:14">
      <c r="B988" s="513" t="s">
        <v>398</v>
      </c>
      <c r="C988" s="658">
        <v>2008</v>
      </c>
      <c r="D988" s="513">
        <v>2926875.2180000003</v>
      </c>
      <c r="E988" s="512">
        <v>206554.32635693491</v>
      </c>
      <c r="F988" s="513">
        <v>206554.32635693491</v>
      </c>
      <c r="G988" s="512">
        <v>0</v>
      </c>
      <c r="H988" s="512">
        <v>0</v>
      </c>
      <c r="I988" s="659" t="s">
        <v>103</v>
      </c>
      <c r="J988" s="513">
        <v>0</v>
      </c>
      <c r="K988" s="513">
        <v>0</v>
      </c>
      <c r="L988" s="513">
        <v>0</v>
      </c>
      <c r="M988" s="513">
        <v>3133429.5443569352</v>
      </c>
      <c r="N988" s="622"/>
    </row>
    <row r="989" spans="2:14">
      <c r="B989" s="513" t="s">
        <v>398</v>
      </c>
      <c r="C989" s="658">
        <v>2009</v>
      </c>
      <c r="D989" s="513">
        <v>3133429.5443569357</v>
      </c>
      <c r="E989" s="512">
        <v>171830.96576655272</v>
      </c>
      <c r="F989" s="513">
        <v>171830.96576655272</v>
      </c>
      <c r="G989" s="512">
        <v>0</v>
      </c>
      <c r="H989" s="512">
        <v>0</v>
      </c>
      <c r="I989" s="659" t="s">
        <v>103</v>
      </c>
      <c r="J989" s="513">
        <v>0</v>
      </c>
      <c r="K989" s="513">
        <v>0</v>
      </c>
      <c r="L989" s="513">
        <v>0</v>
      </c>
      <c r="M989" s="513">
        <v>3305260.5101234885</v>
      </c>
      <c r="N989" s="622"/>
    </row>
    <row r="990" spans="2:14">
      <c r="B990" s="513" t="s">
        <v>398</v>
      </c>
      <c r="C990" s="658">
        <v>2010</v>
      </c>
      <c r="D990" s="513">
        <v>3305260.5101234885</v>
      </c>
      <c r="E990" s="512">
        <v>171642.93</v>
      </c>
      <c r="F990" s="513">
        <v>171642.93</v>
      </c>
      <c r="G990" s="512">
        <v>0</v>
      </c>
      <c r="H990" s="512">
        <v>0</v>
      </c>
      <c r="I990" s="659" t="s">
        <v>103</v>
      </c>
      <c r="J990" s="513">
        <v>0</v>
      </c>
      <c r="K990" s="513">
        <v>0</v>
      </c>
      <c r="L990" s="513">
        <v>0</v>
      </c>
      <c r="M990" s="513">
        <v>3476903.4401234887</v>
      </c>
      <c r="N990" s="622"/>
    </row>
    <row r="991" spans="2:14">
      <c r="B991" s="513" t="s">
        <v>398</v>
      </c>
      <c r="C991" s="658">
        <v>2011</v>
      </c>
      <c r="D991" s="513">
        <v>3476903.4406279558</v>
      </c>
      <c r="E991" s="512">
        <v>174225.649368579</v>
      </c>
      <c r="F991" s="513">
        <v>174225.649368579</v>
      </c>
      <c r="G991" s="512">
        <v>0</v>
      </c>
      <c r="H991" s="512">
        <v>0</v>
      </c>
      <c r="I991" s="659" t="s">
        <v>103</v>
      </c>
      <c r="J991" s="513">
        <v>170423.68999999997</v>
      </c>
      <c r="K991" s="513">
        <v>0</v>
      </c>
      <c r="L991" s="513">
        <v>0</v>
      </c>
      <c r="M991" s="513">
        <v>3480705.3999965349</v>
      </c>
      <c r="N991" s="622"/>
    </row>
    <row r="992" spans="2:14">
      <c r="B992" s="513" t="s">
        <v>398</v>
      </c>
      <c r="C992" s="658">
        <v>2012</v>
      </c>
      <c r="D992" s="513">
        <v>3480705.3999965345</v>
      </c>
      <c r="E992" s="513">
        <v>133289.33535971824</v>
      </c>
      <c r="F992" s="513">
        <v>133289.33535971824</v>
      </c>
      <c r="G992" s="512">
        <v>0</v>
      </c>
      <c r="H992" s="512">
        <v>0</v>
      </c>
      <c r="I992" s="659" t="s">
        <v>103</v>
      </c>
      <c r="J992" s="513">
        <v>474160.37999999989</v>
      </c>
      <c r="K992" s="513">
        <v>0</v>
      </c>
      <c r="L992" s="513">
        <v>0</v>
      </c>
      <c r="M992" s="513">
        <v>3139834.3553562528</v>
      </c>
      <c r="N992" s="622"/>
    </row>
    <row r="993" spans="2:14">
      <c r="B993" s="513" t="s">
        <v>398</v>
      </c>
      <c r="C993" s="658">
        <v>2013</v>
      </c>
      <c r="D993" s="513">
        <v>3139834.3553562532</v>
      </c>
      <c r="E993" s="513">
        <v>189823.4017031223</v>
      </c>
      <c r="F993" s="513">
        <v>189823.4017031223</v>
      </c>
      <c r="G993" s="512">
        <v>0</v>
      </c>
      <c r="H993" s="512">
        <v>0</v>
      </c>
      <c r="I993" s="659" t="s">
        <v>103</v>
      </c>
      <c r="J993" s="513">
        <v>184542.51000000007</v>
      </c>
      <c r="K993" s="513">
        <v>0</v>
      </c>
      <c r="L993" s="513">
        <v>0</v>
      </c>
      <c r="M993" s="513">
        <v>3145115.2470593755</v>
      </c>
      <c r="N993" s="622"/>
    </row>
    <row r="994" spans="2:14">
      <c r="B994" s="513" t="s">
        <v>398</v>
      </c>
      <c r="C994" s="658">
        <v>2014</v>
      </c>
      <c r="D994" s="513">
        <v>3145115.247059375</v>
      </c>
      <c r="E994" s="513">
        <v>196418.6751407219</v>
      </c>
      <c r="F994" s="513">
        <v>196418.6751407219</v>
      </c>
      <c r="G994" s="512">
        <v>0</v>
      </c>
      <c r="H994" s="512">
        <v>0</v>
      </c>
      <c r="I994" s="659" t="s">
        <v>103</v>
      </c>
      <c r="J994" s="513">
        <v>3867389.0899999598</v>
      </c>
      <c r="K994" s="513">
        <v>0</v>
      </c>
      <c r="L994" s="513">
        <v>0</v>
      </c>
      <c r="M994" s="513">
        <v>-525855.16779986303</v>
      </c>
      <c r="N994" s="622" t="s">
        <v>1715</v>
      </c>
    </row>
    <row r="995" spans="2:14">
      <c r="B995" s="513" t="s">
        <v>398</v>
      </c>
      <c r="C995" s="658">
        <v>2015</v>
      </c>
      <c r="D995" s="513">
        <v>-525855.16779986303</v>
      </c>
      <c r="E995" s="513">
        <v>199088.94393580395</v>
      </c>
      <c r="F995" s="513">
        <v>199088.94393580395</v>
      </c>
      <c r="G995" s="660">
        <v>-326766.22386405908</v>
      </c>
      <c r="H995" s="660">
        <v>0</v>
      </c>
      <c r="I995" s="659" t="s">
        <v>103</v>
      </c>
      <c r="J995" s="513">
        <v>778852.12</v>
      </c>
      <c r="K995" s="513">
        <v>0</v>
      </c>
      <c r="L995" s="513">
        <v>0</v>
      </c>
      <c r="M995" s="513">
        <v>-1105618.3438640591</v>
      </c>
      <c r="N995" s="622" t="s">
        <v>1715</v>
      </c>
    </row>
    <row r="996" spans="2:14">
      <c r="B996" s="513" t="s">
        <v>398</v>
      </c>
      <c r="C996" s="658">
        <v>2016</v>
      </c>
      <c r="D996" s="513">
        <v>-1105618.3438640591</v>
      </c>
      <c r="E996" s="513">
        <v>150085.059492542</v>
      </c>
      <c r="F996" s="513">
        <v>150085.059492542</v>
      </c>
      <c r="G996" s="660">
        <v>-955533.28437151713</v>
      </c>
      <c r="H996" s="660">
        <v>0</v>
      </c>
      <c r="I996" s="659" t="s">
        <v>103</v>
      </c>
      <c r="J996" s="513">
        <v>-390892.49</v>
      </c>
      <c r="K996" s="513">
        <v>5075864.8599999594</v>
      </c>
      <c r="L996" s="513">
        <v>0</v>
      </c>
      <c r="M996" s="513">
        <v>-564640.79437151714</v>
      </c>
      <c r="N996" s="622" t="s">
        <v>1715</v>
      </c>
    </row>
    <row r="997" spans="2:14" ht="29.1">
      <c r="B997" s="513" t="s">
        <v>398</v>
      </c>
      <c r="C997" s="658">
        <v>2017</v>
      </c>
      <c r="D997" s="513">
        <v>-564640.79437151644</v>
      </c>
      <c r="E997" s="513">
        <v>140429.1897756104</v>
      </c>
      <c r="F997" s="513">
        <v>140429.1897756104</v>
      </c>
      <c r="G997" s="513">
        <v>-424211.60459590604</v>
      </c>
      <c r="H997" s="513">
        <v>0</v>
      </c>
      <c r="I997" s="659" t="s">
        <v>103</v>
      </c>
      <c r="J997" s="513">
        <v>-8698.5999999999985</v>
      </c>
      <c r="K997" s="513">
        <v>0</v>
      </c>
      <c r="L997" s="513">
        <v>0</v>
      </c>
      <c r="M997" s="513">
        <v>-415513.00459590607</v>
      </c>
      <c r="N997" s="622" t="s">
        <v>1724</v>
      </c>
    </row>
    <row r="998" spans="2:14" ht="29.1">
      <c r="B998" s="513" t="s">
        <v>398</v>
      </c>
      <c r="C998" s="889">
        <v>2018</v>
      </c>
      <c r="D998" s="513">
        <v>-415513.00459590607</v>
      </c>
      <c r="E998" s="513">
        <f>VLOOKUP(B998,'[6]2018 allocation'!$A$11:$B$218,2, FALSE)</f>
        <v>148578.57360241076</v>
      </c>
      <c r="F998" s="513">
        <f>E998</f>
        <v>148578.57360241076</v>
      </c>
      <c r="G998" s="513">
        <f>D998+E998</f>
        <v>-266934.43099349528</v>
      </c>
      <c r="H998" s="513">
        <v>0</v>
      </c>
      <c r="I998" s="622" t="s">
        <v>103</v>
      </c>
      <c r="J998" s="513">
        <f>VLOOKUP(B998,'[6]Annual Spending Worksheet '!$C$6:$AG$250,28,FALSE)</f>
        <v>53.22</v>
      </c>
      <c r="K998" s="513">
        <f>VLOOKUP(B998,'[6]Annual Spending Worksheet '!$C$6:$AG$250,29,FALSE)</f>
        <v>0</v>
      </c>
      <c r="L998" s="513">
        <v>0</v>
      </c>
      <c r="M998" s="513">
        <f>D998+E998+H998-J998</f>
        <v>-266987.65099349525</v>
      </c>
      <c r="N998" s="622" t="s">
        <v>1724</v>
      </c>
    </row>
    <row r="999" spans="2:14" ht="29.1">
      <c r="B999" s="513" t="s">
        <v>398</v>
      </c>
      <c r="C999" s="889">
        <v>2019</v>
      </c>
      <c r="D999" s="513">
        <v>-266987.65099349525</v>
      </c>
      <c r="E999" s="513">
        <v>157259.31628105015</v>
      </c>
      <c r="F999" s="513">
        <v>157259.31628105015</v>
      </c>
      <c r="G999" s="513">
        <v>-109728.3347124451</v>
      </c>
      <c r="H999" s="513">
        <v>0</v>
      </c>
      <c r="I999" s="622" t="s">
        <v>103</v>
      </c>
      <c r="J999" s="513">
        <v>0</v>
      </c>
      <c r="K999" s="513">
        <v>0</v>
      </c>
      <c r="L999" s="513">
        <v>0</v>
      </c>
      <c r="M999" s="513">
        <v>-109728.3347124451</v>
      </c>
      <c r="N999" s="622" t="s">
        <v>1724</v>
      </c>
    </row>
    <row r="1000" spans="2:14">
      <c r="B1000" s="513" t="s">
        <v>405</v>
      </c>
      <c r="C1000" s="658">
        <v>2008</v>
      </c>
      <c r="D1000" s="513">
        <v>897528.37100000004</v>
      </c>
      <c r="E1000" s="512">
        <v>65468.89572922088</v>
      </c>
      <c r="F1000" s="513">
        <v>65468.89572922088</v>
      </c>
      <c r="G1000" s="512">
        <v>0</v>
      </c>
      <c r="H1000" s="512">
        <v>0</v>
      </c>
      <c r="I1000" s="659" t="s">
        <v>103</v>
      </c>
      <c r="J1000" s="513">
        <v>734682.62</v>
      </c>
      <c r="K1000" s="513">
        <v>0</v>
      </c>
      <c r="L1000" s="513">
        <v>0</v>
      </c>
      <c r="M1000" s="513">
        <v>228314.64672922099</v>
      </c>
      <c r="N1000" s="622"/>
    </row>
    <row r="1001" spans="2:14">
      <c r="B1001" s="513" t="s">
        <v>405</v>
      </c>
      <c r="C1001" s="658">
        <v>2009</v>
      </c>
      <c r="D1001" s="513">
        <v>228314.64672922087</v>
      </c>
      <c r="E1001" s="512">
        <v>54077.611064603072</v>
      </c>
      <c r="F1001" s="513">
        <v>54077.611064603072</v>
      </c>
      <c r="G1001" s="512">
        <v>0</v>
      </c>
      <c r="H1001" s="512">
        <v>0</v>
      </c>
      <c r="I1001" s="659" t="s">
        <v>103</v>
      </c>
      <c r="J1001" s="513">
        <v>65838.859999999986</v>
      </c>
      <c r="K1001" s="513">
        <v>0</v>
      </c>
      <c r="L1001" s="513">
        <v>0</v>
      </c>
      <c r="M1001" s="513">
        <v>216553.39779382397</v>
      </c>
      <c r="N1001" s="622"/>
    </row>
    <row r="1002" spans="2:14">
      <c r="B1002" s="513" t="s">
        <v>405</v>
      </c>
      <c r="C1002" s="658">
        <v>2010</v>
      </c>
      <c r="D1002" s="513">
        <v>216553.39779382409</v>
      </c>
      <c r="E1002" s="512">
        <v>54013.33</v>
      </c>
      <c r="F1002" s="513">
        <v>54013.33</v>
      </c>
      <c r="G1002" s="512">
        <v>0</v>
      </c>
      <c r="H1002" s="512">
        <v>0</v>
      </c>
      <c r="I1002" s="659" t="s">
        <v>103</v>
      </c>
      <c r="J1002" s="513">
        <v>4636.9699999999984</v>
      </c>
      <c r="K1002" s="513">
        <v>0</v>
      </c>
      <c r="L1002" s="513">
        <v>0</v>
      </c>
      <c r="M1002" s="513">
        <v>265929.75779382413</v>
      </c>
      <c r="N1002" s="622"/>
    </row>
    <row r="1003" spans="2:14">
      <c r="B1003" s="513" t="s">
        <v>405</v>
      </c>
      <c r="C1003" s="658">
        <v>2011</v>
      </c>
      <c r="D1003" s="513">
        <v>265929.75632322882</v>
      </c>
      <c r="E1003" s="512">
        <v>54904.108037497594</v>
      </c>
      <c r="F1003" s="513">
        <v>54904.108037497594</v>
      </c>
      <c r="G1003" s="660">
        <v>0</v>
      </c>
      <c r="H1003" s="512">
        <v>0</v>
      </c>
      <c r="I1003" s="659" t="s">
        <v>103</v>
      </c>
      <c r="J1003" s="513">
        <v>669.21</v>
      </c>
      <c r="K1003" s="513">
        <v>0</v>
      </c>
      <c r="L1003" s="513">
        <v>1658</v>
      </c>
      <c r="M1003" s="513">
        <v>318506.65436072642</v>
      </c>
      <c r="N1003" s="622"/>
    </row>
    <row r="1004" spans="2:14">
      <c r="B1004" s="513" t="s">
        <v>405</v>
      </c>
      <c r="C1004" s="658">
        <v>2012</v>
      </c>
      <c r="D1004" s="513">
        <v>318506.65426072641</v>
      </c>
      <c r="E1004" s="513">
        <v>41708.891604939301</v>
      </c>
      <c r="F1004" s="513">
        <v>41708.891604939301</v>
      </c>
      <c r="G1004" s="660">
        <v>0</v>
      </c>
      <c r="H1004" s="512">
        <v>0</v>
      </c>
      <c r="I1004" s="659" t="s">
        <v>103</v>
      </c>
      <c r="J1004" s="513">
        <v>25161.049999999985</v>
      </c>
      <c r="K1004" s="513">
        <v>0</v>
      </c>
      <c r="L1004" s="513">
        <v>0</v>
      </c>
      <c r="M1004" s="513">
        <v>335054.49586566573</v>
      </c>
      <c r="N1004" s="622"/>
    </row>
    <row r="1005" spans="2:14">
      <c r="B1005" s="513" t="s">
        <v>405</v>
      </c>
      <c r="C1005" s="658">
        <v>2013</v>
      </c>
      <c r="D1005" s="513">
        <v>335054.49586566584</v>
      </c>
      <c r="E1005" s="513">
        <v>59917.474151574839</v>
      </c>
      <c r="F1005" s="513">
        <v>59917.474151574839</v>
      </c>
      <c r="G1005" s="660">
        <v>0</v>
      </c>
      <c r="H1005" s="512">
        <v>0</v>
      </c>
      <c r="I1005" s="659" t="s">
        <v>103</v>
      </c>
      <c r="J1005" s="513">
        <v>8260.4699999999975</v>
      </c>
      <c r="K1005" s="513">
        <v>0</v>
      </c>
      <c r="L1005" s="513">
        <v>16171.24</v>
      </c>
      <c r="M1005" s="513">
        <v>370540.26001724071</v>
      </c>
      <c r="N1005" s="622"/>
    </row>
    <row r="1006" spans="2:14">
      <c r="B1006" s="513" t="s">
        <v>405</v>
      </c>
      <c r="C1006" s="658">
        <v>2014</v>
      </c>
      <c r="D1006" s="513">
        <v>370540.26011724072</v>
      </c>
      <c r="E1006" s="513">
        <v>62026.063907383112</v>
      </c>
      <c r="F1006" s="513">
        <v>62026.063907383112</v>
      </c>
      <c r="G1006" s="660">
        <v>0</v>
      </c>
      <c r="H1006" s="512">
        <v>0</v>
      </c>
      <c r="I1006" s="659" t="s">
        <v>103</v>
      </c>
      <c r="J1006" s="513">
        <v>12280</v>
      </c>
      <c r="K1006" s="513">
        <v>0</v>
      </c>
      <c r="L1006" s="513">
        <v>0</v>
      </c>
      <c r="M1006" s="513">
        <v>420286.32402462384</v>
      </c>
      <c r="N1006" s="622"/>
    </row>
    <row r="1007" spans="2:14">
      <c r="B1007" s="513" t="s">
        <v>405</v>
      </c>
      <c r="C1007" s="658">
        <v>2015</v>
      </c>
      <c r="D1007" s="513">
        <v>420286.32402462373</v>
      </c>
      <c r="E1007" s="513">
        <v>62882.42144153118</v>
      </c>
      <c r="F1007" s="513">
        <v>62882.42144153118</v>
      </c>
      <c r="G1007" s="660">
        <v>0</v>
      </c>
      <c r="H1007" s="660">
        <v>0</v>
      </c>
      <c r="I1007" s="659" t="s">
        <v>103</v>
      </c>
      <c r="J1007" s="513">
        <v>2457</v>
      </c>
      <c r="K1007" s="513">
        <v>0</v>
      </c>
      <c r="L1007" s="513">
        <v>-205.57</v>
      </c>
      <c r="M1007" s="513">
        <v>480917.31546615489</v>
      </c>
      <c r="N1007" s="622"/>
    </row>
    <row r="1008" spans="2:14">
      <c r="B1008" s="513" t="s">
        <v>405</v>
      </c>
      <c r="C1008" s="658">
        <v>2016</v>
      </c>
      <c r="D1008" s="513">
        <v>480917.31546615507</v>
      </c>
      <c r="E1008" s="513">
        <v>47173.315651084857</v>
      </c>
      <c r="F1008" s="513">
        <v>47173.315651084857</v>
      </c>
      <c r="G1008" s="660">
        <v>0</v>
      </c>
      <c r="H1008" s="660">
        <v>0</v>
      </c>
      <c r="I1008" s="659" t="s">
        <v>103</v>
      </c>
      <c r="J1008" s="513">
        <v>106828.40000000002</v>
      </c>
      <c r="K1008" s="513">
        <v>0</v>
      </c>
      <c r="L1008" s="513">
        <v>0</v>
      </c>
      <c r="M1008" s="513">
        <v>421262.23111723992</v>
      </c>
      <c r="N1008" s="622"/>
    </row>
    <row r="1009" spans="2:14">
      <c r="B1009" s="513" t="s">
        <v>405</v>
      </c>
      <c r="C1009" s="658">
        <v>2017</v>
      </c>
      <c r="D1009" s="513">
        <v>421262.23111723992</v>
      </c>
      <c r="E1009" s="513">
        <v>44124.312304681967</v>
      </c>
      <c r="F1009" s="513">
        <v>44124.312304681967</v>
      </c>
      <c r="G1009" s="513">
        <v>0</v>
      </c>
      <c r="H1009" s="513">
        <v>0</v>
      </c>
      <c r="I1009" s="659" t="s">
        <v>103</v>
      </c>
      <c r="J1009" s="513">
        <v>9312.5799999999981</v>
      </c>
      <c r="K1009" s="513">
        <v>0</v>
      </c>
      <c r="L1009" s="513">
        <v>0</v>
      </c>
      <c r="M1009" s="513">
        <v>456073.96342192189</v>
      </c>
      <c r="N1009" s="622"/>
    </row>
    <row r="1010" spans="2:14">
      <c r="B1010" s="513" t="s">
        <v>405</v>
      </c>
      <c r="C1010" s="889">
        <v>2018</v>
      </c>
      <c r="D1010" s="513">
        <v>456073.96342192189</v>
      </c>
      <c r="E1010" s="513">
        <f>VLOOKUP(B1010,'[6]2018 allocation'!$A$11:$B$218,2, FALSE)</f>
        <v>46740.099711039453</v>
      </c>
      <c r="F1010" s="513">
        <f>E1010</f>
        <v>46740.099711039453</v>
      </c>
      <c r="G1010" s="513">
        <v>0</v>
      </c>
      <c r="H1010" s="513">
        <v>0</v>
      </c>
      <c r="I1010" s="622" t="s">
        <v>103</v>
      </c>
      <c r="J1010" s="513">
        <f>VLOOKUP(B1010,'[6]Annual Spending Worksheet '!$C$6:$AG$250,28,FALSE)</f>
        <v>122674.11000000004</v>
      </c>
      <c r="K1010" s="513">
        <f>VLOOKUP(B1010,'[6]Annual Spending Worksheet '!$C$6:$AG$250,29,FALSE)</f>
        <v>0</v>
      </c>
      <c r="L1010" s="513">
        <v>0</v>
      </c>
      <c r="M1010" s="513">
        <f>D1010+E1010+H1010-J1010</f>
        <v>380139.95313296129</v>
      </c>
      <c r="N1010" s="513"/>
    </row>
    <row r="1011" spans="2:14">
      <c r="B1011" s="513" t="s">
        <v>405</v>
      </c>
      <c r="C1011" s="889">
        <v>2019</v>
      </c>
      <c r="D1011" s="513">
        <v>380139.95313296129</v>
      </c>
      <c r="E1011" s="513">
        <v>49498.733406798347</v>
      </c>
      <c r="F1011" s="513">
        <v>49498.733406798347</v>
      </c>
      <c r="G1011" s="513">
        <v>0</v>
      </c>
      <c r="H1011" s="513">
        <v>0</v>
      </c>
      <c r="I1011" s="622" t="s">
        <v>103</v>
      </c>
      <c r="J1011" s="513">
        <v>2211.65</v>
      </c>
      <c r="K1011" s="513">
        <v>0</v>
      </c>
      <c r="L1011" s="513">
        <v>0</v>
      </c>
      <c r="M1011" s="513">
        <v>427427.0365397596</v>
      </c>
      <c r="N1011" s="513"/>
    </row>
    <row r="1012" spans="2:14" ht="29.1">
      <c r="B1012" s="513" t="s">
        <v>409</v>
      </c>
      <c r="C1012" s="658">
        <v>2008</v>
      </c>
      <c r="D1012" s="513">
        <v>-2386991.0150000015</v>
      </c>
      <c r="E1012" s="512">
        <v>289880.63204027637</v>
      </c>
      <c r="F1012" s="513">
        <v>289880.63204027637</v>
      </c>
      <c r="G1012" s="660">
        <v>-2097110.3829597251</v>
      </c>
      <c r="H1012" s="512">
        <v>0</v>
      </c>
      <c r="I1012" s="659" t="s">
        <v>103</v>
      </c>
      <c r="J1012" s="513">
        <v>0</v>
      </c>
      <c r="K1012" s="513">
        <v>0</v>
      </c>
      <c r="L1012" s="513">
        <v>0</v>
      </c>
      <c r="M1012" s="513">
        <v>-2097110.3829597251</v>
      </c>
      <c r="N1012" s="622" t="s">
        <v>1711</v>
      </c>
    </row>
    <row r="1013" spans="2:14" ht="29.1">
      <c r="B1013" s="513" t="s">
        <v>409</v>
      </c>
      <c r="C1013" s="658">
        <v>2009</v>
      </c>
      <c r="D1013" s="513">
        <v>-2097110.3829597253</v>
      </c>
      <c r="E1013" s="512">
        <v>217782.60209218969</v>
      </c>
      <c r="F1013" s="513">
        <v>217782.60209218969</v>
      </c>
      <c r="G1013" s="660">
        <v>-1879327.7808675356</v>
      </c>
      <c r="H1013" s="512">
        <v>0</v>
      </c>
      <c r="I1013" s="659" t="s">
        <v>103</v>
      </c>
      <c r="J1013" s="513">
        <v>0</v>
      </c>
      <c r="K1013" s="513">
        <v>0</v>
      </c>
      <c r="L1013" s="513">
        <v>0</v>
      </c>
      <c r="M1013" s="513">
        <v>-1879327.7808675356</v>
      </c>
      <c r="N1013" s="622" t="s">
        <v>1711</v>
      </c>
    </row>
    <row r="1014" spans="2:14" ht="29.1">
      <c r="B1014" s="513" t="s">
        <v>409</v>
      </c>
      <c r="C1014" s="658">
        <v>2010</v>
      </c>
      <c r="D1014" s="513">
        <v>-1879327.7808675356</v>
      </c>
      <c r="E1014" s="512">
        <v>217361.13</v>
      </c>
      <c r="F1014" s="513">
        <v>217361.13</v>
      </c>
      <c r="G1014" s="660">
        <v>-1661966.6508675357</v>
      </c>
      <c r="H1014" s="512">
        <v>0</v>
      </c>
      <c r="I1014" s="659" t="s">
        <v>103</v>
      </c>
      <c r="J1014" s="513">
        <v>0</v>
      </c>
      <c r="K1014" s="513">
        <v>0</v>
      </c>
      <c r="L1014" s="513">
        <v>0</v>
      </c>
      <c r="M1014" s="513">
        <v>-1661966.6508675357</v>
      </c>
      <c r="N1014" s="622" t="s">
        <v>1711</v>
      </c>
    </row>
    <row r="1015" spans="2:14" ht="29.1">
      <c r="B1015" s="513" t="s">
        <v>409</v>
      </c>
      <c r="C1015" s="658">
        <v>2011</v>
      </c>
      <c r="D1015" s="513">
        <v>-1661966.6494771885</v>
      </c>
      <c r="E1015" s="512">
        <v>222567.22091230407</v>
      </c>
      <c r="F1015" s="513">
        <v>222567.22091230407</v>
      </c>
      <c r="G1015" s="660">
        <v>-1439399.4285648845</v>
      </c>
      <c r="H1015" s="512">
        <v>0</v>
      </c>
      <c r="I1015" s="659" t="s">
        <v>103</v>
      </c>
      <c r="J1015" s="513">
        <v>0</v>
      </c>
      <c r="K1015" s="513">
        <v>0</v>
      </c>
      <c r="L1015" s="513">
        <v>0</v>
      </c>
      <c r="M1015" s="513">
        <v>-1439399.4285648845</v>
      </c>
      <c r="N1015" s="622" t="s">
        <v>1711</v>
      </c>
    </row>
    <row r="1016" spans="2:14" ht="29.1">
      <c r="B1016" s="513" t="s">
        <v>409</v>
      </c>
      <c r="C1016" s="658">
        <v>2012</v>
      </c>
      <c r="D1016" s="513">
        <v>-1439399.4285648847</v>
      </c>
      <c r="E1016" s="512">
        <v>136662.36000871312</v>
      </c>
      <c r="F1016" s="513">
        <v>136662.36000871312</v>
      </c>
      <c r="G1016" s="660">
        <v>-1302737.0685561716</v>
      </c>
      <c r="H1016" s="512">
        <v>0</v>
      </c>
      <c r="I1016" s="659" t="s">
        <v>103</v>
      </c>
      <c r="J1016" s="513">
        <v>0</v>
      </c>
      <c r="K1016" s="513">
        <v>0</v>
      </c>
      <c r="L1016" s="513">
        <v>0</v>
      </c>
      <c r="M1016" s="513">
        <v>-1302737.0685561716</v>
      </c>
      <c r="N1016" s="622" t="s">
        <v>1711</v>
      </c>
    </row>
    <row r="1017" spans="2:14" ht="29.1">
      <c r="B1017" s="513" t="s">
        <v>409</v>
      </c>
      <c r="C1017" s="658">
        <v>2013</v>
      </c>
      <c r="D1017" s="513">
        <v>-1302737.0685561718</v>
      </c>
      <c r="E1017" s="513">
        <v>255323.33425134872</v>
      </c>
      <c r="F1017" s="513">
        <v>255323.33425134872</v>
      </c>
      <c r="G1017" s="660">
        <v>-1047413.7343048231</v>
      </c>
      <c r="H1017" s="512">
        <v>0</v>
      </c>
      <c r="I1017" s="659" t="s">
        <v>103</v>
      </c>
      <c r="J1017" s="513">
        <v>0</v>
      </c>
      <c r="K1017" s="513">
        <v>0</v>
      </c>
      <c r="L1017" s="513">
        <v>0</v>
      </c>
      <c r="M1017" s="513">
        <v>-1047413.7343048231</v>
      </c>
      <c r="N1017" s="622" t="s">
        <v>1711</v>
      </c>
    </row>
    <row r="1018" spans="2:14" ht="29.1">
      <c r="B1018" s="513" t="s">
        <v>409</v>
      </c>
      <c r="C1018" s="658">
        <v>2014</v>
      </c>
      <c r="D1018" s="513">
        <v>-1047413.734304823</v>
      </c>
      <c r="E1018" s="513">
        <v>272151.02766588685</v>
      </c>
      <c r="F1018" s="513">
        <v>272151.02766588685</v>
      </c>
      <c r="G1018" s="660">
        <v>-775262.70663893619</v>
      </c>
      <c r="H1018" s="512">
        <v>0</v>
      </c>
      <c r="I1018" s="659" t="s">
        <v>103</v>
      </c>
      <c r="J1018" s="513">
        <v>0</v>
      </c>
      <c r="K1018" s="513">
        <v>0</v>
      </c>
      <c r="L1018" s="513">
        <v>0</v>
      </c>
      <c r="M1018" s="513">
        <v>-775262.70663893619</v>
      </c>
      <c r="N1018" s="622" t="s">
        <v>1711</v>
      </c>
    </row>
    <row r="1019" spans="2:14" ht="29.1">
      <c r="B1019" s="513" t="s">
        <v>409</v>
      </c>
      <c r="C1019" s="658">
        <v>2015</v>
      </c>
      <c r="D1019" s="513">
        <v>-775262.70663893595</v>
      </c>
      <c r="E1019" s="513">
        <v>278412.98428661405</v>
      </c>
      <c r="F1019" s="513">
        <v>278412.98428661405</v>
      </c>
      <c r="G1019" s="660">
        <v>-496849.7223523219</v>
      </c>
      <c r="H1019" s="512">
        <v>0</v>
      </c>
      <c r="I1019" s="659" t="s">
        <v>103</v>
      </c>
      <c r="J1019" s="513">
        <v>0</v>
      </c>
      <c r="K1019" s="513">
        <v>0</v>
      </c>
      <c r="L1019" s="513">
        <v>0</v>
      </c>
      <c r="M1019" s="513">
        <v>-496849.7223523219</v>
      </c>
      <c r="N1019" s="622" t="s">
        <v>1711</v>
      </c>
    </row>
    <row r="1020" spans="2:14" ht="29.1">
      <c r="B1020" s="513" t="s">
        <v>409</v>
      </c>
      <c r="C1020" s="658">
        <v>2016</v>
      </c>
      <c r="D1020" s="513">
        <v>-496849.72235232219</v>
      </c>
      <c r="E1020" s="513">
        <v>164725.32555008822</v>
      </c>
      <c r="F1020" s="513">
        <v>164725.32555008822</v>
      </c>
      <c r="G1020" s="660">
        <v>-332124.396802234</v>
      </c>
      <c r="H1020" s="660">
        <v>0</v>
      </c>
      <c r="I1020" s="659" t="s">
        <v>103</v>
      </c>
      <c r="J1020" s="513">
        <v>0</v>
      </c>
      <c r="K1020" s="513">
        <v>0</v>
      </c>
      <c r="L1020" s="513">
        <v>0</v>
      </c>
      <c r="M1020" s="513">
        <v>-332124.396802234</v>
      </c>
      <c r="N1020" s="622" t="s">
        <v>1711</v>
      </c>
    </row>
    <row r="1021" spans="2:14" ht="29.1">
      <c r="B1021" s="513" t="s">
        <v>409</v>
      </c>
      <c r="C1021" s="658">
        <v>2017</v>
      </c>
      <c r="D1021" s="513">
        <v>-332124.39680223353</v>
      </c>
      <c r="E1021" s="513">
        <v>141689.70824614968</v>
      </c>
      <c r="F1021" s="513">
        <v>141689.70824614968</v>
      </c>
      <c r="G1021" s="660">
        <v>-190434.68855608386</v>
      </c>
      <c r="H1021" s="660">
        <v>0</v>
      </c>
      <c r="I1021" s="659" t="s">
        <v>103</v>
      </c>
      <c r="J1021" s="513">
        <v>0</v>
      </c>
      <c r="K1021" s="513">
        <v>0</v>
      </c>
      <c r="L1021" s="513">
        <v>0</v>
      </c>
      <c r="M1021" s="513">
        <v>-190434.68855608386</v>
      </c>
      <c r="N1021" s="622" t="s">
        <v>1711</v>
      </c>
    </row>
    <row r="1022" spans="2:14" ht="29.1">
      <c r="B1022" s="513" t="s">
        <v>409</v>
      </c>
      <c r="C1022" s="889">
        <v>2018</v>
      </c>
      <c r="D1022" s="513">
        <v>-190434.68855608386</v>
      </c>
      <c r="E1022" s="513">
        <f>VLOOKUP(B1022,'[6]2018 allocation'!$A$11:$B$218,2, FALSE)</f>
        <v>160007.83480005068</v>
      </c>
      <c r="F1022" s="513">
        <f>E1022</f>
        <v>160007.83480005068</v>
      </c>
      <c r="G1022" s="513">
        <f>D1022+E1022</f>
        <v>-30426.853756033175</v>
      </c>
      <c r="H1022" s="513">
        <v>0</v>
      </c>
      <c r="I1022" s="622" t="s">
        <v>103</v>
      </c>
      <c r="J1022" s="513">
        <f>VLOOKUP(B1022,'[6]Annual Spending Worksheet '!$C$6:$AG$250,28,FALSE)</f>
        <v>0</v>
      </c>
      <c r="K1022" s="513">
        <f>VLOOKUP(B1022,'[6]Annual Spending Worksheet '!$C$6:$AG$250,29,FALSE)</f>
        <v>0</v>
      </c>
      <c r="L1022" s="513">
        <v>0</v>
      </c>
      <c r="M1022" s="513">
        <f>D1022+E1022+H1022-J1022</f>
        <v>-30426.853756033175</v>
      </c>
      <c r="N1022" s="622" t="s">
        <v>1711</v>
      </c>
    </row>
    <row r="1023" spans="2:14">
      <c r="B1023" s="513" t="s">
        <v>409</v>
      </c>
      <c r="C1023" s="889">
        <v>2019</v>
      </c>
      <c r="D1023" s="513">
        <v>-30426.853756033175</v>
      </c>
      <c r="E1023" s="513">
        <v>180394.03883657354</v>
      </c>
      <c r="F1023" s="513">
        <v>180394.03883657354</v>
      </c>
      <c r="G1023" s="513">
        <v>149967.18508054037</v>
      </c>
      <c r="H1023" s="513">
        <v>0</v>
      </c>
      <c r="I1023" s="622" t="s">
        <v>103</v>
      </c>
      <c r="J1023" s="513">
        <v>0</v>
      </c>
      <c r="K1023" s="513">
        <v>0</v>
      </c>
      <c r="L1023" s="513">
        <v>0</v>
      </c>
      <c r="M1023" s="513">
        <v>149967.18508054037</v>
      </c>
      <c r="N1023" s="513"/>
    </row>
    <row r="1024" spans="2:14">
      <c r="B1024" s="513" t="s">
        <v>410</v>
      </c>
      <c r="C1024" s="658">
        <v>2008</v>
      </c>
      <c r="D1024" s="513">
        <v>439020.91399999987</v>
      </c>
      <c r="E1024" s="512">
        <v>92019.638425030411</v>
      </c>
      <c r="F1024" s="513">
        <v>92019.638425030411</v>
      </c>
      <c r="G1024" s="512">
        <v>0</v>
      </c>
      <c r="H1024" s="512">
        <v>0</v>
      </c>
      <c r="I1024" s="659" t="s">
        <v>103</v>
      </c>
      <c r="J1024" s="513">
        <v>0</v>
      </c>
      <c r="K1024" s="513">
        <v>0</v>
      </c>
      <c r="L1024" s="513">
        <v>0</v>
      </c>
      <c r="M1024" s="513">
        <v>531040.55242503027</v>
      </c>
      <c r="N1024" s="622"/>
    </row>
    <row r="1025" spans="2:14">
      <c r="B1025" s="513" t="s">
        <v>410</v>
      </c>
      <c r="C1025" s="658">
        <v>2009</v>
      </c>
      <c r="D1025" s="513">
        <v>531040.55242503015</v>
      </c>
      <c r="E1025" s="512">
        <v>73974.43424666168</v>
      </c>
      <c r="F1025" s="513">
        <v>73974.43424666168</v>
      </c>
      <c r="G1025" s="512">
        <v>0</v>
      </c>
      <c r="H1025" s="512">
        <v>0</v>
      </c>
      <c r="I1025" s="659" t="s">
        <v>103</v>
      </c>
      <c r="J1025" s="513">
        <v>0</v>
      </c>
      <c r="K1025" s="513">
        <v>0</v>
      </c>
      <c r="L1025" s="513">
        <v>0</v>
      </c>
      <c r="M1025" s="513">
        <v>605014.98667169188</v>
      </c>
      <c r="N1025" s="622"/>
    </row>
    <row r="1026" spans="2:14">
      <c r="B1026" s="513" t="s">
        <v>410</v>
      </c>
      <c r="C1026" s="658">
        <v>2010</v>
      </c>
      <c r="D1026" s="513">
        <v>605014.98667169176</v>
      </c>
      <c r="E1026" s="512">
        <v>73884.570000000007</v>
      </c>
      <c r="F1026" s="513">
        <v>73884.570000000007</v>
      </c>
      <c r="G1026" s="512">
        <v>0</v>
      </c>
      <c r="H1026" s="512">
        <v>0</v>
      </c>
      <c r="I1026" s="659" t="s">
        <v>103</v>
      </c>
      <c r="J1026" s="513">
        <v>0</v>
      </c>
      <c r="K1026" s="513">
        <v>0</v>
      </c>
      <c r="L1026" s="513">
        <v>0</v>
      </c>
      <c r="M1026" s="513">
        <v>678899.55667169183</v>
      </c>
      <c r="N1026" s="622"/>
    </row>
    <row r="1027" spans="2:14">
      <c r="B1027" s="513" t="s">
        <v>410</v>
      </c>
      <c r="C1027" s="658">
        <v>2011</v>
      </c>
      <c r="D1027" s="513">
        <v>678899.55365920719</v>
      </c>
      <c r="E1027" s="512">
        <v>75185.694923215531</v>
      </c>
      <c r="F1027" s="513">
        <v>75185.694923215531</v>
      </c>
      <c r="G1027" s="512">
        <v>0</v>
      </c>
      <c r="H1027" s="512">
        <v>0</v>
      </c>
      <c r="I1027" s="659" t="s">
        <v>103</v>
      </c>
      <c r="J1027" s="513">
        <v>0</v>
      </c>
      <c r="K1027" s="513">
        <v>0</v>
      </c>
      <c r="L1027" s="513">
        <v>0</v>
      </c>
      <c r="M1027" s="513">
        <v>754085.24858242273</v>
      </c>
      <c r="N1027" s="622"/>
    </row>
    <row r="1028" spans="2:14">
      <c r="B1028" s="513" t="s">
        <v>410</v>
      </c>
      <c r="C1028" s="658">
        <v>2012</v>
      </c>
      <c r="D1028" s="513">
        <v>754085.24858242273</v>
      </c>
      <c r="E1028" s="513">
        <v>53916.179350572413</v>
      </c>
      <c r="F1028" s="513">
        <v>53916.179350572413</v>
      </c>
      <c r="G1028" s="512">
        <v>0</v>
      </c>
      <c r="H1028" s="512">
        <v>0</v>
      </c>
      <c r="I1028" s="659" t="s">
        <v>103</v>
      </c>
      <c r="J1028" s="513">
        <v>0</v>
      </c>
      <c r="K1028" s="513">
        <v>0</v>
      </c>
      <c r="L1028" s="513">
        <v>0</v>
      </c>
      <c r="M1028" s="513">
        <v>808001.42793299514</v>
      </c>
      <c r="N1028" s="622"/>
    </row>
    <row r="1029" spans="2:14">
      <c r="B1029" s="513" t="s">
        <v>410</v>
      </c>
      <c r="C1029" s="658">
        <v>2013</v>
      </c>
      <c r="D1029" s="513">
        <v>808001.42793299537</v>
      </c>
      <c r="E1029" s="513">
        <v>83279.29116108836</v>
      </c>
      <c r="F1029" s="513">
        <v>83279.29116108836</v>
      </c>
      <c r="G1029" s="512">
        <v>0</v>
      </c>
      <c r="H1029" s="512">
        <v>0</v>
      </c>
      <c r="I1029" s="659" t="s">
        <v>103</v>
      </c>
      <c r="J1029" s="513">
        <v>0</v>
      </c>
      <c r="K1029" s="513">
        <v>0</v>
      </c>
      <c r="L1029" s="513">
        <v>0</v>
      </c>
      <c r="M1029" s="513">
        <v>891280.71909408376</v>
      </c>
      <c r="N1029" s="622"/>
    </row>
    <row r="1030" spans="2:14">
      <c r="B1030" s="513" t="s">
        <v>410</v>
      </c>
      <c r="C1030" s="658">
        <v>2014</v>
      </c>
      <c r="D1030" s="513">
        <v>891280.71909408364</v>
      </c>
      <c r="E1030" s="513">
        <v>86703.610881280227</v>
      </c>
      <c r="F1030" s="513">
        <v>86703.610881280227</v>
      </c>
      <c r="G1030" s="512">
        <v>0</v>
      </c>
      <c r="H1030" s="512">
        <v>0</v>
      </c>
      <c r="I1030" s="659" t="s">
        <v>103</v>
      </c>
      <c r="J1030" s="513">
        <v>0</v>
      </c>
      <c r="K1030" s="513">
        <v>0</v>
      </c>
      <c r="L1030" s="513">
        <v>0</v>
      </c>
      <c r="M1030" s="513">
        <v>977984.32997536391</v>
      </c>
      <c r="N1030" s="622"/>
    </row>
    <row r="1031" spans="2:14">
      <c r="B1031" s="513" t="s">
        <v>410</v>
      </c>
      <c r="C1031" s="658">
        <v>2015</v>
      </c>
      <c r="D1031" s="513">
        <v>977984.3299753638</v>
      </c>
      <c r="E1031" s="513">
        <v>88000.172971430278</v>
      </c>
      <c r="F1031" s="513">
        <v>88000.172971430278</v>
      </c>
      <c r="G1031" s="660">
        <v>0</v>
      </c>
      <c r="H1031" s="660">
        <v>0</v>
      </c>
      <c r="I1031" s="659" t="s">
        <v>103</v>
      </c>
      <c r="J1031" s="513">
        <v>0</v>
      </c>
      <c r="K1031" s="513">
        <v>0</v>
      </c>
      <c r="L1031" s="513">
        <v>0</v>
      </c>
      <c r="M1031" s="513">
        <v>1065984.502946794</v>
      </c>
      <c r="N1031" s="622"/>
    </row>
    <row r="1032" spans="2:14">
      <c r="B1032" s="513" t="s">
        <v>410</v>
      </c>
      <c r="C1032" s="658">
        <v>2016</v>
      </c>
      <c r="D1032" s="513">
        <v>1065984.502946794</v>
      </c>
      <c r="E1032" s="513">
        <v>62756.378968102203</v>
      </c>
      <c r="F1032" s="513">
        <v>62756.378968102203</v>
      </c>
      <c r="G1032" s="660">
        <v>0</v>
      </c>
      <c r="H1032" s="660">
        <v>0</v>
      </c>
      <c r="I1032" s="659" t="s">
        <v>103</v>
      </c>
      <c r="J1032" s="513">
        <v>0</v>
      </c>
      <c r="K1032" s="513">
        <v>0</v>
      </c>
      <c r="L1032" s="513">
        <v>0</v>
      </c>
      <c r="M1032" s="513">
        <v>1128740.8819148962</v>
      </c>
      <c r="N1032" s="622"/>
    </row>
    <row r="1033" spans="2:14">
      <c r="B1033" s="513" t="s">
        <v>410</v>
      </c>
      <c r="C1033" s="658">
        <v>2017</v>
      </c>
      <c r="D1033" s="513">
        <v>1128740.8819148964</v>
      </c>
      <c r="E1033" s="513">
        <v>57836.012818212504</v>
      </c>
      <c r="F1033" s="513">
        <v>57836.012818212504</v>
      </c>
      <c r="G1033" s="513">
        <v>0</v>
      </c>
      <c r="H1033" s="513">
        <v>0</v>
      </c>
      <c r="I1033" s="659" t="s">
        <v>103</v>
      </c>
      <c r="J1033" s="513">
        <v>0</v>
      </c>
      <c r="K1033" s="513">
        <v>0</v>
      </c>
      <c r="L1033" s="513">
        <v>0</v>
      </c>
      <c r="M1033" s="513">
        <v>1186576.894733109</v>
      </c>
      <c r="N1033" s="622"/>
    </row>
    <row r="1034" spans="2:14">
      <c r="B1034" s="513" t="s">
        <v>410</v>
      </c>
      <c r="C1034" s="889">
        <v>2018</v>
      </c>
      <c r="D1034" s="513">
        <v>1186576.894733109</v>
      </c>
      <c r="E1034" s="513">
        <f>VLOOKUP(B1034,'[6]2018 allocation'!$A$11:$B$218,2, FALSE)</f>
        <v>62029.194724172077</v>
      </c>
      <c r="F1034" s="513">
        <f>E1034</f>
        <v>62029.194724172077</v>
      </c>
      <c r="G1034" s="513">
        <v>0</v>
      </c>
      <c r="H1034" s="513">
        <v>0</v>
      </c>
      <c r="I1034" s="622" t="s">
        <v>103</v>
      </c>
      <c r="J1034" s="513">
        <f>VLOOKUP(B1034,'[6]Annual Spending Worksheet '!$C$6:$AG$250,28,FALSE)</f>
        <v>0</v>
      </c>
      <c r="K1034" s="513">
        <f>VLOOKUP(B1034,'[6]Annual Spending Worksheet '!$C$6:$AG$250,29,FALSE)</f>
        <v>0</v>
      </c>
      <c r="L1034" s="513">
        <v>0</v>
      </c>
      <c r="M1034" s="513">
        <f>D1034+E1034+H1034-J1034</f>
        <v>1248606.0894572812</v>
      </c>
      <c r="N1034" s="513"/>
    </row>
    <row r="1035" spans="2:14">
      <c r="B1035" s="513" t="s">
        <v>410</v>
      </c>
      <c r="C1035" s="889">
        <v>2019</v>
      </c>
      <c r="D1035" s="513">
        <v>1248606.0894572812</v>
      </c>
      <c r="E1035" s="513">
        <v>66477.266478971185</v>
      </c>
      <c r="F1035" s="513">
        <v>66477.266478971185</v>
      </c>
      <c r="G1035" s="513">
        <v>0</v>
      </c>
      <c r="H1035" s="513">
        <v>0</v>
      </c>
      <c r="I1035" s="622" t="s">
        <v>103</v>
      </c>
      <c r="J1035" s="513">
        <v>0</v>
      </c>
      <c r="K1035" s="513">
        <v>0</v>
      </c>
      <c r="L1035" s="513">
        <v>0</v>
      </c>
      <c r="M1035" s="513">
        <v>1315083.3559362523</v>
      </c>
      <c r="N1035" s="513"/>
    </row>
    <row r="1036" spans="2:14">
      <c r="B1036" s="513" t="s">
        <v>411</v>
      </c>
      <c r="C1036" s="658">
        <v>2008</v>
      </c>
      <c r="D1036" s="513">
        <v>1044512.004999999</v>
      </c>
      <c r="E1036" s="512">
        <v>695759.81148136547</v>
      </c>
      <c r="F1036" s="513">
        <v>695759.81148136547</v>
      </c>
      <c r="G1036" s="660">
        <v>0</v>
      </c>
      <c r="H1036" s="512">
        <v>0</v>
      </c>
      <c r="I1036" s="659" t="s">
        <v>103</v>
      </c>
      <c r="J1036" s="513">
        <v>35037.66999999986</v>
      </c>
      <c r="K1036" s="513">
        <v>0</v>
      </c>
      <c r="L1036" s="513">
        <v>0</v>
      </c>
      <c r="M1036" s="513">
        <v>1705234.1464813645</v>
      </c>
      <c r="N1036" s="622"/>
    </row>
    <row r="1037" spans="2:14">
      <c r="B1037" s="513" t="s">
        <v>411</v>
      </c>
      <c r="C1037" s="658">
        <v>2009</v>
      </c>
      <c r="D1037" s="513">
        <v>1705234.146481365</v>
      </c>
      <c r="E1037" s="512">
        <v>583381.7861395228</v>
      </c>
      <c r="F1037" s="513">
        <v>583381.7861395228</v>
      </c>
      <c r="G1037" s="660">
        <v>0</v>
      </c>
      <c r="H1037" s="512">
        <v>0</v>
      </c>
      <c r="I1037" s="659" t="s">
        <v>103</v>
      </c>
      <c r="J1037" s="513">
        <v>70230.210000000006</v>
      </c>
      <c r="K1037" s="513">
        <v>0</v>
      </c>
      <c r="L1037" s="513">
        <v>0</v>
      </c>
      <c r="M1037" s="513">
        <v>2218385.7226208877</v>
      </c>
      <c r="N1037" s="622"/>
    </row>
    <row r="1038" spans="2:14">
      <c r="B1038" s="513" t="s">
        <v>411</v>
      </c>
      <c r="C1038" s="658">
        <v>2010</v>
      </c>
      <c r="D1038" s="513">
        <v>2218385.7226208858</v>
      </c>
      <c r="E1038" s="512">
        <v>582646.55000000005</v>
      </c>
      <c r="F1038" s="513">
        <v>582646.55000000005</v>
      </c>
      <c r="G1038" s="660">
        <v>0</v>
      </c>
      <c r="H1038" s="512">
        <v>0</v>
      </c>
      <c r="I1038" s="659" t="s">
        <v>103</v>
      </c>
      <c r="J1038" s="513">
        <v>7544.0599999999995</v>
      </c>
      <c r="K1038" s="513">
        <v>0</v>
      </c>
      <c r="L1038" s="513">
        <v>-7546</v>
      </c>
      <c r="M1038" s="513">
        <v>2801034.2126208856</v>
      </c>
      <c r="N1038" s="622"/>
    </row>
    <row r="1039" spans="2:14">
      <c r="B1039" s="513" t="s">
        <v>411</v>
      </c>
      <c r="C1039" s="658">
        <v>2011</v>
      </c>
      <c r="D1039" s="513">
        <v>2801034.5886381008</v>
      </c>
      <c r="E1039" s="512">
        <v>590722.90606704808</v>
      </c>
      <c r="F1039" s="513">
        <v>590722.90606704808</v>
      </c>
      <c r="G1039" s="660">
        <v>0</v>
      </c>
      <c r="H1039" s="512">
        <v>0</v>
      </c>
      <c r="I1039" s="659" t="s">
        <v>103</v>
      </c>
      <c r="J1039" s="513">
        <v>4767672.1299999757</v>
      </c>
      <c r="K1039" s="513">
        <v>0</v>
      </c>
      <c r="L1039" s="513">
        <v>0</v>
      </c>
      <c r="M1039" s="513">
        <v>-1375914.6352948267</v>
      </c>
      <c r="N1039" s="622" t="s">
        <v>1715</v>
      </c>
    </row>
    <row r="1040" spans="2:14">
      <c r="B1040" s="513" t="s">
        <v>411</v>
      </c>
      <c r="C1040" s="658">
        <v>2012</v>
      </c>
      <c r="D1040" s="513">
        <v>-1375914.6352948286</v>
      </c>
      <c r="E1040" s="512">
        <v>456732.50298133743</v>
      </c>
      <c r="F1040" s="513">
        <v>456732.50298133743</v>
      </c>
      <c r="G1040" s="660">
        <v>-919182.13231349108</v>
      </c>
      <c r="H1040" s="512">
        <v>0</v>
      </c>
      <c r="I1040" s="659" t="s">
        <v>103</v>
      </c>
      <c r="J1040" s="513">
        <v>865096.40000000142</v>
      </c>
      <c r="K1040" s="513">
        <v>5947824</v>
      </c>
      <c r="L1040" s="513">
        <v>0</v>
      </c>
      <c r="M1040" s="513">
        <v>-1784278.5323134926</v>
      </c>
      <c r="N1040" s="622" t="s">
        <v>1715</v>
      </c>
    </row>
    <row r="1041" spans="2:14">
      <c r="B1041" s="513" t="s">
        <v>411</v>
      </c>
      <c r="C1041" s="658">
        <v>2013</v>
      </c>
      <c r="D1041" s="513">
        <v>-1784278.5323134921</v>
      </c>
      <c r="E1041" s="513">
        <v>641848.33614139201</v>
      </c>
      <c r="F1041" s="513">
        <v>641848.33614139201</v>
      </c>
      <c r="G1041" s="660">
        <v>-1142430.1961721</v>
      </c>
      <c r="H1041" s="512">
        <v>0</v>
      </c>
      <c r="I1041" s="659" t="s">
        <v>103</v>
      </c>
      <c r="J1041" s="513">
        <v>51390.280000000021</v>
      </c>
      <c r="K1041" s="513">
        <v>0</v>
      </c>
      <c r="L1041" s="513">
        <v>0</v>
      </c>
      <c r="M1041" s="513">
        <v>-1193820.4761721001</v>
      </c>
      <c r="N1041" s="622" t="s">
        <v>1715</v>
      </c>
    </row>
    <row r="1042" spans="2:14">
      <c r="B1042" s="513" t="s">
        <v>411</v>
      </c>
      <c r="C1042" s="658">
        <v>2014</v>
      </c>
      <c r="D1042" s="513">
        <v>-1193820.4761721008</v>
      </c>
      <c r="E1042" s="513">
        <v>663475.26065723144</v>
      </c>
      <c r="F1042" s="513">
        <v>663475.26065723144</v>
      </c>
      <c r="G1042" s="660">
        <v>-530345.21551486931</v>
      </c>
      <c r="H1042" s="512">
        <v>0</v>
      </c>
      <c r="I1042" s="659" t="s">
        <v>103</v>
      </c>
      <c r="J1042" s="513">
        <v>139791.88999999996</v>
      </c>
      <c r="K1042" s="513">
        <v>0</v>
      </c>
      <c r="L1042" s="513">
        <v>0</v>
      </c>
      <c r="M1042" s="513">
        <v>-670137.10551486933</v>
      </c>
      <c r="N1042" s="622" t="s">
        <v>1715</v>
      </c>
    </row>
    <row r="1043" spans="2:14">
      <c r="B1043" s="513" t="s">
        <v>411</v>
      </c>
      <c r="C1043" s="658">
        <v>2015</v>
      </c>
      <c r="D1043" s="513">
        <v>-670137.10551486909</v>
      </c>
      <c r="E1043" s="513">
        <v>672400.50105428277</v>
      </c>
      <c r="F1043" s="513">
        <v>672400.50105428277</v>
      </c>
      <c r="G1043" s="660">
        <v>0</v>
      </c>
      <c r="H1043" s="512">
        <v>0</v>
      </c>
      <c r="I1043" s="659" t="s">
        <v>103</v>
      </c>
      <c r="J1043" s="513">
        <v>481459.07000000012</v>
      </c>
      <c r="K1043" s="513">
        <v>0</v>
      </c>
      <c r="L1043" s="513">
        <v>68316.740000000005</v>
      </c>
      <c r="M1043" s="513">
        <v>-547512.4144605865</v>
      </c>
      <c r="N1043" s="622" t="s">
        <v>1715</v>
      </c>
    </row>
    <row r="1044" spans="2:14">
      <c r="B1044" s="513" t="s">
        <v>411</v>
      </c>
      <c r="C1044" s="658">
        <v>2016</v>
      </c>
      <c r="D1044" s="513">
        <v>-547512.41446060687</v>
      </c>
      <c r="E1044" s="513">
        <v>511539.31491632678</v>
      </c>
      <c r="F1044" s="513">
        <v>511539.31491632678</v>
      </c>
      <c r="G1044" s="660">
        <v>-35973.099544280092</v>
      </c>
      <c r="H1044" s="660">
        <v>0</v>
      </c>
      <c r="I1044" s="659" t="s">
        <v>103</v>
      </c>
      <c r="J1044" s="513">
        <v>1704855.9100000001</v>
      </c>
      <c r="K1044" s="513">
        <v>2362639</v>
      </c>
      <c r="L1044" s="513">
        <v>0</v>
      </c>
      <c r="M1044" s="513">
        <v>-1740829.0095442804</v>
      </c>
      <c r="N1044" s="622" t="s">
        <v>1715</v>
      </c>
    </row>
    <row r="1045" spans="2:14" ht="29.1">
      <c r="B1045" s="513" t="s">
        <v>411</v>
      </c>
      <c r="C1045" s="658">
        <v>2017</v>
      </c>
      <c r="D1045" s="513">
        <v>-1740829.0095442794</v>
      </c>
      <c r="E1045" s="513">
        <v>480246.60516360117</v>
      </c>
      <c r="F1045" s="513">
        <v>480246.60516360117</v>
      </c>
      <c r="G1045" s="660">
        <v>-1260582.4043806782</v>
      </c>
      <c r="H1045" s="660">
        <v>0</v>
      </c>
      <c r="I1045" s="659" t="s">
        <v>103</v>
      </c>
      <c r="J1045" s="513">
        <v>66880.06</v>
      </c>
      <c r="K1045" s="513">
        <v>0</v>
      </c>
      <c r="L1045" s="513">
        <v>7678.47</v>
      </c>
      <c r="M1045" s="513">
        <v>-1335140.9343806782</v>
      </c>
      <c r="N1045" s="622" t="s">
        <v>1724</v>
      </c>
    </row>
    <row r="1046" spans="2:14" ht="29.1">
      <c r="B1046" s="513" t="s">
        <v>411</v>
      </c>
      <c r="C1046" s="889">
        <v>2018</v>
      </c>
      <c r="D1046" s="513">
        <v>-1335140.9343806782</v>
      </c>
      <c r="E1046" s="513">
        <f>VLOOKUP(B1046,'[6]2018 allocation'!$A$11:$B$218,2, FALSE)</f>
        <v>507348.93895857572</v>
      </c>
      <c r="F1046" s="513">
        <f>E1046</f>
        <v>507348.93895857572</v>
      </c>
      <c r="G1046" s="513">
        <f>D1046+E1046</f>
        <v>-827791.99542210251</v>
      </c>
      <c r="H1046" s="513">
        <v>0</v>
      </c>
      <c r="I1046" s="622" t="s">
        <v>103</v>
      </c>
      <c r="J1046" s="513">
        <f>VLOOKUP(B1046,'[6]Annual Spending Worksheet '!$C$6:$AG$250,28,FALSE)</f>
        <v>0</v>
      </c>
      <c r="K1046" s="513">
        <f>VLOOKUP(B1046,'[6]Annual Spending Worksheet '!$C$6:$AG$250,29,FALSE)</f>
        <v>0</v>
      </c>
      <c r="L1046" s="513">
        <v>0</v>
      </c>
      <c r="M1046" s="513">
        <f>D1046+E1046+H1046-J1046</f>
        <v>-827791.99542210251</v>
      </c>
      <c r="N1046" s="622" t="s">
        <v>1724</v>
      </c>
    </row>
    <row r="1047" spans="2:14" ht="29.1">
      <c r="B1047" s="513" t="s">
        <v>411</v>
      </c>
      <c r="C1047" s="889">
        <v>2019</v>
      </c>
      <c r="D1047" s="513">
        <v>-827791.99542210251</v>
      </c>
      <c r="E1047" s="513">
        <v>535707.34387783939</v>
      </c>
      <c r="F1047" s="513">
        <v>535707.34387783939</v>
      </c>
      <c r="G1047" s="513">
        <v>-292084.65154426312</v>
      </c>
      <c r="H1047" s="513">
        <v>0</v>
      </c>
      <c r="I1047" s="622" t="s">
        <v>103</v>
      </c>
      <c r="J1047" s="513">
        <v>0</v>
      </c>
      <c r="K1047" s="513">
        <v>0</v>
      </c>
      <c r="L1047" s="513">
        <v>0</v>
      </c>
      <c r="M1047" s="513">
        <v>-292084.65154426312</v>
      </c>
      <c r="N1047" s="622" t="s">
        <v>1724</v>
      </c>
    </row>
    <row r="1048" spans="2:14">
      <c r="B1048" s="513" t="s">
        <v>417</v>
      </c>
      <c r="C1048" s="658">
        <v>2008</v>
      </c>
      <c r="D1048" s="513">
        <v>530437.79799999995</v>
      </c>
      <c r="E1048" s="512">
        <v>73153.697391102018</v>
      </c>
      <c r="F1048" s="513">
        <v>73153.697391102018</v>
      </c>
      <c r="G1048" s="512">
        <v>0</v>
      </c>
      <c r="H1048" s="512">
        <v>0</v>
      </c>
      <c r="I1048" s="659" t="s">
        <v>103</v>
      </c>
      <c r="J1048" s="513">
        <v>0</v>
      </c>
      <c r="K1048" s="513">
        <v>0</v>
      </c>
      <c r="L1048" s="513">
        <v>0</v>
      </c>
      <c r="M1048" s="513">
        <v>603591.49539110193</v>
      </c>
      <c r="N1048" s="622"/>
    </row>
    <row r="1049" spans="2:14">
      <c r="B1049" s="513" t="s">
        <v>417</v>
      </c>
      <c r="C1049" s="658">
        <v>2009</v>
      </c>
      <c r="D1049" s="513">
        <v>603591.49539110204</v>
      </c>
      <c r="E1049" s="512">
        <v>60667.271706509127</v>
      </c>
      <c r="F1049" s="513">
        <v>60667.271706509127</v>
      </c>
      <c r="G1049" s="512">
        <v>0</v>
      </c>
      <c r="H1049" s="512">
        <v>0</v>
      </c>
      <c r="I1049" s="659" t="s">
        <v>103</v>
      </c>
      <c r="J1049" s="513">
        <v>0</v>
      </c>
      <c r="K1049" s="513">
        <v>0</v>
      </c>
      <c r="L1049" s="513">
        <v>0</v>
      </c>
      <c r="M1049" s="513">
        <v>664258.76709761121</v>
      </c>
      <c r="N1049" s="622"/>
    </row>
    <row r="1050" spans="2:14">
      <c r="B1050" s="513" t="s">
        <v>417</v>
      </c>
      <c r="C1050" s="658">
        <v>2010</v>
      </c>
      <c r="D1050" s="513">
        <v>664258.76709761098</v>
      </c>
      <c r="E1050" s="512">
        <v>60594.93</v>
      </c>
      <c r="F1050" s="513">
        <v>60594.93</v>
      </c>
      <c r="G1050" s="512">
        <v>0</v>
      </c>
      <c r="H1050" s="512">
        <v>0</v>
      </c>
      <c r="I1050" s="659" t="s">
        <v>103</v>
      </c>
      <c r="J1050" s="513">
        <v>0</v>
      </c>
      <c r="K1050" s="513">
        <v>0</v>
      </c>
      <c r="L1050" s="513">
        <v>0</v>
      </c>
      <c r="M1050" s="513">
        <v>724853.69709761103</v>
      </c>
      <c r="N1050" s="622"/>
    </row>
    <row r="1051" spans="2:14">
      <c r="B1051" s="513" t="s">
        <v>417</v>
      </c>
      <c r="C1051" s="658">
        <v>2011</v>
      </c>
      <c r="D1051" s="513">
        <v>724853.69306635577</v>
      </c>
      <c r="E1051" s="512">
        <v>61499.697974920869</v>
      </c>
      <c r="F1051" s="513">
        <v>61499.697974920869</v>
      </c>
      <c r="G1051" s="512">
        <v>0</v>
      </c>
      <c r="H1051" s="512">
        <v>0</v>
      </c>
      <c r="I1051" s="659" t="s">
        <v>103</v>
      </c>
      <c r="J1051" s="513">
        <v>0</v>
      </c>
      <c r="K1051" s="513">
        <v>0</v>
      </c>
      <c r="L1051" s="513">
        <v>0</v>
      </c>
      <c r="M1051" s="513">
        <v>786353.39104127663</v>
      </c>
      <c r="N1051" s="622"/>
    </row>
    <row r="1052" spans="2:14">
      <c r="B1052" s="513" t="s">
        <v>417</v>
      </c>
      <c r="C1052" s="658">
        <v>2012</v>
      </c>
      <c r="D1052" s="513">
        <v>786353.39104127651</v>
      </c>
      <c r="E1052" s="513">
        <v>46644.152755942268</v>
      </c>
      <c r="F1052" s="513">
        <v>46644.152755942268</v>
      </c>
      <c r="G1052" s="512">
        <v>0</v>
      </c>
      <c r="H1052" s="512">
        <v>0</v>
      </c>
      <c r="I1052" s="659" t="s">
        <v>103</v>
      </c>
      <c r="J1052" s="513">
        <v>0</v>
      </c>
      <c r="K1052" s="513">
        <v>0</v>
      </c>
      <c r="L1052" s="513">
        <v>0</v>
      </c>
      <c r="M1052" s="513">
        <v>832997.54379721882</v>
      </c>
      <c r="N1052" s="622"/>
    </row>
    <row r="1053" spans="2:14">
      <c r="B1053" s="513" t="s">
        <v>417</v>
      </c>
      <c r="C1053" s="658">
        <v>2013</v>
      </c>
      <c r="D1053" s="513">
        <v>832997.54379721871</v>
      </c>
      <c r="E1053" s="513">
        <v>67158.727549096991</v>
      </c>
      <c r="F1053" s="513">
        <v>67158.727549096991</v>
      </c>
      <c r="G1053" s="512">
        <v>0</v>
      </c>
      <c r="H1053" s="512">
        <v>0</v>
      </c>
      <c r="I1053" s="659" t="s">
        <v>103</v>
      </c>
      <c r="J1053" s="513">
        <v>0</v>
      </c>
      <c r="K1053" s="513">
        <v>0</v>
      </c>
      <c r="L1053" s="513">
        <v>0</v>
      </c>
      <c r="M1053" s="513">
        <v>900156.27134631574</v>
      </c>
      <c r="N1053" s="622"/>
    </row>
    <row r="1054" spans="2:14">
      <c r="B1054" s="513" t="s">
        <v>417</v>
      </c>
      <c r="C1054" s="658">
        <v>2014</v>
      </c>
      <c r="D1054" s="513">
        <v>900156.27134631574</v>
      </c>
      <c r="E1054" s="513">
        <v>69546.541793675278</v>
      </c>
      <c r="F1054" s="513">
        <v>69546.541793675278</v>
      </c>
      <c r="G1054" s="512">
        <v>0</v>
      </c>
      <c r="H1054" s="512">
        <v>0</v>
      </c>
      <c r="I1054" s="659" t="s">
        <v>103</v>
      </c>
      <c r="J1054" s="513">
        <v>0</v>
      </c>
      <c r="K1054" s="513">
        <v>0</v>
      </c>
      <c r="L1054" s="513">
        <v>0</v>
      </c>
      <c r="M1054" s="513">
        <v>969702.81313999102</v>
      </c>
      <c r="N1054" s="622"/>
    </row>
    <row r="1055" spans="2:14">
      <c r="B1055" s="513" t="s">
        <v>417</v>
      </c>
      <c r="C1055" s="658">
        <v>2015</v>
      </c>
      <c r="D1055" s="513">
        <v>969702.8131399909</v>
      </c>
      <c r="E1055" s="513">
        <v>70533.52491006194</v>
      </c>
      <c r="F1055" s="513">
        <v>70533.52491006194</v>
      </c>
      <c r="G1055" s="660">
        <v>0</v>
      </c>
      <c r="H1055" s="660">
        <v>0</v>
      </c>
      <c r="I1055" s="659" t="s">
        <v>103</v>
      </c>
      <c r="J1055" s="513">
        <v>0</v>
      </c>
      <c r="K1055" s="513">
        <v>0</v>
      </c>
      <c r="L1055" s="513">
        <v>0</v>
      </c>
      <c r="M1055" s="513">
        <v>1040236.3380500529</v>
      </c>
      <c r="N1055" s="622"/>
    </row>
    <row r="1056" spans="2:14">
      <c r="B1056" s="513" t="s">
        <v>417</v>
      </c>
      <c r="C1056" s="658">
        <v>2016</v>
      </c>
      <c r="D1056" s="513">
        <v>1040236.338050053</v>
      </c>
      <c r="E1056" s="513">
        <v>52716.634033146212</v>
      </c>
      <c r="F1056" s="513">
        <v>52716.634033146212</v>
      </c>
      <c r="G1056" s="660">
        <v>0</v>
      </c>
      <c r="H1056" s="660">
        <v>0</v>
      </c>
      <c r="I1056" s="659" t="s">
        <v>103</v>
      </c>
      <c r="J1056" s="513">
        <v>0</v>
      </c>
      <c r="K1056" s="513">
        <v>0</v>
      </c>
      <c r="L1056" s="513">
        <v>0</v>
      </c>
      <c r="M1056" s="513">
        <v>1092952.9720831993</v>
      </c>
      <c r="N1056" s="622"/>
    </row>
    <row r="1057" spans="2:14">
      <c r="B1057" s="513" t="s">
        <v>417</v>
      </c>
      <c r="C1057" s="658">
        <v>2017</v>
      </c>
      <c r="D1057" s="513">
        <v>1092952.9720831993</v>
      </c>
      <c r="E1057" s="513">
        <v>49227.408075656116</v>
      </c>
      <c r="F1057" s="513">
        <v>49227.408075656116</v>
      </c>
      <c r="G1057" s="513">
        <v>0</v>
      </c>
      <c r="H1057" s="513">
        <v>0</v>
      </c>
      <c r="I1057" s="659" t="s">
        <v>103</v>
      </c>
      <c r="J1057" s="513">
        <v>0</v>
      </c>
      <c r="K1057" s="513">
        <v>0</v>
      </c>
      <c r="L1057" s="513">
        <v>0</v>
      </c>
      <c r="M1057" s="513">
        <v>1142180.3801588553</v>
      </c>
      <c r="N1057" s="622"/>
    </row>
    <row r="1058" spans="2:14">
      <c r="B1058" s="513" t="s">
        <v>417</v>
      </c>
      <c r="C1058" s="889">
        <v>2018</v>
      </c>
      <c r="D1058" s="513">
        <v>1142180.3801588553</v>
      </c>
      <c r="E1058" s="513">
        <f>VLOOKUP(B1058,'[6]2018 allocation'!$A$11:$B$218,2, FALSE)</f>
        <v>52192.425304020551</v>
      </c>
      <c r="F1058" s="513">
        <f>E1058</f>
        <v>52192.425304020551</v>
      </c>
      <c r="G1058" s="513">
        <v>0</v>
      </c>
      <c r="H1058" s="513">
        <v>-1142180</v>
      </c>
      <c r="I1058" s="622" t="s">
        <v>1732</v>
      </c>
      <c r="J1058" s="513">
        <f>VLOOKUP(B1058,'[6]Annual Spending Worksheet '!$C$6:$AG$250,28,FALSE)</f>
        <v>0</v>
      </c>
      <c r="K1058" s="513">
        <f>VLOOKUP(B1058,'[6]Annual Spending Worksheet '!$C$6:$AG$250,29,FALSE)</f>
        <v>0</v>
      </c>
      <c r="L1058" s="513">
        <v>0</v>
      </c>
      <c r="M1058" s="513">
        <f>D1058+E1058+H1058-J1058</f>
        <v>52192.805462875869</v>
      </c>
      <c r="N1058" s="513"/>
    </row>
    <row r="1059" spans="2:14">
      <c r="B1059" s="513" t="s">
        <v>417</v>
      </c>
      <c r="C1059" s="889">
        <v>2019</v>
      </c>
      <c r="D1059" s="513">
        <v>52192.805462875869</v>
      </c>
      <c r="E1059" s="513">
        <v>55328.28732512804</v>
      </c>
      <c r="F1059" s="513">
        <v>55328.28732512804</v>
      </c>
      <c r="G1059" s="513">
        <v>0</v>
      </c>
      <c r="H1059" s="513">
        <v>0</v>
      </c>
      <c r="I1059" s="622" t="s">
        <v>103</v>
      </c>
      <c r="J1059" s="513">
        <v>0</v>
      </c>
      <c r="K1059" s="513">
        <v>0</v>
      </c>
      <c r="L1059" s="513">
        <v>0</v>
      </c>
      <c r="M1059" s="513">
        <v>107521.09278800391</v>
      </c>
      <c r="N1059" s="513"/>
    </row>
    <row r="1060" spans="2:14">
      <c r="B1060" s="513" t="s">
        <v>418</v>
      </c>
      <c r="C1060" s="658">
        <v>2008</v>
      </c>
      <c r="D1060" s="513">
        <v>251076.91100000008</v>
      </c>
      <c r="E1060" s="512">
        <v>56286.032751919345</v>
      </c>
      <c r="F1060" s="513">
        <v>56286.032751919345</v>
      </c>
      <c r="G1060" s="512">
        <v>0</v>
      </c>
      <c r="H1060" s="512">
        <v>0</v>
      </c>
      <c r="I1060" s="659" t="s">
        <v>103</v>
      </c>
      <c r="J1060" s="513">
        <v>0</v>
      </c>
      <c r="K1060" s="513">
        <v>0</v>
      </c>
      <c r="L1060" s="513">
        <v>0</v>
      </c>
      <c r="M1060" s="513">
        <v>307362.94375191943</v>
      </c>
      <c r="N1060" s="622"/>
    </row>
    <row r="1061" spans="2:14">
      <c r="B1061" s="513" t="s">
        <v>418</v>
      </c>
      <c r="C1061" s="658">
        <v>2009</v>
      </c>
      <c r="D1061" s="513">
        <v>307362.94375191932</v>
      </c>
      <c r="E1061" s="512">
        <v>45138.25819271541</v>
      </c>
      <c r="F1061" s="513">
        <v>45138.25819271541</v>
      </c>
      <c r="G1061" s="512">
        <v>0</v>
      </c>
      <c r="H1061" s="512">
        <v>0</v>
      </c>
      <c r="I1061" s="659" t="s">
        <v>103</v>
      </c>
      <c r="J1061" s="513">
        <v>0</v>
      </c>
      <c r="K1061" s="513">
        <v>0</v>
      </c>
      <c r="L1061" s="513">
        <v>0</v>
      </c>
      <c r="M1061" s="513">
        <v>352501.20194463473</v>
      </c>
      <c r="N1061" s="622"/>
    </row>
    <row r="1062" spans="2:14">
      <c r="B1062" s="513" t="s">
        <v>418</v>
      </c>
      <c r="C1062" s="658">
        <v>2010</v>
      </c>
      <c r="D1062" s="513">
        <v>352501.20194463478</v>
      </c>
      <c r="E1062" s="512">
        <v>45076.43</v>
      </c>
      <c r="F1062" s="513">
        <v>45076.43</v>
      </c>
      <c r="G1062" s="512">
        <v>0</v>
      </c>
      <c r="H1062" s="512">
        <v>0</v>
      </c>
      <c r="I1062" s="659" t="s">
        <v>103</v>
      </c>
      <c r="J1062" s="513">
        <v>0</v>
      </c>
      <c r="K1062" s="513">
        <v>0</v>
      </c>
      <c r="L1062" s="513">
        <v>0</v>
      </c>
      <c r="M1062" s="513">
        <v>397577.63194463478</v>
      </c>
      <c r="N1062" s="622"/>
    </row>
    <row r="1063" spans="2:14">
      <c r="B1063" s="513" t="s">
        <v>418</v>
      </c>
      <c r="C1063" s="658">
        <v>2011</v>
      </c>
      <c r="D1063" s="513">
        <v>397577.63418024732</v>
      </c>
      <c r="E1063" s="512">
        <v>45880.673231379929</v>
      </c>
      <c r="F1063" s="513">
        <v>45880.673231379929</v>
      </c>
      <c r="G1063" s="512">
        <v>0</v>
      </c>
      <c r="H1063" s="512">
        <v>0</v>
      </c>
      <c r="I1063" s="659" t="s">
        <v>103</v>
      </c>
      <c r="J1063" s="513">
        <v>0</v>
      </c>
      <c r="K1063" s="513">
        <v>0</v>
      </c>
      <c r="L1063" s="513">
        <v>0</v>
      </c>
      <c r="M1063" s="513">
        <v>443458.30741162726</v>
      </c>
      <c r="N1063" s="622"/>
    </row>
    <row r="1064" spans="2:14">
      <c r="B1064" s="513" t="s">
        <v>418</v>
      </c>
      <c r="C1064" s="658">
        <v>2012</v>
      </c>
      <c r="D1064" s="513">
        <v>443458.30741162715</v>
      </c>
      <c r="E1064" s="513">
        <v>32603.260969668048</v>
      </c>
      <c r="F1064" s="513">
        <v>32603.260969668048</v>
      </c>
      <c r="G1064" s="512">
        <v>0</v>
      </c>
      <c r="H1064" s="512">
        <v>0</v>
      </c>
      <c r="I1064" s="659" t="s">
        <v>103</v>
      </c>
      <c r="J1064" s="513">
        <v>0</v>
      </c>
      <c r="K1064" s="513">
        <v>0</v>
      </c>
      <c r="L1064" s="513">
        <v>0</v>
      </c>
      <c r="M1064" s="513">
        <v>476061.56838129519</v>
      </c>
      <c r="N1064" s="622"/>
    </row>
    <row r="1065" spans="2:14">
      <c r="B1065" s="513" t="s">
        <v>418</v>
      </c>
      <c r="C1065" s="658">
        <v>2013</v>
      </c>
      <c r="D1065" s="513">
        <v>476061.56838129531</v>
      </c>
      <c r="E1065" s="513">
        <v>50926.726089148724</v>
      </c>
      <c r="F1065" s="513">
        <v>50926.726089148724</v>
      </c>
      <c r="G1065" s="512">
        <v>0</v>
      </c>
      <c r="H1065" s="512">
        <v>0</v>
      </c>
      <c r="I1065" s="659" t="s">
        <v>103</v>
      </c>
      <c r="J1065" s="513">
        <v>0</v>
      </c>
      <c r="K1065" s="513">
        <v>0</v>
      </c>
      <c r="L1065" s="513">
        <v>0</v>
      </c>
      <c r="M1065" s="513">
        <v>526988.29447044409</v>
      </c>
      <c r="N1065" s="622"/>
    </row>
    <row r="1066" spans="2:14">
      <c r="B1066" s="513" t="s">
        <v>418</v>
      </c>
      <c r="C1066" s="658">
        <v>2014</v>
      </c>
      <c r="D1066" s="513">
        <v>526988.29447044409</v>
      </c>
      <c r="E1066" s="513">
        <v>53050.711080931229</v>
      </c>
      <c r="F1066" s="513">
        <v>53050.711080931229</v>
      </c>
      <c r="G1066" s="512">
        <v>0</v>
      </c>
      <c r="H1066" s="512">
        <v>0</v>
      </c>
      <c r="I1066" s="659" t="s">
        <v>103</v>
      </c>
      <c r="J1066" s="513">
        <v>0</v>
      </c>
      <c r="K1066" s="513">
        <v>0</v>
      </c>
      <c r="L1066" s="513">
        <v>0</v>
      </c>
      <c r="M1066" s="513">
        <v>580039.00555137533</v>
      </c>
      <c r="N1066" s="622"/>
    </row>
    <row r="1067" spans="2:14">
      <c r="B1067" s="513" t="s">
        <v>418</v>
      </c>
      <c r="C1067" s="658">
        <v>2015</v>
      </c>
      <c r="D1067" s="513">
        <v>580039.00555137522</v>
      </c>
      <c r="E1067" s="513">
        <v>53922.019949543203</v>
      </c>
      <c r="F1067" s="513">
        <v>53922.019949543203</v>
      </c>
      <c r="G1067" s="660">
        <v>0</v>
      </c>
      <c r="H1067" s="660">
        <v>0</v>
      </c>
      <c r="I1067" s="659" t="s">
        <v>103</v>
      </c>
      <c r="J1067" s="513">
        <v>0</v>
      </c>
      <c r="K1067" s="513">
        <v>0</v>
      </c>
      <c r="L1067" s="513">
        <v>0</v>
      </c>
      <c r="M1067" s="513">
        <v>633961.02550091839</v>
      </c>
      <c r="N1067" s="622"/>
    </row>
    <row r="1068" spans="2:14">
      <c r="B1068" s="513" t="s">
        <v>418</v>
      </c>
      <c r="C1068" s="658">
        <v>2016</v>
      </c>
      <c r="D1068" s="513">
        <v>633961.02550091851</v>
      </c>
      <c r="E1068" s="513">
        <v>38118.445895777208</v>
      </c>
      <c r="F1068" s="513">
        <v>38118.445895777208</v>
      </c>
      <c r="G1068" s="660">
        <v>0</v>
      </c>
      <c r="H1068" s="660">
        <v>0</v>
      </c>
      <c r="I1068" s="659" t="s">
        <v>103</v>
      </c>
      <c r="J1068" s="513">
        <v>0</v>
      </c>
      <c r="K1068" s="513">
        <v>0</v>
      </c>
      <c r="L1068" s="513">
        <v>0</v>
      </c>
      <c r="M1068" s="513">
        <v>672079.47139669571</v>
      </c>
      <c r="N1068" s="622"/>
    </row>
    <row r="1069" spans="2:14">
      <c r="B1069" s="513" t="s">
        <v>418</v>
      </c>
      <c r="C1069" s="658">
        <v>2017</v>
      </c>
      <c r="D1069" s="513">
        <v>672079.47139669582</v>
      </c>
      <c r="E1069" s="513">
        <v>35039.122853388522</v>
      </c>
      <c r="F1069" s="513">
        <v>35039.122853388522</v>
      </c>
      <c r="G1069" s="513">
        <v>0</v>
      </c>
      <c r="H1069" s="513">
        <v>0</v>
      </c>
      <c r="I1069" s="659" t="s">
        <v>103</v>
      </c>
      <c r="J1069" s="513">
        <v>0</v>
      </c>
      <c r="K1069" s="513">
        <v>0</v>
      </c>
      <c r="L1069" s="513">
        <v>0</v>
      </c>
      <c r="M1069" s="513">
        <v>707118.59425008437</v>
      </c>
      <c r="N1069" s="622"/>
    </row>
    <row r="1070" spans="2:14">
      <c r="B1070" s="513" t="s">
        <v>418</v>
      </c>
      <c r="C1070" s="889">
        <v>2018</v>
      </c>
      <c r="D1070" s="513">
        <v>707118.59425008437</v>
      </c>
      <c r="E1070" s="513">
        <f>VLOOKUP(B1070,'[6]2018 allocation'!$A$11:$B$218,2, FALSE)</f>
        <v>37623.385513158959</v>
      </c>
      <c r="F1070" s="513">
        <f>E1070</f>
        <v>37623.385513158959</v>
      </c>
      <c r="G1070" s="513">
        <v>0</v>
      </c>
      <c r="H1070" s="513">
        <v>0</v>
      </c>
      <c r="I1070" s="622" t="s">
        <v>103</v>
      </c>
      <c r="J1070" s="513">
        <f>VLOOKUP(B1070,'[6]Annual Spending Worksheet '!$C$6:$AG$250,28,FALSE)</f>
        <v>0</v>
      </c>
      <c r="K1070" s="513">
        <f>VLOOKUP(B1070,'[6]Annual Spending Worksheet '!$C$6:$AG$250,29,FALSE)</f>
        <v>0</v>
      </c>
      <c r="L1070" s="513">
        <v>0</v>
      </c>
      <c r="M1070" s="513">
        <f>D1070+E1070+H1070-J1070</f>
        <v>744741.97976324335</v>
      </c>
      <c r="N1070" s="513"/>
    </row>
    <row r="1071" spans="2:14">
      <c r="B1071" s="513" t="s">
        <v>418</v>
      </c>
      <c r="C1071" s="889">
        <v>2019</v>
      </c>
      <c r="D1071" s="513">
        <v>744741.97976324335</v>
      </c>
      <c r="E1071" s="513">
        <v>40410.202762712484</v>
      </c>
      <c r="F1071" s="513">
        <v>40410.202762712484</v>
      </c>
      <c r="G1071" s="513">
        <v>0</v>
      </c>
      <c r="H1071" s="513">
        <v>0</v>
      </c>
      <c r="I1071" s="622" t="s">
        <v>103</v>
      </c>
      <c r="J1071" s="513">
        <v>0</v>
      </c>
      <c r="K1071" s="513">
        <v>0</v>
      </c>
      <c r="L1071" s="513">
        <v>0</v>
      </c>
      <c r="M1071" s="513">
        <v>785152.18252595584</v>
      </c>
      <c r="N1071" s="513"/>
    </row>
    <row r="1072" spans="2:14">
      <c r="B1072" s="513" t="s">
        <v>419</v>
      </c>
      <c r="C1072" s="658">
        <v>2008</v>
      </c>
      <c r="D1072" s="513">
        <v>1301314.6299999999</v>
      </c>
      <c r="E1072" s="512">
        <v>105465.6877436674</v>
      </c>
      <c r="F1072" s="513">
        <v>105465.6877436674</v>
      </c>
      <c r="G1072" s="512">
        <v>0</v>
      </c>
      <c r="H1072" s="512">
        <v>0</v>
      </c>
      <c r="I1072" s="659" t="s">
        <v>103</v>
      </c>
      <c r="J1072" s="513">
        <v>0</v>
      </c>
      <c r="K1072" s="513">
        <v>0</v>
      </c>
      <c r="L1072" s="513">
        <v>0</v>
      </c>
      <c r="M1072" s="513">
        <v>1406780.3177436674</v>
      </c>
      <c r="N1072" s="622"/>
    </row>
    <row r="1073" spans="2:14">
      <c r="B1073" s="513" t="s">
        <v>419</v>
      </c>
      <c r="C1073" s="658">
        <v>2009</v>
      </c>
      <c r="D1073" s="513">
        <v>1406780.3177436674</v>
      </c>
      <c r="E1073" s="512">
        <v>88382.176155069988</v>
      </c>
      <c r="F1073" s="513">
        <v>88382.176155069988</v>
      </c>
      <c r="G1073" s="512">
        <v>0</v>
      </c>
      <c r="H1073" s="512">
        <v>0</v>
      </c>
      <c r="I1073" s="659" t="s">
        <v>103</v>
      </c>
      <c r="J1073" s="513">
        <v>32908.230000000003</v>
      </c>
      <c r="K1073" s="513">
        <v>0</v>
      </c>
      <c r="L1073" s="513">
        <v>0</v>
      </c>
      <c r="M1073" s="513">
        <v>1462254.2638987375</v>
      </c>
      <c r="N1073" s="622"/>
    </row>
    <row r="1074" spans="2:14">
      <c r="B1074" s="513" t="s">
        <v>419</v>
      </c>
      <c r="C1074" s="658">
        <v>2010</v>
      </c>
      <c r="D1074" s="513">
        <v>1462254.2638987373</v>
      </c>
      <c r="E1074" s="512">
        <v>88289.82</v>
      </c>
      <c r="F1074" s="513">
        <v>88289.82</v>
      </c>
      <c r="G1074" s="512">
        <v>0</v>
      </c>
      <c r="H1074" s="512">
        <v>0</v>
      </c>
      <c r="I1074" s="659" t="s">
        <v>103</v>
      </c>
      <c r="J1074" s="513">
        <v>2905.7000000000003</v>
      </c>
      <c r="K1074" s="513">
        <v>0</v>
      </c>
      <c r="L1074" s="513">
        <v>0</v>
      </c>
      <c r="M1074" s="513">
        <v>1547638.3838987374</v>
      </c>
      <c r="N1074" s="622"/>
    </row>
    <row r="1075" spans="2:14">
      <c r="B1075" s="513" t="s">
        <v>419</v>
      </c>
      <c r="C1075" s="658">
        <v>2011</v>
      </c>
      <c r="D1075" s="513">
        <v>1547638.379638802</v>
      </c>
      <c r="E1075" s="512">
        <v>89506.067744773507</v>
      </c>
      <c r="F1075" s="513">
        <v>89506.067744773507</v>
      </c>
      <c r="G1075" s="512">
        <v>0</v>
      </c>
      <c r="H1075" s="512">
        <v>0</v>
      </c>
      <c r="I1075" s="659" t="s">
        <v>103</v>
      </c>
      <c r="J1075" s="513">
        <v>9182.4499999999971</v>
      </c>
      <c r="K1075" s="513">
        <v>0</v>
      </c>
      <c r="L1075" s="513">
        <v>0</v>
      </c>
      <c r="M1075" s="513">
        <v>1627961.9973835757</v>
      </c>
      <c r="N1075" s="622"/>
    </row>
    <row r="1076" spans="2:14">
      <c r="B1076" s="513" t="s">
        <v>419</v>
      </c>
      <c r="C1076" s="658">
        <v>2012</v>
      </c>
      <c r="D1076" s="513">
        <v>1627961.9973835754</v>
      </c>
      <c r="E1076" s="513">
        <v>68997.923368605465</v>
      </c>
      <c r="F1076" s="513">
        <v>68997.923368605465</v>
      </c>
      <c r="G1076" s="512">
        <v>0</v>
      </c>
      <c r="H1076" s="512">
        <v>0</v>
      </c>
      <c r="I1076" s="659" t="s">
        <v>103</v>
      </c>
      <c r="J1076" s="513">
        <v>34062.489999999969</v>
      </c>
      <c r="K1076" s="513">
        <v>0</v>
      </c>
      <c r="L1076" s="513">
        <v>0</v>
      </c>
      <c r="M1076" s="513">
        <v>1662897.430752181</v>
      </c>
      <c r="N1076" s="622"/>
    </row>
    <row r="1077" spans="2:14">
      <c r="B1077" s="513" t="s">
        <v>419</v>
      </c>
      <c r="C1077" s="658">
        <v>2013</v>
      </c>
      <c r="D1077" s="513">
        <v>1662897.4307521807</v>
      </c>
      <c r="E1077" s="513">
        <v>97278.39661455687</v>
      </c>
      <c r="F1077" s="513">
        <v>97278.39661455687</v>
      </c>
      <c r="G1077" s="512">
        <v>0</v>
      </c>
      <c r="H1077" s="512">
        <v>0</v>
      </c>
      <c r="I1077" s="659" t="s">
        <v>103</v>
      </c>
      <c r="J1077" s="513">
        <v>12332.940000000008</v>
      </c>
      <c r="K1077" s="513">
        <v>0</v>
      </c>
      <c r="L1077" s="513">
        <v>0</v>
      </c>
      <c r="M1077" s="513">
        <v>1747842.8873667377</v>
      </c>
      <c r="N1077" s="622"/>
    </row>
    <row r="1078" spans="2:14">
      <c r="B1078" s="513" t="s">
        <v>419</v>
      </c>
      <c r="C1078" s="658">
        <v>2014</v>
      </c>
      <c r="D1078" s="513">
        <v>1747842.8873667372</v>
      </c>
      <c r="E1078" s="513">
        <v>100571.85957240468</v>
      </c>
      <c r="F1078" s="513">
        <v>100571.85957240468</v>
      </c>
      <c r="G1078" s="512">
        <v>0</v>
      </c>
      <c r="H1078" s="512">
        <v>0</v>
      </c>
      <c r="I1078" s="659" t="s">
        <v>103</v>
      </c>
      <c r="J1078" s="513">
        <v>10873.38</v>
      </c>
      <c r="K1078" s="513">
        <v>0</v>
      </c>
      <c r="L1078" s="513">
        <v>0</v>
      </c>
      <c r="M1078" s="513">
        <v>1837541.3669391421</v>
      </c>
      <c r="N1078" s="622"/>
    </row>
    <row r="1079" spans="2:14">
      <c r="B1079" s="513" t="s">
        <v>419</v>
      </c>
      <c r="C1079" s="658">
        <v>2015</v>
      </c>
      <c r="D1079" s="513">
        <v>1837541.3669391419</v>
      </c>
      <c r="E1079" s="513">
        <v>101913.48785981006</v>
      </c>
      <c r="F1079" s="513">
        <v>101913.48785981006</v>
      </c>
      <c r="G1079" s="660">
        <v>0</v>
      </c>
      <c r="H1079" s="660">
        <v>0</v>
      </c>
      <c r="I1079" s="659" t="s">
        <v>103</v>
      </c>
      <c r="J1079" s="513">
        <v>4126.5300000000007</v>
      </c>
      <c r="K1079" s="513">
        <v>0</v>
      </c>
      <c r="L1079" s="513">
        <v>0</v>
      </c>
      <c r="M1079" s="513">
        <v>1935328.3247989519</v>
      </c>
      <c r="N1079" s="622"/>
    </row>
    <row r="1080" spans="2:14">
      <c r="B1080" s="513" t="s">
        <v>419</v>
      </c>
      <c r="C1080" s="658">
        <v>2016</v>
      </c>
      <c r="D1080" s="513">
        <v>1935328.3247989521</v>
      </c>
      <c r="E1080" s="513">
        <v>77379.537069670623</v>
      </c>
      <c r="F1080" s="513">
        <v>77379.537069670623</v>
      </c>
      <c r="G1080" s="660">
        <v>0</v>
      </c>
      <c r="H1080" s="660">
        <v>0</v>
      </c>
      <c r="I1080" s="659" t="s">
        <v>103</v>
      </c>
      <c r="J1080" s="513">
        <v>-13459.160000000007</v>
      </c>
      <c r="K1080" s="513">
        <v>0</v>
      </c>
      <c r="L1080" s="513">
        <v>0</v>
      </c>
      <c r="M1080" s="513">
        <v>2026167.0218686226</v>
      </c>
      <c r="N1080" s="622"/>
    </row>
    <row r="1081" spans="2:14">
      <c r="B1081" s="513" t="s">
        <v>419</v>
      </c>
      <c r="C1081" s="658">
        <v>2017</v>
      </c>
      <c r="D1081" s="513">
        <v>2026167.0218686224</v>
      </c>
      <c r="E1081" s="513">
        <v>72563.972538333692</v>
      </c>
      <c r="F1081" s="513">
        <v>72563.972538333692</v>
      </c>
      <c r="G1081" s="513">
        <v>0</v>
      </c>
      <c r="H1081" s="513">
        <v>0</v>
      </c>
      <c r="I1081" s="659" t="s">
        <v>103</v>
      </c>
      <c r="J1081" s="513">
        <v>766.01</v>
      </c>
      <c r="K1081" s="513">
        <v>0</v>
      </c>
      <c r="L1081" s="513">
        <v>745.24</v>
      </c>
      <c r="M1081" s="513">
        <v>2097219.7444069562</v>
      </c>
      <c r="N1081" s="622"/>
    </row>
    <row r="1082" spans="2:14">
      <c r="B1082" s="513" t="s">
        <v>419</v>
      </c>
      <c r="C1082" s="889">
        <v>2018</v>
      </c>
      <c r="D1082" s="513">
        <v>2097219.7444069562</v>
      </c>
      <c r="E1082" s="513">
        <f>VLOOKUP(B1082,'[6]2018 allocation'!$A$11:$B$218,2, FALSE)</f>
        <v>76656.633548079699</v>
      </c>
      <c r="F1082" s="513">
        <f>E1082</f>
        <v>76656.633548079699</v>
      </c>
      <c r="G1082" s="513">
        <v>0</v>
      </c>
      <c r="H1082" s="513">
        <v>0</v>
      </c>
      <c r="I1082" s="622" t="s">
        <v>103</v>
      </c>
      <c r="J1082" s="513">
        <f>VLOOKUP(B1082,'[6]Annual Spending Worksheet '!$C$6:$AG$250,28,FALSE)</f>
        <v>119.62</v>
      </c>
      <c r="K1082" s="513">
        <f>VLOOKUP(B1082,'[6]Annual Spending Worksheet '!$C$6:$AG$250,29,FALSE)</f>
        <v>0</v>
      </c>
      <c r="L1082" s="513">
        <v>0</v>
      </c>
      <c r="M1082" s="513">
        <f>D1082+E1082+H1082-J1082</f>
        <v>2173756.7579550357</v>
      </c>
      <c r="N1082" s="513"/>
    </row>
    <row r="1083" spans="2:14">
      <c r="B1083" s="513" t="s">
        <v>419</v>
      </c>
      <c r="C1083" s="889">
        <v>2019</v>
      </c>
      <c r="D1083" s="513">
        <v>2173756.7579550357</v>
      </c>
      <c r="E1083" s="513">
        <v>80847.391192147479</v>
      </c>
      <c r="F1083" s="513">
        <v>80847.391192147479</v>
      </c>
      <c r="G1083" s="513">
        <v>0</v>
      </c>
      <c r="H1083" s="513">
        <v>0</v>
      </c>
      <c r="I1083" s="622" t="s">
        <v>103</v>
      </c>
      <c r="J1083" s="513">
        <v>755.39</v>
      </c>
      <c r="K1083" s="513">
        <v>0</v>
      </c>
      <c r="L1083" s="513">
        <v>0</v>
      </c>
      <c r="M1083" s="513">
        <v>2253848.759147183</v>
      </c>
      <c r="N1083" s="513"/>
    </row>
    <row r="1084" spans="2:14">
      <c r="B1084" s="513" t="s">
        <v>423</v>
      </c>
      <c r="C1084" s="658">
        <v>2008</v>
      </c>
      <c r="D1084" s="513">
        <v>2720987.7360000005</v>
      </c>
      <c r="E1084" s="512">
        <v>371917.57907661941</v>
      </c>
      <c r="F1084" s="513">
        <v>371917.57907661941</v>
      </c>
      <c r="G1084" s="512">
        <v>0</v>
      </c>
      <c r="H1084" s="512">
        <v>0</v>
      </c>
      <c r="I1084" s="659" t="s">
        <v>103</v>
      </c>
      <c r="J1084" s="513">
        <v>14769.560000000005</v>
      </c>
      <c r="K1084" s="513">
        <v>0</v>
      </c>
      <c r="L1084" s="513">
        <v>0</v>
      </c>
      <c r="M1084" s="513">
        <v>3078135.7550766198</v>
      </c>
      <c r="N1084" s="622"/>
    </row>
    <row r="1085" spans="2:14">
      <c r="B1085" s="513" t="s">
        <v>423</v>
      </c>
      <c r="C1085" s="658">
        <v>2009</v>
      </c>
      <c r="D1085" s="513">
        <v>3078135.7550766198</v>
      </c>
      <c r="E1085" s="512">
        <v>306535.88147298311</v>
      </c>
      <c r="F1085" s="513">
        <v>306535.88147298311</v>
      </c>
      <c r="G1085" s="512">
        <v>0</v>
      </c>
      <c r="H1085" s="512">
        <v>0</v>
      </c>
      <c r="I1085" s="659" t="s">
        <v>103</v>
      </c>
      <c r="J1085" s="513">
        <v>39956.35</v>
      </c>
      <c r="K1085" s="513">
        <v>0</v>
      </c>
      <c r="L1085" s="513">
        <v>0</v>
      </c>
      <c r="M1085" s="513">
        <v>3344715.2865496026</v>
      </c>
      <c r="N1085" s="622"/>
    </row>
    <row r="1086" spans="2:14">
      <c r="B1086" s="513" t="s">
        <v>423</v>
      </c>
      <c r="C1086" s="658">
        <v>2010</v>
      </c>
      <c r="D1086" s="513">
        <v>3344715.2865496026</v>
      </c>
      <c r="E1086" s="512">
        <v>306150.87</v>
      </c>
      <c r="F1086" s="513">
        <v>306150.87</v>
      </c>
      <c r="G1086" s="512">
        <v>0</v>
      </c>
      <c r="H1086" s="512">
        <v>0</v>
      </c>
      <c r="I1086" s="659" t="s">
        <v>103</v>
      </c>
      <c r="J1086" s="513">
        <v>1405205.4499999997</v>
      </c>
      <c r="K1086" s="513">
        <v>1577649</v>
      </c>
      <c r="L1086" s="513">
        <v>0</v>
      </c>
      <c r="M1086" s="513">
        <v>2245660.706549603</v>
      </c>
      <c r="N1086" s="622"/>
    </row>
    <row r="1087" spans="2:14">
      <c r="B1087" s="513" t="s">
        <v>423</v>
      </c>
      <c r="C1087" s="658">
        <v>2011</v>
      </c>
      <c r="D1087" s="513">
        <v>2245660.7087423261</v>
      </c>
      <c r="E1087" s="512">
        <v>310801.59379815136</v>
      </c>
      <c r="F1087" s="513">
        <v>310801.59379815136</v>
      </c>
      <c r="G1087" s="512">
        <v>0</v>
      </c>
      <c r="H1087" s="512">
        <v>0</v>
      </c>
      <c r="I1087" s="659" t="s">
        <v>103</v>
      </c>
      <c r="J1087" s="513">
        <v>234451.42999999991</v>
      </c>
      <c r="K1087" s="513">
        <v>0</v>
      </c>
      <c r="L1087" s="513">
        <v>0</v>
      </c>
      <c r="M1087" s="513">
        <v>2322010.8725404777</v>
      </c>
      <c r="N1087" s="622"/>
    </row>
    <row r="1088" spans="2:14">
      <c r="B1088" s="513" t="s">
        <v>423</v>
      </c>
      <c r="C1088" s="658">
        <v>2012</v>
      </c>
      <c r="D1088" s="513">
        <v>2322010.8725404777</v>
      </c>
      <c r="E1088" s="513">
        <v>233665.98670422719</v>
      </c>
      <c r="F1088" s="513">
        <v>233665.98670422719</v>
      </c>
      <c r="G1088" s="660">
        <v>0</v>
      </c>
      <c r="H1088" s="512">
        <v>0</v>
      </c>
      <c r="I1088" s="659" t="s">
        <v>103</v>
      </c>
      <c r="J1088" s="513">
        <v>-148547.80999999997</v>
      </c>
      <c r="K1088" s="513">
        <v>0</v>
      </c>
      <c r="L1088" s="513">
        <v>-4543.99</v>
      </c>
      <c r="M1088" s="513">
        <v>2708768.659244705</v>
      </c>
      <c r="N1088" s="622"/>
    </row>
    <row r="1089" spans="2:14">
      <c r="B1089" s="513" t="s">
        <v>423</v>
      </c>
      <c r="C1089" s="658">
        <v>2013</v>
      </c>
      <c r="D1089" s="513">
        <v>2708768.6592447031</v>
      </c>
      <c r="E1089" s="513">
        <v>340437.17112622829</v>
      </c>
      <c r="F1089" s="513">
        <v>340437.17112622829</v>
      </c>
      <c r="G1089" s="660">
        <v>0</v>
      </c>
      <c r="H1089" s="512">
        <v>0</v>
      </c>
      <c r="I1089" s="659" t="s">
        <v>103</v>
      </c>
      <c r="J1089" s="513">
        <v>0</v>
      </c>
      <c r="K1089" s="513">
        <v>0</v>
      </c>
      <c r="L1089" s="513">
        <v>0</v>
      </c>
      <c r="M1089" s="513">
        <v>3049205.8303709314</v>
      </c>
      <c r="N1089" s="622"/>
    </row>
    <row r="1090" spans="2:14">
      <c r="B1090" s="513" t="s">
        <v>423</v>
      </c>
      <c r="C1090" s="658">
        <v>2014</v>
      </c>
      <c r="D1090" s="513">
        <v>3049205.830370931</v>
      </c>
      <c r="E1090" s="513">
        <v>352870.62620532716</v>
      </c>
      <c r="F1090" s="513">
        <v>352870.62620532716</v>
      </c>
      <c r="G1090" s="660">
        <v>0</v>
      </c>
      <c r="H1090" s="512">
        <v>0</v>
      </c>
      <c r="I1090" s="659" t="s">
        <v>103</v>
      </c>
      <c r="J1090" s="513">
        <v>0</v>
      </c>
      <c r="K1090" s="513">
        <v>0</v>
      </c>
      <c r="L1090" s="513">
        <v>0</v>
      </c>
      <c r="M1090" s="513">
        <v>3402076.4565762579</v>
      </c>
      <c r="N1090" s="622"/>
    </row>
    <row r="1091" spans="2:14">
      <c r="B1091" s="513" t="s">
        <v>423</v>
      </c>
      <c r="C1091" s="658">
        <v>2015</v>
      </c>
      <c r="D1091" s="513">
        <v>3402076.4565762579</v>
      </c>
      <c r="E1091" s="513">
        <v>357991.90007704549</v>
      </c>
      <c r="F1091" s="513">
        <v>357991.90007704549</v>
      </c>
      <c r="G1091" s="660">
        <v>0</v>
      </c>
      <c r="H1091" s="660">
        <v>0</v>
      </c>
      <c r="I1091" s="659" t="s">
        <v>103</v>
      </c>
      <c r="J1091" s="513">
        <v>0</v>
      </c>
      <c r="K1091" s="513">
        <v>0</v>
      </c>
      <c r="L1091" s="513">
        <v>0</v>
      </c>
      <c r="M1091" s="513">
        <v>3760068.3566533034</v>
      </c>
      <c r="N1091" s="622"/>
    </row>
    <row r="1092" spans="2:14">
      <c r="B1092" s="513" t="s">
        <v>423</v>
      </c>
      <c r="C1092" s="658">
        <v>2016</v>
      </c>
      <c r="D1092" s="513">
        <v>3760068.3566533029</v>
      </c>
      <c r="E1092" s="513">
        <v>265151.97448299907</v>
      </c>
      <c r="F1092" s="513">
        <v>265151.97448299907</v>
      </c>
      <c r="G1092" s="660">
        <v>0</v>
      </c>
      <c r="H1092" s="660">
        <v>0</v>
      </c>
      <c r="I1092" s="659" t="s">
        <v>103</v>
      </c>
      <c r="J1092" s="513">
        <v>0</v>
      </c>
      <c r="K1092" s="513">
        <v>0</v>
      </c>
      <c r="L1092" s="513">
        <v>0</v>
      </c>
      <c r="M1092" s="513">
        <v>4025220.3311363021</v>
      </c>
      <c r="N1092" s="622"/>
    </row>
    <row r="1093" spans="2:14">
      <c r="B1093" s="513" t="s">
        <v>423</v>
      </c>
      <c r="C1093" s="658">
        <v>2017</v>
      </c>
      <c r="D1093" s="513">
        <v>4025220.3311363012</v>
      </c>
      <c r="E1093" s="513">
        <v>246918.8655555771</v>
      </c>
      <c r="F1093" s="513">
        <v>246918.8655555771</v>
      </c>
      <c r="G1093" s="513">
        <v>0</v>
      </c>
      <c r="H1093" s="513">
        <v>0</v>
      </c>
      <c r="I1093" s="659" t="s">
        <v>103</v>
      </c>
      <c r="J1093" s="513">
        <v>0</v>
      </c>
      <c r="K1093" s="513">
        <v>0</v>
      </c>
      <c r="L1093" s="513">
        <v>0</v>
      </c>
      <c r="M1093" s="513">
        <v>4272139.1966918781</v>
      </c>
      <c r="N1093" s="622"/>
    </row>
    <row r="1094" spans="2:14">
      <c r="B1094" s="513" t="s">
        <v>423</v>
      </c>
      <c r="C1094" s="889">
        <v>2018</v>
      </c>
      <c r="D1094" s="513">
        <v>4272139.1966918781</v>
      </c>
      <c r="E1094" s="513">
        <f>VLOOKUP(B1094,'[6]2018 allocation'!$A$11:$B$218,2, FALSE)</f>
        <v>262402.42066312477</v>
      </c>
      <c r="F1094" s="513">
        <f>E1094</f>
        <v>262402.42066312477</v>
      </c>
      <c r="G1094" s="513">
        <v>0</v>
      </c>
      <c r="H1094" s="513">
        <v>0</v>
      </c>
      <c r="I1094" s="622" t="s">
        <v>103</v>
      </c>
      <c r="J1094" s="513">
        <f>VLOOKUP(B1094,'[6]Annual Spending Worksheet '!$C$6:$AG$250,28,FALSE)</f>
        <v>0</v>
      </c>
      <c r="K1094" s="513">
        <f>VLOOKUP(B1094,'[6]Annual Spending Worksheet '!$C$6:$AG$250,29,FALSE)</f>
        <v>0</v>
      </c>
      <c r="L1094" s="513">
        <v>0</v>
      </c>
      <c r="M1094" s="513">
        <f>D1094+E1094+H1094-J1094</f>
        <v>4534541.617355003</v>
      </c>
      <c r="N1094" s="513"/>
    </row>
    <row r="1095" spans="2:14">
      <c r="B1095" s="513" t="s">
        <v>423</v>
      </c>
      <c r="C1095" s="889">
        <v>2019</v>
      </c>
      <c r="D1095" s="513">
        <v>4534541.617355003</v>
      </c>
      <c r="E1095" s="513">
        <v>278739.75180857844</v>
      </c>
      <c r="F1095" s="513">
        <v>278739.75180857844</v>
      </c>
      <c r="G1095" s="513">
        <v>0</v>
      </c>
      <c r="H1095" s="513">
        <v>0</v>
      </c>
      <c r="I1095" s="622" t="s">
        <v>103</v>
      </c>
      <c r="J1095" s="513">
        <v>0</v>
      </c>
      <c r="K1095" s="513">
        <v>0</v>
      </c>
      <c r="L1095" s="513">
        <v>0</v>
      </c>
      <c r="M1095" s="513">
        <v>4813281.3691635812</v>
      </c>
      <c r="N1095" s="513"/>
    </row>
    <row r="1096" spans="2:14">
      <c r="B1096" s="513" t="s">
        <v>429</v>
      </c>
      <c r="C1096" s="658">
        <v>2008</v>
      </c>
      <c r="D1096" s="513">
        <v>1144703.9120000005</v>
      </c>
      <c r="E1096" s="512">
        <v>152778.67484268433</v>
      </c>
      <c r="F1096" s="513">
        <v>152778.67484268433</v>
      </c>
      <c r="G1096" s="512">
        <v>0</v>
      </c>
      <c r="H1096" s="512">
        <v>0</v>
      </c>
      <c r="I1096" s="659" t="s">
        <v>103</v>
      </c>
      <c r="J1096" s="513">
        <v>-1149.3800000000001</v>
      </c>
      <c r="K1096" s="513">
        <v>0</v>
      </c>
      <c r="L1096" s="513">
        <v>0</v>
      </c>
      <c r="M1096" s="513">
        <v>1298631.9668426847</v>
      </c>
      <c r="N1096" s="622"/>
    </row>
    <row r="1097" spans="2:14">
      <c r="B1097" s="513" t="s">
        <v>429</v>
      </c>
      <c r="C1097" s="658">
        <v>2009</v>
      </c>
      <c r="D1097" s="513">
        <v>1298631.9668426849</v>
      </c>
      <c r="E1097" s="512">
        <v>125875.71518816247</v>
      </c>
      <c r="F1097" s="513">
        <v>125875.71518816247</v>
      </c>
      <c r="G1097" s="512">
        <v>0</v>
      </c>
      <c r="H1097" s="512">
        <v>0</v>
      </c>
      <c r="I1097" s="659" t="s">
        <v>103</v>
      </c>
      <c r="J1097" s="513">
        <v>2811.17</v>
      </c>
      <c r="K1097" s="513">
        <v>0</v>
      </c>
      <c r="L1097" s="513">
        <v>0</v>
      </c>
      <c r="M1097" s="513">
        <v>1421696.5120308474</v>
      </c>
      <c r="N1097" s="622"/>
    </row>
    <row r="1098" spans="2:14">
      <c r="B1098" s="513" t="s">
        <v>429</v>
      </c>
      <c r="C1098" s="658">
        <v>2010</v>
      </c>
      <c r="D1098" s="513">
        <v>1421696.5120308474</v>
      </c>
      <c r="E1098" s="512">
        <v>125718.47</v>
      </c>
      <c r="F1098" s="513">
        <v>125718.47</v>
      </c>
      <c r="G1098" s="512">
        <v>0</v>
      </c>
      <c r="H1098" s="512">
        <v>0</v>
      </c>
      <c r="I1098" s="659" t="s">
        <v>103</v>
      </c>
      <c r="J1098" s="513">
        <v>0</v>
      </c>
      <c r="K1098" s="513">
        <v>0</v>
      </c>
      <c r="L1098" s="513">
        <v>0</v>
      </c>
      <c r="M1098" s="513">
        <v>1547414.9820308473</v>
      </c>
      <c r="N1098" s="622"/>
    </row>
    <row r="1099" spans="2:14">
      <c r="B1099" s="513" t="s">
        <v>429</v>
      </c>
      <c r="C1099" s="658">
        <v>2011</v>
      </c>
      <c r="D1099" s="513">
        <v>1547414.9786817282</v>
      </c>
      <c r="E1099" s="512">
        <v>127766.14540395107</v>
      </c>
      <c r="F1099" s="513">
        <v>127766.14540395107</v>
      </c>
      <c r="G1099" s="512">
        <v>0</v>
      </c>
      <c r="H1099" s="512">
        <v>0</v>
      </c>
      <c r="I1099" s="659" t="s">
        <v>103</v>
      </c>
      <c r="J1099" s="513">
        <v>0</v>
      </c>
      <c r="K1099" s="513">
        <v>0</v>
      </c>
      <c r="L1099" s="513">
        <v>0</v>
      </c>
      <c r="M1099" s="513">
        <v>1675181.1240856794</v>
      </c>
      <c r="N1099" s="622"/>
    </row>
    <row r="1100" spans="2:14">
      <c r="B1100" s="513" t="s">
        <v>429</v>
      </c>
      <c r="C1100" s="658">
        <v>2012</v>
      </c>
      <c r="D1100" s="513">
        <v>1675181.1240856797</v>
      </c>
      <c r="E1100" s="512">
        <v>96241.892388712615</v>
      </c>
      <c r="F1100" s="513">
        <v>96241.892388712615</v>
      </c>
      <c r="G1100" s="512">
        <v>0</v>
      </c>
      <c r="H1100" s="512">
        <v>0</v>
      </c>
      <c r="I1100" s="659" t="s">
        <v>103</v>
      </c>
      <c r="J1100" s="513">
        <v>-3100.85</v>
      </c>
      <c r="K1100" s="513">
        <v>0</v>
      </c>
      <c r="L1100" s="513">
        <v>0</v>
      </c>
      <c r="M1100" s="513">
        <v>1774523.8664743924</v>
      </c>
      <c r="N1100" s="622"/>
    </row>
    <row r="1101" spans="2:14">
      <c r="B1101" s="513" t="s">
        <v>429</v>
      </c>
      <c r="C1101" s="658">
        <v>2013</v>
      </c>
      <c r="D1101" s="513">
        <v>1774523.8664743924</v>
      </c>
      <c r="E1101" s="513">
        <v>139773.61872952417</v>
      </c>
      <c r="F1101" s="513">
        <v>139773.61872952417</v>
      </c>
      <c r="G1101" s="512">
        <v>0</v>
      </c>
      <c r="H1101" s="512">
        <v>0</v>
      </c>
      <c r="I1101" s="659" t="s">
        <v>103</v>
      </c>
      <c r="J1101" s="513">
        <v>-1237.07</v>
      </c>
      <c r="K1101" s="513">
        <v>0</v>
      </c>
      <c r="L1101" s="513">
        <v>0</v>
      </c>
      <c r="M1101" s="513">
        <v>1915534.5552039165</v>
      </c>
      <c r="N1101" s="622"/>
    </row>
    <row r="1102" spans="2:14">
      <c r="B1102" s="513" t="s">
        <v>429</v>
      </c>
      <c r="C1102" s="658">
        <v>2014</v>
      </c>
      <c r="D1102" s="513">
        <v>1915534.5552039165</v>
      </c>
      <c r="E1102" s="513">
        <v>144843.32800190372</v>
      </c>
      <c r="F1102" s="513">
        <v>144843.32800190372</v>
      </c>
      <c r="G1102" s="512">
        <v>0</v>
      </c>
      <c r="H1102" s="512">
        <v>0</v>
      </c>
      <c r="I1102" s="659" t="s">
        <v>103</v>
      </c>
      <c r="J1102" s="513">
        <v>0</v>
      </c>
      <c r="K1102" s="513">
        <v>0</v>
      </c>
      <c r="L1102" s="513">
        <v>0</v>
      </c>
      <c r="M1102" s="513">
        <v>2060377.8832058203</v>
      </c>
      <c r="N1102" s="622"/>
    </row>
    <row r="1103" spans="2:14">
      <c r="B1103" s="513" t="s">
        <v>429</v>
      </c>
      <c r="C1103" s="658">
        <v>2015</v>
      </c>
      <c r="D1103" s="513">
        <v>2060377.8832058199</v>
      </c>
      <c r="E1103" s="513">
        <v>146908.25437236953</v>
      </c>
      <c r="F1103" s="513">
        <v>146908.25437236953</v>
      </c>
      <c r="G1103" s="512">
        <v>0</v>
      </c>
      <c r="H1103" s="512">
        <v>0</v>
      </c>
      <c r="I1103" s="659" t="s">
        <v>103</v>
      </c>
      <c r="J1103" s="513">
        <v>0</v>
      </c>
      <c r="K1103" s="513">
        <v>0</v>
      </c>
      <c r="L1103" s="513">
        <v>2676.13</v>
      </c>
      <c r="M1103" s="513">
        <v>2204610.0075781895</v>
      </c>
      <c r="N1103" s="622"/>
    </row>
    <row r="1104" spans="2:14">
      <c r="B1104" s="513" t="s">
        <v>429</v>
      </c>
      <c r="C1104" s="658">
        <v>2016</v>
      </c>
      <c r="D1104" s="513">
        <v>2204610.0075781895</v>
      </c>
      <c r="E1104" s="513">
        <v>109194.31513571896</v>
      </c>
      <c r="F1104" s="513">
        <v>109194.31513571896</v>
      </c>
      <c r="G1104" s="660">
        <v>0</v>
      </c>
      <c r="H1104" s="660">
        <v>0</v>
      </c>
      <c r="I1104" s="659" t="s">
        <v>103</v>
      </c>
      <c r="J1104" s="513">
        <v>702795.79</v>
      </c>
      <c r="K1104" s="513">
        <v>0</v>
      </c>
      <c r="L1104" s="513">
        <v>0</v>
      </c>
      <c r="M1104" s="513">
        <v>1611008.5327139082</v>
      </c>
      <c r="N1104" s="622"/>
    </row>
    <row r="1105" spans="2:14">
      <c r="B1105" s="513" t="s">
        <v>429</v>
      </c>
      <c r="C1105" s="658">
        <v>2017</v>
      </c>
      <c r="D1105" s="513">
        <v>1611008.5327139087</v>
      </c>
      <c r="E1105" s="513">
        <v>101818.33085700261</v>
      </c>
      <c r="F1105" s="513">
        <v>101818.33085700261</v>
      </c>
      <c r="G1105" s="660">
        <v>0</v>
      </c>
      <c r="H1105" s="660">
        <v>0</v>
      </c>
      <c r="I1105" s="659" t="s">
        <v>103</v>
      </c>
      <c r="J1105" s="513">
        <v>197909.3</v>
      </c>
      <c r="K1105" s="513">
        <v>0</v>
      </c>
      <c r="L1105" s="513">
        <v>0</v>
      </c>
      <c r="M1105" s="513">
        <v>1514917.5635709113</v>
      </c>
      <c r="N1105" s="622"/>
    </row>
    <row r="1106" spans="2:14">
      <c r="B1106" s="513" t="s">
        <v>429</v>
      </c>
      <c r="C1106" s="889">
        <v>2018</v>
      </c>
      <c r="D1106" s="513">
        <v>1514917.5635709113</v>
      </c>
      <c r="E1106" s="513">
        <f>VLOOKUP(B1106,'[6]2018 allocation'!$A$11:$B$218,2, FALSE)</f>
        <v>108094.0333663521</v>
      </c>
      <c r="F1106" s="513">
        <f>E1106</f>
        <v>108094.0333663521</v>
      </c>
      <c r="G1106" s="513">
        <v>0</v>
      </c>
      <c r="H1106" s="513">
        <v>0</v>
      </c>
      <c r="I1106" s="622" t="s">
        <v>103</v>
      </c>
      <c r="J1106" s="513">
        <f>VLOOKUP(B1106,'[6]Annual Spending Worksheet '!$C$6:$AG$250,28,FALSE)</f>
        <v>40270.879999999997</v>
      </c>
      <c r="K1106" s="513">
        <f>VLOOKUP(B1106,'[6]Annual Spending Worksheet '!$C$6:$AG$250,29,FALSE)</f>
        <v>0</v>
      </c>
      <c r="L1106" s="513">
        <v>0</v>
      </c>
      <c r="M1106" s="513">
        <f>D1106+E1106+H1106-J1106</f>
        <v>1582740.7169372635</v>
      </c>
      <c r="N1106" s="513"/>
    </row>
    <row r="1107" spans="2:14">
      <c r="B1107" s="513" t="s">
        <v>429</v>
      </c>
      <c r="C1107" s="889">
        <v>2019</v>
      </c>
      <c r="D1107" s="513">
        <v>1582740.7169372635</v>
      </c>
      <c r="E1107" s="513">
        <v>114726.20617797785</v>
      </c>
      <c r="F1107" s="513">
        <v>114726.20617797785</v>
      </c>
      <c r="G1107" s="513">
        <v>0</v>
      </c>
      <c r="H1107" s="513">
        <v>0</v>
      </c>
      <c r="I1107" s="622" t="s">
        <v>103</v>
      </c>
      <c r="J1107" s="513">
        <v>7957.03</v>
      </c>
      <c r="K1107" s="513">
        <v>0</v>
      </c>
      <c r="L1107" s="513">
        <v>0</v>
      </c>
      <c r="M1107" s="513">
        <v>1689509.8931152413</v>
      </c>
      <c r="N1107" s="513"/>
    </row>
    <row r="1108" spans="2:14" ht="29.1">
      <c r="B1108" s="513" t="s">
        <v>433</v>
      </c>
      <c r="C1108" s="658">
        <v>2008</v>
      </c>
      <c r="D1108" s="513">
        <v>-2266056.5209999988</v>
      </c>
      <c r="E1108" s="512">
        <v>178532.38510684739</v>
      </c>
      <c r="F1108" s="513">
        <v>178532.38510684739</v>
      </c>
      <c r="G1108" s="512">
        <v>-2087524.1358931514</v>
      </c>
      <c r="H1108" s="512">
        <v>0</v>
      </c>
      <c r="I1108" s="659" t="s">
        <v>103</v>
      </c>
      <c r="J1108" s="513">
        <v>6698.1</v>
      </c>
      <c r="K1108" s="513">
        <v>0</v>
      </c>
      <c r="L1108" s="513">
        <v>0</v>
      </c>
      <c r="M1108" s="513">
        <v>-2094222.2358931515</v>
      </c>
      <c r="N1108" s="622" t="s">
        <v>1711</v>
      </c>
    </row>
    <row r="1109" spans="2:14" ht="29.1">
      <c r="B1109" s="513" t="s">
        <v>433</v>
      </c>
      <c r="C1109" s="658">
        <v>2009</v>
      </c>
      <c r="D1109" s="513">
        <v>-2094222.2358931508</v>
      </c>
      <c r="E1109" s="512">
        <v>148435.00553793929</v>
      </c>
      <c r="F1109" s="513">
        <v>148435.00553793929</v>
      </c>
      <c r="G1109" s="512">
        <v>-1945787.2303552115</v>
      </c>
      <c r="H1109" s="512">
        <v>0</v>
      </c>
      <c r="I1109" s="659" t="s">
        <v>103</v>
      </c>
      <c r="J1109" s="513">
        <v>0</v>
      </c>
      <c r="K1109" s="513">
        <v>0</v>
      </c>
      <c r="L1109" s="513">
        <v>0</v>
      </c>
      <c r="M1109" s="513">
        <v>-1945787.2303552115</v>
      </c>
      <c r="N1109" s="622" t="s">
        <v>1711</v>
      </c>
    </row>
    <row r="1110" spans="2:14" ht="29.1">
      <c r="B1110" s="513" t="s">
        <v>433</v>
      </c>
      <c r="C1110" s="658">
        <v>2010</v>
      </c>
      <c r="D1110" s="513">
        <v>-1945787.2303552115</v>
      </c>
      <c r="E1110" s="512">
        <v>148254.12</v>
      </c>
      <c r="F1110" s="513">
        <v>148254.12</v>
      </c>
      <c r="G1110" s="512">
        <v>-1797533.1103552114</v>
      </c>
      <c r="H1110" s="512">
        <v>0</v>
      </c>
      <c r="I1110" s="659" t="s">
        <v>103</v>
      </c>
      <c r="J1110" s="513">
        <v>0</v>
      </c>
      <c r="K1110" s="513">
        <v>0</v>
      </c>
      <c r="L1110" s="513">
        <v>0</v>
      </c>
      <c r="M1110" s="513">
        <v>-1797533.1103552114</v>
      </c>
      <c r="N1110" s="622" t="s">
        <v>1711</v>
      </c>
    </row>
    <row r="1111" spans="2:14" ht="29.1">
      <c r="B1111" s="513" t="s">
        <v>433</v>
      </c>
      <c r="C1111" s="658">
        <v>2011</v>
      </c>
      <c r="D1111" s="513">
        <v>-1797533.1147361584</v>
      </c>
      <c r="E1111" s="512">
        <v>150612.00311232626</v>
      </c>
      <c r="F1111" s="513">
        <v>150612.00311232626</v>
      </c>
      <c r="G1111" s="660">
        <v>-1646921.111623832</v>
      </c>
      <c r="H1111" s="512">
        <v>0</v>
      </c>
      <c r="I1111" s="659" t="s">
        <v>103</v>
      </c>
      <c r="J1111" s="513">
        <v>0</v>
      </c>
      <c r="K1111" s="513">
        <v>0</v>
      </c>
      <c r="L1111" s="513">
        <v>0</v>
      </c>
      <c r="M1111" s="513">
        <v>-1646921.111623832</v>
      </c>
      <c r="N1111" s="622" t="s">
        <v>1711</v>
      </c>
    </row>
    <row r="1112" spans="2:14" ht="29.1">
      <c r="B1112" s="513" t="s">
        <v>433</v>
      </c>
      <c r="C1112" s="658">
        <v>2012</v>
      </c>
      <c r="D1112" s="513">
        <v>-1646921.111623832</v>
      </c>
      <c r="E1112" s="513">
        <v>115647.52176208935</v>
      </c>
      <c r="F1112" s="513">
        <v>115647.52176208935</v>
      </c>
      <c r="G1112" s="660">
        <v>-1531273.5898617427</v>
      </c>
      <c r="H1112" s="512">
        <v>0</v>
      </c>
      <c r="I1112" s="659" t="s">
        <v>103</v>
      </c>
      <c r="J1112" s="513">
        <v>0</v>
      </c>
      <c r="K1112" s="513">
        <v>0</v>
      </c>
      <c r="L1112" s="513">
        <v>0</v>
      </c>
      <c r="M1112" s="513">
        <v>-1531273.5898617427</v>
      </c>
      <c r="N1112" s="622" t="s">
        <v>1711</v>
      </c>
    </row>
    <row r="1113" spans="2:14" ht="29.1">
      <c r="B1113" s="513" t="s">
        <v>433</v>
      </c>
      <c r="C1113" s="658">
        <v>2013</v>
      </c>
      <c r="D1113" s="513">
        <v>-1531273.5898617422</v>
      </c>
      <c r="E1113" s="513">
        <v>163931.57714660143</v>
      </c>
      <c r="F1113" s="513">
        <v>163931.57714660143</v>
      </c>
      <c r="G1113" s="660">
        <v>-1367342.0127151408</v>
      </c>
      <c r="H1113" s="512">
        <v>0</v>
      </c>
      <c r="I1113" s="659" t="s">
        <v>103</v>
      </c>
      <c r="J1113" s="513">
        <v>0</v>
      </c>
      <c r="K1113" s="513">
        <v>0</v>
      </c>
      <c r="L1113" s="513">
        <v>0</v>
      </c>
      <c r="M1113" s="513">
        <v>-1367342.0127151408</v>
      </c>
      <c r="N1113" s="622" t="s">
        <v>1711</v>
      </c>
    </row>
    <row r="1114" spans="2:14" ht="29.1">
      <c r="B1114" s="513" t="s">
        <v>433</v>
      </c>
      <c r="C1114" s="658">
        <v>2014</v>
      </c>
      <c r="D1114" s="513">
        <v>-1367342.0127151404</v>
      </c>
      <c r="E1114" s="513">
        <v>169555.86220016441</v>
      </c>
      <c r="F1114" s="513">
        <v>169555.86220016441</v>
      </c>
      <c r="G1114" s="660">
        <v>-1197786.1505149759</v>
      </c>
      <c r="H1114" s="512">
        <v>0</v>
      </c>
      <c r="I1114" s="659" t="s">
        <v>103</v>
      </c>
      <c r="J1114" s="513">
        <v>0</v>
      </c>
      <c r="K1114" s="513">
        <v>0</v>
      </c>
      <c r="L1114" s="513">
        <v>0</v>
      </c>
      <c r="M1114" s="513">
        <v>-1197786.1505149759</v>
      </c>
      <c r="N1114" s="622" t="s">
        <v>1711</v>
      </c>
    </row>
    <row r="1115" spans="2:14" ht="29.1">
      <c r="B1115" s="513" t="s">
        <v>433</v>
      </c>
      <c r="C1115" s="658">
        <v>2015</v>
      </c>
      <c r="D1115" s="513">
        <v>-1197786.1505149761</v>
      </c>
      <c r="E1115" s="513">
        <v>171818.41270612023</v>
      </c>
      <c r="F1115" s="513">
        <v>171818.41270612023</v>
      </c>
      <c r="G1115" s="660">
        <v>-1025967.7378088559</v>
      </c>
      <c r="H1115" s="660">
        <v>0</v>
      </c>
      <c r="I1115" s="659" t="s">
        <v>103</v>
      </c>
      <c r="J1115" s="513">
        <v>0</v>
      </c>
      <c r="K1115" s="513">
        <v>0</v>
      </c>
      <c r="L1115" s="513">
        <v>0</v>
      </c>
      <c r="M1115" s="513">
        <v>-1025967.7378088559</v>
      </c>
      <c r="N1115" s="622" t="s">
        <v>1711</v>
      </c>
    </row>
    <row r="1116" spans="2:14" ht="29.1">
      <c r="B1116" s="513" t="s">
        <v>433</v>
      </c>
      <c r="C1116" s="658">
        <v>2016</v>
      </c>
      <c r="D1116" s="513">
        <v>-1025967.7378088562</v>
      </c>
      <c r="E1116" s="513">
        <v>130009.64048821747</v>
      </c>
      <c r="F1116" s="513">
        <v>130009.64048821747</v>
      </c>
      <c r="G1116" s="660">
        <v>-895958.09732063871</v>
      </c>
      <c r="H1116" s="660">
        <v>0</v>
      </c>
      <c r="I1116" s="659" t="s">
        <v>103</v>
      </c>
      <c r="J1116" s="513">
        <v>0</v>
      </c>
      <c r="K1116" s="513">
        <v>0</v>
      </c>
      <c r="L1116" s="513">
        <v>0</v>
      </c>
      <c r="M1116" s="513">
        <v>-895958.09732063871</v>
      </c>
      <c r="N1116" s="622" t="s">
        <v>1711</v>
      </c>
    </row>
    <row r="1117" spans="2:14" ht="29.1">
      <c r="B1117" s="513" t="s">
        <v>433</v>
      </c>
      <c r="C1117" s="658">
        <v>2017</v>
      </c>
      <c r="D1117" s="513">
        <v>-895958.0973206386</v>
      </c>
      <c r="E1117" s="513">
        <v>121837.40706890951</v>
      </c>
      <c r="F1117" s="513">
        <v>121837.40706890951</v>
      </c>
      <c r="G1117" s="513">
        <v>-774120.6902517291</v>
      </c>
      <c r="H1117" s="513">
        <v>0</v>
      </c>
      <c r="I1117" s="659" t="s">
        <v>103</v>
      </c>
      <c r="J1117" s="513">
        <v>0</v>
      </c>
      <c r="K1117" s="513">
        <v>0</v>
      </c>
      <c r="L1117" s="513">
        <v>0</v>
      </c>
      <c r="M1117" s="513">
        <v>-774120.6902517291</v>
      </c>
      <c r="N1117" s="622" t="s">
        <v>1711</v>
      </c>
    </row>
    <row r="1118" spans="2:14" ht="29.1">
      <c r="B1118" s="513" t="s">
        <v>433</v>
      </c>
      <c r="C1118" s="889">
        <v>2018</v>
      </c>
      <c r="D1118" s="513">
        <v>-774120.6902517291</v>
      </c>
      <c r="E1118" s="513">
        <f>VLOOKUP(B1118,'[6]2018 allocation'!$A$11:$B$218,2, FALSE)</f>
        <v>128785.32968619387</v>
      </c>
      <c r="F1118" s="513">
        <f>E1118</f>
        <v>128785.32968619387</v>
      </c>
      <c r="G1118" s="513">
        <f>D1118+E1118</f>
        <v>-645335.36056553526</v>
      </c>
      <c r="H1118" s="513">
        <v>0</v>
      </c>
      <c r="I1118" s="622" t="s">
        <v>103</v>
      </c>
      <c r="J1118" s="513">
        <f>VLOOKUP(B1118,'[6]Annual Spending Worksheet '!$C$6:$AG$250,28,FALSE)</f>
        <v>0</v>
      </c>
      <c r="K1118" s="513">
        <f>VLOOKUP(B1118,'[6]Annual Spending Worksheet '!$C$6:$AG$250,29,FALSE)</f>
        <v>0</v>
      </c>
      <c r="L1118" s="513">
        <v>0</v>
      </c>
      <c r="M1118" s="513">
        <f>D1118+E1118+H1118-J1118</f>
        <v>-645335.36056553526</v>
      </c>
      <c r="N1118" s="622" t="s">
        <v>1711</v>
      </c>
    </row>
    <row r="1119" spans="2:14" ht="29.1">
      <c r="B1119" s="513" t="s">
        <v>433</v>
      </c>
      <c r="C1119" s="889">
        <v>2019</v>
      </c>
      <c r="D1119" s="513">
        <v>-645335.36056553526</v>
      </c>
      <c r="E1119" s="513">
        <v>136319.44997373165</v>
      </c>
      <c r="F1119" s="513">
        <v>136319.44997373165</v>
      </c>
      <c r="G1119" s="513">
        <v>-509015.91059180361</v>
      </c>
      <c r="H1119" s="513">
        <v>0</v>
      </c>
      <c r="I1119" s="622" t="s">
        <v>103</v>
      </c>
      <c r="J1119" s="513">
        <v>0</v>
      </c>
      <c r="K1119" s="513">
        <v>0</v>
      </c>
      <c r="L1119" s="513">
        <v>0</v>
      </c>
      <c r="M1119" s="513">
        <v>-509015.91059180361</v>
      </c>
      <c r="N1119" s="622" t="s">
        <v>1711</v>
      </c>
    </row>
    <row r="1120" spans="2:14" ht="29.1">
      <c r="B1120" s="513" t="s">
        <v>438</v>
      </c>
      <c r="C1120" s="658">
        <v>2008</v>
      </c>
      <c r="D1120" s="513">
        <v>-953650.32199999318</v>
      </c>
      <c r="E1120" s="512">
        <v>722113.33179114864</v>
      </c>
      <c r="F1120" s="513">
        <v>722113.33179114864</v>
      </c>
      <c r="G1120" s="512">
        <v>-231536.99020884454</v>
      </c>
      <c r="H1120" s="512">
        <v>0</v>
      </c>
      <c r="I1120" s="659" t="s">
        <v>103</v>
      </c>
      <c r="J1120" s="513">
        <v>0</v>
      </c>
      <c r="K1120" s="513">
        <v>0</v>
      </c>
      <c r="L1120" s="513">
        <v>0</v>
      </c>
      <c r="M1120" s="513">
        <v>-231536.99020884454</v>
      </c>
      <c r="N1120" s="622" t="s">
        <v>1711</v>
      </c>
    </row>
    <row r="1121" spans="2:14">
      <c r="B1121" s="513" t="s">
        <v>438</v>
      </c>
      <c r="C1121" s="658">
        <v>2009</v>
      </c>
      <c r="D1121" s="513">
        <v>-231536.99020884559</v>
      </c>
      <c r="E1121" s="512">
        <v>593253.04930643132</v>
      </c>
      <c r="F1121" s="513">
        <v>593253.04930643132</v>
      </c>
      <c r="G1121" s="512">
        <v>0</v>
      </c>
      <c r="H1121" s="512">
        <v>0</v>
      </c>
      <c r="I1121" s="659" t="s">
        <v>103</v>
      </c>
      <c r="J1121" s="513">
        <v>0</v>
      </c>
      <c r="K1121" s="513">
        <v>0</v>
      </c>
      <c r="L1121" s="513">
        <v>0</v>
      </c>
      <c r="M1121" s="513">
        <v>361716.05909758573</v>
      </c>
      <c r="N1121" s="622"/>
    </row>
    <row r="1122" spans="2:14">
      <c r="B1122" s="513" t="s">
        <v>438</v>
      </c>
      <c r="C1122" s="658">
        <v>2010</v>
      </c>
      <c r="D1122" s="513">
        <v>361716.05909758434</v>
      </c>
      <c r="E1122" s="512">
        <v>592494.46</v>
      </c>
      <c r="F1122" s="513">
        <v>592494.46</v>
      </c>
      <c r="G1122" s="512">
        <v>0</v>
      </c>
      <c r="H1122" s="512">
        <v>0</v>
      </c>
      <c r="I1122" s="659" t="s">
        <v>103</v>
      </c>
      <c r="J1122" s="513">
        <v>0</v>
      </c>
      <c r="K1122" s="513">
        <v>0</v>
      </c>
      <c r="L1122" s="513">
        <v>0</v>
      </c>
      <c r="M1122" s="513">
        <v>954210.5190975843</v>
      </c>
      <c r="N1122" s="622"/>
    </row>
    <row r="1123" spans="2:14">
      <c r="B1123" s="513" t="s">
        <v>438</v>
      </c>
      <c r="C1123" s="658">
        <v>2011</v>
      </c>
      <c r="D1123" s="513">
        <v>954210.51993764937</v>
      </c>
      <c r="E1123" s="512">
        <v>602168.80535458517</v>
      </c>
      <c r="F1123" s="513">
        <v>602168.80535458517</v>
      </c>
      <c r="G1123" s="512">
        <v>0</v>
      </c>
      <c r="H1123" s="512">
        <v>0</v>
      </c>
      <c r="I1123" s="659" t="s">
        <v>103</v>
      </c>
      <c r="J1123" s="513">
        <v>90685.150000000023</v>
      </c>
      <c r="K1123" s="513">
        <v>0</v>
      </c>
      <c r="L1123" s="513">
        <v>0</v>
      </c>
      <c r="M1123" s="513">
        <v>1465694.1752922344</v>
      </c>
      <c r="N1123" s="622"/>
    </row>
    <row r="1124" spans="2:14">
      <c r="B1124" s="513" t="s">
        <v>438</v>
      </c>
      <c r="C1124" s="658">
        <v>2012</v>
      </c>
      <c r="D1124" s="513">
        <v>1465694.1752922349</v>
      </c>
      <c r="E1124" s="513">
        <v>450466.1937357327</v>
      </c>
      <c r="F1124" s="513">
        <v>450466.1937357327</v>
      </c>
      <c r="G1124" s="660">
        <v>0</v>
      </c>
      <c r="H1124" s="512">
        <v>0</v>
      </c>
      <c r="I1124" s="659" t="s">
        <v>103</v>
      </c>
      <c r="J1124" s="513">
        <v>38084.57</v>
      </c>
      <c r="K1124" s="513">
        <v>0</v>
      </c>
      <c r="L1124" s="513">
        <v>0</v>
      </c>
      <c r="M1124" s="513">
        <v>1878075.7990279675</v>
      </c>
      <c r="N1124" s="622"/>
    </row>
    <row r="1125" spans="2:14">
      <c r="B1125" s="513" t="s">
        <v>438</v>
      </c>
      <c r="C1125" s="658">
        <v>2013</v>
      </c>
      <c r="D1125" s="513">
        <v>1878075.7990279682</v>
      </c>
      <c r="E1125" s="513">
        <v>659926.19874964771</v>
      </c>
      <c r="F1125" s="513">
        <v>659926.19874964771</v>
      </c>
      <c r="G1125" s="660">
        <v>0</v>
      </c>
      <c r="H1125" s="512">
        <v>0</v>
      </c>
      <c r="I1125" s="659" t="s">
        <v>103</v>
      </c>
      <c r="J1125" s="513">
        <v>29981.85</v>
      </c>
      <c r="K1125" s="513">
        <v>0</v>
      </c>
      <c r="L1125" s="513">
        <v>0</v>
      </c>
      <c r="M1125" s="513">
        <v>2508020.1477776156</v>
      </c>
      <c r="N1125" s="622"/>
    </row>
    <row r="1126" spans="2:14">
      <c r="B1126" s="513" t="s">
        <v>438</v>
      </c>
      <c r="C1126" s="658">
        <v>2014</v>
      </c>
      <c r="D1126" s="513">
        <v>2508020.1477776133</v>
      </c>
      <c r="E1126" s="513">
        <v>684311.43494390626</v>
      </c>
      <c r="F1126" s="513">
        <v>684311.43494390626</v>
      </c>
      <c r="G1126" s="660">
        <v>0</v>
      </c>
      <c r="H1126" s="512">
        <v>0</v>
      </c>
      <c r="I1126" s="659" t="s">
        <v>103</v>
      </c>
      <c r="J1126" s="513">
        <v>36653.540000000023</v>
      </c>
      <c r="K1126" s="513">
        <v>0</v>
      </c>
      <c r="L1126" s="513">
        <v>0</v>
      </c>
      <c r="M1126" s="513">
        <v>3155678.0427215192</v>
      </c>
      <c r="N1126" s="622"/>
    </row>
    <row r="1127" spans="2:14">
      <c r="B1127" s="513" t="s">
        <v>438</v>
      </c>
      <c r="C1127" s="658">
        <v>2015</v>
      </c>
      <c r="D1127" s="513">
        <v>3155678.0427215211</v>
      </c>
      <c r="E1127" s="513">
        <v>694227.05746552872</v>
      </c>
      <c r="F1127" s="513">
        <v>694227.05746552872</v>
      </c>
      <c r="G1127" s="660">
        <v>0</v>
      </c>
      <c r="H1127" s="660">
        <v>0</v>
      </c>
      <c r="I1127" s="659" t="s">
        <v>103</v>
      </c>
      <c r="J1127" s="513">
        <v>184568.78999999998</v>
      </c>
      <c r="K1127" s="513">
        <v>0</v>
      </c>
      <c r="L1127" s="513">
        <v>0</v>
      </c>
      <c r="M1127" s="513">
        <v>3665336.3101870497</v>
      </c>
      <c r="N1127" s="622"/>
    </row>
    <row r="1128" spans="2:14">
      <c r="B1128" s="513" t="s">
        <v>438</v>
      </c>
      <c r="C1128" s="658">
        <v>2016</v>
      </c>
      <c r="D1128" s="513">
        <v>3665336.3101870492</v>
      </c>
      <c r="E1128" s="513">
        <v>512884.35592018545</v>
      </c>
      <c r="F1128" s="513">
        <v>512884.35592018545</v>
      </c>
      <c r="G1128" s="660">
        <v>0</v>
      </c>
      <c r="H1128" s="660">
        <v>0</v>
      </c>
      <c r="I1128" s="659" t="s">
        <v>103</v>
      </c>
      <c r="J1128" s="513">
        <v>63327.959999999992</v>
      </c>
      <c r="K1128" s="513">
        <v>0</v>
      </c>
      <c r="L1128" s="513">
        <v>0</v>
      </c>
      <c r="M1128" s="513">
        <v>4114892.7061072346</v>
      </c>
      <c r="N1128" s="622"/>
    </row>
    <row r="1129" spans="2:14">
      <c r="B1129" s="513" t="s">
        <v>438</v>
      </c>
      <c r="C1129" s="658">
        <v>2017</v>
      </c>
      <c r="D1129" s="513">
        <v>4114892.7061072327</v>
      </c>
      <c r="E1129" s="513">
        <v>477521.91036432714</v>
      </c>
      <c r="F1129" s="513">
        <v>477521.91036432714</v>
      </c>
      <c r="G1129" s="513">
        <v>0</v>
      </c>
      <c r="H1129" s="513">
        <v>0</v>
      </c>
      <c r="I1129" s="659" t="s">
        <v>103</v>
      </c>
      <c r="J1129" s="513">
        <v>116848.25999999998</v>
      </c>
      <c r="K1129" s="513">
        <v>0</v>
      </c>
      <c r="L1129" s="513">
        <v>0</v>
      </c>
      <c r="M1129" s="513">
        <v>4475566.35647156</v>
      </c>
      <c r="N1129" s="622"/>
    </row>
    <row r="1130" spans="2:14">
      <c r="B1130" s="513" t="s">
        <v>438</v>
      </c>
      <c r="C1130" s="889">
        <v>2018</v>
      </c>
      <c r="D1130" s="513">
        <v>4475566.35647156</v>
      </c>
      <c r="E1130" s="513">
        <f>VLOOKUP(B1130,'[6]2018 allocation'!$A$11:$B$218,2, FALSE)</f>
        <v>507859.64291489054</v>
      </c>
      <c r="F1130" s="513">
        <f>E1130</f>
        <v>507859.64291489054</v>
      </c>
      <c r="G1130" s="513">
        <v>0</v>
      </c>
      <c r="H1130" s="513">
        <v>0</v>
      </c>
      <c r="I1130" s="622" t="s">
        <v>103</v>
      </c>
      <c r="J1130" s="513">
        <f>VLOOKUP(B1130,'[6]Annual Spending Worksheet '!$C$6:$AG$250,28,FALSE)</f>
        <v>441980.41</v>
      </c>
      <c r="K1130" s="513">
        <f>VLOOKUP(B1130,'[6]Annual Spending Worksheet '!$C$6:$AG$250,29,FALSE)</f>
        <v>0</v>
      </c>
      <c r="L1130" s="513">
        <v>0</v>
      </c>
      <c r="M1130" s="513">
        <f>D1130+E1130+H1130-J1130</f>
        <v>4541445.5893864501</v>
      </c>
      <c r="N1130" s="513"/>
    </row>
    <row r="1131" spans="2:14">
      <c r="B1131" s="513" t="s">
        <v>438</v>
      </c>
      <c r="C1131" s="889">
        <v>2019</v>
      </c>
      <c r="D1131" s="513">
        <v>4541445.5893864501</v>
      </c>
      <c r="E1131" s="513">
        <v>539564.47783851461</v>
      </c>
      <c r="F1131" s="513">
        <v>539564.47783851461</v>
      </c>
      <c r="G1131" s="513">
        <v>0</v>
      </c>
      <c r="H1131" s="513">
        <v>0</v>
      </c>
      <c r="I1131" s="622" t="s">
        <v>103</v>
      </c>
      <c r="J1131" s="513">
        <v>1624942.13</v>
      </c>
      <c r="K1131" s="513">
        <v>0</v>
      </c>
      <c r="L1131" s="513">
        <v>0</v>
      </c>
      <c r="M1131" s="513">
        <v>3456067.9372249646</v>
      </c>
      <c r="N1131" s="513"/>
    </row>
    <row r="1132" spans="2:14">
      <c r="B1132" s="513" t="s">
        <v>444</v>
      </c>
      <c r="C1132" s="658">
        <v>2008</v>
      </c>
      <c r="D1132" s="513">
        <v>250996.90099999984</v>
      </c>
      <c r="E1132" s="512">
        <v>58160.777004703894</v>
      </c>
      <c r="F1132" s="513">
        <v>58160.777004703894</v>
      </c>
      <c r="G1132" s="512">
        <v>0</v>
      </c>
      <c r="H1132" s="512">
        <v>0</v>
      </c>
      <c r="I1132" s="659" t="s">
        <v>103</v>
      </c>
      <c r="J1132" s="513">
        <v>5868.949999999928</v>
      </c>
      <c r="K1132" s="513">
        <v>0</v>
      </c>
      <c r="L1132" s="513">
        <v>0</v>
      </c>
      <c r="M1132" s="513">
        <v>303288.72800470376</v>
      </c>
      <c r="N1132" s="622"/>
    </row>
    <row r="1133" spans="2:14">
      <c r="B1133" s="513" t="s">
        <v>444</v>
      </c>
      <c r="C1133" s="658">
        <v>2009</v>
      </c>
      <c r="D1133" s="513">
        <v>303288.728004704</v>
      </c>
      <c r="E1133" s="512">
        <v>46561.110620912012</v>
      </c>
      <c r="F1133" s="513">
        <v>46561.110620912012</v>
      </c>
      <c r="G1133" s="512">
        <v>0</v>
      </c>
      <c r="H1133" s="512">
        <v>0</v>
      </c>
      <c r="I1133" s="659" t="s">
        <v>103</v>
      </c>
      <c r="J1133" s="513">
        <v>-1392.4</v>
      </c>
      <c r="K1133" s="513">
        <v>0</v>
      </c>
      <c r="L1133" s="513">
        <v>0</v>
      </c>
      <c r="M1133" s="513">
        <v>351242.23862561601</v>
      </c>
      <c r="N1133" s="622"/>
    </row>
    <row r="1134" spans="2:14">
      <c r="B1134" s="513" t="s">
        <v>444</v>
      </c>
      <c r="C1134" s="658">
        <v>2010</v>
      </c>
      <c r="D1134" s="513">
        <v>351242.23862561584</v>
      </c>
      <c r="E1134" s="512">
        <v>46491.32</v>
      </c>
      <c r="F1134" s="513">
        <v>46491.32</v>
      </c>
      <c r="G1134" s="512">
        <v>0</v>
      </c>
      <c r="H1134" s="512">
        <v>0</v>
      </c>
      <c r="I1134" s="659" t="s">
        <v>103</v>
      </c>
      <c r="J1134" s="513">
        <v>-12978.56</v>
      </c>
      <c r="K1134" s="513">
        <v>0</v>
      </c>
      <c r="L1134" s="513">
        <v>0</v>
      </c>
      <c r="M1134" s="513">
        <v>410712.11862561584</v>
      </c>
      <c r="N1134" s="622"/>
    </row>
    <row r="1135" spans="2:14">
      <c r="B1135" s="513" t="s">
        <v>444</v>
      </c>
      <c r="C1135" s="658">
        <v>2011</v>
      </c>
      <c r="D1135" s="513">
        <v>410712.11945439293</v>
      </c>
      <c r="E1135" s="512">
        <v>47345.224902575937</v>
      </c>
      <c r="F1135" s="513">
        <v>47345.224902575937</v>
      </c>
      <c r="G1135" s="512">
        <v>0</v>
      </c>
      <c r="H1135" s="512">
        <v>0</v>
      </c>
      <c r="I1135" s="659" t="s">
        <v>103</v>
      </c>
      <c r="J1135" s="513">
        <v>0</v>
      </c>
      <c r="K1135" s="513">
        <v>0</v>
      </c>
      <c r="L1135" s="513">
        <v>-1376.87</v>
      </c>
      <c r="M1135" s="513">
        <v>459434.21435696888</v>
      </c>
      <c r="N1135" s="622"/>
    </row>
    <row r="1136" spans="2:14">
      <c r="B1136" s="513" t="s">
        <v>444</v>
      </c>
      <c r="C1136" s="658">
        <v>2012</v>
      </c>
      <c r="D1136" s="513">
        <v>459434.21435696865</v>
      </c>
      <c r="E1136" s="513">
        <v>33548.665103296844</v>
      </c>
      <c r="F1136" s="513">
        <v>33548.665103296844</v>
      </c>
      <c r="G1136" s="512">
        <v>0</v>
      </c>
      <c r="H1136" s="512">
        <v>0</v>
      </c>
      <c r="I1136" s="659" t="s">
        <v>103</v>
      </c>
      <c r="J1136" s="513">
        <v>0</v>
      </c>
      <c r="K1136" s="513">
        <v>0</v>
      </c>
      <c r="L1136" s="513">
        <v>0</v>
      </c>
      <c r="M1136" s="513">
        <v>492982.87946026551</v>
      </c>
      <c r="N1136" s="622"/>
    </row>
    <row r="1137" spans="2:14">
      <c r="B1137" s="513" t="s">
        <v>444</v>
      </c>
      <c r="C1137" s="658">
        <v>2013</v>
      </c>
      <c r="D1137" s="513">
        <v>492982.87946026539</v>
      </c>
      <c r="E1137" s="513">
        <v>52604.60557509381</v>
      </c>
      <c r="F1137" s="513">
        <v>52604.60557509381</v>
      </c>
      <c r="G1137" s="512">
        <v>0</v>
      </c>
      <c r="H1137" s="512">
        <v>0</v>
      </c>
      <c r="I1137" s="659" t="s">
        <v>103</v>
      </c>
      <c r="J1137" s="513">
        <v>0</v>
      </c>
      <c r="K1137" s="513">
        <v>0</v>
      </c>
      <c r="L1137" s="513">
        <v>0</v>
      </c>
      <c r="M1137" s="513">
        <v>545587.48503535916</v>
      </c>
      <c r="N1137" s="622"/>
    </row>
    <row r="1138" spans="2:14">
      <c r="B1138" s="513" t="s">
        <v>444</v>
      </c>
      <c r="C1138" s="658">
        <v>2014</v>
      </c>
      <c r="D1138" s="513">
        <v>545587.48503535916</v>
      </c>
      <c r="E1138" s="513">
        <v>54810.134155607928</v>
      </c>
      <c r="F1138" s="513">
        <v>54810.134155607928</v>
      </c>
      <c r="G1138" s="512">
        <v>0</v>
      </c>
      <c r="H1138" s="512">
        <v>0</v>
      </c>
      <c r="I1138" s="659" t="s">
        <v>103</v>
      </c>
      <c r="J1138" s="513">
        <v>0</v>
      </c>
      <c r="K1138" s="513">
        <v>0</v>
      </c>
      <c r="L1138" s="513">
        <v>0</v>
      </c>
      <c r="M1138" s="513">
        <v>600397.61919096706</v>
      </c>
      <c r="N1138" s="622"/>
    </row>
    <row r="1139" spans="2:14">
      <c r="B1139" s="513" t="s">
        <v>444</v>
      </c>
      <c r="C1139" s="658">
        <v>2015</v>
      </c>
      <c r="D1139" s="513">
        <v>600397.61919096694</v>
      </c>
      <c r="E1139" s="513">
        <v>55703.653725461489</v>
      </c>
      <c r="F1139" s="513">
        <v>55703.653725461489</v>
      </c>
      <c r="G1139" s="660">
        <v>0</v>
      </c>
      <c r="H1139" s="660">
        <v>0</v>
      </c>
      <c r="I1139" s="659" t="s">
        <v>103</v>
      </c>
      <c r="J1139" s="513">
        <v>0</v>
      </c>
      <c r="K1139" s="513">
        <v>0</v>
      </c>
      <c r="L1139" s="513">
        <v>0</v>
      </c>
      <c r="M1139" s="513">
        <v>656101.2729164284</v>
      </c>
      <c r="N1139" s="622"/>
    </row>
    <row r="1140" spans="2:14" customFormat="1">
      <c r="B1140" s="1" t="s">
        <v>444</v>
      </c>
      <c r="C1140" s="1">
        <v>2017</v>
      </c>
      <c r="D1140" s="513">
        <v>695370.91655577277</v>
      </c>
      <c r="E1140" s="513">
        <v>36081.766198666402</v>
      </c>
      <c r="F1140" s="513">
        <v>36081.766198666402</v>
      </c>
      <c r="G1140" s="513">
        <v>0</v>
      </c>
      <c r="H1140" s="512">
        <v>0</v>
      </c>
      <c r="I1140" s="2" t="s">
        <v>103</v>
      </c>
      <c r="J1140" s="513">
        <v>0</v>
      </c>
      <c r="K1140" s="513">
        <v>0</v>
      </c>
      <c r="L1140" s="513">
        <v>0</v>
      </c>
      <c r="M1140" s="513">
        <v>731452.68275443919</v>
      </c>
      <c r="N1140" s="904"/>
    </row>
    <row r="1141" spans="2:14">
      <c r="B1141" s="513" t="s">
        <v>444</v>
      </c>
      <c r="C1141" s="658">
        <v>2016</v>
      </c>
      <c r="D1141" s="513">
        <v>656101.27291642898</v>
      </c>
      <c r="E1141" s="513">
        <v>39269.643639343703</v>
      </c>
      <c r="F1141" s="513">
        <v>39269.643639343703</v>
      </c>
      <c r="G1141" s="660">
        <v>0</v>
      </c>
      <c r="H1141" s="660">
        <v>0</v>
      </c>
      <c r="I1141" s="659" t="s">
        <v>103</v>
      </c>
      <c r="J1141" s="513">
        <v>0</v>
      </c>
      <c r="K1141" s="513">
        <v>0</v>
      </c>
      <c r="L1141" s="513">
        <v>0</v>
      </c>
      <c r="M1141" s="513">
        <v>695370.91655577265</v>
      </c>
      <c r="N1141" s="622"/>
    </row>
    <row r="1142" spans="2:14">
      <c r="B1142" s="513" t="s">
        <v>444</v>
      </c>
      <c r="C1142" s="889">
        <v>2018</v>
      </c>
      <c r="D1142" s="513">
        <v>731452.68275443919</v>
      </c>
      <c r="E1142" s="513">
        <f>VLOOKUP(B1142,'[6]2018 allocation'!$A$11:$B$218,2, FALSE)</f>
        <v>38794.987732732952</v>
      </c>
      <c r="F1142" s="513">
        <f>E1142</f>
        <v>38794.987732732952</v>
      </c>
      <c r="G1142" s="513">
        <v>0</v>
      </c>
      <c r="H1142" s="513">
        <v>0</v>
      </c>
      <c r="I1142" s="622" t="s">
        <v>103</v>
      </c>
      <c r="J1142" s="513">
        <f>VLOOKUP(B1142,'[6]Annual Spending Worksheet '!$C$6:$AG$250,28,FALSE)</f>
        <v>0</v>
      </c>
      <c r="K1142" s="513">
        <f>VLOOKUP(B1142,'[6]Annual Spending Worksheet '!$C$6:$AG$250,29,FALSE)</f>
        <v>0</v>
      </c>
      <c r="L1142" s="513">
        <v>0</v>
      </c>
      <c r="M1142" s="513">
        <f>D1142+E1142+H1142-J1142</f>
        <v>770247.67048717209</v>
      </c>
      <c r="N1142" s="513"/>
    </row>
    <row r="1143" spans="2:14">
      <c r="B1143" s="513" t="s">
        <v>444</v>
      </c>
      <c r="C1143" s="889">
        <v>2019</v>
      </c>
      <c r="D1143" s="513">
        <v>770247.67048717209</v>
      </c>
      <c r="E1143" s="513">
        <v>41676.968680076214</v>
      </c>
      <c r="F1143" s="513">
        <v>41676.968680076214</v>
      </c>
      <c r="G1143" s="513">
        <v>0</v>
      </c>
      <c r="H1143" s="513">
        <v>0</v>
      </c>
      <c r="I1143" s="622" t="s">
        <v>103</v>
      </c>
      <c r="J1143" s="513">
        <v>0</v>
      </c>
      <c r="K1143" s="513">
        <v>0</v>
      </c>
      <c r="L1143" s="513">
        <v>0</v>
      </c>
      <c r="M1143" s="513">
        <v>811924.63916724827</v>
      </c>
      <c r="N1143" s="513"/>
    </row>
    <row r="1144" spans="2:14" ht="29.1">
      <c r="B1144" s="513" t="s">
        <v>448</v>
      </c>
      <c r="C1144" s="658">
        <v>2008</v>
      </c>
      <c r="D1144" s="513">
        <v>-1923731.9190000016</v>
      </c>
      <c r="E1144" s="513">
        <v>316397.1673772714</v>
      </c>
      <c r="F1144" s="513">
        <v>316397.1673772714</v>
      </c>
      <c r="G1144" s="513">
        <v>-1607334.7516227302</v>
      </c>
      <c r="H1144" s="513">
        <v>0</v>
      </c>
      <c r="I1144" s="659" t="s">
        <v>103</v>
      </c>
      <c r="J1144" s="513">
        <v>298.54000000000002</v>
      </c>
      <c r="K1144" s="513">
        <v>0</v>
      </c>
      <c r="L1144" s="513">
        <v>0</v>
      </c>
      <c r="M1144" s="513">
        <v>-1607633.2916227302</v>
      </c>
      <c r="N1144" s="622" t="s">
        <v>1711</v>
      </c>
    </row>
    <row r="1145" spans="2:14" ht="29.1">
      <c r="B1145" s="513" t="s">
        <v>448</v>
      </c>
      <c r="C1145" s="658">
        <v>2009</v>
      </c>
      <c r="D1145" s="513">
        <v>-1607633.29162273</v>
      </c>
      <c r="E1145" s="512">
        <v>252335.24954644364</v>
      </c>
      <c r="F1145" s="513">
        <v>252335.24954644364</v>
      </c>
      <c r="G1145" s="512">
        <v>-1355298.0420762864</v>
      </c>
      <c r="H1145" s="512">
        <v>0</v>
      </c>
      <c r="I1145" s="659" t="s">
        <v>103</v>
      </c>
      <c r="J1145" s="513">
        <v>0</v>
      </c>
      <c r="K1145" s="513">
        <v>0</v>
      </c>
      <c r="L1145" s="513">
        <v>0</v>
      </c>
      <c r="M1145" s="513">
        <v>-1355298.0420762864</v>
      </c>
      <c r="N1145" s="622" t="s">
        <v>1711</v>
      </c>
    </row>
    <row r="1146" spans="2:14" ht="29.1">
      <c r="B1146" s="513" t="s">
        <v>448</v>
      </c>
      <c r="C1146" s="658">
        <v>2010</v>
      </c>
      <c r="D1146" s="513">
        <v>-1354999.492076287</v>
      </c>
      <c r="E1146" s="512">
        <v>251942.44</v>
      </c>
      <c r="F1146" s="513">
        <v>251942.44</v>
      </c>
      <c r="G1146" s="512">
        <v>-1103057.0520762871</v>
      </c>
      <c r="H1146" s="512">
        <v>0</v>
      </c>
      <c r="I1146" s="659" t="s">
        <v>103</v>
      </c>
      <c r="J1146" s="513">
        <v>0</v>
      </c>
      <c r="K1146" s="513">
        <v>0</v>
      </c>
      <c r="L1146" s="513">
        <v>0</v>
      </c>
      <c r="M1146" s="513">
        <v>-1103057.0520762871</v>
      </c>
      <c r="N1146" s="622" t="s">
        <v>1711</v>
      </c>
    </row>
    <row r="1147" spans="2:14" ht="29.1">
      <c r="B1147" s="513" t="s">
        <v>448</v>
      </c>
      <c r="C1147" s="658">
        <v>2011</v>
      </c>
      <c r="D1147" s="513">
        <v>-1103057.0554690436</v>
      </c>
      <c r="E1147" s="512">
        <v>256643.72253948482</v>
      </c>
      <c r="F1147" s="513">
        <v>256643.72253948482</v>
      </c>
      <c r="G1147" s="512">
        <v>-846413.3329295587</v>
      </c>
      <c r="H1147" s="512">
        <v>0</v>
      </c>
      <c r="I1147" s="659" t="s">
        <v>103</v>
      </c>
      <c r="J1147" s="513">
        <v>0</v>
      </c>
      <c r="K1147" s="513">
        <v>0</v>
      </c>
      <c r="L1147" s="513">
        <v>0</v>
      </c>
      <c r="M1147" s="513">
        <v>-846413.3329295587</v>
      </c>
      <c r="N1147" s="622" t="s">
        <v>1711</v>
      </c>
    </row>
    <row r="1148" spans="2:14" ht="29.1">
      <c r="B1148" s="513" t="s">
        <v>448</v>
      </c>
      <c r="C1148" s="658">
        <v>2012</v>
      </c>
      <c r="D1148" s="513">
        <v>-846413.33292955905</v>
      </c>
      <c r="E1148" s="512">
        <v>180794.98549971584</v>
      </c>
      <c r="F1148" s="513">
        <v>180794.98549971584</v>
      </c>
      <c r="G1148" s="660">
        <v>-665618.34742984315</v>
      </c>
      <c r="H1148" s="512">
        <v>0</v>
      </c>
      <c r="I1148" s="659" t="s">
        <v>103</v>
      </c>
      <c r="J1148" s="513">
        <v>0</v>
      </c>
      <c r="K1148" s="513">
        <v>0</v>
      </c>
      <c r="L1148" s="513">
        <v>0</v>
      </c>
      <c r="M1148" s="513">
        <v>-665618.34742984315</v>
      </c>
      <c r="N1148" s="622" t="s">
        <v>1711</v>
      </c>
    </row>
    <row r="1149" spans="2:14" ht="29.1">
      <c r="B1149" s="513" t="s">
        <v>448</v>
      </c>
      <c r="C1149" s="658">
        <v>2013</v>
      </c>
      <c r="D1149" s="513">
        <v>-665618.34742984362</v>
      </c>
      <c r="E1149" s="513">
        <v>285576.10645937955</v>
      </c>
      <c r="F1149" s="513">
        <v>285576.10645937955</v>
      </c>
      <c r="G1149" s="660">
        <v>-380042.24097046407</v>
      </c>
      <c r="H1149" s="512">
        <v>0</v>
      </c>
      <c r="I1149" s="659" t="s">
        <v>103</v>
      </c>
      <c r="J1149" s="513">
        <v>0</v>
      </c>
      <c r="K1149" s="513">
        <v>0</v>
      </c>
      <c r="L1149" s="513">
        <v>0</v>
      </c>
      <c r="M1149" s="513">
        <v>-380042.24097046407</v>
      </c>
      <c r="N1149" s="622" t="s">
        <v>1711</v>
      </c>
    </row>
    <row r="1150" spans="2:14" ht="29.1">
      <c r="B1150" s="513" t="s">
        <v>448</v>
      </c>
      <c r="C1150" s="658">
        <v>2014</v>
      </c>
      <c r="D1150" s="513">
        <v>-380042.24097046442</v>
      </c>
      <c r="E1150" s="513">
        <v>297797.22302750277</v>
      </c>
      <c r="F1150" s="513">
        <v>297797.22302750277</v>
      </c>
      <c r="G1150" s="660">
        <v>-82245.017942961655</v>
      </c>
      <c r="H1150" s="512">
        <v>0</v>
      </c>
      <c r="I1150" s="659" t="s">
        <v>103</v>
      </c>
      <c r="J1150" s="513">
        <v>0</v>
      </c>
      <c r="K1150" s="513">
        <v>0</v>
      </c>
      <c r="L1150" s="513">
        <v>0</v>
      </c>
      <c r="M1150" s="513">
        <v>-82245.017942961655</v>
      </c>
      <c r="N1150" s="622" t="s">
        <v>1711</v>
      </c>
    </row>
    <row r="1151" spans="2:14">
      <c r="B1151" s="513" t="s">
        <v>448</v>
      </c>
      <c r="C1151" s="658">
        <v>2015</v>
      </c>
      <c r="D1151" s="513">
        <v>-82245.017942961305</v>
      </c>
      <c r="E1151" s="513">
        <v>302752.99156216014</v>
      </c>
      <c r="F1151" s="513">
        <v>302752.99156216014</v>
      </c>
      <c r="G1151" s="660">
        <v>0</v>
      </c>
      <c r="H1151" s="512">
        <v>0</v>
      </c>
      <c r="I1151" s="659" t="s">
        <v>103</v>
      </c>
      <c r="J1151" s="513">
        <v>0</v>
      </c>
      <c r="K1151" s="513">
        <v>0</v>
      </c>
      <c r="L1151" s="513">
        <v>0</v>
      </c>
      <c r="M1151" s="513">
        <v>220507.97361919883</v>
      </c>
      <c r="N1151" s="622"/>
    </row>
    <row r="1152" spans="2:14">
      <c r="B1152" s="513" t="s">
        <v>448</v>
      </c>
      <c r="C1152" s="658">
        <v>2016</v>
      </c>
      <c r="D1152" s="513">
        <v>220507.97361919843</v>
      </c>
      <c r="E1152" s="513">
        <v>211882.67227597887</v>
      </c>
      <c r="F1152" s="513">
        <v>211882.67227597887</v>
      </c>
      <c r="G1152" s="660">
        <v>0</v>
      </c>
      <c r="H1152" s="660">
        <v>0</v>
      </c>
      <c r="I1152" s="659" t="s">
        <v>103</v>
      </c>
      <c r="J1152" s="513">
        <v>0</v>
      </c>
      <c r="K1152" s="513">
        <v>0</v>
      </c>
      <c r="L1152" s="513">
        <v>0</v>
      </c>
      <c r="M1152" s="513">
        <v>432390.64589517727</v>
      </c>
      <c r="N1152" s="622"/>
    </row>
    <row r="1153" spans="2:14">
      <c r="B1153" s="513" t="s">
        <v>448</v>
      </c>
      <c r="C1153" s="658">
        <v>2017</v>
      </c>
      <c r="D1153" s="513">
        <v>432390.6458951775</v>
      </c>
      <c r="E1153" s="513">
        <v>193671.59635661155</v>
      </c>
      <c r="F1153" s="513">
        <v>193671.59635661155</v>
      </c>
      <c r="G1153" s="660">
        <v>0</v>
      </c>
      <c r="H1153" s="660">
        <v>0</v>
      </c>
      <c r="I1153" s="659" t="s">
        <v>103</v>
      </c>
      <c r="J1153" s="513">
        <v>0</v>
      </c>
      <c r="K1153" s="513">
        <v>0</v>
      </c>
      <c r="L1153" s="513">
        <v>0</v>
      </c>
      <c r="M1153" s="513">
        <v>626062.24225178908</v>
      </c>
      <c r="N1153" s="622"/>
    </row>
    <row r="1154" spans="2:14">
      <c r="B1154" s="513" t="s">
        <v>448</v>
      </c>
      <c r="C1154" s="889">
        <v>2018</v>
      </c>
      <c r="D1154" s="513">
        <v>626062.24225178908</v>
      </c>
      <c r="E1154" s="513">
        <f>VLOOKUP(B1154,'[6]2018 allocation'!$A$11:$B$218,2, FALSE)</f>
        <v>208903.78876518222</v>
      </c>
      <c r="F1154" s="513">
        <f>E1154</f>
        <v>208903.78876518222</v>
      </c>
      <c r="G1154" s="513">
        <v>0</v>
      </c>
      <c r="H1154" s="513">
        <v>0</v>
      </c>
      <c r="I1154" s="622" t="s">
        <v>103</v>
      </c>
      <c r="J1154" s="513">
        <f>VLOOKUP(B1154,'[6]Annual Spending Worksheet '!$C$6:$AG$250,28,FALSE)</f>
        <v>0</v>
      </c>
      <c r="K1154" s="513">
        <f>VLOOKUP(B1154,'[6]Annual Spending Worksheet '!$C$6:$AG$250,29,FALSE)</f>
        <v>0</v>
      </c>
      <c r="L1154" s="513">
        <v>0</v>
      </c>
      <c r="M1154" s="513">
        <f>D1154+E1154+H1154-J1154</f>
        <v>834966.03101697133</v>
      </c>
      <c r="N1154" s="513"/>
    </row>
    <row r="1155" spans="2:14">
      <c r="B1155" s="513" t="s">
        <v>448</v>
      </c>
      <c r="C1155" s="889">
        <v>2019</v>
      </c>
      <c r="D1155" s="513">
        <v>834966.03101697133</v>
      </c>
      <c r="E1155" s="513">
        <v>225009.83381089015</v>
      </c>
      <c r="F1155" s="513">
        <v>225009.83381089015</v>
      </c>
      <c r="G1155" s="513">
        <v>0</v>
      </c>
      <c r="H1155" s="513">
        <v>0</v>
      </c>
      <c r="I1155" s="622" t="s">
        <v>103</v>
      </c>
      <c r="J1155" s="513">
        <v>0</v>
      </c>
      <c r="K1155" s="513">
        <v>0</v>
      </c>
      <c r="L1155" s="513">
        <v>0</v>
      </c>
      <c r="M1155" s="513">
        <v>1059975.8648278615</v>
      </c>
      <c r="N1155" s="513"/>
    </row>
    <row r="1156" spans="2:14" ht="29.1">
      <c r="B1156" s="513" t="s">
        <v>449</v>
      </c>
      <c r="C1156" s="658">
        <v>2008</v>
      </c>
      <c r="D1156" s="513">
        <v>-614532.65</v>
      </c>
      <c r="E1156" s="512">
        <v>341616.24152805604</v>
      </c>
      <c r="F1156" s="513">
        <v>341616.24152805604</v>
      </c>
      <c r="G1156" s="512">
        <v>-272916.40847194399</v>
      </c>
      <c r="H1156" s="512">
        <v>0</v>
      </c>
      <c r="I1156" s="659" t="s">
        <v>103</v>
      </c>
      <c r="J1156" s="513">
        <v>0</v>
      </c>
      <c r="K1156" s="513">
        <v>0</v>
      </c>
      <c r="L1156" s="513">
        <v>0</v>
      </c>
      <c r="M1156" s="513">
        <v>-272916.40847194399</v>
      </c>
      <c r="N1156" s="622" t="s">
        <v>1711</v>
      </c>
    </row>
    <row r="1157" spans="2:14">
      <c r="B1157" s="513" t="s">
        <v>449</v>
      </c>
      <c r="C1157" s="658">
        <v>2009</v>
      </c>
      <c r="D1157" s="513">
        <v>-272916.40847194474</v>
      </c>
      <c r="E1157" s="512">
        <v>285567.91916291101</v>
      </c>
      <c r="F1157" s="513">
        <v>285567.91916291101</v>
      </c>
      <c r="G1157" s="512">
        <v>0</v>
      </c>
      <c r="H1157" s="512">
        <v>0</v>
      </c>
      <c r="I1157" s="659" t="s">
        <v>103</v>
      </c>
      <c r="J1157" s="513">
        <v>0</v>
      </c>
      <c r="K1157" s="513">
        <v>0</v>
      </c>
      <c r="L1157" s="513">
        <v>0</v>
      </c>
      <c r="M1157" s="513">
        <v>12651.510690966272</v>
      </c>
      <c r="N1157" s="622"/>
    </row>
    <row r="1158" spans="2:14">
      <c r="B1158" s="513" t="s">
        <v>449</v>
      </c>
      <c r="C1158" s="658">
        <v>2010</v>
      </c>
      <c r="D1158" s="513">
        <v>12651.510690966621</v>
      </c>
      <c r="E1158" s="512">
        <v>285230.44</v>
      </c>
      <c r="F1158" s="513">
        <v>285230.44</v>
      </c>
      <c r="G1158" s="512">
        <v>0</v>
      </c>
      <c r="H1158" s="512">
        <v>0</v>
      </c>
      <c r="I1158" s="659" t="s">
        <v>103</v>
      </c>
      <c r="J1158" s="513">
        <v>0</v>
      </c>
      <c r="K1158" s="513">
        <v>0</v>
      </c>
      <c r="L1158" s="513">
        <v>0</v>
      </c>
      <c r="M1158" s="513">
        <v>297881.95069096662</v>
      </c>
      <c r="N1158" s="622"/>
    </row>
    <row r="1159" spans="2:14">
      <c r="B1159" s="513" t="s">
        <v>449</v>
      </c>
      <c r="C1159" s="658">
        <v>2011</v>
      </c>
      <c r="D1159" s="513">
        <v>297881.95088045299</v>
      </c>
      <c r="E1159" s="512">
        <v>289176.50773229933</v>
      </c>
      <c r="F1159" s="513">
        <v>289176.50773229933</v>
      </c>
      <c r="G1159" s="512">
        <v>0</v>
      </c>
      <c r="H1159" s="512">
        <v>0</v>
      </c>
      <c r="I1159" s="659" t="s">
        <v>103</v>
      </c>
      <c r="J1159" s="513">
        <v>0</v>
      </c>
      <c r="K1159" s="513">
        <v>0</v>
      </c>
      <c r="L1159" s="513">
        <v>0</v>
      </c>
      <c r="M1159" s="513">
        <v>587058.45861275238</v>
      </c>
      <c r="N1159" s="622"/>
    </row>
    <row r="1160" spans="2:14">
      <c r="B1160" s="513" t="s">
        <v>449</v>
      </c>
      <c r="C1160" s="658">
        <v>2012</v>
      </c>
      <c r="D1160" s="513">
        <v>587058.45861275308</v>
      </c>
      <c r="E1160" s="513">
        <v>222868.96894018759</v>
      </c>
      <c r="F1160" s="513">
        <v>222868.96894018759</v>
      </c>
      <c r="G1160" s="512">
        <v>0</v>
      </c>
      <c r="H1160" s="512">
        <v>0</v>
      </c>
      <c r="I1160" s="659" t="s">
        <v>103</v>
      </c>
      <c r="J1160" s="513">
        <v>47611.039999999979</v>
      </c>
      <c r="K1160" s="513">
        <v>0</v>
      </c>
      <c r="L1160" s="513">
        <v>0</v>
      </c>
      <c r="M1160" s="513">
        <v>762316.38755294075</v>
      </c>
      <c r="N1160" s="622"/>
    </row>
    <row r="1161" spans="2:14">
      <c r="B1161" s="513" t="s">
        <v>449</v>
      </c>
      <c r="C1161" s="658">
        <v>2013</v>
      </c>
      <c r="D1161" s="513">
        <v>762316.38755294122</v>
      </c>
      <c r="E1161" s="513">
        <v>314598.75946043991</v>
      </c>
      <c r="F1161" s="513">
        <v>314598.75946043991</v>
      </c>
      <c r="G1161" s="660">
        <v>0</v>
      </c>
      <c r="H1161" s="512">
        <v>0</v>
      </c>
      <c r="I1161" s="659" t="s">
        <v>103</v>
      </c>
      <c r="J1161" s="513">
        <v>14255.210000000012</v>
      </c>
      <c r="K1161" s="513">
        <v>0</v>
      </c>
      <c r="L1161" s="513">
        <v>0</v>
      </c>
      <c r="M1161" s="513">
        <v>1062659.9370133812</v>
      </c>
      <c r="N1161" s="622"/>
    </row>
    <row r="1162" spans="2:14">
      <c r="B1162" s="513" t="s">
        <v>449</v>
      </c>
      <c r="C1162" s="658">
        <v>2014</v>
      </c>
      <c r="D1162" s="513">
        <v>1062659.9370133802</v>
      </c>
      <c r="E1162" s="513">
        <v>325190.16680342413</v>
      </c>
      <c r="F1162" s="513">
        <v>325190.16680342413</v>
      </c>
      <c r="G1162" s="660">
        <v>0</v>
      </c>
      <c r="H1162" s="512">
        <v>0</v>
      </c>
      <c r="I1162" s="659" t="s">
        <v>103</v>
      </c>
      <c r="J1162" s="513">
        <v>30838.149999999987</v>
      </c>
      <c r="K1162" s="513">
        <v>0</v>
      </c>
      <c r="L1162" s="513">
        <v>0</v>
      </c>
      <c r="M1162" s="513">
        <v>1357011.9538168046</v>
      </c>
      <c r="N1162" s="622"/>
    </row>
    <row r="1163" spans="2:14">
      <c r="B1163" s="513" t="s">
        <v>449</v>
      </c>
      <c r="C1163" s="658">
        <v>2015</v>
      </c>
      <c r="D1163" s="513">
        <v>1357011.9538168032</v>
      </c>
      <c r="E1163" s="513">
        <v>329606.45365313126</v>
      </c>
      <c r="F1163" s="513">
        <v>329606.45365313126</v>
      </c>
      <c r="G1163" s="660">
        <v>0</v>
      </c>
      <c r="H1163" s="660">
        <v>0</v>
      </c>
      <c r="I1163" s="659" t="s">
        <v>103</v>
      </c>
      <c r="J1163" s="513">
        <v>10047.839999999998</v>
      </c>
      <c r="K1163" s="513">
        <v>0</v>
      </c>
      <c r="L1163" s="513">
        <v>0</v>
      </c>
      <c r="M1163" s="513">
        <v>1676570.5674699342</v>
      </c>
      <c r="N1163" s="622"/>
    </row>
    <row r="1164" spans="2:14">
      <c r="B1164" s="513" t="s">
        <v>449</v>
      </c>
      <c r="C1164" s="658">
        <v>2016</v>
      </c>
      <c r="D1164" s="513">
        <v>1676570.567469934</v>
      </c>
      <c r="E1164" s="513">
        <v>250601.09965417287</v>
      </c>
      <c r="F1164" s="513">
        <v>250601.09965417287</v>
      </c>
      <c r="G1164" s="660">
        <v>0</v>
      </c>
      <c r="H1164" s="660">
        <v>0</v>
      </c>
      <c r="I1164" s="659" t="s">
        <v>103</v>
      </c>
      <c r="J1164" s="513">
        <v>892326.03999999992</v>
      </c>
      <c r="K1164" s="513">
        <v>0</v>
      </c>
      <c r="L1164" s="513">
        <v>0</v>
      </c>
      <c r="M1164" s="513">
        <v>1034845.6271241069</v>
      </c>
      <c r="N1164" s="622"/>
    </row>
    <row r="1165" spans="2:14">
      <c r="B1165" s="513" t="s">
        <v>449</v>
      </c>
      <c r="C1165" s="658">
        <v>2017</v>
      </c>
      <c r="D1165" s="513">
        <v>1034845.6271241084</v>
      </c>
      <c r="E1165" s="513">
        <v>235210.7330458978</v>
      </c>
      <c r="F1165" s="513">
        <v>235210.7330458978</v>
      </c>
      <c r="G1165" s="513">
        <v>0</v>
      </c>
      <c r="H1165" s="513">
        <v>0</v>
      </c>
      <c r="I1165" s="659" t="s">
        <v>103</v>
      </c>
      <c r="J1165" s="513">
        <v>1223628.3700000001</v>
      </c>
      <c r="K1165" s="513">
        <v>0</v>
      </c>
      <c r="L1165" s="513">
        <v>0</v>
      </c>
      <c r="M1165" s="513">
        <v>46427.990170006175</v>
      </c>
      <c r="N1165" s="622"/>
    </row>
    <row r="1166" spans="2:14">
      <c r="B1166" s="513" t="s">
        <v>449</v>
      </c>
      <c r="C1166" s="889">
        <v>2018</v>
      </c>
      <c r="D1166" s="513">
        <v>46427.990170006175</v>
      </c>
      <c r="E1166" s="513">
        <f>VLOOKUP(B1166,'[6]2018 allocation'!$A$11:$B$218,2, FALSE)</f>
        <v>248004.98721170466</v>
      </c>
      <c r="F1166" s="513">
        <f>E1166</f>
        <v>248004.98721170466</v>
      </c>
      <c r="G1166" s="513">
        <v>0</v>
      </c>
      <c r="H1166" s="513">
        <v>0</v>
      </c>
      <c r="I1166" s="622" t="s">
        <v>103</v>
      </c>
      <c r="J1166" s="513">
        <f>VLOOKUP(B1166,'[6]Annual Spending Worksheet '!$C$6:$AG$250,28,FALSE)</f>
        <v>195072.34</v>
      </c>
      <c r="K1166" s="513">
        <f>VLOOKUP(B1166,'[6]Annual Spending Worksheet '!$C$6:$AG$250,29,FALSE)</f>
        <v>2323250.4299999983</v>
      </c>
      <c r="L1166" s="513">
        <v>0</v>
      </c>
      <c r="M1166" s="513">
        <f>D1166+E1166+H1166-J1166</f>
        <v>99360.63738171084</v>
      </c>
      <c r="N1166" s="513"/>
    </row>
    <row r="1167" spans="2:14">
      <c r="B1167" s="513" t="s">
        <v>449</v>
      </c>
      <c r="C1167" s="889">
        <v>2019</v>
      </c>
      <c r="D1167" s="513">
        <v>99360.63738171084</v>
      </c>
      <c r="E1167" s="513">
        <v>262015.92249180059</v>
      </c>
      <c r="F1167" s="513">
        <v>262015.92249180059</v>
      </c>
      <c r="G1167" s="513">
        <v>0</v>
      </c>
      <c r="H1167" s="513">
        <v>3157150</v>
      </c>
      <c r="I1167" s="622" t="s">
        <v>1733</v>
      </c>
      <c r="J1167" s="513">
        <v>99321.2</v>
      </c>
      <c r="K1167" s="513">
        <v>0</v>
      </c>
      <c r="L1167" s="513">
        <v>0</v>
      </c>
      <c r="M1167" s="513">
        <v>3419205.3598735114</v>
      </c>
      <c r="N1167" s="513"/>
    </row>
    <row r="1168" spans="2:14">
      <c r="B1168" s="513" t="s">
        <v>456</v>
      </c>
      <c r="C1168" s="658">
        <v>2008</v>
      </c>
      <c r="D1168" s="513">
        <v>47377.690999999992</v>
      </c>
      <c r="E1168" s="512">
        <v>18376.694677151252</v>
      </c>
      <c r="F1168" s="513">
        <v>18376.694677151252</v>
      </c>
      <c r="G1168" s="512">
        <v>0</v>
      </c>
      <c r="H1168" s="512">
        <v>0</v>
      </c>
      <c r="I1168" s="659" t="s">
        <v>103</v>
      </c>
      <c r="J1168" s="513">
        <v>19436</v>
      </c>
      <c r="K1168" s="513">
        <v>0</v>
      </c>
      <c r="L1168" s="513">
        <v>0</v>
      </c>
      <c r="M1168" s="513">
        <v>46318.385677151236</v>
      </c>
      <c r="N1168" s="622"/>
    </row>
    <row r="1169" spans="2:14">
      <c r="B1169" s="513" t="s">
        <v>456</v>
      </c>
      <c r="C1169" s="658">
        <v>2009</v>
      </c>
      <c r="D1169" s="513">
        <v>46317.995677151252</v>
      </c>
      <c r="E1169" s="512">
        <v>14683.805903762457</v>
      </c>
      <c r="F1169" s="513">
        <v>14683.805903762457</v>
      </c>
      <c r="G1169" s="512">
        <v>0</v>
      </c>
      <c r="H1169" s="512">
        <v>0</v>
      </c>
      <c r="I1169" s="659" t="s">
        <v>103</v>
      </c>
      <c r="J1169" s="513">
        <v>0</v>
      </c>
      <c r="K1169" s="513">
        <v>0</v>
      </c>
      <c r="L1169" s="513">
        <v>0</v>
      </c>
      <c r="M1169" s="513">
        <v>61001.801580913707</v>
      </c>
      <c r="N1169" s="622"/>
    </row>
    <row r="1170" spans="2:14">
      <c r="B1170" s="513" t="s">
        <v>456</v>
      </c>
      <c r="C1170" s="658">
        <v>2010</v>
      </c>
      <c r="D1170" s="513">
        <v>61001.801580913772</v>
      </c>
      <c r="E1170" s="512">
        <v>14665.88</v>
      </c>
      <c r="F1170" s="513">
        <v>14665.88</v>
      </c>
      <c r="G1170" s="512">
        <v>0</v>
      </c>
      <c r="H1170" s="512">
        <v>0</v>
      </c>
      <c r="I1170" s="659" t="s">
        <v>103</v>
      </c>
      <c r="J1170" s="513">
        <v>0</v>
      </c>
      <c r="K1170" s="513">
        <v>0</v>
      </c>
      <c r="L1170" s="513">
        <v>0</v>
      </c>
      <c r="M1170" s="513">
        <v>75667.681580913777</v>
      </c>
      <c r="N1170" s="622"/>
    </row>
    <row r="1171" spans="2:14">
      <c r="B1171" s="513" t="s">
        <v>456</v>
      </c>
      <c r="C1171" s="658">
        <v>2011</v>
      </c>
      <c r="D1171" s="513">
        <v>75667.683717779175</v>
      </c>
      <c r="E1171" s="512">
        <v>14935.022144849294</v>
      </c>
      <c r="F1171" s="513">
        <v>14935.022144849294</v>
      </c>
      <c r="G1171" s="512">
        <v>0</v>
      </c>
      <c r="H1171" s="512">
        <v>0</v>
      </c>
      <c r="I1171" s="659" t="s">
        <v>103</v>
      </c>
      <c r="J1171" s="513">
        <v>0</v>
      </c>
      <c r="K1171" s="513">
        <v>0</v>
      </c>
      <c r="L1171" s="513">
        <v>0</v>
      </c>
      <c r="M1171" s="513">
        <v>90602.705862628471</v>
      </c>
      <c r="N1171" s="622"/>
    </row>
    <row r="1172" spans="2:14">
      <c r="B1172" s="513" t="s">
        <v>456</v>
      </c>
      <c r="C1172" s="658">
        <v>2012</v>
      </c>
      <c r="D1172" s="513">
        <v>90602.705862628471</v>
      </c>
      <c r="E1172" s="512">
        <v>10621.495571038306</v>
      </c>
      <c r="F1172" s="513">
        <v>10621.495571038306</v>
      </c>
      <c r="G1172" s="512">
        <v>0</v>
      </c>
      <c r="H1172" s="512">
        <v>0</v>
      </c>
      <c r="I1172" s="659" t="s">
        <v>103</v>
      </c>
      <c r="J1172" s="513">
        <v>0</v>
      </c>
      <c r="K1172" s="513">
        <v>0</v>
      </c>
      <c r="L1172" s="513">
        <v>0</v>
      </c>
      <c r="M1172" s="513">
        <v>101224.20143366678</v>
      </c>
      <c r="N1172" s="622"/>
    </row>
    <row r="1173" spans="2:14">
      <c r="B1173" s="513" t="s">
        <v>456</v>
      </c>
      <c r="C1173" s="658">
        <v>2013</v>
      </c>
      <c r="D1173" s="513">
        <v>101224.20143366675</v>
      </c>
      <c r="E1173" s="513">
        <v>16583.334934550989</v>
      </c>
      <c r="F1173" s="513">
        <v>16583.334934550989</v>
      </c>
      <c r="G1173" s="512">
        <v>0</v>
      </c>
      <c r="H1173" s="512">
        <v>0</v>
      </c>
      <c r="I1173" s="659" t="s">
        <v>103</v>
      </c>
      <c r="J1173" s="513">
        <v>0</v>
      </c>
      <c r="K1173" s="513">
        <v>0</v>
      </c>
      <c r="L1173" s="513">
        <v>0</v>
      </c>
      <c r="M1173" s="513">
        <v>117807.53636821774</v>
      </c>
      <c r="N1173" s="622"/>
    </row>
    <row r="1174" spans="2:14">
      <c r="B1174" s="513" t="s">
        <v>456</v>
      </c>
      <c r="C1174" s="658">
        <v>2014</v>
      </c>
      <c r="D1174" s="513">
        <v>117807.53636821773</v>
      </c>
      <c r="E1174" s="513">
        <v>17271.063676028447</v>
      </c>
      <c r="F1174" s="513">
        <v>17271.063676028447</v>
      </c>
      <c r="G1174" s="512">
        <v>0</v>
      </c>
      <c r="H1174" s="512">
        <v>0</v>
      </c>
      <c r="I1174" s="659" t="s">
        <v>103</v>
      </c>
      <c r="J1174" s="513">
        <v>0</v>
      </c>
      <c r="K1174" s="513">
        <v>0</v>
      </c>
      <c r="L1174" s="513">
        <v>0</v>
      </c>
      <c r="M1174" s="513">
        <v>135078.60004424618</v>
      </c>
      <c r="N1174" s="622"/>
    </row>
    <row r="1175" spans="2:14">
      <c r="B1175" s="513" t="s">
        <v>456</v>
      </c>
      <c r="C1175" s="658">
        <v>2015</v>
      </c>
      <c r="D1175" s="513">
        <v>135078.60004424618</v>
      </c>
      <c r="E1175" s="513">
        <v>17552.907211619444</v>
      </c>
      <c r="F1175" s="513">
        <v>17552.907211619444</v>
      </c>
      <c r="G1175" s="512">
        <v>0</v>
      </c>
      <c r="H1175" s="512">
        <v>0</v>
      </c>
      <c r="I1175" s="659" t="s">
        <v>103</v>
      </c>
      <c r="J1175" s="513">
        <v>0</v>
      </c>
      <c r="K1175" s="513">
        <v>0</v>
      </c>
      <c r="L1175" s="513">
        <v>0</v>
      </c>
      <c r="M1175" s="513">
        <v>152631.50725586561</v>
      </c>
      <c r="N1175" s="622"/>
    </row>
    <row r="1176" spans="2:14">
      <c r="B1176" s="513" t="s">
        <v>456</v>
      </c>
      <c r="C1176" s="658">
        <v>2016</v>
      </c>
      <c r="D1176" s="513">
        <v>152631.50725586561</v>
      </c>
      <c r="E1176" s="513">
        <v>12416.469744522776</v>
      </c>
      <c r="F1176" s="513">
        <v>12416.469744522776</v>
      </c>
      <c r="G1176" s="660">
        <v>0</v>
      </c>
      <c r="H1176" s="660">
        <v>0</v>
      </c>
      <c r="I1176" s="659" t="s">
        <v>103</v>
      </c>
      <c r="J1176" s="513">
        <v>0</v>
      </c>
      <c r="K1176" s="513">
        <v>0</v>
      </c>
      <c r="L1176" s="513">
        <v>0</v>
      </c>
      <c r="M1176" s="513">
        <v>165047.97700038838</v>
      </c>
      <c r="N1176" s="622"/>
    </row>
    <row r="1177" spans="2:14">
      <c r="B1177" s="513" t="s">
        <v>456</v>
      </c>
      <c r="C1177" s="658">
        <v>2017</v>
      </c>
      <c r="D1177" s="513">
        <v>165047.97700038838</v>
      </c>
      <c r="E1177" s="513">
        <v>11421.088190933144</v>
      </c>
      <c r="F1177" s="513">
        <v>11421.088190933144</v>
      </c>
      <c r="G1177" s="660">
        <v>0</v>
      </c>
      <c r="H1177" s="660">
        <v>0</v>
      </c>
      <c r="I1177" s="659" t="s">
        <v>103</v>
      </c>
      <c r="J1177" s="513">
        <v>0</v>
      </c>
      <c r="K1177" s="513">
        <v>0</v>
      </c>
      <c r="L1177" s="513">
        <v>0</v>
      </c>
      <c r="M1177" s="513">
        <v>176469.06519132151</v>
      </c>
      <c r="N1177" s="622"/>
    </row>
    <row r="1178" spans="2:14">
      <c r="B1178" s="513" t="s">
        <v>456</v>
      </c>
      <c r="C1178" s="889">
        <v>2018</v>
      </c>
      <c r="D1178" s="513">
        <v>176469.06519132151</v>
      </c>
      <c r="E1178" s="513">
        <f>VLOOKUP(B1178,'[6]2018 allocation'!$A$11:$B$218,2, FALSE)</f>
        <v>12256.483953185096</v>
      </c>
      <c r="F1178" s="513">
        <f>E1178</f>
        <v>12256.483953185096</v>
      </c>
      <c r="G1178" s="513">
        <v>0</v>
      </c>
      <c r="H1178" s="513">
        <v>0</v>
      </c>
      <c r="I1178" s="622" t="s">
        <v>103</v>
      </c>
      <c r="J1178" s="513">
        <f>VLOOKUP(B1178,'[6]Annual Spending Worksheet '!$C$6:$AG$250,28,FALSE)</f>
        <v>0</v>
      </c>
      <c r="K1178" s="513">
        <f>VLOOKUP(B1178,'[6]Annual Spending Worksheet '!$C$6:$AG$250,29,FALSE)</f>
        <v>0</v>
      </c>
      <c r="L1178" s="513">
        <v>0</v>
      </c>
      <c r="M1178" s="513">
        <f>D1178+E1178+H1178-J1178</f>
        <v>188725.5491445066</v>
      </c>
      <c r="N1178" s="513"/>
    </row>
    <row r="1179" spans="2:14">
      <c r="B1179" s="513" t="s">
        <v>456</v>
      </c>
      <c r="C1179" s="889">
        <v>2019</v>
      </c>
      <c r="D1179" s="513">
        <v>188725.5491445066</v>
      </c>
      <c r="E1179" s="513">
        <v>13163.543306056048</v>
      </c>
      <c r="F1179" s="513">
        <v>13163.543306056048</v>
      </c>
      <c r="G1179" s="513">
        <v>0</v>
      </c>
      <c r="H1179" s="513">
        <v>0</v>
      </c>
      <c r="I1179" s="622" t="s">
        <v>103</v>
      </c>
      <c r="J1179" s="513">
        <v>0</v>
      </c>
      <c r="K1179" s="513">
        <v>0</v>
      </c>
      <c r="L1179" s="513">
        <v>0</v>
      </c>
      <c r="M1179" s="513">
        <v>201889.09245056266</v>
      </c>
      <c r="N1179" s="513"/>
    </row>
    <row r="1180" spans="2:14">
      <c r="B1180" s="513" t="s">
        <v>457</v>
      </c>
      <c r="C1180" s="658">
        <v>2008</v>
      </c>
      <c r="D1180" s="513">
        <v>5882501.5950000016</v>
      </c>
      <c r="E1180" s="512">
        <v>418776.58166143403</v>
      </c>
      <c r="F1180" s="513">
        <v>418776.58166143403</v>
      </c>
      <c r="G1180" s="512">
        <v>0</v>
      </c>
      <c r="H1180" s="512">
        <v>0</v>
      </c>
      <c r="I1180" s="659" t="s">
        <v>103</v>
      </c>
      <c r="J1180" s="513">
        <v>103587.20000000003</v>
      </c>
      <c r="K1180" s="513">
        <v>0</v>
      </c>
      <c r="L1180" s="513">
        <v>0</v>
      </c>
      <c r="M1180" s="513">
        <v>6197690.9766614353</v>
      </c>
      <c r="N1180" s="622"/>
    </row>
    <row r="1181" spans="2:14">
      <c r="B1181" s="513" t="s">
        <v>457</v>
      </c>
      <c r="C1181" s="658">
        <v>2009</v>
      </c>
      <c r="D1181" s="513">
        <v>6197690.9766614363</v>
      </c>
      <c r="E1181" s="512">
        <v>344477.14625521703</v>
      </c>
      <c r="F1181" s="513">
        <v>344477.14625521703</v>
      </c>
      <c r="G1181" s="512">
        <v>0</v>
      </c>
      <c r="H1181" s="512">
        <v>0</v>
      </c>
      <c r="I1181" s="659" t="s">
        <v>103</v>
      </c>
      <c r="J1181" s="513">
        <v>1733361.06</v>
      </c>
      <c r="K1181" s="513">
        <v>0</v>
      </c>
      <c r="L1181" s="513">
        <v>0</v>
      </c>
      <c r="M1181" s="513">
        <v>4808807.0629166532</v>
      </c>
      <c r="N1181" s="622"/>
    </row>
    <row r="1182" spans="2:14">
      <c r="B1182" s="513" t="s">
        <v>457</v>
      </c>
      <c r="C1182" s="658">
        <v>2010</v>
      </c>
      <c r="D1182" s="513">
        <v>4808807.0629166542</v>
      </c>
      <c r="E1182" s="512">
        <v>344031.39</v>
      </c>
      <c r="F1182" s="513">
        <v>344031.39</v>
      </c>
      <c r="G1182" s="512">
        <v>0</v>
      </c>
      <c r="H1182" s="512">
        <v>0</v>
      </c>
      <c r="I1182" s="659" t="s">
        <v>103</v>
      </c>
      <c r="J1182" s="513">
        <v>400049.74</v>
      </c>
      <c r="K1182" s="513">
        <v>2479259</v>
      </c>
      <c r="L1182" s="513">
        <v>0</v>
      </c>
      <c r="M1182" s="513">
        <v>4752788.7129166536</v>
      </c>
      <c r="N1182" s="622"/>
    </row>
    <row r="1183" spans="2:14">
      <c r="B1183" s="513" t="s">
        <v>457</v>
      </c>
      <c r="C1183" s="658">
        <v>2011</v>
      </c>
      <c r="D1183" s="513">
        <v>4752788.7176567465</v>
      </c>
      <c r="E1183" s="512">
        <v>349348.83798977995</v>
      </c>
      <c r="F1183" s="513">
        <v>349348.83798977995</v>
      </c>
      <c r="G1183" s="512">
        <v>0</v>
      </c>
      <c r="H1183" s="512">
        <v>0</v>
      </c>
      <c r="I1183" s="659" t="s">
        <v>103</v>
      </c>
      <c r="J1183" s="513">
        <v>39178.450000000084</v>
      </c>
      <c r="K1183" s="513">
        <v>0</v>
      </c>
      <c r="L1183" s="513">
        <v>30147.82</v>
      </c>
      <c r="M1183" s="513">
        <v>5032811.2856465261</v>
      </c>
      <c r="N1183" s="622"/>
    </row>
    <row r="1184" spans="2:14">
      <c r="B1184" s="513" t="s">
        <v>457</v>
      </c>
      <c r="C1184" s="658">
        <v>2012</v>
      </c>
      <c r="D1184" s="513">
        <v>5032811.2856465252</v>
      </c>
      <c r="E1184" s="513">
        <v>260547.08120642934</v>
      </c>
      <c r="F1184" s="513">
        <v>260547.08120642934</v>
      </c>
      <c r="G1184" s="512">
        <v>0</v>
      </c>
      <c r="H1184" s="512">
        <v>0</v>
      </c>
      <c r="I1184" s="659" t="s">
        <v>103</v>
      </c>
      <c r="J1184" s="513">
        <v>28500.500000000018</v>
      </c>
      <c r="K1184" s="513">
        <v>0</v>
      </c>
      <c r="L1184" s="513">
        <v>0</v>
      </c>
      <c r="M1184" s="513">
        <v>5264857.866852955</v>
      </c>
      <c r="N1184" s="622"/>
    </row>
    <row r="1185" spans="2:14">
      <c r="B1185" s="513" t="s">
        <v>457</v>
      </c>
      <c r="C1185" s="658">
        <v>2013</v>
      </c>
      <c r="D1185" s="513">
        <v>5264857.866852955</v>
      </c>
      <c r="E1185" s="513">
        <v>383213.60912998876</v>
      </c>
      <c r="F1185" s="513">
        <v>383213.60912998876</v>
      </c>
      <c r="G1185" s="512">
        <v>0</v>
      </c>
      <c r="H1185" s="512">
        <v>0</v>
      </c>
      <c r="I1185" s="659" t="s">
        <v>103</v>
      </c>
      <c r="J1185" s="513">
        <v>-108316.86</v>
      </c>
      <c r="K1185" s="513">
        <v>0</v>
      </c>
      <c r="L1185" s="513">
        <v>0</v>
      </c>
      <c r="M1185" s="513">
        <v>5756388.3359829439</v>
      </c>
      <c r="N1185" s="622"/>
    </row>
    <row r="1186" spans="2:14">
      <c r="B1186" s="513" t="s">
        <v>457</v>
      </c>
      <c r="C1186" s="658">
        <v>2014</v>
      </c>
      <c r="D1186" s="513">
        <v>5756388.3359829439</v>
      </c>
      <c r="E1186" s="513">
        <v>397553.30109925172</v>
      </c>
      <c r="F1186" s="513">
        <v>397553.30109925172</v>
      </c>
      <c r="G1186" s="512">
        <v>0</v>
      </c>
      <c r="H1186" s="512">
        <v>0</v>
      </c>
      <c r="I1186" s="659" t="s">
        <v>103</v>
      </c>
      <c r="J1186" s="513">
        <v>30829.059999999998</v>
      </c>
      <c r="K1186" s="513">
        <v>0</v>
      </c>
      <c r="L1186" s="513">
        <v>0</v>
      </c>
      <c r="M1186" s="513">
        <v>6123112.5770821963</v>
      </c>
      <c r="N1186" s="622"/>
    </row>
    <row r="1187" spans="2:14">
      <c r="B1187" s="513" t="s">
        <v>457</v>
      </c>
      <c r="C1187" s="658">
        <v>2015</v>
      </c>
      <c r="D1187" s="513">
        <v>6123112.5770821963</v>
      </c>
      <c r="E1187" s="513">
        <v>403421.69889721705</v>
      </c>
      <c r="F1187" s="513">
        <v>403421.69889721705</v>
      </c>
      <c r="G1187" s="660">
        <v>0</v>
      </c>
      <c r="H1187" s="660">
        <v>0</v>
      </c>
      <c r="I1187" s="659" t="s">
        <v>103</v>
      </c>
      <c r="J1187" s="513">
        <v>16222.75</v>
      </c>
      <c r="K1187" s="513">
        <v>0</v>
      </c>
      <c r="L1187" s="513">
        <v>0</v>
      </c>
      <c r="M1187" s="513">
        <v>6510311.5259794137</v>
      </c>
      <c r="N1187" s="622"/>
    </row>
    <row r="1188" spans="2:14">
      <c r="B1188" s="513" t="s">
        <v>457</v>
      </c>
      <c r="C1188" s="658">
        <v>2016</v>
      </c>
      <c r="D1188" s="513">
        <v>6510311.5259794127</v>
      </c>
      <c r="E1188" s="513">
        <v>296817.71135290863</v>
      </c>
      <c r="F1188" s="513">
        <v>296817.71135290863</v>
      </c>
      <c r="G1188" s="660">
        <v>0</v>
      </c>
      <c r="H1188" s="660">
        <v>0</v>
      </c>
      <c r="I1188" s="659" t="s">
        <v>103</v>
      </c>
      <c r="J1188" s="513">
        <v>121505.34999999999</v>
      </c>
      <c r="K1188" s="513">
        <v>0</v>
      </c>
      <c r="L1188" s="513">
        <v>0</v>
      </c>
      <c r="M1188" s="513">
        <v>6685623.8873323221</v>
      </c>
      <c r="N1188" s="622"/>
    </row>
    <row r="1189" spans="2:14">
      <c r="B1189" s="513" t="s">
        <v>457</v>
      </c>
      <c r="C1189" s="658">
        <v>2017</v>
      </c>
      <c r="D1189" s="513">
        <v>6685623.8873323221</v>
      </c>
      <c r="E1189" s="513">
        <v>275893.84303883929</v>
      </c>
      <c r="F1189" s="513">
        <v>275893.84303883929</v>
      </c>
      <c r="G1189" s="513">
        <v>0</v>
      </c>
      <c r="H1189" s="513">
        <v>0</v>
      </c>
      <c r="I1189" s="659" t="s">
        <v>103</v>
      </c>
      <c r="J1189" s="513">
        <v>36208.86</v>
      </c>
      <c r="K1189" s="513">
        <v>0</v>
      </c>
      <c r="L1189" s="513">
        <v>0</v>
      </c>
      <c r="M1189" s="513">
        <v>6925308.870371161</v>
      </c>
      <c r="N1189" s="622"/>
    </row>
    <row r="1190" spans="2:14">
      <c r="B1190" s="513" t="s">
        <v>457</v>
      </c>
      <c r="C1190" s="889">
        <v>2018</v>
      </c>
      <c r="D1190" s="513">
        <v>6925308.870371161</v>
      </c>
      <c r="E1190" s="513">
        <f>VLOOKUP(B1190,'[6]2018 allocation'!$A$11:$B$218,2, FALSE)</f>
        <v>293582.12685874727</v>
      </c>
      <c r="F1190" s="513">
        <f>E1190</f>
        <v>293582.12685874727</v>
      </c>
      <c r="G1190" s="513">
        <v>0</v>
      </c>
      <c r="H1190" s="513">
        <v>0</v>
      </c>
      <c r="I1190" s="622" t="s">
        <v>103</v>
      </c>
      <c r="J1190" s="513">
        <f>VLOOKUP(B1190,'[6]Annual Spending Worksheet '!$C$6:$AG$250,28,FALSE)</f>
        <v>52985.15</v>
      </c>
      <c r="K1190" s="513">
        <f>VLOOKUP(B1190,'[6]Annual Spending Worksheet '!$C$6:$AG$250,29,FALSE)</f>
        <v>0</v>
      </c>
      <c r="L1190" s="513">
        <v>0</v>
      </c>
      <c r="M1190" s="513">
        <f>D1190+E1190+H1190-J1190</f>
        <v>7165905.8472299082</v>
      </c>
      <c r="N1190" s="513"/>
    </row>
    <row r="1191" spans="2:14">
      <c r="B1191" s="513" t="s">
        <v>457</v>
      </c>
      <c r="C1191" s="889">
        <v>2019</v>
      </c>
      <c r="D1191" s="513">
        <v>7165905.8472299082</v>
      </c>
      <c r="E1191" s="513">
        <v>312474.95453576982</v>
      </c>
      <c r="F1191" s="513">
        <v>312474.95453576982</v>
      </c>
      <c r="G1191" s="513">
        <v>0</v>
      </c>
      <c r="H1191" s="513">
        <v>0</v>
      </c>
      <c r="I1191" s="622" t="s">
        <v>103</v>
      </c>
      <c r="J1191" s="513">
        <v>1720100.04</v>
      </c>
      <c r="K1191" s="513">
        <v>0</v>
      </c>
      <c r="L1191" s="513">
        <v>0</v>
      </c>
      <c r="M1191" s="513">
        <v>5758280.7617656784</v>
      </c>
      <c r="N1191" s="513"/>
    </row>
    <row r="1192" spans="2:14">
      <c r="B1192" s="513" t="s">
        <v>469</v>
      </c>
      <c r="C1192" s="658">
        <v>2008</v>
      </c>
      <c r="D1192" s="513">
        <v>23682271.448999994</v>
      </c>
      <c r="E1192" s="512">
        <v>3589496.0677868458</v>
      </c>
      <c r="F1192" s="513">
        <v>3589496.0677868458</v>
      </c>
      <c r="G1192" s="512">
        <v>0</v>
      </c>
      <c r="H1192" s="512">
        <v>0</v>
      </c>
      <c r="I1192" s="659" t="s">
        <v>103</v>
      </c>
      <c r="J1192" s="513">
        <v>6243623.0600000005</v>
      </c>
      <c r="K1192" s="513">
        <v>3116086</v>
      </c>
      <c r="L1192" s="513">
        <v>-156601</v>
      </c>
      <c r="M1192" s="513">
        <v>21184745.456786841</v>
      </c>
      <c r="N1192" s="622"/>
    </row>
    <row r="1193" spans="2:14">
      <c r="B1193" s="513" t="s">
        <v>469</v>
      </c>
      <c r="C1193" s="658">
        <v>2009</v>
      </c>
      <c r="D1193" s="513">
        <v>21184745.256786838</v>
      </c>
      <c r="E1193" s="512">
        <v>2927069.4174887515</v>
      </c>
      <c r="F1193" s="513">
        <v>2927069.4174887515</v>
      </c>
      <c r="G1193" s="512">
        <v>0</v>
      </c>
      <c r="H1193" s="512">
        <v>0</v>
      </c>
      <c r="I1193" s="659" t="s">
        <v>103</v>
      </c>
      <c r="J1193" s="513">
        <v>3598576.8699999996</v>
      </c>
      <c r="K1193" s="513">
        <v>3116086</v>
      </c>
      <c r="L1193" s="513">
        <v>0</v>
      </c>
      <c r="M1193" s="513">
        <v>20513237.804275587</v>
      </c>
      <c r="N1193" s="622"/>
    </row>
    <row r="1194" spans="2:14">
      <c r="B1194" s="513" t="s">
        <v>469</v>
      </c>
      <c r="C1194" s="658">
        <v>2010</v>
      </c>
      <c r="D1194" s="513">
        <v>20513237.804275587</v>
      </c>
      <c r="E1194" s="512">
        <v>2923021.98</v>
      </c>
      <c r="F1194" s="513">
        <v>2923021.98</v>
      </c>
      <c r="G1194" s="512">
        <v>0</v>
      </c>
      <c r="H1194" s="512">
        <v>0</v>
      </c>
      <c r="I1194" s="659" t="s">
        <v>103</v>
      </c>
      <c r="J1194" s="513">
        <v>928720.23</v>
      </c>
      <c r="K1194" s="513">
        <v>0</v>
      </c>
      <c r="L1194" s="513">
        <v>0</v>
      </c>
      <c r="M1194" s="513">
        <v>22507539.554275587</v>
      </c>
      <c r="N1194" s="622"/>
    </row>
    <row r="1195" spans="2:14">
      <c r="B1195" s="513" t="s">
        <v>469</v>
      </c>
      <c r="C1195" s="658">
        <v>2011</v>
      </c>
      <c r="D1195" s="513">
        <v>22507539.552501664</v>
      </c>
      <c r="E1195" s="512">
        <v>2971539.8507850016</v>
      </c>
      <c r="F1195" s="513">
        <v>2971539.8507850016</v>
      </c>
      <c r="G1195" s="512">
        <v>0</v>
      </c>
      <c r="H1195" s="512">
        <v>-500000</v>
      </c>
      <c r="I1195" s="659" t="s">
        <v>1734</v>
      </c>
      <c r="J1195" s="513">
        <v>890881.85999999964</v>
      </c>
      <c r="K1195" s="513">
        <v>10757297</v>
      </c>
      <c r="L1195" s="513">
        <v>0</v>
      </c>
      <c r="M1195" s="513">
        <v>24088197.543286666</v>
      </c>
      <c r="N1195" s="622"/>
    </row>
    <row r="1196" spans="2:14">
      <c r="B1196" s="513" t="s">
        <v>469</v>
      </c>
      <c r="C1196" s="658">
        <v>2012</v>
      </c>
      <c r="D1196" s="513">
        <v>23994905.503286675</v>
      </c>
      <c r="E1196" s="513">
        <v>2185447.2542571826</v>
      </c>
      <c r="F1196" s="513">
        <v>2185447.2542571826</v>
      </c>
      <c r="G1196" s="512">
        <v>0</v>
      </c>
      <c r="H1196" s="512">
        <v>0</v>
      </c>
      <c r="I1196" s="659" t="s">
        <v>103</v>
      </c>
      <c r="J1196" s="513">
        <v>158277.46999999991</v>
      </c>
      <c r="K1196" s="513">
        <v>0</v>
      </c>
      <c r="L1196" s="513">
        <v>14938.320000004023</v>
      </c>
      <c r="M1196" s="513">
        <v>26007136.967543855</v>
      </c>
      <c r="N1196" s="622"/>
    </row>
    <row r="1197" spans="2:14">
      <c r="B1197" s="513" t="s">
        <v>469</v>
      </c>
      <c r="C1197" s="658">
        <v>2013</v>
      </c>
      <c r="D1197" s="513">
        <v>26007136.967543855</v>
      </c>
      <c r="E1197" s="513">
        <v>3271530.7342072772</v>
      </c>
      <c r="F1197" s="513">
        <v>3271530.7342072772</v>
      </c>
      <c r="G1197" s="512">
        <v>0</v>
      </c>
      <c r="H1197" s="512">
        <v>0</v>
      </c>
      <c r="I1197" s="659" t="s">
        <v>103</v>
      </c>
      <c r="J1197" s="513">
        <v>340930.63000000018</v>
      </c>
      <c r="K1197" s="513">
        <v>0</v>
      </c>
      <c r="L1197" s="513">
        <v>1502.9200000017881</v>
      </c>
      <c r="M1197" s="513">
        <v>28936234.151751131</v>
      </c>
      <c r="N1197" s="622"/>
    </row>
    <row r="1198" spans="2:14">
      <c r="B1198" s="513" t="s">
        <v>469</v>
      </c>
      <c r="C1198" s="658">
        <v>2014</v>
      </c>
      <c r="D1198" s="513">
        <v>28936234.151751131</v>
      </c>
      <c r="E1198" s="513">
        <v>3395422.2295769625</v>
      </c>
      <c r="F1198" s="513">
        <v>3395422.2295769625</v>
      </c>
      <c r="G1198" s="512">
        <v>0</v>
      </c>
      <c r="H1198" s="512">
        <v>0</v>
      </c>
      <c r="I1198" s="659" t="s">
        <v>103</v>
      </c>
      <c r="J1198" s="513">
        <v>233391.47999999992</v>
      </c>
      <c r="K1198" s="513">
        <v>0</v>
      </c>
      <c r="L1198" s="513">
        <v>0</v>
      </c>
      <c r="M1198" s="513">
        <v>32098264.901328094</v>
      </c>
      <c r="N1198" s="622"/>
    </row>
    <row r="1199" spans="2:14">
      <c r="B1199" s="513" t="s">
        <v>469</v>
      </c>
      <c r="C1199" s="658">
        <v>2015</v>
      </c>
      <c r="D1199" s="513">
        <v>32098264.901328087</v>
      </c>
      <c r="E1199" s="513">
        <v>3446767.1515198504</v>
      </c>
      <c r="F1199" s="513">
        <v>3446767.1515198504</v>
      </c>
      <c r="G1199" s="660">
        <v>0</v>
      </c>
      <c r="H1199" s="660">
        <v>0</v>
      </c>
      <c r="I1199" s="659" t="s">
        <v>103</v>
      </c>
      <c r="J1199" s="513">
        <v>1739283.2100000004</v>
      </c>
      <c r="K1199" s="513">
        <v>0</v>
      </c>
      <c r="L1199" s="513">
        <v>105583.89</v>
      </c>
      <c r="M1199" s="513">
        <v>33700164.952847935</v>
      </c>
      <c r="N1199" s="622"/>
    </row>
    <row r="1200" spans="2:14">
      <c r="B1200" s="513" t="s">
        <v>469</v>
      </c>
      <c r="C1200" s="658">
        <v>2016</v>
      </c>
      <c r="D1200" s="513">
        <v>33700164.952847943</v>
      </c>
      <c r="E1200" s="513">
        <v>2513084.3326932406</v>
      </c>
      <c r="F1200" s="513">
        <v>2513084.3326932406</v>
      </c>
      <c r="G1200" s="660">
        <v>0</v>
      </c>
      <c r="H1200" s="660">
        <v>0</v>
      </c>
      <c r="I1200" s="659" t="s">
        <v>103</v>
      </c>
      <c r="J1200" s="513">
        <v>3194320.9399999995</v>
      </c>
      <c r="K1200" s="513">
        <v>3192566.41</v>
      </c>
      <c r="L1200" s="513">
        <v>12876.15</v>
      </c>
      <c r="M1200" s="513">
        <v>33006052.195541188</v>
      </c>
      <c r="N1200" s="622"/>
    </row>
    <row r="1201" spans="2:14">
      <c r="B1201" s="513" t="s">
        <v>469</v>
      </c>
      <c r="C1201" s="658">
        <v>2017</v>
      </c>
      <c r="D1201" s="513">
        <v>33006052.195541173</v>
      </c>
      <c r="E1201" s="513">
        <v>2331628.3778865417</v>
      </c>
      <c r="F1201" s="513">
        <v>2331628.3778865417</v>
      </c>
      <c r="G1201" s="513">
        <v>0</v>
      </c>
      <c r="H1201" s="513">
        <v>0</v>
      </c>
      <c r="I1201" s="659" t="s">
        <v>103</v>
      </c>
      <c r="J1201" s="513">
        <v>1290332.8199999998</v>
      </c>
      <c r="K1201" s="513">
        <v>0</v>
      </c>
      <c r="L1201" s="513">
        <v>0</v>
      </c>
      <c r="M1201" s="513">
        <v>34047347.753427714</v>
      </c>
      <c r="N1201" s="622"/>
    </row>
    <row r="1202" spans="2:14">
      <c r="B1202" s="513" t="s">
        <v>469</v>
      </c>
      <c r="C1202" s="889">
        <v>2018</v>
      </c>
      <c r="D1202" s="513">
        <v>34047347.753427714</v>
      </c>
      <c r="E1202" s="513">
        <f>VLOOKUP(B1202,'[6]2018 allocation'!$A$11:$B$218,2, FALSE)</f>
        <v>2489007.8884260957</v>
      </c>
      <c r="F1202" s="513">
        <f>E1202</f>
        <v>2489007.8884260957</v>
      </c>
      <c r="G1202" s="513">
        <v>0</v>
      </c>
      <c r="H1202" s="513">
        <v>0</v>
      </c>
      <c r="I1202" s="622" t="s">
        <v>103</v>
      </c>
      <c r="J1202" s="513">
        <f>VLOOKUP(B1202,'[6]Annual Spending Worksheet '!$C$6:$AG$250,28,FALSE)</f>
        <v>567739.94999999995</v>
      </c>
      <c r="K1202" s="513">
        <f>VLOOKUP(B1202,'[6]Annual Spending Worksheet '!$C$6:$AG$250,29,FALSE)</f>
        <v>0</v>
      </c>
      <c r="L1202" s="513">
        <v>0</v>
      </c>
      <c r="M1202" s="513">
        <f>D1202+E1202+H1202-J1202</f>
        <v>35968615.691853806</v>
      </c>
      <c r="N1202" s="513"/>
    </row>
    <row r="1203" spans="2:14">
      <c r="B1203" s="513" t="s">
        <v>469</v>
      </c>
      <c r="C1203" s="889">
        <v>2019</v>
      </c>
      <c r="D1203" s="513">
        <v>35968615.691853806</v>
      </c>
      <c r="E1203" s="513">
        <v>2651303.8512374707</v>
      </c>
      <c r="F1203" s="513">
        <v>2651303.8512374707</v>
      </c>
      <c r="G1203" s="513">
        <v>0</v>
      </c>
      <c r="H1203" s="513">
        <v>0</v>
      </c>
      <c r="I1203" s="622" t="s">
        <v>103</v>
      </c>
      <c r="J1203" s="513">
        <v>1403336.52</v>
      </c>
      <c r="K1203" s="513">
        <v>1494757</v>
      </c>
      <c r="L1203" s="513">
        <v>0</v>
      </c>
      <c r="M1203" s="513">
        <v>37216583.023091272</v>
      </c>
      <c r="N1203" s="513"/>
    </row>
    <row r="1204" spans="2:14">
      <c r="B1204" s="890" t="s">
        <v>1247</v>
      </c>
      <c r="C1204" s="902"/>
      <c r="D1204" s="899">
        <f>SUM(D160:D1203)</f>
        <v>1459341681.1506934</v>
      </c>
      <c r="E1204" s="899">
        <f t="shared" ref="E1204:G1204" si="12">SUM(E160:E1203)</f>
        <v>211332275.15180168</v>
      </c>
      <c r="F1204" s="899">
        <f t="shared" si="12"/>
        <v>211332275.15180168</v>
      </c>
      <c r="G1204" s="899">
        <f t="shared" si="12"/>
        <v>-241352605.3824372</v>
      </c>
      <c r="H1204" s="899">
        <f>SUM(H160:H1203)</f>
        <v>-5988312.5383713692</v>
      </c>
      <c r="I1204" s="900">
        <f t="shared" ref="I1204" si="13">SUM(I160:I1201)</f>
        <v>0</v>
      </c>
      <c r="J1204" s="899">
        <f t="shared" ref="J1204:M1204" si="14">SUM(J160:J1203)</f>
        <v>121884373.05999999</v>
      </c>
      <c r="K1204" s="899">
        <f>SUM(K160:K1203)</f>
        <v>122977891.3999999</v>
      </c>
      <c r="L1204" s="899">
        <f t="shared" si="14"/>
        <v>-381886.80999999167</v>
      </c>
      <c r="M1204" s="899">
        <f t="shared" si="14"/>
        <v>1543183429.5141251</v>
      </c>
      <c r="N1204" s="903"/>
    </row>
    <row r="1205" spans="2:14">
      <c r="B1205" s="887" t="s">
        <v>502</v>
      </c>
      <c r="C1205" s="655"/>
      <c r="D1205" s="513"/>
      <c r="E1205" s="513"/>
      <c r="F1205" s="513"/>
      <c r="G1205" s="513"/>
      <c r="H1205" s="513"/>
      <c r="I1205" s="659"/>
      <c r="J1205" s="513"/>
      <c r="K1205" s="513"/>
      <c r="L1205" s="513"/>
      <c r="M1205" s="513"/>
      <c r="N1205" s="622"/>
    </row>
    <row r="1206" spans="2:14">
      <c r="B1206" s="513" t="s">
        <v>503</v>
      </c>
      <c r="C1206" s="658">
        <v>2008</v>
      </c>
      <c r="D1206" s="513">
        <v>5961.0569999999998</v>
      </c>
      <c r="E1206" s="512">
        <v>205.52888155894291</v>
      </c>
      <c r="F1206" s="513">
        <v>205.52888155894291</v>
      </c>
      <c r="G1206" s="512">
        <v>0</v>
      </c>
      <c r="H1206" s="512">
        <v>-557</v>
      </c>
      <c r="I1206" s="659" t="s">
        <v>562</v>
      </c>
      <c r="J1206" s="513">
        <v>0</v>
      </c>
      <c r="K1206" s="513">
        <v>0</v>
      </c>
      <c r="L1206" s="513">
        <v>0</v>
      </c>
      <c r="M1206" s="513">
        <v>5609.5858815589427</v>
      </c>
      <c r="N1206" s="622"/>
    </row>
    <row r="1207" spans="2:14">
      <c r="B1207" s="513" t="s">
        <v>503</v>
      </c>
      <c r="C1207" s="658">
        <v>2009</v>
      </c>
      <c r="D1207" s="513">
        <v>5609.5858815589427</v>
      </c>
      <c r="E1207" s="512">
        <v>154.64126419380415</v>
      </c>
      <c r="F1207" s="513">
        <v>154.64126419380415</v>
      </c>
      <c r="G1207" s="512">
        <v>0</v>
      </c>
      <c r="H1207" s="512">
        <v>0</v>
      </c>
      <c r="I1207" s="659" t="s">
        <v>103</v>
      </c>
      <c r="J1207" s="513">
        <v>0</v>
      </c>
      <c r="K1207" s="513">
        <v>0</v>
      </c>
      <c r="L1207" s="513">
        <v>0</v>
      </c>
      <c r="M1207" s="513">
        <v>5764.2271457527468</v>
      </c>
      <c r="N1207" s="622"/>
    </row>
    <row r="1208" spans="2:14">
      <c r="B1208" s="513" t="s">
        <v>503</v>
      </c>
      <c r="C1208" s="658">
        <v>2010</v>
      </c>
      <c r="D1208" s="513">
        <v>5764.2271457527468</v>
      </c>
      <c r="E1208" s="512">
        <v>154.88999999999999</v>
      </c>
      <c r="F1208" s="513">
        <v>154.88999999999999</v>
      </c>
      <c r="G1208" s="512">
        <v>0</v>
      </c>
      <c r="H1208" s="512">
        <v>0</v>
      </c>
      <c r="I1208" s="659" t="s">
        <v>103</v>
      </c>
      <c r="J1208" s="513">
        <v>0</v>
      </c>
      <c r="K1208" s="513">
        <v>0</v>
      </c>
      <c r="L1208" s="513">
        <v>0</v>
      </c>
      <c r="M1208" s="513">
        <v>5919.1171457527471</v>
      </c>
      <c r="N1208" s="622"/>
    </row>
    <row r="1209" spans="2:14">
      <c r="B1209" s="513" t="s">
        <v>503</v>
      </c>
      <c r="C1209" s="658">
        <v>2011</v>
      </c>
      <c r="D1209" s="513">
        <v>5919.1180837125039</v>
      </c>
      <c r="E1209" s="512">
        <v>157.96314126634491</v>
      </c>
      <c r="F1209" s="513">
        <v>157.96314126634491</v>
      </c>
      <c r="G1209" s="512">
        <v>0</v>
      </c>
      <c r="H1209" s="512">
        <v>0</v>
      </c>
      <c r="I1209" s="659" t="s">
        <v>103</v>
      </c>
      <c r="J1209" s="513">
        <v>0</v>
      </c>
      <c r="K1209" s="513">
        <v>0</v>
      </c>
      <c r="L1209" s="513">
        <v>0</v>
      </c>
      <c r="M1209" s="513">
        <v>6077.0812249788487</v>
      </c>
      <c r="N1209" s="622"/>
    </row>
    <row r="1210" spans="2:14">
      <c r="B1210" s="513" t="s">
        <v>503</v>
      </c>
      <c r="C1210" s="658">
        <v>2012</v>
      </c>
      <c r="D1210" s="513">
        <v>6077.0812249788487</v>
      </c>
      <c r="E1210" s="513">
        <v>97.01155374651492</v>
      </c>
      <c r="F1210" s="513">
        <v>97.01155374651492</v>
      </c>
      <c r="G1210" s="512">
        <v>0</v>
      </c>
      <c r="H1210" s="512">
        <v>0</v>
      </c>
      <c r="I1210" s="659" t="s">
        <v>103</v>
      </c>
      <c r="J1210" s="513">
        <v>0</v>
      </c>
      <c r="K1210" s="513">
        <v>0</v>
      </c>
      <c r="L1210" s="513">
        <v>0</v>
      </c>
      <c r="M1210" s="513">
        <v>6174.092778725364</v>
      </c>
      <c r="N1210" s="622"/>
    </row>
    <row r="1211" spans="2:14">
      <c r="B1211" s="513" t="s">
        <v>503</v>
      </c>
      <c r="C1211" s="658">
        <v>2013</v>
      </c>
      <c r="D1211" s="513">
        <v>6174.092778725364</v>
      </c>
      <c r="E1211" s="513">
        <v>181.17848986323003</v>
      </c>
      <c r="F1211" s="513">
        <v>181.17848986323003</v>
      </c>
      <c r="G1211" s="512">
        <v>0</v>
      </c>
      <c r="H1211" s="512">
        <v>0</v>
      </c>
      <c r="I1211" s="659" t="s">
        <v>103</v>
      </c>
      <c r="J1211" s="513">
        <v>0</v>
      </c>
      <c r="K1211" s="513">
        <v>0</v>
      </c>
      <c r="L1211" s="513">
        <v>0</v>
      </c>
      <c r="M1211" s="513">
        <v>6355.2712685885945</v>
      </c>
      <c r="N1211" s="622"/>
    </row>
    <row r="1212" spans="2:14">
      <c r="B1212" s="513" t="s">
        <v>503</v>
      </c>
      <c r="C1212" s="658">
        <v>2014</v>
      </c>
      <c r="D1212" s="513">
        <v>6355.2712685885945</v>
      </c>
      <c r="E1212" s="513">
        <v>189.52165033923592</v>
      </c>
      <c r="F1212" s="513">
        <v>189.52165033923592</v>
      </c>
      <c r="G1212" s="512">
        <v>0</v>
      </c>
      <c r="H1212" s="512">
        <v>0</v>
      </c>
      <c r="I1212" s="659" t="s">
        <v>103</v>
      </c>
      <c r="J1212" s="513">
        <v>0</v>
      </c>
      <c r="K1212" s="513">
        <v>0</v>
      </c>
      <c r="L1212" s="513">
        <v>0</v>
      </c>
      <c r="M1212" s="513">
        <v>6544.7929189278302</v>
      </c>
      <c r="N1212" s="622"/>
    </row>
    <row r="1213" spans="2:14">
      <c r="B1213" s="513" t="s">
        <v>503</v>
      </c>
      <c r="C1213" s="658">
        <v>2015</v>
      </c>
      <c r="D1213" s="513">
        <v>6544.7929189278302</v>
      </c>
      <c r="E1213" s="513">
        <v>195.02438802132929</v>
      </c>
      <c r="F1213" s="513">
        <v>195.02438802132929</v>
      </c>
      <c r="G1213" s="660">
        <v>0</v>
      </c>
      <c r="H1213" s="660">
        <v>0</v>
      </c>
      <c r="I1213" s="659" t="s">
        <v>103</v>
      </c>
      <c r="J1213" s="513">
        <v>0</v>
      </c>
      <c r="K1213" s="513">
        <v>0</v>
      </c>
      <c r="L1213" s="513">
        <v>0</v>
      </c>
      <c r="M1213" s="513">
        <v>6739.8173069491595</v>
      </c>
      <c r="N1213" s="622"/>
    </row>
    <row r="1214" spans="2:14">
      <c r="B1214" s="513" t="s">
        <v>503</v>
      </c>
      <c r="C1214" s="658">
        <v>2016</v>
      </c>
      <c r="D1214" s="513">
        <v>6739.8173069491595</v>
      </c>
      <c r="E1214" s="513">
        <v>121.91517966837546</v>
      </c>
      <c r="F1214" s="513">
        <v>121.91517966837546</v>
      </c>
      <c r="G1214" s="660">
        <v>0</v>
      </c>
      <c r="H1214" s="660">
        <v>0</v>
      </c>
      <c r="I1214" s="659" t="s">
        <v>103</v>
      </c>
      <c r="J1214" s="513">
        <v>0</v>
      </c>
      <c r="K1214" s="513">
        <v>0</v>
      </c>
      <c r="L1214" s="513">
        <v>0</v>
      </c>
      <c r="M1214" s="513">
        <v>6861.732486617535</v>
      </c>
      <c r="N1214" s="622"/>
    </row>
    <row r="1215" spans="2:14">
      <c r="B1215" s="513" t="s">
        <v>503</v>
      </c>
      <c r="C1215" s="658">
        <v>2017</v>
      </c>
      <c r="D1215" s="513">
        <v>6861.732486617535</v>
      </c>
      <c r="E1215" s="513">
        <v>105.38472495232477</v>
      </c>
      <c r="F1215" s="513">
        <v>105.38472495232477</v>
      </c>
      <c r="G1215" s="513">
        <v>0</v>
      </c>
      <c r="H1215" s="513">
        <v>0</v>
      </c>
      <c r="I1215" s="659" t="s">
        <v>103</v>
      </c>
      <c r="J1215" s="513">
        <v>0</v>
      </c>
      <c r="K1215" s="513">
        <v>0</v>
      </c>
      <c r="L1215" s="513">
        <v>0</v>
      </c>
      <c r="M1215" s="513">
        <v>6967.11721156986</v>
      </c>
      <c r="N1215" s="622"/>
    </row>
    <row r="1216" spans="2:14">
      <c r="B1216" s="513" t="s">
        <v>503</v>
      </c>
      <c r="C1216" s="889">
        <v>2018</v>
      </c>
      <c r="D1216" s="513">
        <v>6967.11721156986</v>
      </c>
      <c r="E1216" s="513">
        <f>VLOOKUP(B1216,'[6]2018 allocation'!$A$11:$B$218,2, FALSE)</f>
        <v>120.59094458804108</v>
      </c>
      <c r="F1216" s="513">
        <f>E1216</f>
        <v>120.59094458804108</v>
      </c>
      <c r="G1216" s="513">
        <v>0</v>
      </c>
      <c r="H1216" s="513">
        <v>0</v>
      </c>
      <c r="I1216" s="622" t="s">
        <v>103</v>
      </c>
      <c r="J1216" s="513">
        <f>VLOOKUP(B1216,'[6]Annual Spending Worksheet '!$C$6:$AG$250,28,FALSE)</f>
        <v>0</v>
      </c>
      <c r="K1216" s="513">
        <f>VLOOKUP(B1216,'[6]Annual Spending Worksheet '!$C$6:$AG$250,29,FALSE)</f>
        <v>0</v>
      </c>
      <c r="L1216" s="513">
        <v>0</v>
      </c>
      <c r="M1216" s="513">
        <f>D1216+E1216+H1216-J1216</f>
        <v>7087.7081561579007</v>
      </c>
      <c r="N1216" s="513"/>
    </row>
    <row r="1217" spans="2:14">
      <c r="B1217" s="513" t="s">
        <v>503</v>
      </c>
      <c r="C1217" s="889">
        <v>2019</v>
      </c>
      <c r="D1217" s="513">
        <v>7087.7081561579007</v>
      </c>
      <c r="E1217" s="513">
        <v>133.25030611554101</v>
      </c>
      <c r="F1217" s="513">
        <v>133.25030611554101</v>
      </c>
      <c r="G1217" s="513">
        <v>0</v>
      </c>
      <c r="H1217" s="513">
        <v>0</v>
      </c>
      <c r="I1217" s="622" t="s">
        <v>103</v>
      </c>
      <c r="J1217" s="513">
        <v>0</v>
      </c>
      <c r="K1217" s="513">
        <v>0</v>
      </c>
      <c r="L1217" s="513">
        <v>0</v>
      </c>
      <c r="M1217" s="513">
        <v>7220.9584622734419</v>
      </c>
      <c r="N1217" s="513"/>
    </row>
    <row r="1218" spans="2:14">
      <c r="B1218" s="890" t="s">
        <v>1336</v>
      </c>
      <c r="C1218" s="902"/>
      <c r="D1218" s="899">
        <f>SUM(D1206:D1217)</f>
        <v>76061.601463539278</v>
      </c>
      <c r="E1218" s="899">
        <f t="shared" ref="E1218:H1218" si="15">SUM(E1206:E1217)</f>
        <v>1816.9005243136846</v>
      </c>
      <c r="F1218" s="899">
        <f t="shared" si="15"/>
        <v>1816.9005243136846</v>
      </c>
      <c r="G1218" s="899">
        <f t="shared" si="15"/>
        <v>0</v>
      </c>
      <c r="H1218" s="899">
        <f t="shared" si="15"/>
        <v>-557</v>
      </c>
      <c r="I1218" s="900">
        <f t="shared" ref="I1218" si="16">SUM(I1206:I1215)</f>
        <v>0</v>
      </c>
      <c r="J1218" s="899">
        <f t="shared" ref="J1218:M1218" si="17">SUM(J1206:J1217)</f>
        <v>0</v>
      </c>
      <c r="K1218" s="899">
        <f t="shared" si="17"/>
        <v>0</v>
      </c>
      <c r="L1218" s="899">
        <f t="shared" si="17"/>
        <v>0</v>
      </c>
      <c r="M1218" s="899">
        <f t="shared" si="17"/>
        <v>77321.501987852971</v>
      </c>
      <c r="N1218" s="901"/>
    </row>
    <row r="1219" spans="2:14">
      <c r="B1219" s="887" t="s">
        <v>504</v>
      </c>
      <c r="C1219" s="655"/>
      <c r="D1219" s="513"/>
      <c r="E1219" s="513"/>
      <c r="F1219" s="513"/>
      <c r="G1219" s="513"/>
      <c r="H1219" s="513"/>
      <c r="I1219" s="659"/>
      <c r="J1219" s="513"/>
      <c r="K1219" s="513"/>
      <c r="L1219" s="513"/>
      <c r="M1219" s="513"/>
      <c r="N1219" s="622"/>
    </row>
    <row r="1220" spans="2:14">
      <c r="B1220" s="513" t="s">
        <v>505</v>
      </c>
      <c r="C1220" s="658">
        <v>2008</v>
      </c>
      <c r="D1220" s="513">
        <v>-49388.452000000048</v>
      </c>
      <c r="E1220" s="512">
        <v>52769.903103034332</v>
      </c>
      <c r="F1220" s="513">
        <v>52769.903103034332</v>
      </c>
      <c r="G1220" s="512">
        <v>0</v>
      </c>
      <c r="H1220" s="512">
        <v>0</v>
      </c>
      <c r="I1220" s="659" t="s">
        <v>103</v>
      </c>
      <c r="J1220" s="513">
        <v>0</v>
      </c>
      <c r="K1220" s="513">
        <v>0</v>
      </c>
      <c r="L1220" s="513">
        <v>0</v>
      </c>
      <c r="M1220" s="513">
        <v>3381.4511030342837</v>
      </c>
      <c r="N1220" s="622"/>
    </row>
    <row r="1221" spans="2:14">
      <c r="B1221" s="513" t="s">
        <v>505</v>
      </c>
      <c r="C1221" s="658">
        <v>2009</v>
      </c>
      <c r="D1221" s="513">
        <v>3381.4511030341964</v>
      </c>
      <c r="E1221" s="512">
        <v>41948.697563711154</v>
      </c>
      <c r="F1221" s="513">
        <v>41948.697563711154</v>
      </c>
      <c r="G1221" s="512">
        <v>0</v>
      </c>
      <c r="H1221" s="512">
        <v>0</v>
      </c>
      <c r="I1221" s="659" t="s">
        <v>103</v>
      </c>
      <c r="J1221" s="513">
        <v>0</v>
      </c>
      <c r="K1221" s="513">
        <v>0</v>
      </c>
      <c r="L1221" s="513">
        <v>0</v>
      </c>
      <c r="M1221" s="513">
        <v>45330.14866674535</v>
      </c>
      <c r="N1221" s="622"/>
    </row>
    <row r="1222" spans="2:14">
      <c r="B1222" s="513" t="s">
        <v>505</v>
      </c>
      <c r="C1222" s="658">
        <v>2010</v>
      </c>
      <c r="D1222" s="513">
        <v>45330.148666745285</v>
      </c>
      <c r="E1222" s="512">
        <v>41914.01</v>
      </c>
      <c r="F1222" s="513">
        <v>41914.01</v>
      </c>
      <c r="G1222" s="512">
        <v>0</v>
      </c>
      <c r="H1222" s="512">
        <v>0</v>
      </c>
      <c r="I1222" s="659" t="s">
        <v>103</v>
      </c>
      <c r="J1222" s="513">
        <v>0</v>
      </c>
      <c r="K1222" s="513">
        <v>0</v>
      </c>
      <c r="L1222" s="513">
        <v>0</v>
      </c>
      <c r="M1222" s="513">
        <v>87244.158666745294</v>
      </c>
      <c r="N1222" s="622"/>
    </row>
    <row r="1223" spans="2:14">
      <c r="B1223" s="513" t="s">
        <v>505</v>
      </c>
      <c r="C1223" s="658">
        <v>2011</v>
      </c>
      <c r="D1223" s="513">
        <v>87244.16072383523</v>
      </c>
      <c r="E1223" s="512">
        <v>42700.173819880838</v>
      </c>
      <c r="F1223" s="513">
        <v>42700.173819880838</v>
      </c>
      <c r="G1223" s="512">
        <v>0</v>
      </c>
      <c r="H1223" s="512">
        <v>0</v>
      </c>
      <c r="I1223" s="659" t="s">
        <v>103</v>
      </c>
      <c r="J1223" s="513">
        <v>0</v>
      </c>
      <c r="K1223" s="513">
        <v>0</v>
      </c>
      <c r="L1223" s="513">
        <v>0</v>
      </c>
      <c r="M1223" s="513">
        <v>129944.33454371608</v>
      </c>
      <c r="N1223" s="622"/>
    </row>
    <row r="1224" spans="2:14">
      <c r="B1224" s="513" t="s">
        <v>505</v>
      </c>
      <c r="C1224" s="658">
        <v>2012</v>
      </c>
      <c r="D1224" s="513">
        <v>129944.33454371616</v>
      </c>
      <c r="E1224" s="513">
        <v>30031.397414625564</v>
      </c>
      <c r="F1224" s="513">
        <v>30031.397414625564</v>
      </c>
      <c r="G1224" s="512">
        <v>0</v>
      </c>
      <c r="H1224" s="512">
        <v>0</v>
      </c>
      <c r="I1224" s="659" t="s">
        <v>103</v>
      </c>
      <c r="J1224" s="513">
        <v>0</v>
      </c>
      <c r="K1224" s="513">
        <v>0</v>
      </c>
      <c r="L1224" s="513">
        <v>0</v>
      </c>
      <c r="M1224" s="513">
        <v>159975.73195834173</v>
      </c>
      <c r="N1224" s="622"/>
    </row>
    <row r="1225" spans="2:14">
      <c r="B1225" s="513" t="s">
        <v>505</v>
      </c>
      <c r="C1225" s="658">
        <v>2013</v>
      </c>
      <c r="D1225" s="513">
        <v>159975.73195834178</v>
      </c>
      <c r="E1225" s="513">
        <v>47498.002501821436</v>
      </c>
      <c r="F1225" s="513">
        <v>47498.002501821436</v>
      </c>
      <c r="G1225" s="512">
        <v>0</v>
      </c>
      <c r="H1225" s="512">
        <v>360040</v>
      </c>
      <c r="I1225" s="659" t="s">
        <v>1735</v>
      </c>
      <c r="J1225" s="513">
        <v>0</v>
      </c>
      <c r="K1225" s="513">
        <v>0</v>
      </c>
      <c r="L1225" s="513">
        <v>0</v>
      </c>
      <c r="M1225" s="513">
        <v>567513.73446016316</v>
      </c>
      <c r="N1225" s="622"/>
    </row>
    <row r="1226" spans="2:14">
      <c r="B1226" s="513" t="s">
        <v>505</v>
      </c>
      <c r="C1226" s="658">
        <v>2014</v>
      </c>
      <c r="D1226" s="513">
        <v>567513.73446016316</v>
      </c>
      <c r="E1226" s="513">
        <v>49488.214470804363</v>
      </c>
      <c r="F1226" s="513">
        <v>49488.214470804363</v>
      </c>
      <c r="G1226" s="660">
        <v>0</v>
      </c>
      <c r="H1226" s="512">
        <v>0</v>
      </c>
      <c r="I1226" s="659" t="s">
        <v>103</v>
      </c>
      <c r="J1226" s="513">
        <v>8617.1700000000019</v>
      </c>
      <c r="K1226" s="513">
        <v>0</v>
      </c>
      <c r="L1226" s="513">
        <v>0</v>
      </c>
      <c r="M1226" s="513">
        <v>608384.77893096744</v>
      </c>
      <c r="N1226" s="622"/>
    </row>
    <row r="1227" spans="2:14">
      <c r="B1227" s="513" t="s">
        <v>505</v>
      </c>
      <c r="C1227" s="658">
        <v>2015</v>
      </c>
      <c r="D1227" s="513">
        <v>608384.77893096767</v>
      </c>
      <c r="E1227" s="513">
        <v>50302.08560099201</v>
      </c>
      <c r="F1227" s="513">
        <v>50302.08560099201</v>
      </c>
      <c r="G1227" s="660">
        <v>0</v>
      </c>
      <c r="H1227" s="660">
        <v>0</v>
      </c>
      <c r="I1227" s="659" t="s">
        <v>103</v>
      </c>
      <c r="J1227" s="513">
        <v>220487.63999999998</v>
      </c>
      <c r="K1227" s="513">
        <v>0</v>
      </c>
      <c r="L1227" s="513">
        <v>0</v>
      </c>
      <c r="M1227" s="513">
        <v>438199.22453195963</v>
      </c>
      <c r="N1227" s="622"/>
    </row>
    <row r="1228" spans="2:14">
      <c r="B1228" s="513" t="s">
        <v>505</v>
      </c>
      <c r="C1228" s="658">
        <v>2016</v>
      </c>
      <c r="D1228" s="513">
        <v>438199.22453195951</v>
      </c>
      <c r="E1228" s="513">
        <v>35454.623241248533</v>
      </c>
      <c r="F1228" s="513">
        <v>35454.623241248533</v>
      </c>
      <c r="G1228" s="660">
        <v>0</v>
      </c>
      <c r="H1228" s="660">
        <v>0</v>
      </c>
      <c r="I1228" s="659" t="s">
        <v>103</v>
      </c>
      <c r="J1228" s="513">
        <v>360911.61000000004</v>
      </c>
      <c r="K1228" s="513">
        <v>473446.0400000005</v>
      </c>
      <c r="L1228" s="513">
        <v>-78663.63</v>
      </c>
      <c r="M1228" s="513">
        <v>191405.86777320801</v>
      </c>
      <c r="N1228" s="622"/>
    </row>
    <row r="1229" spans="2:14">
      <c r="B1229" s="513" t="s">
        <v>505</v>
      </c>
      <c r="C1229" s="658">
        <v>2017</v>
      </c>
      <c r="D1229" s="513">
        <v>191405.86777320807</v>
      </c>
      <c r="E1229" s="513">
        <v>32560.713190633585</v>
      </c>
      <c r="F1229" s="513">
        <v>32560.713190633585</v>
      </c>
      <c r="G1229" s="513">
        <v>0</v>
      </c>
      <c r="H1229" s="513">
        <v>0</v>
      </c>
      <c r="I1229" s="659" t="s">
        <v>103</v>
      </c>
      <c r="J1229" s="513">
        <v>-130452.98999999999</v>
      </c>
      <c r="K1229" s="513">
        <v>0</v>
      </c>
      <c r="L1229" s="513">
        <v>92546.03</v>
      </c>
      <c r="M1229" s="513">
        <v>261873.54096384163</v>
      </c>
      <c r="N1229" s="622"/>
    </row>
    <row r="1230" spans="2:14">
      <c r="B1230" s="513" t="s">
        <v>505</v>
      </c>
      <c r="C1230" s="889">
        <v>2018</v>
      </c>
      <c r="D1230" s="513">
        <v>261873.54096384163</v>
      </c>
      <c r="E1230" s="513">
        <f>VLOOKUP(B1230,'[6]2018 allocation'!$A$11:$B$218,2, FALSE)</f>
        <v>35057.539666392506</v>
      </c>
      <c r="F1230" s="513">
        <f>E1230</f>
        <v>35057.539666392506</v>
      </c>
      <c r="G1230" s="513">
        <v>0</v>
      </c>
      <c r="H1230" s="513">
        <v>0</v>
      </c>
      <c r="I1230" s="622" t="s">
        <v>103</v>
      </c>
      <c r="J1230" s="513">
        <f>VLOOKUP(B1230,'[6]Annual Spending Worksheet '!$C$6:$AG$250,28,FALSE)</f>
        <v>0</v>
      </c>
      <c r="K1230" s="513">
        <f>VLOOKUP(B1230,'[6]Annual Spending Worksheet '!$C$6:$AG$250,29,FALSE)</f>
        <v>0</v>
      </c>
      <c r="L1230" s="513">
        <v>0</v>
      </c>
      <c r="M1230" s="513">
        <f>D1230+E1230+H1230-J1230</f>
        <v>296931.08063023415</v>
      </c>
      <c r="N1230" s="513"/>
    </row>
    <row r="1231" spans="2:14">
      <c r="B1231" s="513" t="s">
        <v>505</v>
      </c>
      <c r="C1231" s="889">
        <v>2019</v>
      </c>
      <c r="D1231" s="513">
        <v>296931.08063023415</v>
      </c>
      <c r="E1231" s="513">
        <v>37670.831386891303</v>
      </c>
      <c r="F1231" s="513">
        <v>37670.831386891303</v>
      </c>
      <c r="G1231" s="513">
        <v>0</v>
      </c>
      <c r="H1231" s="513">
        <v>0</v>
      </c>
      <c r="I1231" s="622" t="s">
        <v>103</v>
      </c>
      <c r="J1231" s="513">
        <v>0</v>
      </c>
      <c r="K1231" s="513">
        <v>0</v>
      </c>
      <c r="L1231" s="513">
        <v>0</v>
      </c>
      <c r="M1231" s="513">
        <v>334601.91201712546</v>
      </c>
      <c r="N1231" s="513"/>
    </row>
    <row r="1232" spans="2:14">
      <c r="B1232" s="513" t="s">
        <v>510</v>
      </c>
      <c r="C1232" s="658">
        <v>2008</v>
      </c>
      <c r="D1232" s="513">
        <v>251350.81699999981</v>
      </c>
      <c r="E1232" s="512">
        <v>36000.638224243216</v>
      </c>
      <c r="F1232" s="513">
        <v>36000.638224243216</v>
      </c>
      <c r="G1232" s="512">
        <v>0</v>
      </c>
      <c r="H1232" s="512">
        <v>0</v>
      </c>
      <c r="I1232" s="659" t="s">
        <v>103</v>
      </c>
      <c r="J1232" s="513">
        <v>0</v>
      </c>
      <c r="K1232" s="513">
        <v>0</v>
      </c>
      <c r="L1232" s="513">
        <v>0</v>
      </c>
      <c r="M1232" s="513">
        <v>287351.45522424299</v>
      </c>
      <c r="N1232" s="622"/>
    </row>
    <row r="1233" spans="2:14">
      <c r="B1233" s="513" t="s">
        <v>510</v>
      </c>
      <c r="C1233" s="658">
        <v>2009</v>
      </c>
      <c r="D1233" s="513">
        <v>287351.45522424299</v>
      </c>
      <c r="E1233" s="512">
        <v>30462.795636566258</v>
      </c>
      <c r="F1233" s="513">
        <v>30462.795636566258</v>
      </c>
      <c r="G1233" s="512">
        <v>0</v>
      </c>
      <c r="H1233" s="512">
        <v>0</v>
      </c>
      <c r="I1233" s="659" t="s">
        <v>103</v>
      </c>
      <c r="J1233" s="513">
        <v>0</v>
      </c>
      <c r="K1233" s="513">
        <v>0</v>
      </c>
      <c r="L1233" s="513">
        <v>0</v>
      </c>
      <c r="M1233" s="513">
        <v>317814.25086080923</v>
      </c>
      <c r="N1233" s="622"/>
    </row>
    <row r="1234" spans="2:14">
      <c r="B1234" s="513" t="s">
        <v>510</v>
      </c>
      <c r="C1234" s="658">
        <v>2010</v>
      </c>
      <c r="D1234" s="513">
        <v>317814.25086080935</v>
      </c>
      <c r="E1234" s="512">
        <v>30436.69</v>
      </c>
      <c r="F1234" s="513">
        <v>30436.69</v>
      </c>
      <c r="G1234" s="512">
        <v>0</v>
      </c>
      <c r="H1234" s="512">
        <v>0</v>
      </c>
      <c r="I1234" s="659" t="s">
        <v>103</v>
      </c>
      <c r="J1234" s="513">
        <v>0</v>
      </c>
      <c r="K1234" s="513">
        <v>0</v>
      </c>
      <c r="L1234" s="513">
        <v>0</v>
      </c>
      <c r="M1234" s="513">
        <v>348250.94086080935</v>
      </c>
      <c r="N1234" s="622"/>
    </row>
    <row r="1235" spans="2:14">
      <c r="B1235" s="513" t="s">
        <v>510</v>
      </c>
      <c r="C1235" s="658">
        <v>2011</v>
      </c>
      <c r="D1235" s="513">
        <v>348250.93690150743</v>
      </c>
      <c r="E1235" s="512">
        <v>30833.831548965787</v>
      </c>
      <c r="F1235" s="513">
        <v>30833.831548965787</v>
      </c>
      <c r="G1235" s="512">
        <v>0</v>
      </c>
      <c r="H1235" s="512">
        <v>0</v>
      </c>
      <c r="I1235" s="659" t="s">
        <v>103</v>
      </c>
      <c r="J1235" s="513">
        <v>0</v>
      </c>
      <c r="K1235" s="513">
        <v>0</v>
      </c>
      <c r="L1235" s="513">
        <v>0</v>
      </c>
      <c r="M1235" s="513">
        <v>379084.7684504732</v>
      </c>
      <c r="N1235" s="622"/>
    </row>
    <row r="1236" spans="2:14">
      <c r="B1236" s="513" t="s">
        <v>510</v>
      </c>
      <c r="C1236" s="658">
        <v>2012</v>
      </c>
      <c r="D1236" s="513">
        <v>379084.7684504732</v>
      </c>
      <c r="E1236" s="513">
        <v>24186.833683542383</v>
      </c>
      <c r="F1236" s="513">
        <v>24186.833683542383</v>
      </c>
      <c r="G1236" s="512">
        <v>0</v>
      </c>
      <c r="H1236" s="512">
        <v>0</v>
      </c>
      <c r="I1236" s="659" t="s">
        <v>103</v>
      </c>
      <c r="J1236" s="513">
        <v>0</v>
      </c>
      <c r="K1236" s="513">
        <v>0</v>
      </c>
      <c r="L1236" s="513">
        <v>0</v>
      </c>
      <c r="M1236" s="513">
        <v>403271.60213401559</v>
      </c>
      <c r="N1236" s="622"/>
    </row>
    <row r="1237" spans="2:14">
      <c r="B1237" s="513" t="s">
        <v>510</v>
      </c>
      <c r="C1237" s="658">
        <v>2013</v>
      </c>
      <c r="D1237" s="513">
        <v>403271.60213401564</v>
      </c>
      <c r="E1237" s="513">
        <v>33359.734680231719</v>
      </c>
      <c r="F1237" s="513">
        <v>33359.734680231719</v>
      </c>
      <c r="G1237" s="512">
        <v>0</v>
      </c>
      <c r="H1237" s="512">
        <v>-360040</v>
      </c>
      <c r="I1237" s="659" t="s">
        <v>1736</v>
      </c>
      <c r="J1237" s="513">
        <v>0</v>
      </c>
      <c r="K1237" s="513">
        <v>0</v>
      </c>
      <c r="L1237" s="513">
        <v>0</v>
      </c>
      <c r="M1237" s="513">
        <v>76591.336814247363</v>
      </c>
      <c r="N1237" s="622"/>
    </row>
    <row r="1238" spans="2:14">
      <c r="B1238" s="513" t="s">
        <v>510</v>
      </c>
      <c r="C1238" s="658">
        <v>2014</v>
      </c>
      <c r="D1238" s="513">
        <v>76591.336814247305</v>
      </c>
      <c r="E1238" s="513">
        <v>34531.255602446421</v>
      </c>
      <c r="F1238" s="513">
        <v>34531.255602446421</v>
      </c>
      <c r="G1238" s="512">
        <v>0</v>
      </c>
      <c r="H1238" s="512">
        <v>0</v>
      </c>
      <c r="I1238" s="659" t="s">
        <v>103</v>
      </c>
      <c r="J1238" s="513">
        <v>0</v>
      </c>
      <c r="K1238" s="513">
        <v>0</v>
      </c>
      <c r="L1238" s="513">
        <v>0</v>
      </c>
      <c r="M1238" s="513">
        <v>111122.59241669372</v>
      </c>
      <c r="N1238" s="622"/>
    </row>
    <row r="1239" spans="2:14">
      <c r="B1239" s="513" t="s">
        <v>510</v>
      </c>
      <c r="C1239" s="658">
        <v>2015</v>
      </c>
      <c r="D1239" s="513">
        <v>111122.59241669369</v>
      </c>
      <c r="E1239" s="513">
        <v>35048.100010331116</v>
      </c>
      <c r="F1239" s="513">
        <v>35048.100010331116</v>
      </c>
      <c r="G1239" s="660">
        <v>0</v>
      </c>
      <c r="H1239" s="660">
        <v>0</v>
      </c>
      <c r="I1239" s="659" t="s">
        <v>103</v>
      </c>
      <c r="J1239" s="513">
        <v>0</v>
      </c>
      <c r="K1239" s="513">
        <v>0</v>
      </c>
      <c r="L1239" s="513">
        <v>0</v>
      </c>
      <c r="M1239" s="513">
        <v>146170.6924270248</v>
      </c>
      <c r="N1239" s="622"/>
    </row>
    <row r="1240" spans="2:14">
      <c r="B1240" s="513" t="s">
        <v>510</v>
      </c>
      <c r="C1240" s="658">
        <v>2016</v>
      </c>
      <c r="D1240" s="513">
        <v>146170.69242702471</v>
      </c>
      <c r="E1240" s="513">
        <v>26565.847521609481</v>
      </c>
      <c r="F1240" s="513">
        <v>26565.847521609481</v>
      </c>
      <c r="G1240" s="660">
        <v>0</v>
      </c>
      <c r="H1240" s="660">
        <v>0</v>
      </c>
      <c r="I1240" s="659" t="s">
        <v>103</v>
      </c>
      <c r="J1240" s="513">
        <v>0</v>
      </c>
      <c r="K1240" s="513">
        <v>0</v>
      </c>
      <c r="L1240" s="513">
        <v>0</v>
      </c>
      <c r="M1240" s="513">
        <v>172736.53994863419</v>
      </c>
      <c r="N1240" s="622"/>
    </row>
    <row r="1241" spans="2:14">
      <c r="B1241" s="513" t="s">
        <v>510</v>
      </c>
      <c r="C1241" s="658">
        <v>2017</v>
      </c>
      <c r="D1241" s="513">
        <v>172736.5399486341</v>
      </c>
      <c r="E1241" s="513">
        <v>24932.946085770025</v>
      </c>
      <c r="F1241" s="513">
        <v>24932.946085770025</v>
      </c>
      <c r="G1241" s="513">
        <v>0</v>
      </c>
      <c r="H1241" s="513">
        <v>0</v>
      </c>
      <c r="I1241" s="659" t="s">
        <v>103</v>
      </c>
      <c r="J1241" s="513">
        <v>0</v>
      </c>
      <c r="K1241" s="513">
        <v>0</v>
      </c>
      <c r="L1241" s="513">
        <v>0</v>
      </c>
      <c r="M1241" s="513">
        <v>197669.48603440414</v>
      </c>
      <c r="N1241" s="622"/>
    </row>
    <row r="1242" spans="2:14">
      <c r="B1242" s="513" t="s">
        <v>510</v>
      </c>
      <c r="C1242" s="889">
        <v>2018</v>
      </c>
      <c r="D1242" s="513">
        <v>197669.48603440414</v>
      </c>
      <c r="E1242" s="513">
        <f>VLOOKUP(B1242,'[6]2018 allocation'!$A$11:$B$218,2, FALSE)</f>
        <v>26357.044207095205</v>
      </c>
      <c r="F1242" s="513">
        <f>E1242</f>
        <v>26357.044207095205</v>
      </c>
      <c r="G1242" s="513">
        <v>0</v>
      </c>
      <c r="H1242" s="513">
        <v>0</v>
      </c>
      <c r="I1242" s="622" t="s">
        <v>103</v>
      </c>
      <c r="J1242" s="513">
        <f>VLOOKUP(B1242,'[6]Annual Spending Worksheet '!$C$6:$AG$250,28,FALSE)</f>
        <v>0</v>
      </c>
      <c r="K1242" s="513">
        <f>VLOOKUP(B1242,'[6]Annual Spending Worksheet '!$C$6:$AG$250,29,FALSE)</f>
        <v>0</v>
      </c>
      <c r="L1242" s="513">
        <v>0</v>
      </c>
      <c r="M1242" s="513">
        <f>D1242+E1242+H1242-J1242</f>
        <v>224026.53024149933</v>
      </c>
      <c r="N1242" s="513"/>
    </row>
    <row r="1243" spans="2:14">
      <c r="B1243" s="513" t="s">
        <v>510</v>
      </c>
      <c r="C1243" s="889">
        <v>2019</v>
      </c>
      <c r="D1243" s="513">
        <v>224026.53024149933</v>
      </c>
      <c r="E1243" s="513">
        <v>27828.857239732693</v>
      </c>
      <c r="F1243" s="513">
        <v>27828.857239732693</v>
      </c>
      <c r="G1243" s="513">
        <v>0</v>
      </c>
      <c r="H1243" s="513">
        <v>0</v>
      </c>
      <c r="I1243" s="622" t="s">
        <v>103</v>
      </c>
      <c r="J1243" s="513">
        <v>0</v>
      </c>
      <c r="K1243" s="513">
        <v>0</v>
      </c>
      <c r="L1243" s="513">
        <v>0</v>
      </c>
      <c r="M1243" s="513">
        <v>251855.38748123203</v>
      </c>
      <c r="N1243" s="513"/>
    </row>
    <row r="1244" spans="2:14">
      <c r="B1244" s="890" t="s">
        <v>1339</v>
      </c>
      <c r="C1244" s="902"/>
      <c r="D1244" s="899">
        <f>SUM(D1220:D1243)</f>
        <v>5656236.6107395981</v>
      </c>
      <c r="E1244" s="899">
        <f t="shared" ref="E1244:H1244" si="18">SUM(E1220:E1243)</f>
        <v>857940.76640056982</v>
      </c>
      <c r="F1244" s="899">
        <f t="shared" si="18"/>
        <v>857940.76640056982</v>
      </c>
      <c r="G1244" s="899">
        <f t="shared" si="18"/>
        <v>0</v>
      </c>
      <c r="H1244" s="899">
        <f t="shared" si="18"/>
        <v>0</v>
      </c>
      <c r="I1244" s="899">
        <f t="shared" ref="I1244" si="19">SUM(I1220:I1241)</f>
        <v>0</v>
      </c>
      <c r="J1244" s="899">
        <f>SUM(J1220:J1243)</f>
        <v>459563.43000000005</v>
      </c>
      <c r="K1244" s="899">
        <f>SUM(K1220:K1243)</f>
        <v>473446.0400000005</v>
      </c>
      <c r="L1244" s="899">
        <f t="shared" ref="L1244:M1244" si="20">SUM(L1220:L1243)</f>
        <v>13882.399999999994</v>
      </c>
      <c r="M1244" s="899">
        <f t="shared" si="20"/>
        <v>6040731.547140168</v>
      </c>
      <c r="N1244" s="903"/>
    </row>
    <row r="1245" spans="2:14">
      <c r="B1245" s="887" t="s">
        <v>514</v>
      </c>
      <c r="C1245" s="655"/>
      <c r="D1245" s="513"/>
      <c r="E1245" s="513"/>
      <c r="F1245" s="513"/>
      <c r="G1245" s="513"/>
      <c r="H1245" s="513"/>
      <c r="I1245" s="659"/>
      <c r="J1245" s="513"/>
      <c r="K1245" s="513"/>
      <c r="L1245" s="513"/>
      <c r="M1245" s="513"/>
      <c r="N1245" s="622"/>
    </row>
    <row r="1246" spans="2:14">
      <c r="B1246" s="513" t="s">
        <v>515</v>
      </c>
      <c r="C1246" s="658">
        <v>2008</v>
      </c>
      <c r="D1246" s="513">
        <v>509995.70699999999</v>
      </c>
      <c r="E1246" s="512">
        <v>72030.224789916159</v>
      </c>
      <c r="F1246" s="513">
        <v>72030.224789916159</v>
      </c>
      <c r="G1246" s="512">
        <v>0</v>
      </c>
      <c r="H1246" s="512">
        <v>-52557</v>
      </c>
      <c r="I1246" s="659" t="s">
        <v>103</v>
      </c>
      <c r="J1246" s="513">
        <v>0</v>
      </c>
      <c r="K1246" s="513">
        <v>0</v>
      </c>
      <c r="L1246" s="513">
        <v>0</v>
      </c>
      <c r="M1246" s="513">
        <v>529468.93178991613</v>
      </c>
      <c r="N1246" s="622"/>
    </row>
    <row r="1247" spans="2:14">
      <c r="B1247" s="513" t="s">
        <v>515</v>
      </c>
      <c r="C1247" s="658">
        <v>2009</v>
      </c>
      <c r="D1247" s="513">
        <v>529468.93178991613</v>
      </c>
      <c r="E1247" s="512">
        <v>56977.171933565296</v>
      </c>
      <c r="F1247" s="513">
        <v>56977.171933565296</v>
      </c>
      <c r="G1247" s="512">
        <v>0</v>
      </c>
      <c r="H1247" s="512">
        <v>0</v>
      </c>
      <c r="I1247" s="659" t="s">
        <v>103</v>
      </c>
      <c r="J1247" s="513">
        <v>0</v>
      </c>
      <c r="K1247" s="513">
        <v>0</v>
      </c>
      <c r="L1247" s="513">
        <v>0</v>
      </c>
      <c r="M1247" s="513">
        <v>586446.10372348141</v>
      </c>
      <c r="N1247" s="622"/>
    </row>
    <row r="1248" spans="2:14">
      <c r="B1248" s="513" t="s">
        <v>515</v>
      </c>
      <c r="C1248" s="658">
        <v>2010</v>
      </c>
      <c r="D1248" s="513">
        <v>586446.10372348141</v>
      </c>
      <c r="E1248" s="512">
        <v>56887.58</v>
      </c>
      <c r="F1248" s="513">
        <v>56887.58</v>
      </c>
      <c r="G1248" s="512">
        <v>0</v>
      </c>
      <c r="H1248" s="512">
        <v>-643334</v>
      </c>
      <c r="I1248" s="659" t="s">
        <v>1737</v>
      </c>
      <c r="J1248" s="513">
        <v>0</v>
      </c>
      <c r="K1248" s="513">
        <v>0</v>
      </c>
      <c r="L1248" s="513">
        <v>0</v>
      </c>
      <c r="M1248" s="513">
        <v>-0.31627651862800121</v>
      </c>
      <c r="N1248" s="622"/>
    </row>
    <row r="1249" spans="2:14">
      <c r="B1249" s="513" t="s">
        <v>515</v>
      </c>
      <c r="C1249" s="658">
        <v>2011</v>
      </c>
      <c r="D1249" s="513">
        <v>-0.32000000006519258</v>
      </c>
      <c r="E1249" s="512">
        <v>57952.900074700796</v>
      </c>
      <c r="F1249" s="513">
        <v>57952.900074700796</v>
      </c>
      <c r="G1249" s="512">
        <v>0</v>
      </c>
      <c r="H1249" s="512">
        <v>0</v>
      </c>
      <c r="I1249" s="659" t="s">
        <v>103</v>
      </c>
      <c r="J1249" s="513">
        <v>0</v>
      </c>
      <c r="K1249" s="513">
        <v>0</v>
      </c>
      <c r="L1249" s="513">
        <v>0</v>
      </c>
      <c r="M1249" s="513">
        <v>57952.580074700731</v>
      </c>
      <c r="N1249" s="622"/>
    </row>
    <row r="1250" spans="2:14">
      <c r="B1250" s="513" t="s">
        <v>515</v>
      </c>
      <c r="C1250" s="658">
        <v>2012</v>
      </c>
      <c r="D1250" s="513">
        <v>57952.580074700876</v>
      </c>
      <c r="E1250" s="513">
        <v>39767.871037848934</v>
      </c>
      <c r="F1250" s="513">
        <v>39767.871037848934</v>
      </c>
      <c r="G1250" s="512">
        <v>0</v>
      </c>
      <c r="H1250" s="512">
        <v>-97720</v>
      </c>
      <c r="I1250" s="659" t="s">
        <v>1738</v>
      </c>
      <c r="J1250" s="513">
        <v>0</v>
      </c>
      <c r="K1250" s="513">
        <v>0</v>
      </c>
      <c r="L1250" s="513">
        <v>0</v>
      </c>
      <c r="M1250" s="513">
        <v>0.45111254981020465</v>
      </c>
      <c r="N1250" s="622"/>
    </row>
    <row r="1251" spans="2:14">
      <c r="B1251" s="513" t="s">
        <v>515</v>
      </c>
      <c r="C1251" s="658">
        <v>2013</v>
      </c>
      <c r="D1251" s="513">
        <v>0</v>
      </c>
      <c r="E1251" s="513">
        <v>64897.323966868244</v>
      </c>
      <c r="F1251" s="513">
        <v>64897.323966868244</v>
      </c>
      <c r="G1251" s="512">
        <v>0</v>
      </c>
      <c r="H1251" s="512">
        <v>-64897</v>
      </c>
      <c r="I1251" s="659" t="s">
        <v>1739</v>
      </c>
      <c r="J1251" s="513">
        <v>0</v>
      </c>
      <c r="K1251" s="513">
        <v>0</v>
      </c>
      <c r="L1251" s="513">
        <v>0</v>
      </c>
      <c r="M1251" s="513">
        <v>0.32396686824358767</v>
      </c>
      <c r="N1251" s="622"/>
    </row>
    <row r="1252" spans="2:14">
      <c r="B1252" s="513" t="s">
        <v>515</v>
      </c>
      <c r="C1252" s="658">
        <v>2014</v>
      </c>
      <c r="D1252" s="513">
        <v>0</v>
      </c>
      <c r="E1252" s="513">
        <v>67922.580050924968</v>
      </c>
      <c r="F1252" s="513">
        <v>67922.580050924968</v>
      </c>
      <c r="G1252" s="512">
        <v>0</v>
      </c>
      <c r="H1252" s="512">
        <v>0</v>
      </c>
      <c r="I1252" s="659" t="s">
        <v>103</v>
      </c>
      <c r="J1252" s="513">
        <v>0</v>
      </c>
      <c r="K1252" s="513">
        <v>0</v>
      </c>
      <c r="L1252" s="513">
        <v>0</v>
      </c>
      <c r="M1252" s="513">
        <v>67922.580050924968</v>
      </c>
      <c r="N1252" s="622"/>
    </row>
    <row r="1253" spans="2:14">
      <c r="B1253" s="513" t="s">
        <v>515</v>
      </c>
      <c r="C1253" s="658">
        <v>2015</v>
      </c>
      <c r="D1253" s="513">
        <v>67922.580050925026</v>
      </c>
      <c r="E1253" s="513">
        <v>69130.863652161846</v>
      </c>
      <c r="F1253" s="513">
        <v>69130.863652161846</v>
      </c>
      <c r="G1253" s="512">
        <v>0</v>
      </c>
      <c r="H1253" s="660">
        <v>-137053</v>
      </c>
      <c r="I1253" s="659" t="s">
        <v>1740</v>
      </c>
      <c r="J1253" s="513">
        <v>0</v>
      </c>
      <c r="K1253" s="513">
        <v>0</v>
      </c>
      <c r="L1253" s="513">
        <v>0</v>
      </c>
      <c r="M1253" s="513">
        <v>0.44370308687211946</v>
      </c>
      <c r="N1253" s="622"/>
    </row>
    <row r="1254" spans="2:14">
      <c r="B1254" s="513" t="s">
        <v>515</v>
      </c>
      <c r="C1254" s="658">
        <v>2016</v>
      </c>
      <c r="D1254" s="513">
        <v>0.4437030868139118</v>
      </c>
      <c r="E1254" s="513">
        <v>46977.091288968702</v>
      </c>
      <c r="F1254" s="513">
        <v>46977.091288968702</v>
      </c>
      <c r="G1254" s="513">
        <v>0</v>
      </c>
      <c r="H1254" s="660">
        <v>0</v>
      </c>
      <c r="I1254" s="659" t="s">
        <v>103</v>
      </c>
      <c r="J1254" s="513">
        <v>0</v>
      </c>
      <c r="K1254" s="513">
        <v>0</v>
      </c>
      <c r="L1254" s="513">
        <v>0</v>
      </c>
      <c r="M1254" s="513">
        <v>46977.534992055516</v>
      </c>
      <c r="N1254" s="622"/>
    </row>
    <row r="1255" spans="2:14">
      <c r="B1255" s="513" t="s">
        <v>515</v>
      </c>
      <c r="C1255" s="658">
        <v>2017</v>
      </c>
      <c r="D1255" s="513">
        <v>46977.534992055502</v>
      </c>
      <c r="E1255" s="513">
        <v>42501.118109820149</v>
      </c>
      <c r="F1255" s="513">
        <v>42501.118109820149</v>
      </c>
      <c r="G1255" s="513">
        <v>0</v>
      </c>
      <c r="H1255" s="513">
        <v>-89479</v>
      </c>
      <c r="I1255" s="659" t="s">
        <v>1741</v>
      </c>
      <c r="J1255" s="513">
        <v>0</v>
      </c>
      <c r="K1255" s="513">
        <v>0</v>
      </c>
      <c r="L1255" s="513">
        <v>0</v>
      </c>
      <c r="M1255" s="513">
        <v>-0.34689812434953637</v>
      </c>
      <c r="N1255" s="622"/>
    </row>
    <row r="1256" spans="2:14">
      <c r="B1256" s="513" t="s">
        <v>515</v>
      </c>
      <c r="C1256" s="889">
        <v>2018</v>
      </c>
      <c r="D1256" s="513">
        <v>-0.34689812434953637</v>
      </c>
      <c r="E1256" s="513">
        <f>VLOOKUP(B1256,'[6]2018 allocation'!$A$11:$B$218,2, FALSE)</f>
        <v>45961.214174059685</v>
      </c>
      <c r="F1256" s="513">
        <f>E1256</f>
        <v>45961.214174059685</v>
      </c>
      <c r="G1256" s="513">
        <v>0</v>
      </c>
      <c r="H1256" s="513">
        <v>0</v>
      </c>
      <c r="I1256" s="622" t="s">
        <v>103</v>
      </c>
      <c r="J1256" s="513">
        <f>VLOOKUP(B1256,'[6]Annual Spending Worksheet '!$C$6:$AG$250,28,FALSE)</f>
        <v>0</v>
      </c>
      <c r="K1256" s="513">
        <f>VLOOKUP(B1256,'[6]Annual Spending Worksheet '!$C$6:$AG$250,29,FALSE)</f>
        <v>0</v>
      </c>
      <c r="L1256" s="513">
        <v>0</v>
      </c>
      <c r="M1256" s="513">
        <f>D1256+E1256+H1256-J1256</f>
        <v>45960.867275935336</v>
      </c>
      <c r="N1256" s="513"/>
    </row>
    <row r="1257" spans="2:14">
      <c r="B1257" s="513" t="s">
        <v>515</v>
      </c>
      <c r="C1257" s="889">
        <v>2019</v>
      </c>
      <c r="D1257" s="513">
        <v>45960.867275935336</v>
      </c>
      <c r="E1257" s="513">
        <v>50000.070468903963</v>
      </c>
      <c r="F1257" s="513">
        <v>50000.070468903963</v>
      </c>
      <c r="G1257" s="513">
        <v>0</v>
      </c>
      <c r="H1257" s="513">
        <v>-95961</v>
      </c>
      <c r="I1257" s="622" t="s">
        <v>1742</v>
      </c>
      <c r="J1257" s="513">
        <v>0</v>
      </c>
      <c r="K1257" s="513">
        <v>0</v>
      </c>
      <c r="L1257" s="513">
        <v>0</v>
      </c>
      <c r="M1257" s="513">
        <v>-6.2255160708446056E-2</v>
      </c>
      <c r="N1257" s="513"/>
    </row>
    <row r="1258" spans="2:14">
      <c r="B1258" s="513" t="s">
        <v>516</v>
      </c>
      <c r="C1258" s="658">
        <v>2008</v>
      </c>
      <c r="D1258" s="513">
        <v>311.15100000000001</v>
      </c>
      <c r="E1258" s="512">
        <v>317.30383975239727</v>
      </c>
      <c r="F1258" s="513">
        <v>317.30383975239727</v>
      </c>
      <c r="G1258" s="512">
        <v>0</v>
      </c>
      <c r="H1258" s="512">
        <v>0</v>
      </c>
      <c r="I1258" s="659" t="s">
        <v>103</v>
      </c>
      <c r="J1258" s="513">
        <v>0</v>
      </c>
      <c r="K1258" s="513">
        <v>0</v>
      </c>
      <c r="L1258" s="513">
        <v>0</v>
      </c>
      <c r="M1258" s="513">
        <v>628.45483975239722</v>
      </c>
      <c r="N1258" s="622"/>
    </row>
    <row r="1259" spans="2:14">
      <c r="B1259" s="513" t="s">
        <v>516</v>
      </c>
      <c r="C1259" s="658">
        <v>2009</v>
      </c>
      <c r="D1259" s="513">
        <v>628.45483975239722</v>
      </c>
      <c r="E1259" s="512">
        <v>220.5508866278532</v>
      </c>
      <c r="F1259" s="513">
        <v>220.5508866278532</v>
      </c>
      <c r="G1259" s="512">
        <v>0</v>
      </c>
      <c r="H1259" s="512">
        <v>0</v>
      </c>
      <c r="I1259" s="659" t="s">
        <v>103</v>
      </c>
      <c r="J1259" s="513">
        <v>0</v>
      </c>
      <c r="K1259" s="513">
        <v>0</v>
      </c>
      <c r="L1259" s="513">
        <v>0</v>
      </c>
      <c r="M1259" s="513">
        <v>849.00572638025039</v>
      </c>
      <c r="N1259" s="622"/>
    </row>
    <row r="1260" spans="2:14">
      <c r="B1260" s="513" t="s">
        <v>516</v>
      </c>
      <c r="C1260" s="658">
        <v>2010</v>
      </c>
      <c r="D1260" s="513">
        <v>849.00572638025028</v>
      </c>
      <c r="E1260" s="512">
        <v>206.54</v>
      </c>
      <c r="F1260" s="513">
        <v>206.54</v>
      </c>
      <c r="G1260" s="512">
        <v>0</v>
      </c>
      <c r="H1260" s="512">
        <v>0</v>
      </c>
      <c r="I1260" s="659" t="s">
        <v>103</v>
      </c>
      <c r="J1260" s="513">
        <v>0</v>
      </c>
      <c r="K1260" s="513">
        <v>0</v>
      </c>
      <c r="L1260" s="513">
        <v>0</v>
      </c>
      <c r="M1260" s="513">
        <v>1055.5457263802502</v>
      </c>
      <c r="N1260" s="622"/>
    </row>
    <row r="1261" spans="2:14">
      <c r="B1261" s="513" t="s">
        <v>516</v>
      </c>
      <c r="C1261" s="658">
        <v>2011</v>
      </c>
      <c r="D1261" s="513">
        <v>1055.5454581132778</v>
      </c>
      <c r="E1261" s="512">
        <v>224.11043475825048</v>
      </c>
      <c r="F1261" s="513">
        <v>224.11043475825048</v>
      </c>
      <c r="G1261" s="512">
        <v>0</v>
      </c>
      <c r="H1261" s="512">
        <v>0</v>
      </c>
      <c r="I1261" s="659" t="s">
        <v>103</v>
      </c>
      <c r="J1261" s="513">
        <v>0</v>
      </c>
      <c r="K1261" s="513">
        <v>0</v>
      </c>
      <c r="L1261" s="513">
        <v>0</v>
      </c>
      <c r="M1261" s="513">
        <v>1279.6558928715283</v>
      </c>
      <c r="N1261" s="622"/>
    </row>
    <row r="1262" spans="2:14">
      <c r="B1262" s="513" t="s">
        <v>516</v>
      </c>
      <c r="C1262" s="658">
        <v>2012</v>
      </c>
      <c r="D1262" s="513">
        <v>1279.6558928715283</v>
      </c>
      <c r="E1262" s="513">
        <v>84.468796478822611</v>
      </c>
      <c r="F1262" s="513">
        <v>84.468796478822611</v>
      </c>
      <c r="G1262" s="512">
        <v>0</v>
      </c>
      <c r="H1262" s="512">
        <v>0</v>
      </c>
      <c r="I1262" s="659" t="s">
        <v>103</v>
      </c>
      <c r="J1262" s="513">
        <v>0</v>
      </c>
      <c r="K1262" s="513">
        <v>0</v>
      </c>
      <c r="L1262" s="513">
        <v>0</v>
      </c>
      <c r="M1262" s="513">
        <v>1364.124689350351</v>
      </c>
      <c r="N1262" s="622"/>
    </row>
    <row r="1263" spans="2:14">
      <c r="B1263" s="513" t="s">
        <v>516</v>
      </c>
      <c r="C1263" s="658">
        <v>2013</v>
      </c>
      <c r="D1263" s="513">
        <v>1364.124689350351</v>
      </c>
      <c r="E1263" s="513">
        <v>277.97742552904344</v>
      </c>
      <c r="F1263" s="513">
        <v>277.97742552904344</v>
      </c>
      <c r="G1263" s="512">
        <v>0</v>
      </c>
      <c r="H1263" s="512">
        <v>0</v>
      </c>
      <c r="I1263" s="659" t="s">
        <v>103</v>
      </c>
      <c r="J1263" s="513">
        <v>0</v>
      </c>
      <c r="K1263" s="513">
        <v>0</v>
      </c>
      <c r="L1263" s="513">
        <v>0</v>
      </c>
      <c r="M1263" s="513">
        <v>1642.1021148793943</v>
      </c>
      <c r="N1263" s="622"/>
    </row>
    <row r="1264" spans="2:14">
      <c r="B1264" s="513" t="s">
        <v>516</v>
      </c>
      <c r="C1264" s="658">
        <v>2014</v>
      </c>
      <c r="D1264" s="513">
        <v>1642.1021148793943</v>
      </c>
      <c r="E1264" s="513">
        <v>300.55943501427203</v>
      </c>
      <c r="F1264" s="513">
        <v>300.55943501427203</v>
      </c>
      <c r="G1264" s="512">
        <v>0</v>
      </c>
      <c r="H1264" s="512">
        <v>0</v>
      </c>
      <c r="I1264" s="659" t="s">
        <v>103</v>
      </c>
      <c r="J1264" s="513">
        <v>0</v>
      </c>
      <c r="K1264" s="513">
        <v>0</v>
      </c>
      <c r="L1264" s="513">
        <v>0</v>
      </c>
      <c r="M1264" s="513">
        <v>1942.6615498936662</v>
      </c>
      <c r="N1264" s="622"/>
    </row>
    <row r="1265" spans="2:14">
      <c r="B1265" s="513" t="s">
        <v>516</v>
      </c>
      <c r="C1265" s="658">
        <v>2015</v>
      </c>
      <c r="D1265" s="513">
        <v>1942.6615498936662</v>
      </c>
      <c r="E1265" s="513">
        <v>307.3723258024832</v>
      </c>
      <c r="F1265" s="513">
        <v>307.3723258024832</v>
      </c>
      <c r="G1265" s="512">
        <v>0</v>
      </c>
      <c r="H1265" s="660">
        <v>0</v>
      </c>
      <c r="I1265" s="659" t="s">
        <v>103</v>
      </c>
      <c r="J1265" s="513">
        <v>0</v>
      </c>
      <c r="K1265" s="513">
        <v>0</v>
      </c>
      <c r="L1265" s="513">
        <v>0</v>
      </c>
      <c r="M1265" s="513">
        <v>2250.0338756961496</v>
      </c>
      <c r="N1265" s="622"/>
    </row>
    <row r="1266" spans="2:14">
      <c r="B1266" s="513" t="s">
        <v>516</v>
      </c>
      <c r="C1266" s="658">
        <v>2016</v>
      </c>
      <c r="D1266" s="513">
        <v>2250.0338756961496</v>
      </c>
      <c r="E1266" s="513">
        <v>142.85580257482263</v>
      </c>
      <c r="F1266" s="513">
        <v>142.85580257482263</v>
      </c>
      <c r="G1266" s="513">
        <v>0</v>
      </c>
      <c r="H1266" s="660">
        <v>0</v>
      </c>
      <c r="I1266" s="659" t="s">
        <v>103</v>
      </c>
      <c r="J1266" s="513">
        <v>0</v>
      </c>
      <c r="K1266" s="513">
        <v>0</v>
      </c>
      <c r="L1266" s="513">
        <v>0</v>
      </c>
      <c r="M1266" s="513">
        <v>2392.8896782709721</v>
      </c>
      <c r="N1266" s="622"/>
    </row>
    <row r="1267" spans="2:14">
      <c r="B1267" s="513" t="s">
        <v>516</v>
      </c>
      <c r="C1267" s="658">
        <v>2017</v>
      </c>
      <c r="D1267" s="513">
        <v>2392.8896782709721</v>
      </c>
      <c r="E1267" s="513">
        <v>114.15120233369467</v>
      </c>
      <c r="F1267" s="513">
        <v>114.15120233369467</v>
      </c>
      <c r="G1267" s="513">
        <v>0</v>
      </c>
      <c r="H1267" s="513">
        <v>0</v>
      </c>
      <c r="I1267" s="659" t="s">
        <v>103</v>
      </c>
      <c r="J1267" s="513">
        <v>0</v>
      </c>
      <c r="K1267" s="513">
        <v>0</v>
      </c>
      <c r="L1267" s="513">
        <v>0</v>
      </c>
      <c r="M1267" s="513">
        <v>2507.0408806046667</v>
      </c>
      <c r="N1267" s="622"/>
    </row>
    <row r="1268" spans="2:14">
      <c r="B1268" s="513" t="s">
        <v>516</v>
      </c>
      <c r="C1268" s="889">
        <v>2018</v>
      </c>
      <c r="D1268" s="513">
        <v>2507.0408806046667</v>
      </c>
      <c r="E1268" s="513">
        <f>VLOOKUP(B1268,'[6]2018 allocation'!$A$11:$B$218,2, FALSE)</f>
        <v>141.16612374461474</v>
      </c>
      <c r="F1268" s="513">
        <f>E1268</f>
        <v>141.16612374461474</v>
      </c>
      <c r="G1268" s="513">
        <v>0</v>
      </c>
      <c r="H1268" s="513">
        <v>0</v>
      </c>
      <c r="I1268" s="622" t="s">
        <v>103</v>
      </c>
      <c r="J1268" s="513">
        <f>VLOOKUP(B1268,'[6]Annual Spending Worksheet '!$C$6:$AG$250,28,FALSE)</f>
        <v>0</v>
      </c>
      <c r="K1268" s="513">
        <f>VLOOKUP(B1268,'[6]Annual Spending Worksheet '!$C$6:$AG$250,29,FALSE)</f>
        <v>0</v>
      </c>
      <c r="L1268" s="513">
        <v>0</v>
      </c>
      <c r="M1268" s="513">
        <f>D1268+E1268+H1268-J1268</f>
        <v>2648.2070043492813</v>
      </c>
      <c r="N1268" s="513"/>
    </row>
    <row r="1269" spans="2:14">
      <c r="B1269" s="513" t="s">
        <v>516</v>
      </c>
      <c r="C1269" s="889">
        <v>2019</v>
      </c>
      <c r="D1269" s="513">
        <v>2648.2070043492813</v>
      </c>
      <c r="E1269" s="513">
        <v>168.92059888108443</v>
      </c>
      <c r="F1269" s="513">
        <v>168.92059888108443</v>
      </c>
      <c r="G1269" s="513">
        <v>0</v>
      </c>
      <c r="H1269" s="513">
        <v>0</v>
      </c>
      <c r="I1269" s="622" t="s">
        <v>103</v>
      </c>
      <c r="J1269" s="513">
        <v>0</v>
      </c>
      <c r="K1269" s="513">
        <v>0</v>
      </c>
      <c r="L1269" s="513">
        <v>0</v>
      </c>
      <c r="M1269" s="513">
        <v>2817.1276032303658</v>
      </c>
      <c r="N1269" s="513"/>
    </row>
    <row r="1270" spans="2:14">
      <c r="B1270" s="513" t="s">
        <v>517</v>
      </c>
      <c r="C1270" s="658">
        <v>2008</v>
      </c>
      <c r="D1270" s="513">
        <v>985400.16599999997</v>
      </c>
      <c r="E1270" s="512">
        <v>109116.88587190412</v>
      </c>
      <c r="F1270" s="513">
        <v>109116.88587190412</v>
      </c>
      <c r="G1270" s="512">
        <v>0</v>
      </c>
      <c r="H1270" s="512">
        <v>0</v>
      </c>
      <c r="I1270" s="659" t="s">
        <v>103</v>
      </c>
      <c r="J1270" s="513">
        <v>0</v>
      </c>
      <c r="K1270" s="513">
        <v>0</v>
      </c>
      <c r="L1270" s="513">
        <v>0</v>
      </c>
      <c r="M1270" s="513">
        <v>1094517.0518719042</v>
      </c>
      <c r="N1270" s="622"/>
    </row>
    <row r="1271" spans="2:14">
      <c r="B1271" s="513" t="s">
        <v>517</v>
      </c>
      <c r="C1271" s="658">
        <v>2009</v>
      </c>
      <c r="D1271" s="513">
        <v>1094517.0518719039</v>
      </c>
      <c r="E1271" s="512">
        <v>86977.96834135348</v>
      </c>
      <c r="F1271" s="513">
        <v>86977.96834135348</v>
      </c>
      <c r="G1271" s="512">
        <v>0</v>
      </c>
      <c r="H1271" s="512">
        <v>0</v>
      </c>
      <c r="I1271" s="659" t="s">
        <v>103</v>
      </c>
      <c r="J1271" s="513">
        <v>0</v>
      </c>
      <c r="K1271" s="513">
        <v>0</v>
      </c>
      <c r="L1271" s="513">
        <v>0</v>
      </c>
      <c r="M1271" s="513">
        <v>1181495.0202132575</v>
      </c>
      <c r="N1271" s="622"/>
    </row>
    <row r="1272" spans="2:14">
      <c r="B1272" s="513" t="s">
        <v>517</v>
      </c>
      <c r="C1272" s="658">
        <v>2010</v>
      </c>
      <c r="D1272" s="513">
        <v>1181495.0202132573</v>
      </c>
      <c r="E1272" s="512">
        <v>86859.64</v>
      </c>
      <c r="F1272" s="513">
        <v>86859.64</v>
      </c>
      <c r="G1272" s="512">
        <v>0</v>
      </c>
      <c r="H1272" s="512">
        <v>0</v>
      </c>
      <c r="I1272" s="659" t="s">
        <v>103</v>
      </c>
      <c r="J1272" s="513">
        <v>0</v>
      </c>
      <c r="K1272" s="513">
        <v>0</v>
      </c>
      <c r="L1272" s="513">
        <v>0</v>
      </c>
      <c r="M1272" s="513">
        <v>1268354.6602132572</v>
      </c>
      <c r="N1272" s="622"/>
    </row>
    <row r="1273" spans="2:14">
      <c r="B1273" s="513" t="s">
        <v>517</v>
      </c>
      <c r="C1273" s="658">
        <v>2011</v>
      </c>
      <c r="D1273" s="513">
        <v>1268354.6587605749</v>
      </c>
      <c r="E1273" s="512">
        <v>88409.821937143628</v>
      </c>
      <c r="F1273" s="513">
        <v>88409.821937143628</v>
      </c>
      <c r="G1273" s="512">
        <v>0</v>
      </c>
      <c r="H1273" s="512">
        <v>0</v>
      </c>
      <c r="I1273" s="659" t="s">
        <v>103</v>
      </c>
      <c r="J1273" s="513">
        <v>0</v>
      </c>
      <c r="K1273" s="513">
        <v>0</v>
      </c>
      <c r="L1273" s="513">
        <v>0</v>
      </c>
      <c r="M1273" s="513">
        <v>1356764.4806977184</v>
      </c>
      <c r="N1273" s="622"/>
    </row>
    <row r="1274" spans="2:14">
      <c r="B1274" s="513" t="s">
        <v>517</v>
      </c>
      <c r="C1274" s="658">
        <v>2012</v>
      </c>
      <c r="D1274" s="513">
        <v>1356764.4806977187</v>
      </c>
      <c r="E1274" s="513">
        <v>61950.120447959715</v>
      </c>
      <c r="F1274" s="513">
        <v>61950.120447959715</v>
      </c>
      <c r="G1274" s="512">
        <v>0</v>
      </c>
      <c r="H1274" s="512">
        <v>0</v>
      </c>
      <c r="I1274" s="659" t="s">
        <v>103</v>
      </c>
      <c r="J1274" s="513">
        <v>0</v>
      </c>
      <c r="K1274" s="513">
        <v>0</v>
      </c>
      <c r="L1274" s="513">
        <v>0</v>
      </c>
      <c r="M1274" s="513">
        <v>1418714.6011456784</v>
      </c>
      <c r="N1274" s="622"/>
    </row>
    <row r="1275" spans="2:14">
      <c r="B1275" s="513" t="s">
        <v>517</v>
      </c>
      <c r="C1275" s="658">
        <v>2013</v>
      </c>
      <c r="D1275" s="513">
        <v>1418714.6011456784</v>
      </c>
      <c r="E1275" s="513">
        <v>98513.27440880191</v>
      </c>
      <c r="F1275" s="513">
        <v>98513.27440880191</v>
      </c>
      <c r="G1275" s="512">
        <v>0</v>
      </c>
      <c r="H1275" s="512">
        <v>0</v>
      </c>
      <c r="I1275" s="659" t="s">
        <v>103</v>
      </c>
      <c r="J1275" s="513">
        <v>0</v>
      </c>
      <c r="K1275" s="513">
        <v>0</v>
      </c>
      <c r="L1275" s="513">
        <v>0</v>
      </c>
      <c r="M1275" s="513">
        <v>1517227.8755544804</v>
      </c>
      <c r="N1275" s="622"/>
    </row>
    <row r="1276" spans="2:14">
      <c r="B1276" s="513" t="s">
        <v>517</v>
      </c>
      <c r="C1276" s="658">
        <v>2014</v>
      </c>
      <c r="D1276" s="513">
        <v>1517227.8755544804</v>
      </c>
      <c r="E1276" s="513">
        <v>102840.7838208571</v>
      </c>
      <c r="F1276" s="513">
        <v>102840.7838208571</v>
      </c>
      <c r="G1276" s="660">
        <v>0</v>
      </c>
      <c r="H1276" s="512">
        <v>0</v>
      </c>
      <c r="I1276" s="659" t="s">
        <v>103</v>
      </c>
      <c r="J1276" s="513">
        <v>65821.699999999983</v>
      </c>
      <c r="K1276" s="513">
        <v>0</v>
      </c>
      <c r="L1276" s="513">
        <v>0</v>
      </c>
      <c r="M1276" s="513">
        <v>1554246.9593753375</v>
      </c>
      <c r="N1276" s="622"/>
    </row>
    <row r="1277" spans="2:14">
      <c r="B1277" s="513" t="s">
        <v>517</v>
      </c>
      <c r="C1277" s="658">
        <v>2015</v>
      </c>
      <c r="D1277" s="513">
        <v>1554246.9593753377</v>
      </c>
      <c r="E1277" s="513">
        <v>104656.34679804988</v>
      </c>
      <c r="F1277" s="513">
        <v>104656.34679804988</v>
      </c>
      <c r="G1277" s="660">
        <v>0</v>
      </c>
      <c r="H1277" s="660">
        <v>0</v>
      </c>
      <c r="I1277" s="659" t="s">
        <v>103</v>
      </c>
      <c r="J1277" s="513">
        <v>38391.539999999994</v>
      </c>
      <c r="K1277" s="513">
        <v>0</v>
      </c>
      <c r="L1277" s="513">
        <v>0</v>
      </c>
      <c r="M1277" s="513">
        <v>1620511.7661733876</v>
      </c>
      <c r="N1277" s="622"/>
    </row>
    <row r="1278" spans="2:14">
      <c r="B1278" s="513" t="s">
        <v>517</v>
      </c>
      <c r="C1278" s="658">
        <v>2016</v>
      </c>
      <c r="D1278" s="513">
        <v>1620511.7661733874</v>
      </c>
      <c r="E1278" s="513">
        <v>72456.650285365729</v>
      </c>
      <c r="F1278" s="513">
        <v>72456.650285365729</v>
      </c>
      <c r="G1278" s="660">
        <v>0</v>
      </c>
      <c r="H1278" s="660">
        <v>0</v>
      </c>
      <c r="I1278" s="659" t="s">
        <v>103</v>
      </c>
      <c r="J1278" s="513">
        <v>66160.23</v>
      </c>
      <c r="K1278" s="513">
        <v>0</v>
      </c>
      <c r="L1278" s="513">
        <v>0</v>
      </c>
      <c r="M1278" s="513">
        <v>1626808.1864587532</v>
      </c>
      <c r="N1278" s="622"/>
    </row>
    <row r="1279" spans="2:14">
      <c r="B1279" s="513" t="s">
        <v>517</v>
      </c>
      <c r="C1279" s="658">
        <v>2017</v>
      </c>
      <c r="D1279" s="513">
        <v>1626808.186458753</v>
      </c>
      <c r="E1279" s="513">
        <v>66009.130403740288</v>
      </c>
      <c r="F1279" s="513">
        <v>66009.130403740288</v>
      </c>
      <c r="G1279" s="513">
        <v>0</v>
      </c>
      <c r="H1279" s="513">
        <v>0</v>
      </c>
      <c r="I1279" s="659" t="s">
        <v>103</v>
      </c>
      <c r="J1279" s="513">
        <v>3063898.18</v>
      </c>
      <c r="K1279" s="513">
        <v>0</v>
      </c>
      <c r="L1279" s="513">
        <v>0</v>
      </c>
      <c r="M1279" s="513">
        <v>-1371080.8631375069</v>
      </c>
      <c r="N1279" s="622" t="s">
        <v>1743</v>
      </c>
    </row>
    <row r="1280" spans="2:14">
      <c r="B1280" s="513" t="s">
        <v>517</v>
      </c>
      <c r="C1280" s="889">
        <v>2018</v>
      </c>
      <c r="D1280" s="513">
        <v>-1371080.8631375069</v>
      </c>
      <c r="E1280" s="513">
        <f>VLOOKUP(B1280,'[6]2018 allocation'!$A$11:$B$218,2, FALSE)</f>
        <v>71289.977832610748</v>
      </c>
      <c r="F1280" s="513">
        <f>E1280</f>
        <v>71289.977832610748</v>
      </c>
      <c r="G1280" s="513">
        <f>D1280+E1280</f>
        <v>-1299790.8853048962</v>
      </c>
      <c r="H1280" s="513">
        <v>0</v>
      </c>
      <c r="I1280" s="622" t="s">
        <v>103</v>
      </c>
      <c r="J1280" s="513">
        <f>VLOOKUP(B1280,'[6]Annual Spending Worksheet '!$C$6:$AG$250,28,FALSE)</f>
        <v>496614.83999999997</v>
      </c>
      <c r="K1280" s="513">
        <f>VLOOKUP(B1280,'[6]Annual Spending Worksheet '!$C$6:$AG$250,29,FALSE)</f>
        <v>3738154.5699999589</v>
      </c>
      <c r="L1280" s="513">
        <v>0</v>
      </c>
      <c r="M1280" s="513">
        <f>D1280+E1280+H1280-J1280</f>
        <v>-1796405.725304896</v>
      </c>
      <c r="N1280" s="622" t="s">
        <v>1743</v>
      </c>
    </row>
    <row r="1281" spans="2:14">
      <c r="B1281" s="513" t="s">
        <v>517</v>
      </c>
      <c r="C1281" s="889">
        <v>2019</v>
      </c>
      <c r="D1281" s="513">
        <v>-1796405.725304896</v>
      </c>
      <c r="E1281" s="513">
        <v>76795.267580402811</v>
      </c>
      <c r="F1281" s="513">
        <v>76795.267580402811</v>
      </c>
      <c r="G1281" s="513">
        <v>-1719610.4577244932</v>
      </c>
      <c r="H1281" s="513">
        <v>0</v>
      </c>
      <c r="I1281" s="622" t="s">
        <v>103</v>
      </c>
      <c r="J1281" s="513">
        <v>-3158.2</v>
      </c>
      <c r="K1281" s="513">
        <v>0</v>
      </c>
      <c r="L1281" s="513">
        <v>0</v>
      </c>
      <c r="M1281" s="513">
        <v>-1716452.2577244933</v>
      </c>
      <c r="N1281" s="622" t="s">
        <v>1743</v>
      </c>
    </row>
    <row r="1282" spans="2:14">
      <c r="B1282" s="513" t="s">
        <v>521</v>
      </c>
      <c r="C1282" s="658">
        <v>2008</v>
      </c>
      <c r="D1282" s="513">
        <v>2121863.926</v>
      </c>
      <c r="E1282" s="512">
        <v>296322.90001394559</v>
      </c>
      <c r="F1282" s="513">
        <v>296322.90001394559</v>
      </c>
      <c r="G1282" s="512">
        <v>0</v>
      </c>
      <c r="H1282" s="512">
        <v>0</v>
      </c>
      <c r="I1282" s="659" t="s">
        <v>103</v>
      </c>
      <c r="J1282" s="513">
        <v>0</v>
      </c>
      <c r="K1282" s="513">
        <v>0</v>
      </c>
      <c r="L1282" s="513">
        <v>0</v>
      </c>
      <c r="M1282" s="513">
        <v>2418186.8260139455</v>
      </c>
      <c r="N1282" s="622"/>
    </row>
    <row r="1283" spans="2:14">
      <c r="B1283" s="513" t="s">
        <v>521</v>
      </c>
      <c r="C1283" s="658">
        <v>2009</v>
      </c>
      <c r="D1283" s="513">
        <v>2418186.826013946</v>
      </c>
      <c r="E1283" s="512">
        <v>242250.49731244158</v>
      </c>
      <c r="F1283" s="513">
        <v>242250.49731244158</v>
      </c>
      <c r="G1283" s="512">
        <v>0</v>
      </c>
      <c r="H1283" s="512">
        <v>0</v>
      </c>
      <c r="I1283" s="659" t="s">
        <v>103</v>
      </c>
      <c r="J1283" s="513">
        <v>0</v>
      </c>
      <c r="K1283" s="513">
        <v>0</v>
      </c>
      <c r="L1283" s="513">
        <v>0</v>
      </c>
      <c r="M1283" s="513">
        <v>2660437.3233263874</v>
      </c>
      <c r="N1283" s="622"/>
    </row>
    <row r="1284" spans="2:14">
      <c r="B1284" s="513" t="s">
        <v>521</v>
      </c>
      <c r="C1284" s="658">
        <v>2010</v>
      </c>
      <c r="D1284" s="513">
        <v>2660437.3233263874</v>
      </c>
      <c r="E1284" s="512">
        <v>241931.37</v>
      </c>
      <c r="F1284" s="513">
        <v>241931.37</v>
      </c>
      <c r="G1284" s="512">
        <v>0</v>
      </c>
      <c r="H1284" s="512">
        <v>0</v>
      </c>
      <c r="I1284" s="659" t="s">
        <v>103</v>
      </c>
      <c r="J1284" s="513">
        <v>51401.509999999995</v>
      </c>
      <c r="K1284" s="513">
        <v>0</v>
      </c>
      <c r="L1284" s="513">
        <v>0</v>
      </c>
      <c r="M1284" s="513">
        <v>2850967.1833263878</v>
      </c>
      <c r="N1284" s="622"/>
    </row>
    <row r="1285" spans="2:14">
      <c r="B1285" s="513" t="s">
        <v>521</v>
      </c>
      <c r="C1285" s="658">
        <v>2011</v>
      </c>
      <c r="D1285" s="513">
        <v>2850967.1845351448</v>
      </c>
      <c r="E1285" s="512">
        <v>245771.12228809265</v>
      </c>
      <c r="F1285" s="513">
        <v>245771.12228809265</v>
      </c>
      <c r="G1285" s="512">
        <v>0</v>
      </c>
      <c r="H1285" s="512">
        <v>0</v>
      </c>
      <c r="I1285" s="659" t="s">
        <v>103</v>
      </c>
      <c r="J1285" s="513">
        <v>47367.450000000004</v>
      </c>
      <c r="K1285" s="513">
        <v>0</v>
      </c>
      <c r="L1285" s="513">
        <v>0</v>
      </c>
      <c r="M1285" s="513">
        <v>3049370.8568232371</v>
      </c>
      <c r="N1285" s="622"/>
    </row>
    <row r="1286" spans="2:14">
      <c r="B1286" s="513" t="s">
        <v>521</v>
      </c>
      <c r="C1286" s="658">
        <v>2012</v>
      </c>
      <c r="D1286" s="513">
        <v>3049370.8568232376</v>
      </c>
      <c r="E1286" s="513">
        <v>181557.02578258899</v>
      </c>
      <c r="F1286" s="513">
        <v>181557.02578258899</v>
      </c>
      <c r="G1286" s="512">
        <v>0</v>
      </c>
      <c r="H1286" s="512">
        <v>0</v>
      </c>
      <c r="I1286" s="659" t="s">
        <v>103</v>
      </c>
      <c r="J1286" s="513">
        <v>101531.07000000002</v>
      </c>
      <c r="K1286" s="513">
        <v>0</v>
      </c>
      <c r="L1286" s="513">
        <v>0</v>
      </c>
      <c r="M1286" s="513">
        <v>3129396.8126058266</v>
      </c>
      <c r="N1286" s="622"/>
    </row>
    <row r="1287" spans="2:14">
      <c r="B1287" s="513" t="s">
        <v>521</v>
      </c>
      <c r="C1287" s="658">
        <v>2013</v>
      </c>
      <c r="D1287" s="513">
        <v>3129396.8126058262</v>
      </c>
      <c r="E1287" s="513">
        <v>270334.20937611844</v>
      </c>
      <c r="F1287" s="513">
        <v>270334.20937611844</v>
      </c>
      <c r="G1287" s="512">
        <v>0</v>
      </c>
      <c r="H1287" s="512">
        <v>0</v>
      </c>
      <c r="I1287" s="659" t="s">
        <v>103</v>
      </c>
      <c r="J1287" s="513">
        <v>2175694.9799999972</v>
      </c>
      <c r="K1287" s="513">
        <v>2646995</v>
      </c>
      <c r="L1287" s="513">
        <v>30915.1</v>
      </c>
      <c r="M1287" s="513">
        <v>1193120.9419819475</v>
      </c>
      <c r="N1287" s="622"/>
    </row>
    <row r="1288" spans="2:14">
      <c r="B1288" s="513" t="s">
        <v>521</v>
      </c>
      <c r="C1288" s="658">
        <v>2014</v>
      </c>
      <c r="D1288" s="513">
        <v>1193120.9419819452</v>
      </c>
      <c r="E1288" s="513">
        <v>280691.9798090994</v>
      </c>
      <c r="F1288" s="513">
        <v>280691.9798090994</v>
      </c>
      <c r="G1288" s="512">
        <v>0</v>
      </c>
      <c r="H1288" s="512">
        <v>0</v>
      </c>
      <c r="I1288" s="659" t="s">
        <v>103</v>
      </c>
      <c r="J1288" s="513">
        <v>193410.33999999997</v>
      </c>
      <c r="K1288" s="513">
        <v>0</v>
      </c>
      <c r="L1288" s="513">
        <v>-61561.01</v>
      </c>
      <c r="M1288" s="513">
        <v>1341963.5917910447</v>
      </c>
      <c r="N1288" s="622"/>
    </row>
    <row r="1289" spans="2:14">
      <c r="B1289" s="513" t="s">
        <v>521</v>
      </c>
      <c r="C1289" s="658">
        <v>2015</v>
      </c>
      <c r="D1289" s="513">
        <v>1341963.5917910449</v>
      </c>
      <c r="E1289" s="513">
        <v>284877.6552235593</v>
      </c>
      <c r="F1289" s="513">
        <v>284877.6552235593</v>
      </c>
      <c r="G1289" s="512">
        <v>0</v>
      </c>
      <c r="H1289" s="660">
        <v>0</v>
      </c>
      <c r="I1289" s="659" t="s">
        <v>103</v>
      </c>
      <c r="J1289" s="513">
        <v>6173.6500000000005</v>
      </c>
      <c r="K1289" s="513">
        <v>0</v>
      </c>
      <c r="L1289" s="513">
        <v>101912.74</v>
      </c>
      <c r="M1289" s="513">
        <v>1518754.8570146044</v>
      </c>
      <c r="N1289" s="622"/>
    </row>
    <row r="1290" spans="2:14">
      <c r="B1290" s="513" t="s">
        <v>521</v>
      </c>
      <c r="C1290" s="658">
        <v>2016</v>
      </c>
      <c r="D1290" s="513">
        <v>1518754.8570146039</v>
      </c>
      <c r="E1290" s="513">
        <v>208087.43450812693</v>
      </c>
      <c r="F1290" s="513">
        <v>208087.43450812693</v>
      </c>
      <c r="G1290" s="660">
        <v>0</v>
      </c>
      <c r="H1290" s="660">
        <v>0</v>
      </c>
      <c r="I1290" s="659" t="s">
        <v>103</v>
      </c>
      <c r="J1290" s="513">
        <v>4193.07</v>
      </c>
      <c r="K1290" s="513">
        <v>0</v>
      </c>
      <c r="L1290" s="513">
        <v>-4042.98</v>
      </c>
      <c r="M1290" s="513">
        <v>1726692.2015227308</v>
      </c>
      <c r="N1290" s="622"/>
    </row>
    <row r="1291" spans="2:14">
      <c r="B1291" s="513" t="s">
        <v>521</v>
      </c>
      <c r="C1291" s="658">
        <v>2017</v>
      </c>
      <c r="D1291" s="513">
        <v>1726692.2015227303</v>
      </c>
      <c r="E1291" s="513">
        <v>192822.64633976272</v>
      </c>
      <c r="F1291" s="513">
        <v>192822.64633976272</v>
      </c>
      <c r="G1291" s="513">
        <v>0</v>
      </c>
      <c r="H1291" s="513">
        <v>0</v>
      </c>
      <c r="I1291" s="659" t="s">
        <v>103</v>
      </c>
      <c r="J1291" s="513">
        <v>0</v>
      </c>
      <c r="K1291" s="513">
        <v>0</v>
      </c>
      <c r="L1291" s="513">
        <v>0</v>
      </c>
      <c r="M1291" s="513">
        <v>1919514.847862493</v>
      </c>
      <c r="N1291" s="622"/>
    </row>
    <row r="1292" spans="2:14">
      <c r="B1292" s="513" t="s">
        <v>521</v>
      </c>
      <c r="C1292" s="889">
        <v>2018</v>
      </c>
      <c r="D1292" s="513">
        <v>1919514.847862493</v>
      </c>
      <c r="E1292" s="513">
        <f>VLOOKUP(B1292,'[6]2018 allocation'!$A$11:$B$218,2, FALSE)</f>
        <v>205643.34046346531</v>
      </c>
      <c r="F1292" s="513">
        <f>E1292</f>
        <v>205643.34046346531</v>
      </c>
      <c r="G1292" s="513">
        <v>0</v>
      </c>
      <c r="H1292" s="513">
        <v>0</v>
      </c>
      <c r="I1292" s="622" t="s">
        <v>103</v>
      </c>
      <c r="J1292" s="513">
        <f>VLOOKUP(B1292,'[6]Annual Spending Worksheet '!$C$6:$AG$250,28,FALSE)</f>
        <v>0</v>
      </c>
      <c r="K1292" s="513">
        <f>VLOOKUP(B1292,'[6]Annual Spending Worksheet '!$C$6:$AG$250,29,FALSE)</f>
        <v>0</v>
      </c>
      <c r="L1292" s="513">
        <v>0</v>
      </c>
      <c r="M1292" s="513">
        <f>D1292+E1292+H1292-J1292</f>
        <v>2125158.1883259583</v>
      </c>
      <c r="N1292" s="513"/>
    </row>
    <row r="1293" spans="2:14">
      <c r="B1293" s="513" t="s">
        <v>521</v>
      </c>
      <c r="C1293" s="889">
        <v>2019</v>
      </c>
      <c r="D1293" s="513">
        <v>2125158.1883259583</v>
      </c>
      <c r="E1293" s="513">
        <v>219123.40655192378</v>
      </c>
      <c r="F1293" s="513">
        <v>219123.40655192378</v>
      </c>
      <c r="G1293" s="513">
        <v>0</v>
      </c>
      <c r="H1293" s="513">
        <v>0</v>
      </c>
      <c r="I1293" s="622" t="s">
        <v>103</v>
      </c>
      <c r="J1293" s="513">
        <v>0</v>
      </c>
      <c r="K1293" s="513">
        <v>0</v>
      </c>
      <c r="L1293" s="513">
        <v>0</v>
      </c>
      <c r="M1293" s="513">
        <v>2344281.5948778819</v>
      </c>
      <c r="N1293" s="513"/>
    </row>
    <row r="1294" spans="2:14" ht="29.1">
      <c r="B1294" s="513" t="s">
        <v>525</v>
      </c>
      <c r="C1294" s="658">
        <v>2008</v>
      </c>
      <c r="D1294" s="513">
        <v>-1740532.47</v>
      </c>
      <c r="E1294" s="512">
        <v>410641.29614952725</v>
      </c>
      <c r="F1294" s="513">
        <v>410641.29614952725</v>
      </c>
      <c r="G1294" s="512">
        <v>-1329891.1738504728</v>
      </c>
      <c r="H1294" s="512">
        <v>0</v>
      </c>
      <c r="I1294" s="659" t="s">
        <v>103</v>
      </c>
      <c r="J1294" s="513">
        <v>0</v>
      </c>
      <c r="K1294" s="513">
        <v>0</v>
      </c>
      <c r="L1294" s="513">
        <v>0</v>
      </c>
      <c r="M1294" s="513">
        <v>-1329891.1738504728</v>
      </c>
      <c r="N1294" s="622" t="s">
        <v>1712</v>
      </c>
    </row>
    <row r="1295" spans="2:14" ht="29.1">
      <c r="B1295" s="513" t="s">
        <v>525</v>
      </c>
      <c r="C1295" s="658">
        <v>2009</v>
      </c>
      <c r="D1295" s="513">
        <v>-1329891.173850473</v>
      </c>
      <c r="E1295" s="512">
        <v>333508.79630448372</v>
      </c>
      <c r="F1295" s="513">
        <v>333508.79630448372</v>
      </c>
      <c r="G1295" s="512">
        <v>-996382.37754598935</v>
      </c>
      <c r="H1295" s="512">
        <v>0</v>
      </c>
      <c r="I1295" s="659" t="s">
        <v>103</v>
      </c>
      <c r="J1295" s="513">
        <v>0</v>
      </c>
      <c r="K1295" s="513">
        <v>0</v>
      </c>
      <c r="L1295" s="513">
        <v>0</v>
      </c>
      <c r="M1295" s="513">
        <v>-996382.37754598935</v>
      </c>
      <c r="N1295" s="622" t="s">
        <v>1711</v>
      </c>
    </row>
    <row r="1296" spans="2:14" ht="29.1">
      <c r="B1296" s="513" t="s">
        <v>525</v>
      </c>
      <c r="C1296" s="658">
        <v>2010</v>
      </c>
      <c r="D1296" s="513">
        <v>-996382.37754599005</v>
      </c>
      <c r="E1296" s="512">
        <v>333045.8</v>
      </c>
      <c r="F1296" s="513">
        <v>333045.8</v>
      </c>
      <c r="G1296" s="512">
        <v>-663336.57754599</v>
      </c>
      <c r="H1296" s="512">
        <v>0</v>
      </c>
      <c r="I1296" s="659" t="s">
        <v>103</v>
      </c>
      <c r="J1296" s="513">
        <v>0</v>
      </c>
      <c r="K1296" s="513">
        <v>0</v>
      </c>
      <c r="L1296" s="513">
        <v>0</v>
      </c>
      <c r="M1296" s="513">
        <v>-663336.57754599</v>
      </c>
      <c r="N1296" s="622" t="s">
        <v>1712</v>
      </c>
    </row>
    <row r="1297" spans="2:14" ht="29.1">
      <c r="B1297" s="513" t="s">
        <v>525</v>
      </c>
      <c r="C1297" s="658">
        <v>2011</v>
      </c>
      <c r="D1297" s="513">
        <v>-663336.57850597799</v>
      </c>
      <c r="E1297" s="512">
        <v>338793.63458010682</v>
      </c>
      <c r="F1297" s="513">
        <v>338793.63458010682</v>
      </c>
      <c r="G1297" s="512">
        <v>-324542.94392587116</v>
      </c>
      <c r="H1297" s="512">
        <v>0</v>
      </c>
      <c r="I1297" s="659" t="s">
        <v>103</v>
      </c>
      <c r="J1297" s="513">
        <v>0</v>
      </c>
      <c r="K1297" s="513">
        <v>0</v>
      </c>
      <c r="L1297" s="513">
        <v>0</v>
      </c>
      <c r="M1297" s="513">
        <v>-324542.94392587116</v>
      </c>
      <c r="N1297" s="622" t="s">
        <v>1711</v>
      </c>
    </row>
    <row r="1298" spans="2:14" ht="29.1">
      <c r="B1298" s="513" t="s">
        <v>525</v>
      </c>
      <c r="C1298" s="658">
        <v>2012</v>
      </c>
      <c r="D1298" s="513">
        <v>-324542.94392587058</v>
      </c>
      <c r="E1298" s="513">
        <v>247188.98102431721</v>
      </c>
      <c r="F1298" s="513">
        <v>247188.98102431721</v>
      </c>
      <c r="G1298" s="512">
        <v>-77353.962901553372</v>
      </c>
      <c r="H1298" s="512">
        <v>0</v>
      </c>
      <c r="I1298" s="659" t="s">
        <v>103</v>
      </c>
      <c r="J1298" s="513">
        <v>0</v>
      </c>
      <c r="K1298" s="513">
        <v>0</v>
      </c>
      <c r="L1298" s="513">
        <v>0</v>
      </c>
      <c r="M1298" s="513">
        <v>-77353.962901553372</v>
      </c>
      <c r="N1298" s="622" t="s">
        <v>1711</v>
      </c>
    </row>
    <row r="1299" spans="2:14">
      <c r="B1299" s="513" t="s">
        <v>525</v>
      </c>
      <c r="C1299" s="658">
        <v>2013</v>
      </c>
      <c r="D1299" s="513">
        <v>-77353.962901553139</v>
      </c>
      <c r="E1299" s="513">
        <v>373751.83832328318</v>
      </c>
      <c r="F1299" s="513">
        <v>373751.83832328318</v>
      </c>
      <c r="G1299" s="512">
        <v>0</v>
      </c>
      <c r="H1299" s="512">
        <v>0</v>
      </c>
      <c r="I1299" s="659" t="s">
        <v>103</v>
      </c>
      <c r="J1299" s="513">
        <v>0</v>
      </c>
      <c r="K1299" s="513">
        <v>0</v>
      </c>
      <c r="L1299" s="513">
        <v>0</v>
      </c>
      <c r="M1299" s="513">
        <v>296397.87542173004</v>
      </c>
      <c r="N1299" s="622"/>
    </row>
    <row r="1300" spans="2:14">
      <c r="B1300" s="513" t="s">
        <v>525</v>
      </c>
      <c r="C1300" s="658">
        <v>2014</v>
      </c>
      <c r="D1300" s="513">
        <v>296397.8754217308</v>
      </c>
      <c r="E1300" s="513">
        <v>388541.9546016425</v>
      </c>
      <c r="F1300" s="513">
        <v>388541.9546016425</v>
      </c>
      <c r="G1300" s="512">
        <v>0</v>
      </c>
      <c r="H1300" s="512">
        <v>0</v>
      </c>
      <c r="I1300" s="659" t="s">
        <v>103</v>
      </c>
      <c r="J1300" s="513">
        <v>0</v>
      </c>
      <c r="K1300" s="513">
        <v>0</v>
      </c>
      <c r="L1300" s="513">
        <v>0</v>
      </c>
      <c r="M1300" s="513">
        <v>684939.83002337324</v>
      </c>
      <c r="N1300" s="622"/>
    </row>
    <row r="1301" spans="2:14">
      <c r="B1301" s="513" t="s">
        <v>525</v>
      </c>
      <c r="C1301" s="658">
        <v>2015</v>
      </c>
      <c r="D1301" s="513">
        <v>684939.83002337255</v>
      </c>
      <c r="E1301" s="513">
        <v>394655.71091593476</v>
      </c>
      <c r="F1301" s="513">
        <v>394655.71091593476</v>
      </c>
      <c r="G1301" s="512">
        <v>0</v>
      </c>
      <c r="H1301" s="660">
        <v>0</v>
      </c>
      <c r="I1301" s="659" t="s">
        <v>103</v>
      </c>
      <c r="J1301" s="513">
        <v>0</v>
      </c>
      <c r="K1301" s="513">
        <v>0</v>
      </c>
      <c r="L1301" s="513">
        <v>0</v>
      </c>
      <c r="M1301" s="513">
        <v>1079595.5409393073</v>
      </c>
      <c r="N1301" s="622"/>
    </row>
    <row r="1302" spans="2:14">
      <c r="B1302" s="513" t="s">
        <v>525</v>
      </c>
      <c r="C1302" s="658">
        <v>2016</v>
      </c>
      <c r="D1302" s="513">
        <v>1079595.5409393068</v>
      </c>
      <c r="E1302" s="513">
        <v>284384.45612242346</v>
      </c>
      <c r="F1302" s="513">
        <v>284384.45612242346</v>
      </c>
      <c r="G1302" s="660">
        <v>0</v>
      </c>
      <c r="H1302" s="660">
        <v>0</v>
      </c>
      <c r="I1302" s="659" t="s">
        <v>103</v>
      </c>
      <c r="J1302" s="513">
        <v>0</v>
      </c>
      <c r="K1302" s="513">
        <v>0</v>
      </c>
      <c r="L1302" s="513">
        <v>0</v>
      </c>
      <c r="M1302" s="513">
        <v>1363979.9970617304</v>
      </c>
      <c r="N1302" s="622"/>
    </row>
    <row r="1303" spans="2:14">
      <c r="B1303" s="513" t="s">
        <v>525</v>
      </c>
      <c r="C1303" s="658">
        <v>2017</v>
      </c>
      <c r="D1303" s="513">
        <v>1363979.9970617294</v>
      </c>
      <c r="E1303" s="513">
        <v>262737.65230976528</v>
      </c>
      <c r="F1303" s="513">
        <v>262737.65230976528</v>
      </c>
      <c r="G1303" s="513">
        <v>0</v>
      </c>
      <c r="H1303" s="513">
        <v>0</v>
      </c>
      <c r="I1303" s="659" t="s">
        <v>103</v>
      </c>
      <c r="J1303" s="513">
        <v>0</v>
      </c>
      <c r="K1303" s="513">
        <v>0</v>
      </c>
      <c r="L1303" s="513">
        <v>0</v>
      </c>
      <c r="M1303" s="513">
        <v>1626717.6493714948</v>
      </c>
      <c r="N1303" s="622"/>
    </row>
    <row r="1304" spans="2:14">
      <c r="B1304" s="513" t="s">
        <v>525</v>
      </c>
      <c r="C1304" s="889">
        <v>2018</v>
      </c>
      <c r="D1304" s="513">
        <v>1626717.6493714948</v>
      </c>
      <c r="E1304" s="513">
        <f>VLOOKUP(B1304,'[6]2018 allocation'!$A$11:$B$218,2, FALSE)</f>
        <v>281043.19640529662</v>
      </c>
      <c r="F1304" s="513">
        <f>E1304</f>
        <v>281043.19640529662</v>
      </c>
      <c r="G1304" s="513">
        <v>0</v>
      </c>
      <c r="H1304" s="513">
        <v>0</v>
      </c>
      <c r="I1304" s="622" t="s">
        <v>103</v>
      </c>
      <c r="J1304" s="513">
        <f>VLOOKUP(B1304,'[6]Annual Spending Worksheet '!$C$6:$AG$250,28,FALSE)</f>
        <v>0</v>
      </c>
      <c r="K1304" s="513">
        <f>VLOOKUP(B1304,'[6]Annual Spending Worksheet '!$C$6:$AG$250,29,FALSE)</f>
        <v>0</v>
      </c>
      <c r="L1304" s="513">
        <v>0</v>
      </c>
      <c r="M1304" s="513">
        <f>D1304+E1304+H1304-J1304</f>
        <v>1907760.8457767915</v>
      </c>
      <c r="N1304" s="513"/>
    </row>
    <row r="1305" spans="2:14">
      <c r="B1305" s="513" t="s">
        <v>525</v>
      </c>
      <c r="C1305" s="889">
        <v>2019</v>
      </c>
      <c r="D1305" s="513">
        <v>1907760.8457767915</v>
      </c>
      <c r="E1305" s="513">
        <v>300252.2857917574</v>
      </c>
      <c r="F1305" s="513">
        <v>300252.2857917574</v>
      </c>
      <c r="G1305" s="513">
        <v>0</v>
      </c>
      <c r="H1305" s="513">
        <v>0</v>
      </c>
      <c r="I1305" s="622" t="s">
        <v>103</v>
      </c>
      <c r="J1305" s="513">
        <v>0</v>
      </c>
      <c r="K1305" s="513">
        <v>0</v>
      </c>
      <c r="L1305" s="513">
        <v>0</v>
      </c>
      <c r="M1305" s="513">
        <v>2208013.1315685487</v>
      </c>
      <c r="N1305" s="513"/>
    </row>
    <row r="1306" spans="2:14">
      <c r="B1306" s="513" t="s">
        <v>526</v>
      </c>
      <c r="C1306" s="658">
        <v>2008</v>
      </c>
      <c r="D1306" s="513">
        <v>680128.98299999954</v>
      </c>
      <c r="E1306" s="512">
        <v>125825.62616473099</v>
      </c>
      <c r="F1306" s="513">
        <v>125825.62616473099</v>
      </c>
      <c r="G1306" s="512">
        <v>0</v>
      </c>
      <c r="H1306" s="512">
        <v>0</v>
      </c>
      <c r="I1306" s="659" t="s">
        <v>103</v>
      </c>
      <c r="J1306" s="513">
        <v>0</v>
      </c>
      <c r="K1306" s="513">
        <v>0</v>
      </c>
      <c r="L1306" s="513">
        <v>0</v>
      </c>
      <c r="M1306" s="513">
        <v>805954.60916473053</v>
      </c>
      <c r="N1306" s="622"/>
    </row>
    <row r="1307" spans="2:14">
      <c r="B1307" s="513" t="s">
        <v>526</v>
      </c>
      <c r="C1307" s="658">
        <v>2009</v>
      </c>
      <c r="D1307" s="513">
        <v>805954.60916473065</v>
      </c>
      <c r="E1307" s="512">
        <v>100653.49202662648</v>
      </c>
      <c r="F1307" s="513">
        <v>100653.49202662648</v>
      </c>
      <c r="G1307" s="512">
        <v>0</v>
      </c>
      <c r="H1307" s="512">
        <v>0</v>
      </c>
      <c r="I1307" s="659" t="s">
        <v>103</v>
      </c>
      <c r="J1307" s="513">
        <v>0</v>
      </c>
      <c r="K1307" s="513">
        <v>0</v>
      </c>
      <c r="L1307" s="513">
        <v>0</v>
      </c>
      <c r="M1307" s="513">
        <v>906608.10119135713</v>
      </c>
      <c r="N1307" s="622"/>
    </row>
    <row r="1308" spans="2:14">
      <c r="B1308" s="513" t="s">
        <v>526</v>
      </c>
      <c r="C1308" s="658">
        <v>2010</v>
      </c>
      <c r="D1308" s="513">
        <v>906608.10119135724</v>
      </c>
      <c r="E1308" s="512">
        <v>100496.56</v>
      </c>
      <c r="F1308" s="513">
        <v>100496.56</v>
      </c>
      <c r="G1308" s="512">
        <v>0</v>
      </c>
      <c r="H1308" s="512">
        <v>0</v>
      </c>
      <c r="I1308" s="659" t="s">
        <v>103</v>
      </c>
      <c r="J1308" s="513">
        <v>0</v>
      </c>
      <c r="K1308" s="513">
        <v>0</v>
      </c>
      <c r="L1308" s="513">
        <v>0</v>
      </c>
      <c r="M1308" s="513">
        <v>1007104.6611913573</v>
      </c>
      <c r="N1308" s="622"/>
    </row>
    <row r="1309" spans="2:14">
      <c r="B1309" s="513" t="s">
        <v>526</v>
      </c>
      <c r="C1309" s="658">
        <v>2011</v>
      </c>
      <c r="D1309" s="513">
        <v>1007104.6598084327</v>
      </c>
      <c r="E1309" s="512">
        <v>102293.99291230009</v>
      </c>
      <c r="F1309" s="513">
        <v>102293.99291230009</v>
      </c>
      <c r="G1309" s="512">
        <v>0</v>
      </c>
      <c r="H1309" s="512">
        <v>0</v>
      </c>
      <c r="I1309" s="659" t="s">
        <v>103</v>
      </c>
      <c r="J1309" s="513">
        <v>0</v>
      </c>
      <c r="K1309" s="513">
        <v>0</v>
      </c>
      <c r="L1309" s="513">
        <v>0</v>
      </c>
      <c r="M1309" s="513">
        <v>1109398.6527207328</v>
      </c>
      <c r="N1309" s="622"/>
    </row>
    <row r="1310" spans="2:14">
      <c r="B1310" s="513" t="s">
        <v>526</v>
      </c>
      <c r="C1310" s="658">
        <v>2012</v>
      </c>
      <c r="D1310" s="513">
        <v>1109398.6527207326</v>
      </c>
      <c r="E1310" s="513">
        <v>72727.335913969495</v>
      </c>
      <c r="F1310" s="513">
        <v>72727.335913969495</v>
      </c>
      <c r="G1310" s="512">
        <v>0</v>
      </c>
      <c r="H1310" s="512">
        <v>0</v>
      </c>
      <c r="I1310" s="659" t="s">
        <v>103</v>
      </c>
      <c r="J1310" s="513">
        <v>0</v>
      </c>
      <c r="K1310" s="513">
        <v>0</v>
      </c>
      <c r="L1310" s="513">
        <v>0</v>
      </c>
      <c r="M1310" s="513">
        <v>1182125.9886347021</v>
      </c>
      <c r="N1310" s="622"/>
    </row>
    <row r="1311" spans="2:14">
      <c r="B1311" s="513" t="s">
        <v>526</v>
      </c>
      <c r="C1311" s="658">
        <v>2013</v>
      </c>
      <c r="D1311" s="513">
        <v>1182125.9886347023</v>
      </c>
      <c r="E1311" s="513">
        <v>113682.58117269793</v>
      </c>
      <c r="F1311" s="513">
        <v>113682.58117269793</v>
      </c>
      <c r="G1311" s="512">
        <v>0</v>
      </c>
      <c r="H1311" s="512">
        <v>0</v>
      </c>
      <c r="I1311" s="659" t="s">
        <v>103</v>
      </c>
      <c r="J1311" s="513">
        <v>0</v>
      </c>
      <c r="K1311" s="513">
        <v>0</v>
      </c>
      <c r="L1311" s="513">
        <v>0</v>
      </c>
      <c r="M1311" s="513">
        <v>1295808.5698074002</v>
      </c>
      <c r="N1311" s="622"/>
    </row>
    <row r="1312" spans="2:14">
      <c r="B1312" s="513" t="s">
        <v>526</v>
      </c>
      <c r="C1312" s="658">
        <v>2014</v>
      </c>
      <c r="D1312" s="513">
        <v>1295808.5698074</v>
      </c>
      <c r="E1312" s="513">
        <v>118458.15142835463</v>
      </c>
      <c r="F1312" s="513">
        <v>118458.15142835463</v>
      </c>
      <c r="G1312" s="512">
        <v>0</v>
      </c>
      <c r="H1312" s="512">
        <v>0</v>
      </c>
      <c r="I1312" s="659" t="s">
        <v>103</v>
      </c>
      <c r="J1312" s="513">
        <v>0</v>
      </c>
      <c r="K1312" s="513">
        <v>0</v>
      </c>
      <c r="L1312" s="513">
        <v>0</v>
      </c>
      <c r="M1312" s="513">
        <v>1414266.7212357547</v>
      </c>
      <c r="N1312" s="622"/>
    </row>
    <row r="1313" spans="2:14">
      <c r="B1313" s="513" t="s">
        <v>526</v>
      </c>
      <c r="C1313" s="658">
        <v>2015</v>
      </c>
      <c r="D1313" s="513">
        <v>1414266.7212357544</v>
      </c>
      <c r="E1313" s="513">
        <v>120390.0353757827</v>
      </c>
      <c r="F1313" s="513">
        <v>120390.0353757827</v>
      </c>
      <c r="G1313" s="512">
        <v>0</v>
      </c>
      <c r="H1313" s="660">
        <v>0</v>
      </c>
      <c r="I1313" s="659" t="s">
        <v>103</v>
      </c>
      <c r="J1313" s="513">
        <v>0</v>
      </c>
      <c r="K1313" s="513">
        <v>0</v>
      </c>
      <c r="L1313" s="513">
        <v>0</v>
      </c>
      <c r="M1313" s="513">
        <v>1534656.7566115372</v>
      </c>
      <c r="N1313" s="622"/>
    </row>
    <row r="1314" spans="2:14">
      <c r="B1314" s="513" t="s">
        <v>526</v>
      </c>
      <c r="C1314" s="658">
        <v>2016</v>
      </c>
      <c r="D1314" s="513">
        <v>1534656.7566115367</v>
      </c>
      <c r="E1314" s="513">
        <v>84932.399894411355</v>
      </c>
      <c r="F1314" s="513">
        <v>84932.399894411355</v>
      </c>
      <c r="G1314" s="660">
        <v>0</v>
      </c>
      <c r="H1314" s="660">
        <v>0</v>
      </c>
      <c r="I1314" s="659" t="s">
        <v>103</v>
      </c>
      <c r="J1314" s="513">
        <v>0</v>
      </c>
      <c r="K1314" s="513">
        <v>0</v>
      </c>
      <c r="L1314" s="513">
        <v>0</v>
      </c>
      <c r="M1314" s="513">
        <v>1619589.1565059482</v>
      </c>
      <c r="N1314" s="622"/>
    </row>
    <row r="1315" spans="2:14">
      <c r="B1315" s="513" t="s">
        <v>526</v>
      </c>
      <c r="C1315" s="658">
        <v>2017</v>
      </c>
      <c r="D1315" s="513">
        <v>1619589.1565059484</v>
      </c>
      <c r="E1315" s="513">
        <v>78006.574851960293</v>
      </c>
      <c r="F1315" s="513">
        <v>78006.574851960293</v>
      </c>
      <c r="G1315" s="513">
        <v>0</v>
      </c>
      <c r="H1315" s="513">
        <v>0</v>
      </c>
      <c r="I1315" s="659" t="s">
        <v>103</v>
      </c>
      <c r="J1315" s="513">
        <v>0</v>
      </c>
      <c r="K1315" s="513">
        <v>0</v>
      </c>
      <c r="L1315" s="513">
        <v>0</v>
      </c>
      <c r="M1315" s="513">
        <v>1697595.7313579088</v>
      </c>
      <c r="N1315" s="622"/>
    </row>
    <row r="1316" spans="2:14">
      <c r="B1316" s="513" t="s">
        <v>526</v>
      </c>
      <c r="C1316" s="889">
        <v>2018</v>
      </c>
      <c r="D1316" s="513">
        <v>1697595.7313579088</v>
      </c>
      <c r="E1316" s="513">
        <f>VLOOKUP(B1316,'[6]2018 allocation'!$A$11:$B$218,2, FALSE)</f>
        <v>83867.910680303525</v>
      </c>
      <c r="F1316" s="513">
        <f>E1316</f>
        <v>83867.910680303525</v>
      </c>
      <c r="G1316" s="513">
        <v>0</v>
      </c>
      <c r="H1316" s="513">
        <v>0</v>
      </c>
      <c r="I1316" s="622" t="s">
        <v>103</v>
      </c>
      <c r="J1316" s="513">
        <f>VLOOKUP(B1316,'[6]Annual Spending Worksheet '!$C$6:$AG$250,28,FALSE)</f>
        <v>0</v>
      </c>
      <c r="K1316" s="513">
        <f>VLOOKUP(B1316,'[6]Annual Spending Worksheet '!$C$6:$AG$250,29,FALSE)</f>
        <v>0</v>
      </c>
      <c r="L1316" s="513">
        <v>0</v>
      </c>
      <c r="M1316" s="513">
        <f>D1316+E1316+H1316-J1316</f>
        <v>1781463.6420382124</v>
      </c>
      <c r="N1316" s="513"/>
    </row>
    <row r="1317" spans="2:14">
      <c r="B1317" s="513" t="s">
        <v>526</v>
      </c>
      <c r="C1317" s="889">
        <v>2019</v>
      </c>
      <c r="D1317" s="513">
        <v>1781463.6420382124</v>
      </c>
      <c r="E1317" s="513">
        <v>90082.682984873289</v>
      </c>
      <c r="F1317" s="513">
        <v>90082.682984873289</v>
      </c>
      <c r="G1317" s="513">
        <v>0</v>
      </c>
      <c r="H1317" s="513">
        <v>0</v>
      </c>
      <c r="I1317" s="622" t="s">
        <v>103</v>
      </c>
      <c r="J1317" s="513">
        <v>0</v>
      </c>
      <c r="K1317" s="513">
        <v>0</v>
      </c>
      <c r="L1317" s="513">
        <v>0</v>
      </c>
      <c r="M1317" s="513">
        <v>1871546.3250230856</v>
      </c>
      <c r="N1317" s="513"/>
    </row>
    <row r="1318" spans="2:14">
      <c r="B1318" s="513" t="s">
        <v>527</v>
      </c>
      <c r="C1318" s="658">
        <v>2008</v>
      </c>
      <c r="D1318" s="513">
        <v>418669.68</v>
      </c>
      <c r="E1318" s="512">
        <v>139472.94132102974</v>
      </c>
      <c r="F1318" s="513">
        <v>139472.94132102974</v>
      </c>
      <c r="G1318" s="512">
        <v>0</v>
      </c>
      <c r="H1318" s="512">
        <v>0</v>
      </c>
      <c r="I1318" s="659" t="s">
        <v>103</v>
      </c>
      <c r="J1318" s="513">
        <v>130250.31999999995</v>
      </c>
      <c r="K1318" s="513">
        <v>0</v>
      </c>
      <c r="L1318" s="513">
        <v>0</v>
      </c>
      <c r="M1318" s="513">
        <v>427892.30132102978</v>
      </c>
      <c r="N1318" s="622"/>
    </row>
    <row r="1319" spans="2:14" ht="29.1">
      <c r="B1319" s="513" t="s">
        <v>527</v>
      </c>
      <c r="C1319" s="658">
        <v>2009</v>
      </c>
      <c r="D1319" s="513">
        <v>427892.30132103013</v>
      </c>
      <c r="E1319" s="512">
        <v>112418.79940216607</v>
      </c>
      <c r="F1319" s="513">
        <v>112418.79940216607</v>
      </c>
      <c r="G1319" s="512">
        <v>0</v>
      </c>
      <c r="H1319" s="512">
        <v>0</v>
      </c>
      <c r="I1319" s="659" t="s">
        <v>103</v>
      </c>
      <c r="J1319" s="513">
        <v>654113.52</v>
      </c>
      <c r="K1319" s="513">
        <v>1047062</v>
      </c>
      <c r="L1319" s="513">
        <v>0</v>
      </c>
      <c r="M1319" s="513">
        <v>-113802.41927680385</v>
      </c>
      <c r="N1319" s="622" t="s">
        <v>1706</v>
      </c>
    </row>
    <row r="1320" spans="2:14">
      <c r="B1320" s="513" t="s">
        <v>527</v>
      </c>
      <c r="C1320" s="658">
        <v>2010</v>
      </c>
      <c r="D1320" s="513">
        <v>-113802.41927680373</v>
      </c>
      <c r="E1320" s="512">
        <v>112261.88</v>
      </c>
      <c r="F1320" s="513">
        <v>112261.88</v>
      </c>
      <c r="G1320" s="512">
        <v>-1540.5392768037273</v>
      </c>
      <c r="H1320" s="512">
        <v>0</v>
      </c>
      <c r="I1320" s="659" t="s">
        <v>103</v>
      </c>
      <c r="J1320" s="513">
        <v>-39565.040000000001</v>
      </c>
      <c r="K1320" s="513">
        <v>0</v>
      </c>
      <c r="L1320" s="513">
        <v>0</v>
      </c>
      <c r="M1320" s="513">
        <v>38024.500723196274</v>
      </c>
      <c r="N1320" s="622"/>
    </row>
    <row r="1321" spans="2:14">
      <c r="B1321" s="513" t="s">
        <v>527</v>
      </c>
      <c r="C1321" s="658">
        <v>2011</v>
      </c>
      <c r="D1321" s="513">
        <v>38024.496995023452</v>
      </c>
      <c r="E1321" s="512">
        <v>114212.89312877956</v>
      </c>
      <c r="F1321" s="513">
        <v>114212.89312877956</v>
      </c>
      <c r="G1321" s="512">
        <v>0</v>
      </c>
      <c r="H1321" s="512">
        <v>0</v>
      </c>
      <c r="I1321" s="659" t="s">
        <v>103</v>
      </c>
      <c r="J1321" s="513">
        <v>0</v>
      </c>
      <c r="K1321" s="513">
        <v>0</v>
      </c>
      <c r="L1321" s="513">
        <v>12832.26</v>
      </c>
      <c r="M1321" s="513">
        <v>139405.13012380298</v>
      </c>
      <c r="N1321" s="622"/>
    </row>
    <row r="1322" spans="2:14">
      <c r="B1322" s="513" t="s">
        <v>527</v>
      </c>
      <c r="C1322" s="658">
        <v>2012</v>
      </c>
      <c r="D1322" s="513">
        <v>139405.13012380339</v>
      </c>
      <c r="E1322" s="513">
        <v>81998.213116802755</v>
      </c>
      <c r="F1322" s="513">
        <v>81998.213116802755</v>
      </c>
      <c r="G1322" s="512">
        <v>0</v>
      </c>
      <c r="H1322" s="512">
        <v>0</v>
      </c>
      <c r="I1322" s="659" t="s">
        <v>103</v>
      </c>
      <c r="J1322" s="513">
        <v>0</v>
      </c>
      <c r="K1322" s="513">
        <v>0</v>
      </c>
      <c r="L1322" s="513">
        <v>0</v>
      </c>
      <c r="M1322" s="513">
        <v>221403.34324060613</v>
      </c>
      <c r="N1322" s="622"/>
    </row>
    <row r="1323" spans="2:14">
      <c r="B1323" s="513" t="s">
        <v>527</v>
      </c>
      <c r="C1323" s="658">
        <v>2013</v>
      </c>
      <c r="D1323" s="513">
        <v>221403.3432406066</v>
      </c>
      <c r="E1323" s="513">
        <v>126496.53753398762</v>
      </c>
      <c r="F1323" s="513">
        <v>126496.53753398762</v>
      </c>
      <c r="G1323" s="512">
        <v>0</v>
      </c>
      <c r="H1323" s="512">
        <v>0</v>
      </c>
      <c r="I1323" s="659" t="s">
        <v>103</v>
      </c>
      <c r="J1323" s="513">
        <v>0</v>
      </c>
      <c r="K1323" s="513">
        <v>0</v>
      </c>
      <c r="L1323" s="513">
        <v>0</v>
      </c>
      <c r="M1323" s="513">
        <v>347899.8807745942</v>
      </c>
      <c r="N1323" s="622"/>
    </row>
    <row r="1324" spans="2:14">
      <c r="B1324" s="513" t="s">
        <v>527</v>
      </c>
      <c r="C1324" s="658">
        <v>2014</v>
      </c>
      <c r="D1324" s="513">
        <v>347899.88077459391</v>
      </c>
      <c r="E1324" s="513">
        <v>131706.40600244788</v>
      </c>
      <c r="F1324" s="513">
        <v>131706.40600244788</v>
      </c>
      <c r="G1324" s="512">
        <v>0</v>
      </c>
      <c r="H1324" s="512">
        <v>0</v>
      </c>
      <c r="I1324" s="659" t="s">
        <v>103</v>
      </c>
      <c r="J1324" s="513">
        <v>0</v>
      </c>
      <c r="K1324" s="513">
        <v>0</v>
      </c>
      <c r="L1324" s="513">
        <v>0</v>
      </c>
      <c r="M1324" s="513">
        <v>479606.28677704179</v>
      </c>
      <c r="N1324" s="622"/>
    </row>
    <row r="1325" spans="2:14">
      <c r="B1325" s="513" t="s">
        <v>527</v>
      </c>
      <c r="C1325" s="658">
        <v>2015</v>
      </c>
      <c r="D1325" s="513">
        <v>479606.28677704185</v>
      </c>
      <c r="E1325" s="513">
        <v>133794.02246744814</v>
      </c>
      <c r="F1325" s="513">
        <v>133794.02246744814</v>
      </c>
      <c r="G1325" s="512">
        <v>0</v>
      </c>
      <c r="H1325" s="660">
        <v>0</v>
      </c>
      <c r="I1325" s="659" t="s">
        <v>103</v>
      </c>
      <c r="J1325" s="513">
        <v>0</v>
      </c>
      <c r="K1325" s="513">
        <v>0</v>
      </c>
      <c r="L1325" s="513">
        <v>0</v>
      </c>
      <c r="M1325" s="513">
        <v>613400.30924449</v>
      </c>
      <c r="N1325" s="622"/>
    </row>
    <row r="1326" spans="2:14">
      <c r="B1326" s="513" t="s">
        <v>527</v>
      </c>
      <c r="C1326" s="658">
        <v>2016</v>
      </c>
      <c r="D1326" s="513">
        <v>613400.30924449023</v>
      </c>
      <c r="E1326" s="513">
        <v>95243.496739375318</v>
      </c>
      <c r="F1326" s="513">
        <v>95243.496739375318</v>
      </c>
      <c r="G1326" s="660">
        <v>0</v>
      </c>
      <c r="H1326" s="660">
        <v>0</v>
      </c>
      <c r="I1326" s="659" t="s">
        <v>103</v>
      </c>
      <c r="J1326" s="513">
        <v>0</v>
      </c>
      <c r="K1326" s="513">
        <v>0</v>
      </c>
      <c r="L1326" s="513">
        <v>0</v>
      </c>
      <c r="M1326" s="513">
        <v>708643.80598386552</v>
      </c>
      <c r="N1326" s="622"/>
    </row>
    <row r="1327" spans="2:14">
      <c r="B1327" s="513" t="s">
        <v>527</v>
      </c>
      <c r="C1327" s="658">
        <v>2017</v>
      </c>
      <c r="D1327" s="513">
        <v>708643.80598386563</v>
      </c>
      <c r="E1327" s="513">
        <v>87738.703431824499</v>
      </c>
      <c r="F1327" s="513">
        <v>87738.703431824499</v>
      </c>
      <c r="G1327" s="513">
        <v>0</v>
      </c>
      <c r="H1327" s="513">
        <v>0</v>
      </c>
      <c r="I1327" s="659" t="s">
        <v>103</v>
      </c>
      <c r="J1327" s="513">
        <v>0</v>
      </c>
      <c r="K1327" s="513">
        <v>0</v>
      </c>
      <c r="L1327" s="513">
        <v>0</v>
      </c>
      <c r="M1327" s="513">
        <v>796382.50941569009</v>
      </c>
      <c r="N1327" s="622"/>
    </row>
    <row r="1328" spans="2:14">
      <c r="B1328" s="513" t="s">
        <v>527</v>
      </c>
      <c r="C1328" s="889">
        <v>2018</v>
      </c>
      <c r="D1328" s="513">
        <v>796382.50941569009</v>
      </c>
      <c r="E1328" s="513">
        <f>VLOOKUP(B1328,'[6]2018 allocation'!$A$11:$B$218,2, FALSE)</f>
        <v>94222.856060090824</v>
      </c>
      <c r="F1328" s="513">
        <f>E1328</f>
        <v>94222.856060090824</v>
      </c>
      <c r="G1328" s="513">
        <v>0</v>
      </c>
      <c r="H1328" s="513">
        <v>0</v>
      </c>
      <c r="I1328" s="622" t="s">
        <v>103</v>
      </c>
      <c r="J1328" s="513">
        <f>VLOOKUP(B1328,'[6]Annual Spending Worksheet '!$C$6:$AG$250,28,FALSE)</f>
        <v>0</v>
      </c>
      <c r="K1328" s="513">
        <f>VLOOKUP(B1328,'[6]Annual Spending Worksheet '!$C$6:$AG$250,29,FALSE)</f>
        <v>0</v>
      </c>
      <c r="L1328" s="513">
        <v>0</v>
      </c>
      <c r="M1328" s="513">
        <f>D1328+E1328+H1328-J1328</f>
        <v>890605.36547578091</v>
      </c>
      <c r="N1328" s="513"/>
    </row>
    <row r="1329" spans="2:14">
      <c r="B1329" s="513" t="s">
        <v>527</v>
      </c>
      <c r="C1329" s="889">
        <v>2019</v>
      </c>
      <c r="D1329" s="513">
        <v>890605.36547578091</v>
      </c>
      <c r="E1329" s="513">
        <v>101011.52789980535</v>
      </c>
      <c r="F1329" s="513">
        <v>101011.52789980535</v>
      </c>
      <c r="G1329" s="513">
        <v>0</v>
      </c>
      <c r="H1329" s="513">
        <v>0</v>
      </c>
      <c r="I1329" s="622" t="s">
        <v>103</v>
      </c>
      <c r="J1329" s="513">
        <v>0</v>
      </c>
      <c r="K1329" s="513">
        <v>0</v>
      </c>
      <c r="L1329" s="513">
        <v>0</v>
      </c>
      <c r="M1329" s="513">
        <v>991616.89337558625</v>
      </c>
      <c r="N1329" s="513"/>
    </row>
    <row r="1330" spans="2:14">
      <c r="B1330" s="513" t="s">
        <v>530</v>
      </c>
      <c r="C1330" s="658">
        <v>2008</v>
      </c>
      <c r="D1330" s="513">
        <v>5114617.9000000004</v>
      </c>
      <c r="E1330" s="512">
        <v>431190.90653262741</v>
      </c>
      <c r="F1330" s="513">
        <v>431190.90653262741</v>
      </c>
      <c r="G1330" s="512">
        <v>0</v>
      </c>
      <c r="H1330" s="512">
        <v>0</v>
      </c>
      <c r="I1330" s="659" t="s">
        <v>103</v>
      </c>
      <c r="J1330" s="513">
        <v>0</v>
      </c>
      <c r="K1330" s="513">
        <v>0</v>
      </c>
      <c r="L1330" s="513">
        <v>0</v>
      </c>
      <c r="M1330" s="513">
        <v>5545808.8065326279</v>
      </c>
      <c r="N1330" s="622"/>
    </row>
    <row r="1331" spans="2:14">
      <c r="B1331" s="513" t="s">
        <v>530</v>
      </c>
      <c r="C1331" s="658">
        <v>2009</v>
      </c>
      <c r="D1331" s="513">
        <v>5545808.806532627</v>
      </c>
      <c r="E1331" s="512">
        <v>343898.3303913385</v>
      </c>
      <c r="F1331" s="513">
        <v>343898.3303913385</v>
      </c>
      <c r="G1331" s="512">
        <v>0</v>
      </c>
      <c r="H1331" s="512">
        <v>0</v>
      </c>
      <c r="I1331" s="659" t="s">
        <v>103</v>
      </c>
      <c r="J1331" s="513">
        <v>0</v>
      </c>
      <c r="K1331" s="513">
        <v>0</v>
      </c>
      <c r="L1331" s="513">
        <v>0</v>
      </c>
      <c r="M1331" s="513">
        <v>5889707.1369239651</v>
      </c>
      <c r="N1331" s="622"/>
    </row>
    <row r="1332" spans="2:14">
      <c r="B1332" s="513" t="s">
        <v>530</v>
      </c>
      <c r="C1332" s="658">
        <v>2010</v>
      </c>
      <c r="D1332" s="513">
        <v>5889707.1369239651</v>
      </c>
      <c r="E1332" s="512">
        <v>343374.54</v>
      </c>
      <c r="F1332" s="513">
        <v>343374.54</v>
      </c>
      <c r="G1332" s="512">
        <v>0</v>
      </c>
      <c r="H1332" s="512">
        <v>0</v>
      </c>
      <c r="I1332" s="659" t="s">
        <v>103</v>
      </c>
      <c r="J1332" s="513">
        <v>13088.279999999999</v>
      </c>
      <c r="K1332" s="513">
        <v>0</v>
      </c>
      <c r="L1332" s="513">
        <v>0</v>
      </c>
      <c r="M1332" s="513">
        <v>6219993.3969239648</v>
      </c>
      <c r="N1332" s="622"/>
    </row>
    <row r="1333" spans="2:14">
      <c r="B1333" s="513" t="s">
        <v>530</v>
      </c>
      <c r="C1333" s="658">
        <v>2011</v>
      </c>
      <c r="D1333" s="513">
        <v>6219993.3984874291</v>
      </c>
      <c r="E1333" s="512">
        <v>349551.13160799304</v>
      </c>
      <c r="F1333" s="513">
        <v>349551.13160799304</v>
      </c>
      <c r="G1333" s="512">
        <v>0</v>
      </c>
      <c r="H1333" s="512">
        <v>0</v>
      </c>
      <c r="I1333" s="659" t="s">
        <v>103</v>
      </c>
      <c r="J1333" s="513">
        <v>178344.38999999996</v>
      </c>
      <c r="K1333" s="513">
        <v>0</v>
      </c>
      <c r="L1333" s="513">
        <v>0</v>
      </c>
      <c r="M1333" s="513">
        <v>6391200.140095423</v>
      </c>
      <c r="N1333" s="622"/>
    </row>
    <row r="1334" spans="2:14">
      <c r="B1334" s="513" t="s">
        <v>530</v>
      </c>
      <c r="C1334" s="658">
        <v>2012</v>
      </c>
      <c r="D1334" s="513">
        <v>6391200.140095422</v>
      </c>
      <c r="E1334" s="513">
        <v>245543.27965685976</v>
      </c>
      <c r="F1334" s="513">
        <v>245543.27965685976</v>
      </c>
      <c r="G1334" s="512">
        <v>0</v>
      </c>
      <c r="H1334" s="512">
        <v>0</v>
      </c>
      <c r="I1334" s="659" t="s">
        <v>103</v>
      </c>
      <c r="J1334" s="513">
        <v>396346.62</v>
      </c>
      <c r="K1334" s="513">
        <v>0</v>
      </c>
      <c r="L1334" s="513">
        <v>0</v>
      </c>
      <c r="M1334" s="513">
        <v>6240396.799752282</v>
      </c>
      <c r="N1334" s="622"/>
    </row>
    <row r="1335" spans="2:14">
      <c r="B1335" s="513" t="s">
        <v>530</v>
      </c>
      <c r="C1335" s="658">
        <v>2013</v>
      </c>
      <c r="D1335" s="513">
        <v>6240396.799752281</v>
      </c>
      <c r="E1335" s="513">
        <v>389322.13971090416</v>
      </c>
      <c r="F1335" s="513">
        <v>389322.13971090416</v>
      </c>
      <c r="G1335" s="512">
        <v>0</v>
      </c>
      <c r="H1335" s="512">
        <v>0</v>
      </c>
      <c r="I1335" s="659" t="s">
        <v>103</v>
      </c>
      <c r="J1335" s="513">
        <v>179620.31000000003</v>
      </c>
      <c r="K1335" s="513">
        <v>0</v>
      </c>
      <c r="L1335" s="513">
        <v>0</v>
      </c>
      <c r="M1335" s="513">
        <v>6450098.6294631856</v>
      </c>
      <c r="N1335" s="622"/>
    </row>
    <row r="1336" spans="2:14">
      <c r="B1336" s="513" t="s">
        <v>530</v>
      </c>
      <c r="C1336" s="658">
        <v>2014</v>
      </c>
      <c r="D1336" s="513">
        <v>6450098.6294631865</v>
      </c>
      <c r="E1336" s="513">
        <v>406139.76576091332</v>
      </c>
      <c r="F1336" s="513">
        <v>406139.76576091332</v>
      </c>
      <c r="G1336" s="512">
        <v>0</v>
      </c>
      <c r="H1336" s="512">
        <v>0</v>
      </c>
      <c r="I1336" s="659" t="s">
        <v>103</v>
      </c>
      <c r="J1336" s="513">
        <v>866917.84000000008</v>
      </c>
      <c r="K1336" s="513">
        <v>733204</v>
      </c>
      <c r="L1336" s="513">
        <v>0</v>
      </c>
      <c r="M1336" s="513">
        <v>5989320.5552241001</v>
      </c>
      <c r="N1336" s="622"/>
    </row>
    <row r="1337" spans="2:14">
      <c r="B1337" s="513" t="s">
        <v>530</v>
      </c>
      <c r="C1337" s="658">
        <v>2015</v>
      </c>
      <c r="D1337" s="513">
        <v>5989320.5552241001</v>
      </c>
      <c r="E1337" s="513">
        <v>412995.32659819536</v>
      </c>
      <c r="F1337" s="513">
        <v>412995.32659819536</v>
      </c>
      <c r="G1337" s="512">
        <v>0</v>
      </c>
      <c r="H1337" s="660">
        <v>0</v>
      </c>
      <c r="I1337" s="659" t="s">
        <v>103</v>
      </c>
      <c r="J1337" s="513">
        <v>1888695.2300000002</v>
      </c>
      <c r="K1337" s="513">
        <v>2348409.4400000004</v>
      </c>
      <c r="L1337" s="513">
        <v>-36725.46</v>
      </c>
      <c r="M1337" s="513">
        <v>4550346.111822295</v>
      </c>
      <c r="N1337" s="622"/>
    </row>
    <row r="1338" spans="2:14">
      <c r="B1338" s="513" t="s">
        <v>530</v>
      </c>
      <c r="C1338" s="658">
        <v>2016</v>
      </c>
      <c r="D1338" s="513">
        <v>4550346.1118222941</v>
      </c>
      <c r="E1338" s="513">
        <v>288079.48948314332</v>
      </c>
      <c r="F1338" s="513">
        <v>288079.48948314332</v>
      </c>
      <c r="G1338" s="660">
        <v>0</v>
      </c>
      <c r="H1338" s="660">
        <v>0</v>
      </c>
      <c r="I1338" s="659" t="s">
        <v>103</v>
      </c>
      <c r="J1338" s="513">
        <v>141750.01999999999</v>
      </c>
      <c r="K1338" s="513">
        <v>0</v>
      </c>
      <c r="L1338" s="513">
        <v>13384.71</v>
      </c>
      <c r="M1338" s="513">
        <v>4683290.8713054378</v>
      </c>
      <c r="N1338" s="622"/>
    </row>
    <row r="1339" spans="2:14">
      <c r="B1339" s="513" t="s">
        <v>530</v>
      </c>
      <c r="C1339" s="658">
        <v>2017</v>
      </c>
      <c r="D1339" s="513">
        <v>4683290.8713054396</v>
      </c>
      <c r="E1339" s="513">
        <v>263397.64527020231</v>
      </c>
      <c r="F1339" s="513">
        <v>263397.64527020231</v>
      </c>
      <c r="G1339" s="513">
        <v>0</v>
      </c>
      <c r="H1339" s="513">
        <v>0</v>
      </c>
      <c r="I1339" s="659" t="s">
        <v>103</v>
      </c>
      <c r="J1339" s="513">
        <v>857388.16999999993</v>
      </c>
      <c r="K1339" s="513">
        <v>1386625.0299999998</v>
      </c>
      <c r="L1339" s="513">
        <v>0</v>
      </c>
      <c r="M1339" s="513">
        <v>4089300.346575642</v>
      </c>
      <c r="N1339" s="622"/>
    </row>
    <row r="1340" spans="2:14">
      <c r="B1340" s="513" t="s">
        <v>530</v>
      </c>
      <c r="C1340" s="889">
        <v>2018</v>
      </c>
      <c r="D1340" s="513">
        <v>4089300.346575642</v>
      </c>
      <c r="E1340" s="513">
        <f>VLOOKUP(B1340,'[6]2018 allocation'!$A$11:$B$218,2, FALSE)</f>
        <v>284053.67854105786</v>
      </c>
      <c r="F1340" s="513">
        <f>E1340</f>
        <v>284053.67854105786</v>
      </c>
      <c r="G1340" s="513">
        <v>0</v>
      </c>
      <c r="H1340" s="513">
        <v>-4373354</v>
      </c>
      <c r="I1340" s="622" t="s">
        <v>1744</v>
      </c>
      <c r="J1340" s="513">
        <f>VLOOKUP(B1340,'[6]Annual Spending Worksheet '!$C$6:$AG$250,28,FALSE)</f>
        <v>-4806.54</v>
      </c>
      <c r="K1340" s="513">
        <f>VLOOKUP(B1340,'[6]Annual Spending Worksheet '!$C$6:$AG$250,29,FALSE)</f>
        <v>0</v>
      </c>
      <c r="L1340" s="513">
        <v>0</v>
      </c>
      <c r="M1340" s="513">
        <f>D1340+E1340+H1340-J1340</f>
        <v>4806.5651166997477</v>
      </c>
      <c r="N1340" s="513"/>
    </row>
    <row r="1341" spans="2:14">
      <c r="B1341" s="513" t="s">
        <v>530</v>
      </c>
      <c r="C1341" s="889">
        <v>2019</v>
      </c>
      <c r="D1341" s="513">
        <v>4806.5651166997477</v>
      </c>
      <c r="E1341" s="513">
        <v>306137.66082553525</v>
      </c>
      <c r="F1341" s="513">
        <v>306137.66082553525</v>
      </c>
      <c r="G1341" s="513">
        <v>0</v>
      </c>
      <c r="H1341" s="513">
        <v>0</v>
      </c>
      <c r="I1341" s="622" t="s">
        <v>103</v>
      </c>
      <c r="J1341" s="513">
        <v>-33318.78</v>
      </c>
      <c r="K1341" s="513">
        <v>0</v>
      </c>
      <c r="L1341" s="513">
        <v>0</v>
      </c>
      <c r="M1341" s="513">
        <v>344263.005942235</v>
      </c>
      <c r="N1341" s="513"/>
    </row>
    <row r="1342" spans="2:14">
      <c r="B1342" s="513" t="s">
        <v>540</v>
      </c>
      <c r="C1342" s="658">
        <v>2008</v>
      </c>
      <c r="D1342" s="513">
        <v>5223571.193</v>
      </c>
      <c r="E1342" s="512">
        <v>596083.96870881761</v>
      </c>
      <c r="F1342" s="513">
        <v>596083.96870881761</v>
      </c>
      <c r="G1342" s="512">
        <v>0</v>
      </c>
      <c r="H1342" s="512">
        <v>0</v>
      </c>
      <c r="I1342" s="659" t="s">
        <v>103</v>
      </c>
      <c r="J1342" s="513">
        <v>60852.28</v>
      </c>
      <c r="K1342" s="513">
        <v>0</v>
      </c>
      <c r="L1342" s="513">
        <v>0</v>
      </c>
      <c r="M1342" s="513">
        <v>5758802.8817088176</v>
      </c>
      <c r="N1342" s="622"/>
    </row>
    <row r="1343" spans="2:14">
      <c r="B1343" s="513" t="s">
        <v>540</v>
      </c>
      <c r="C1343" s="658">
        <v>2009</v>
      </c>
      <c r="D1343" s="513">
        <v>5758802.8817088176</v>
      </c>
      <c r="E1343" s="512">
        <v>489294.26697916258</v>
      </c>
      <c r="F1343" s="513">
        <v>489294.26697916258</v>
      </c>
      <c r="G1343" s="512">
        <v>0</v>
      </c>
      <c r="H1343" s="512">
        <v>-500000</v>
      </c>
      <c r="I1343" s="659" t="s">
        <v>1745</v>
      </c>
      <c r="J1343" s="513">
        <v>315020.58999999997</v>
      </c>
      <c r="K1343" s="513">
        <v>0</v>
      </c>
      <c r="L1343" s="513">
        <v>0</v>
      </c>
      <c r="M1343" s="513">
        <v>5433076.5586879803</v>
      </c>
      <c r="N1343" s="622"/>
    </row>
    <row r="1344" spans="2:14">
      <c r="B1344" s="513" t="s">
        <v>540</v>
      </c>
      <c r="C1344" s="658">
        <v>2010</v>
      </c>
      <c r="D1344" s="513">
        <v>5433076.5586879794</v>
      </c>
      <c r="E1344" s="512">
        <v>488685.26</v>
      </c>
      <c r="F1344" s="513">
        <v>488685.26</v>
      </c>
      <c r="G1344" s="512">
        <v>0</v>
      </c>
      <c r="H1344" s="512">
        <v>0</v>
      </c>
      <c r="I1344" s="659" t="s">
        <v>103</v>
      </c>
      <c r="J1344" s="513">
        <v>438636.28</v>
      </c>
      <c r="K1344" s="513">
        <v>814917</v>
      </c>
      <c r="L1344" s="513">
        <v>0</v>
      </c>
      <c r="M1344" s="513">
        <v>5483125.5386879789</v>
      </c>
      <c r="N1344" s="622"/>
    </row>
    <row r="1345" spans="2:14">
      <c r="B1345" s="513" t="s">
        <v>540</v>
      </c>
      <c r="C1345" s="658">
        <v>2011</v>
      </c>
      <c r="D1345" s="513">
        <v>5483125.5398380179</v>
      </c>
      <c r="E1345" s="512">
        <v>496287.0672436544</v>
      </c>
      <c r="F1345" s="513">
        <v>496287.0672436544</v>
      </c>
      <c r="G1345" s="512">
        <v>0</v>
      </c>
      <c r="H1345" s="512">
        <v>0</v>
      </c>
      <c r="I1345" s="659" t="s">
        <v>103</v>
      </c>
      <c r="J1345" s="513">
        <v>170341.18000000002</v>
      </c>
      <c r="K1345" s="513">
        <v>0</v>
      </c>
      <c r="L1345" s="513">
        <v>112515.72</v>
      </c>
      <c r="M1345" s="513">
        <v>5696555.7070816727</v>
      </c>
      <c r="N1345" s="622"/>
    </row>
    <row r="1346" spans="2:14">
      <c r="B1346" s="513" t="s">
        <v>540</v>
      </c>
      <c r="C1346" s="658">
        <v>2012</v>
      </c>
      <c r="D1346" s="513">
        <v>5696555.7070816718</v>
      </c>
      <c r="E1346" s="513">
        <v>368976.56791427691</v>
      </c>
      <c r="F1346" s="513">
        <v>368976.56791427691</v>
      </c>
      <c r="G1346" s="512">
        <v>0</v>
      </c>
      <c r="H1346" s="512">
        <v>-1847982</v>
      </c>
      <c r="I1346" s="659" t="s">
        <v>1746</v>
      </c>
      <c r="J1346" s="513">
        <v>53822.01999999999</v>
      </c>
      <c r="K1346" s="513">
        <v>0</v>
      </c>
      <c r="L1346" s="513">
        <v>0</v>
      </c>
      <c r="M1346" s="513">
        <v>4163728.2549959491</v>
      </c>
      <c r="N1346" s="622"/>
    </row>
    <row r="1347" spans="2:14">
      <c r="B1347" s="513" t="s">
        <v>540</v>
      </c>
      <c r="C1347" s="658">
        <v>2013</v>
      </c>
      <c r="D1347" s="513">
        <v>4163728.2549959496</v>
      </c>
      <c r="E1347" s="513">
        <v>544889.66270820808</v>
      </c>
      <c r="F1347" s="513">
        <v>544889.66270820808</v>
      </c>
      <c r="G1347" s="512">
        <v>0</v>
      </c>
      <c r="H1347" s="512">
        <v>0</v>
      </c>
      <c r="I1347" s="659" t="s">
        <v>103</v>
      </c>
      <c r="J1347" s="513">
        <v>2711098.4399999985</v>
      </c>
      <c r="K1347" s="513">
        <v>3552072</v>
      </c>
      <c r="L1347" s="513">
        <v>0</v>
      </c>
      <c r="M1347" s="513">
        <v>1997519.477704159</v>
      </c>
      <c r="N1347" s="622"/>
    </row>
    <row r="1348" spans="2:14">
      <c r="B1348" s="513" t="s">
        <v>540</v>
      </c>
      <c r="C1348" s="658">
        <v>2014</v>
      </c>
      <c r="D1348" s="513">
        <v>1997519.4777041599</v>
      </c>
      <c r="E1348" s="513">
        <v>565464.88995051733</v>
      </c>
      <c r="F1348" s="513">
        <v>565464.88995051733</v>
      </c>
      <c r="G1348" s="512">
        <v>0</v>
      </c>
      <c r="H1348" s="512">
        <v>0</v>
      </c>
      <c r="I1348" s="659" t="s">
        <v>103</v>
      </c>
      <c r="J1348" s="513">
        <v>569386.3899999992</v>
      </c>
      <c r="K1348" s="513">
        <v>0</v>
      </c>
      <c r="L1348" s="513">
        <v>-65556.039999999994</v>
      </c>
      <c r="M1348" s="513">
        <v>2059154.0176546783</v>
      </c>
      <c r="N1348" s="622"/>
    </row>
    <row r="1349" spans="2:14">
      <c r="B1349" s="513" t="s">
        <v>540</v>
      </c>
      <c r="C1349" s="658">
        <v>2015</v>
      </c>
      <c r="D1349" s="513">
        <v>2059154.017654676</v>
      </c>
      <c r="E1349" s="513">
        <v>573837.17817537824</v>
      </c>
      <c r="F1349" s="513">
        <v>573837.17817537824</v>
      </c>
      <c r="G1349" s="660">
        <v>0</v>
      </c>
      <c r="H1349" s="660">
        <v>0</v>
      </c>
      <c r="I1349" s="659" t="s">
        <v>103</v>
      </c>
      <c r="J1349" s="513">
        <v>1039.3900000000001</v>
      </c>
      <c r="K1349" s="513">
        <v>0</v>
      </c>
      <c r="L1349" s="513">
        <v>-167.42</v>
      </c>
      <c r="M1349" s="513">
        <v>2632119.2258300539</v>
      </c>
      <c r="N1349" s="622"/>
    </row>
    <row r="1350" spans="2:14">
      <c r="B1350" s="513" t="s">
        <v>540</v>
      </c>
      <c r="C1350" s="658">
        <v>2016</v>
      </c>
      <c r="D1350" s="513">
        <v>2632119.2258300539</v>
      </c>
      <c r="E1350" s="513">
        <v>421061.17979667202</v>
      </c>
      <c r="F1350" s="513">
        <v>421061.17979667202</v>
      </c>
      <c r="G1350" s="660">
        <v>0</v>
      </c>
      <c r="H1350" s="660">
        <v>0</v>
      </c>
      <c r="I1350" s="659" t="s">
        <v>103</v>
      </c>
      <c r="J1350" s="513">
        <v>0</v>
      </c>
      <c r="K1350" s="513">
        <v>0</v>
      </c>
      <c r="L1350" s="513">
        <v>0</v>
      </c>
      <c r="M1350" s="513">
        <v>3053180.4056267259</v>
      </c>
      <c r="N1350" s="622"/>
    </row>
    <row r="1351" spans="2:14">
      <c r="B1351" s="513" t="s">
        <v>540</v>
      </c>
      <c r="C1351" s="658">
        <v>2017</v>
      </c>
      <c r="D1351" s="513">
        <v>3053180.4056267273</v>
      </c>
      <c r="E1351" s="513">
        <v>391168.9428161417</v>
      </c>
      <c r="F1351" s="513">
        <v>391168.9428161417</v>
      </c>
      <c r="G1351" s="513">
        <v>0</v>
      </c>
      <c r="H1351" s="513">
        <v>0</v>
      </c>
      <c r="I1351" s="659" t="s">
        <v>103</v>
      </c>
      <c r="J1351" s="513">
        <v>279918</v>
      </c>
      <c r="K1351" s="513">
        <v>0</v>
      </c>
      <c r="L1351" s="513">
        <v>0</v>
      </c>
      <c r="M1351" s="513">
        <v>3164431.3484428688</v>
      </c>
      <c r="N1351" s="622"/>
    </row>
    <row r="1352" spans="2:14">
      <c r="B1352" s="513" t="s">
        <v>540</v>
      </c>
      <c r="C1352" s="889">
        <v>2018</v>
      </c>
      <c r="D1352" s="513">
        <v>3164431.3484428688</v>
      </c>
      <c r="E1352" s="513">
        <f>VLOOKUP(B1352,'[6]2018 allocation'!$A$11:$B$218,2, FALSE)</f>
        <v>416531.15461755847</v>
      </c>
      <c r="F1352" s="513">
        <f>E1352</f>
        <v>416531.15461755847</v>
      </c>
      <c r="G1352" s="513">
        <v>0</v>
      </c>
      <c r="H1352" s="513">
        <v>0</v>
      </c>
      <c r="I1352" s="622" t="s">
        <v>103</v>
      </c>
      <c r="J1352" s="513">
        <f>VLOOKUP(B1352,'[6]Annual Spending Worksheet '!$C$6:$AG$250,28,FALSE)</f>
        <v>47454.130000000005</v>
      </c>
      <c r="K1352" s="513">
        <f>VLOOKUP(B1352,'[6]Annual Spending Worksheet '!$C$6:$AG$250,29,FALSE)</f>
        <v>0</v>
      </c>
      <c r="L1352" s="513">
        <v>0</v>
      </c>
      <c r="M1352" s="513">
        <f>D1352+E1352+H1352-J1352</f>
        <v>3533508.3730604276</v>
      </c>
      <c r="N1352" s="513"/>
    </row>
    <row r="1353" spans="2:14">
      <c r="B1353" s="513" t="s">
        <v>540</v>
      </c>
      <c r="C1353" s="889">
        <v>2019</v>
      </c>
      <c r="D1353" s="513">
        <v>3533508.3730604276</v>
      </c>
      <c r="E1353" s="513">
        <v>443396.87504032499</v>
      </c>
      <c r="F1353" s="513">
        <v>443396.87504032499</v>
      </c>
      <c r="G1353" s="513">
        <v>0</v>
      </c>
      <c r="H1353" s="513">
        <v>0</v>
      </c>
      <c r="I1353" s="622" t="s">
        <v>103</v>
      </c>
      <c r="J1353" s="513">
        <v>38495.090000000004</v>
      </c>
      <c r="K1353" s="513">
        <v>0</v>
      </c>
      <c r="L1353" s="513">
        <v>0</v>
      </c>
      <c r="M1353" s="513">
        <v>3938410.1581007526</v>
      </c>
      <c r="N1353" s="513"/>
    </row>
    <row r="1354" spans="2:14">
      <c r="B1354" s="513" t="s">
        <v>552</v>
      </c>
      <c r="C1354" s="658">
        <v>2008</v>
      </c>
      <c r="D1354" s="513">
        <v>6095485.6170000006</v>
      </c>
      <c r="E1354" s="512">
        <v>591195.04312949837</v>
      </c>
      <c r="F1354" s="513">
        <v>591195.04312949837</v>
      </c>
      <c r="G1354" s="660">
        <v>0</v>
      </c>
      <c r="H1354" s="512">
        <v>0</v>
      </c>
      <c r="I1354" s="659" t="s">
        <v>103</v>
      </c>
      <c r="J1354" s="513">
        <v>679222.45</v>
      </c>
      <c r="K1354" s="513">
        <v>0</v>
      </c>
      <c r="L1354" s="513">
        <v>0</v>
      </c>
      <c r="M1354" s="513">
        <v>6007458.2101294985</v>
      </c>
      <c r="N1354" s="622"/>
    </row>
    <row r="1355" spans="2:14">
      <c r="B1355" s="513" t="s">
        <v>552</v>
      </c>
      <c r="C1355" s="658">
        <v>2009</v>
      </c>
      <c r="D1355" s="513">
        <v>6007458.2101295013</v>
      </c>
      <c r="E1355" s="512">
        <v>479501.67853030097</v>
      </c>
      <c r="F1355" s="513">
        <v>479501.67853030097</v>
      </c>
      <c r="G1355" s="660">
        <v>0</v>
      </c>
      <c r="H1355" s="512">
        <v>0</v>
      </c>
      <c r="I1355" s="659" t="s">
        <v>103</v>
      </c>
      <c r="J1355" s="513">
        <v>4981298.2</v>
      </c>
      <c r="K1355" s="513">
        <v>0</v>
      </c>
      <c r="L1355" s="513">
        <v>0</v>
      </c>
      <c r="M1355" s="513">
        <v>1505661.6886598021</v>
      </c>
      <c r="N1355" s="622"/>
    </row>
    <row r="1356" spans="2:14">
      <c r="B1356" s="513" t="s">
        <v>552</v>
      </c>
      <c r="C1356" s="658">
        <v>2010</v>
      </c>
      <c r="D1356" s="513">
        <v>1505661.6886598058</v>
      </c>
      <c r="E1356" s="512">
        <v>478880.27</v>
      </c>
      <c r="F1356" s="513">
        <v>478880.27</v>
      </c>
      <c r="G1356" s="660">
        <v>0</v>
      </c>
      <c r="H1356" s="512">
        <v>0</v>
      </c>
      <c r="I1356" s="659" t="s">
        <v>103</v>
      </c>
      <c r="J1356" s="513">
        <v>-82720.409999999974</v>
      </c>
      <c r="K1356" s="513">
        <v>0</v>
      </c>
      <c r="L1356" s="513">
        <v>0</v>
      </c>
      <c r="M1356" s="513">
        <v>2067262.3686598057</v>
      </c>
      <c r="N1356" s="622"/>
    </row>
    <row r="1357" spans="2:14">
      <c r="B1357" s="513" t="s">
        <v>552</v>
      </c>
      <c r="C1357" s="658">
        <v>2011</v>
      </c>
      <c r="D1357" s="513">
        <v>2067262.3643344194</v>
      </c>
      <c r="E1357" s="512">
        <v>487253.66282421764</v>
      </c>
      <c r="F1357" s="513">
        <v>487253.66282421764</v>
      </c>
      <c r="G1357" s="512">
        <v>0</v>
      </c>
      <c r="H1357" s="512">
        <v>0</v>
      </c>
      <c r="I1357" s="659" t="s">
        <v>103</v>
      </c>
      <c r="J1357" s="513">
        <v>55972.66</v>
      </c>
      <c r="K1357" s="513">
        <v>6224124</v>
      </c>
      <c r="L1357" s="513">
        <v>0</v>
      </c>
      <c r="M1357" s="513">
        <v>2498543.3671586369</v>
      </c>
      <c r="N1357" s="622"/>
    </row>
    <row r="1358" spans="2:14">
      <c r="B1358" s="513" t="s">
        <v>552</v>
      </c>
      <c r="C1358" s="658">
        <v>2012</v>
      </c>
      <c r="D1358" s="513">
        <v>2498543.3671586365</v>
      </c>
      <c r="E1358" s="513">
        <v>356407.32139541366</v>
      </c>
      <c r="F1358" s="513">
        <v>356407.32139541366</v>
      </c>
      <c r="G1358" s="512">
        <v>0</v>
      </c>
      <c r="H1358" s="512">
        <v>0</v>
      </c>
      <c r="I1358" s="659" t="s">
        <v>103</v>
      </c>
      <c r="J1358" s="513">
        <v>98621.25</v>
      </c>
      <c r="K1358" s="513">
        <v>0</v>
      </c>
      <c r="L1358" s="513">
        <v>0</v>
      </c>
      <c r="M1358" s="513">
        <v>2756329.4385540499</v>
      </c>
      <c r="N1358" s="622"/>
    </row>
    <row r="1359" spans="2:14">
      <c r="B1359" s="513" t="s">
        <v>552</v>
      </c>
      <c r="C1359" s="658">
        <v>2013</v>
      </c>
      <c r="D1359" s="513">
        <v>2756329.4385540485</v>
      </c>
      <c r="E1359" s="513">
        <v>537382.62760177674</v>
      </c>
      <c r="F1359" s="513">
        <v>537382.62760177674</v>
      </c>
      <c r="G1359" s="512">
        <v>0</v>
      </c>
      <c r="H1359" s="512">
        <v>0</v>
      </c>
      <c r="I1359" s="659" t="s">
        <v>103</v>
      </c>
      <c r="J1359" s="513">
        <v>41997.36</v>
      </c>
      <c r="K1359" s="513">
        <v>0</v>
      </c>
      <c r="L1359" s="513">
        <v>89882.63</v>
      </c>
      <c r="M1359" s="513">
        <v>3161832.0761558255</v>
      </c>
      <c r="N1359" s="622"/>
    </row>
    <row r="1360" spans="2:14">
      <c r="B1360" s="513" t="s">
        <v>552</v>
      </c>
      <c r="C1360" s="658">
        <v>2014</v>
      </c>
      <c r="D1360" s="513">
        <v>3161832.0761558264</v>
      </c>
      <c r="E1360" s="513">
        <v>558851.19170421234</v>
      </c>
      <c r="F1360" s="513">
        <v>558851.19170421234</v>
      </c>
      <c r="G1360" s="660">
        <v>0</v>
      </c>
      <c r="H1360" s="512">
        <v>0</v>
      </c>
      <c r="I1360" s="659" t="s">
        <v>103</v>
      </c>
      <c r="J1360" s="513">
        <v>253305.61000000004</v>
      </c>
      <c r="K1360" s="513">
        <v>0</v>
      </c>
      <c r="L1360" s="513">
        <v>0</v>
      </c>
      <c r="M1360" s="513">
        <v>3467377.6578600388</v>
      </c>
      <c r="N1360" s="622"/>
    </row>
    <row r="1361" spans="2:14">
      <c r="B1361" s="513" t="s">
        <v>552</v>
      </c>
      <c r="C1361" s="658">
        <v>2015</v>
      </c>
      <c r="D1361" s="513">
        <v>3467377.6578600388</v>
      </c>
      <c r="E1361" s="513">
        <v>567610.0475736009</v>
      </c>
      <c r="F1361" s="513">
        <v>567610.0475736009</v>
      </c>
      <c r="G1361" s="660">
        <v>0</v>
      </c>
      <c r="H1361" s="660">
        <v>0</v>
      </c>
      <c r="I1361" s="659" t="s">
        <v>103</v>
      </c>
      <c r="J1361" s="513">
        <v>239064.31999999998</v>
      </c>
      <c r="K1361" s="513">
        <v>0</v>
      </c>
      <c r="L1361" s="513">
        <v>0</v>
      </c>
      <c r="M1361" s="513">
        <v>3795923.3854336399</v>
      </c>
      <c r="N1361" s="622"/>
    </row>
    <row r="1362" spans="2:14">
      <c r="B1362" s="513" t="s">
        <v>552</v>
      </c>
      <c r="C1362" s="658">
        <v>2016</v>
      </c>
      <c r="D1362" s="513">
        <v>3795923.3854336403</v>
      </c>
      <c r="E1362" s="513">
        <v>408001.47598831309</v>
      </c>
      <c r="F1362" s="513">
        <v>408001.47598831309</v>
      </c>
      <c r="G1362" s="660">
        <v>0</v>
      </c>
      <c r="H1362" s="660">
        <v>0</v>
      </c>
      <c r="I1362" s="659" t="s">
        <v>103</v>
      </c>
      <c r="J1362" s="513">
        <v>3668432.11</v>
      </c>
      <c r="K1362" s="513">
        <v>0</v>
      </c>
      <c r="L1362" s="513">
        <v>0</v>
      </c>
      <c r="M1362" s="513">
        <v>535492.75142195402</v>
      </c>
      <c r="N1362" s="622"/>
    </row>
    <row r="1363" spans="2:14">
      <c r="B1363" s="513" t="s">
        <v>552</v>
      </c>
      <c r="C1363" s="658">
        <v>2017</v>
      </c>
      <c r="D1363" s="513">
        <v>535492.75142195448</v>
      </c>
      <c r="E1363" s="513">
        <v>376456.71410611866</v>
      </c>
      <c r="F1363" s="513">
        <v>376456.71410611866</v>
      </c>
      <c r="G1363" s="513">
        <v>0</v>
      </c>
      <c r="H1363" s="513">
        <v>0</v>
      </c>
      <c r="I1363" s="659" t="s">
        <v>103</v>
      </c>
      <c r="J1363" s="513">
        <v>3701959.1700000004</v>
      </c>
      <c r="K1363" s="513">
        <v>7576596.370000001</v>
      </c>
      <c r="L1363" s="513">
        <v>0</v>
      </c>
      <c r="M1363" s="513">
        <v>-2790009.7044719271</v>
      </c>
      <c r="N1363" s="622" t="s">
        <v>1715</v>
      </c>
    </row>
    <row r="1364" spans="2:14">
      <c r="B1364" s="513" t="s">
        <v>552</v>
      </c>
      <c r="C1364" s="889">
        <v>2018</v>
      </c>
      <c r="D1364" s="513">
        <v>-2790009.7044719271</v>
      </c>
      <c r="E1364" s="513">
        <f>VLOOKUP(B1364,'[6]2018 allocation'!$A$11:$B$218,2, FALSE)</f>
        <v>402915.82874883688</v>
      </c>
      <c r="F1364" s="513">
        <f>E1364</f>
        <v>402915.82874883688</v>
      </c>
      <c r="G1364" s="513">
        <f>D1364+E1364</f>
        <v>-2387093.87572309</v>
      </c>
      <c r="H1364" s="513">
        <v>0</v>
      </c>
      <c r="I1364" s="622" t="s">
        <v>103</v>
      </c>
      <c r="J1364" s="513">
        <f>VLOOKUP(B1364,'[6]Annual Spending Worksheet '!$C$6:$AG$250,28,FALSE)</f>
        <v>7919.86</v>
      </c>
      <c r="K1364" s="513">
        <f>VLOOKUP(B1364,'[6]Annual Spending Worksheet '!$C$6:$AG$250,29,FALSE)</f>
        <v>0</v>
      </c>
      <c r="L1364" s="513">
        <v>0</v>
      </c>
      <c r="M1364" s="513">
        <f>D1364+E1364+H1364-J1364</f>
        <v>-2395013.7357230899</v>
      </c>
      <c r="N1364" s="622" t="s">
        <v>1715</v>
      </c>
    </row>
    <row r="1365" spans="2:14">
      <c r="B1365" s="513" t="s">
        <v>552</v>
      </c>
      <c r="C1365" s="889">
        <v>2019</v>
      </c>
      <c r="D1365" s="513">
        <v>-2395013.7357230899</v>
      </c>
      <c r="E1365" s="513">
        <v>430692.40758108877</v>
      </c>
      <c r="F1365" s="513">
        <v>430692.40758108877</v>
      </c>
      <c r="G1365" s="513">
        <v>-1964321.3281420011</v>
      </c>
      <c r="H1365" s="513">
        <v>0</v>
      </c>
      <c r="I1365" s="622" t="s">
        <v>103</v>
      </c>
      <c r="J1365" s="513">
        <v>2557.7799999999997</v>
      </c>
      <c r="K1365" s="513">
        <v>0</v>
      </c>
      <c r="L1365" s="513">
        <v>0</v>
      </c>
      <c r="M1365" s="513">
        <v>-1966879.1081420011</v>
      </c>
      <c r="N1365" s="622" t="s">
        <v>1715</v>
      </c>
    </row>
    <row r="1366" spans="2:14">
      <c r="B1366" s="513" t="s">
        <v>561</v>
      </c>
      <c r="C1366" s="658">
        <v>2008</v>
      </c>
      <c r="D1366" s="513">
        <v>-77276.548000000417</v>
      </c>
      <c r="E1366" s="512">
        <v>253392.83843616111</v>
      </c>
      <c r="F1366" s="513">
        <v>253392.83843616111</v>
      </c>
      <c r="G1366" s="512">
        <v>0</v>
      </c>
      <c r="H1366" s="512">
        <v>0</v>
      </c>
      <c r="I1366" s="659" t="s">
        <v>103</v>
      </c>
      <c r="J1366" s="513">
        <v>7442.78</v>
      </c>
      <c r="K1366" s="513">
        <v>0</v>
      </c>
      <c r="L1366" s="513">
        <v>0</v>
      </c>
      <c r="M1366" s="513">
        <v>168673.51043616069</v>
      </c>
      <c r="N1366" s="622"/>
    </row>
    <row r="1367" spans="2:14">
      <c r="B1367" s="513" t="s">
        <v>561</v>
      </c>
      <c r="C1367" s="658">
        <v>2009</v>
      </c>
      <c r="D1367" s="513">
        <v>168673.51043616049</v>
      </c>
      <c r="E1367" s="512">
        <v>175962.32377465151</v>
      </c>
      <c r="F1367" s="513">
        <v>175962.32377465151</v>
      </c>
      <c r="G1367" s="512">
        <v>0</v>
      </c>
      <c r="H1367" s="512">
        <v>0</v>
      </c>
      <c r="I1367" s="659" t="s">
        <v>103</v>
      </c>
      <c r="J1367" s="513">
        <v>0</v>
      </c>
      <c r="K1367" s="513">
        <v>0</v>
      </c>
      <c r="L1367" s="513">
        <v>0</v>
      </c>
      <c r="M1367" s="513">
        <v>344635.834210812</v>
      </c>
      <c r="N1367" s="622"/>
    </row>
    <row r="1368" spans="2:14">
      <c r="B1368" s="513" t="s">
        <v>561</v>
      </c>
      <c r="C1368" s="658">
        <v>2010</v>
      </c>
      <c r="D1368" s="513">
        <v>344635.83421081211</v>
      </c>
      <c r="E1368" s="512">
        <v>175067.81</v>
      </c>
      <c r="F1368" s="513">
        <v>175067.81</v>
      </c>
      <c r="G1368" s="512">
        <v>0</v>
      </c>
      <c r="H1368" s="512">
        <v>0</v>
      </c>
      <c r="I1368" s="659" t="s">
        <v>103</v>
      </c>
      <c r="J1368" s="513">
        <v>0</v>
      </c>
      <c r="K1368" s="513">
        <v>0</v>
      </c>
      <c r="L1368" s="513">
        <v>0</v>
      </c>
      <c r="M1368" s="513">
        <v>519703.64421081211</v>
      </c>
      <c r="N1368" s="622"/>
    </row>
    <row r="1369" spans="2:14">
      <c r="B1369" s="513" t="s">
        <v>561</v>
      </c>
      <c r="C1369" s="658">
        <v>2011</v>
      </c>
      <c r="D1369" s="513">
        <v>519703.64488036092</v>
      </c>
      <c r="E1369" s="512">
        <v>180476.31412226529</v>
      </c>
      <c r="F1369" s="513">
        <v>180476.31412226529</v>
      </c>
      <c r="G1369" s="512">
        <v>0</v>
      </c>
      <c r="H1369" s="512">
        <v>0</v>
      </c>
      <c r="I1369" s="659" t="s">
        <v>103</v>
      </c>
      <c r="J1369" s="513">
        <v>0</v>
      </c>
      <c r="K1369" s="513">
        <v>0</v>
      </c>
      <c r="L1369" s="513">
        <v>5958.65</v>
      </c>
      <c r="M1369" s="513">
        <v>694221.30900262622</v>
      </c>
      <c r="N1369" s="622"/>
    </row>
    <row r="1370" spans="2:14">
      <c r="B1370" s="513" t="s">
        <v>561</v>
      </c>
      <c r="C1370" s="658">
        <v>2012</v>
      </c>
      <c r="D1370" s="513">
        <v>694221.30900262576</v>
      </c>
      <c r="E1370" s="513">
        <v>82149.957185916064</v>
      </c>
      <c r="F1370" s="513">
        <v>82149.957185916064</v>
      </c>
      <c r="G1370" s="512">
        <v>0</v>
      </c>
      <c r="H1370" s="512">
        <v>0</v>
      </c>
      <c r="I1370" s="659" t="s">
        <v>103</v>
      </c>
      <c r="J1370" s="513">
        <v>0</v>
      </c>
      <c r="K1370" s="513">
        <v>0</v>
      </c>
      <c r="L1370" s="513">
        <v>0</v>
      </c>
      <c r="M1370" s="513">
        <v>776371.26618854178</v>
      </c>
      <c r="N1370" s="622"/>
    </row>
    <row r="1371" spans="2:14">
      <c r="B1371" s="513" t="s">
        <v>561</v>
      </c>
      <c r="C1371" s="658">
        <v>2013</v>
      </c>
      <c r="D1371" s="513">
        <v>776371.26618854143</v>
      </c>
      <c r="E1371" s="513">
        <v>218220.87654342575</v>
      </c>
      <c r="F1371" s="513">
        <v>218220.87654342575</v>
      </c>
      <c r="G1371" s="512">
        <v>0</v>
      </c>
      <c r="H1371" s="512">
        <v>0</v>
      </c>
      <c r="I1371" s="659" t="s">
        <v>103</v>
      </c>
      <c r="J1371" s="513">
        <v>0</v>
      </c>
      <c r="K1371" s="513">
        <v>0</v>
      </c>
      <c r="L1371" s="513">
        <v>0</v>
      </c>
      <c r="M1371" s="513">
        <v>994592.14273196715</v>
      </c>
      <c r="N1371" s="622"/>
    </row>
    <row r="1372" spans="2:14">
      <c r="B1372" s="513" t="s">
        <v>561</v>
      </c>
      <c r="C1372" s="658">
        <v>2014</v>
      </c>
      <c r="D1372" s="513">
        <v>994592.14273196738</v>
      </c>
      <c r="E1372" s="513">
        <v>235697.42882354994</v>
      </c>
      <c r="F1372" s="513">
        <v>235697.42882354994</v>
      </c>
      <c r="G1372" s="512">
        <v>0</v>
      </c>
      <c r="H1372" s="512">
        <v>0</v>
      </c>
      <c r="I1372" s="659" t="s">
        <v>103</v>
      </c>
      <c r="J1372" s="513">
        <v>0</v>
      </c>
      <c r="K1372" s="513">
        <v>0</v>
      </c>
      <c r="L1372" s="513">
        <v>0</v>
      </c>
      <c r="M1372" s="513">
        <v>1230289.5715555174</v>
      </c>
      <c r="N1372" s="622"/>
    </row>
    <row r="1373" spans="2:14">
      <c r="B1373" s="513" t="s">
        <v>561</v>
      </c>
      <c r="C1373" s="658">
        <v>2015</v>
      </c>
      <c r="D1373" s="513">
        <v>1230289.5715555176</v>
      </c>
      <c r="E1373" s="513">
        <v>243892.43537492634</v>
      </c>
      <c r="F1373" s="513">
        <v>243892.43537492634</v>
      </c>
      <c r="G1373" s="512">
        <v>0</v>
      </c>
      <c r="H1373" s="660">
        <v>0</v>
      </c>
      <c r="I1373" s="659" t="s">
        <v>103</v>
      </c>
      <c r="J1373" s="513">
        <v>0</v>
      </c>
      <c r="K1373" s="513">
        <v>0</v>
      </c>
      <c r="L1373" s="513">
        <v>0</v>
      </c>
      <c r="M1373" s="513">
        <v>1474182.0069304439</v>
      </c>
      <c r="N1373" s="622"/>
    </row>
    <row r="1374" spans="2:14">
      <c r="B1374" s="513" t="s">
        <v>561</v>
      </c>
      <c r="C1374" s="658">
        <v>2016</v>
      </c>
      <c r="D1374" s="513">
        <v>1474182.0069304444</v>
      </c>
      <c r="E1374" s="513">
        <v>112137.05089921497</v>
      </c>
      <c r="F1374" s="513">
        <v>112137.05089921497</v>
      </c>
      <c r="G1374" s="660">
        <v>0</v>
      </c>
      <c r="H1374" s="660">
        <v>0</v>
      </c>
      <c r="I1374" s="659" t="s">
        <v>103</v>
      </c>
      <c r="J1374" s="513">
        <v>0</v>
      </c>
      <c r="K1374" s="513">
        <v>0</v>
      </c>
      <c r="L1374" s="513">
        <v>0</v>
      </c>
      <c r="M1374" s="513">
        <v>1586319.0578296594</v>
      </c>
      <c r="N1374" s="622"/>
    </row>
    <row r="1375" spans="2:14">
      <c r="B1375" s="513" t="s">
        <v>561</v>
      </c>
      <c r="C1375" s="658">
        <v>2017</v>
      </c>
      <c r="D1375" s="513">
        <v>1586319.0578296594</v>
      </c>
      <c r="E1375" s="513">
        <v>82947.948466120419</v>
      </c>
      <c r="F1375" s="513">
        <v>82947.948466120419</v>
      </c>
      <c r="G1375" s="513">
        <v>0</v>
      </c>
      <c r="H1375" s="513">
        <v>0</v>
      </c>
      <c r="I1375" s="659" t="s">
        <v>103</v>
      </c>
      <c r="J1375" s="513">
        <v>0</v>
      </c>
      <c r="K1375" s="513">
        <v>0</v>
      </c>
      <c r="L1375" s="513">
        <v>0</v>
      </c>
      <c r="M1375" s="513">
        <v>1669267.00629578</v>
      </c>
      <c r="N1375" s="622"/>
    </row>
    <row r="1376" spans="2:14">
      <c r="B1376" s="513" t="s">
        <v>561</v>
      </c>
      <c r="C1376" s="889">
        <v>2018</v>
      </c>
      <c r="D1376" s="513">
        <v>1669267.00629578</v>
      </c>
      <c r="E1376" s="513">
        <f>VLOOKUP(B1376,'[6]2018 allocation'!$A$11:$B$218,2, FALSE)</f>
        <v>102540.82083974124</v>
      </c>
      <c r="F1376" s="513">
        <f>E1376</f>
        <v>102540.82083974124</v>
      </c>
      <c r="G1376" s="513">
        <v>0</v>
      </c>
      <c r="H1376" s="513">
        <v>0</v>
      </c>
      <c r="I1376" s="622" t="s">
        <v>103</v>
      </c>
      <c r="J1376" s="513">
        <f>VLOOKUP(B1376,'[6]Annual Spending Worksheet '!$C$6:$AG$250,28,FALSE)</f>
        <v>0</v>
      </c>
      <c r="K1376" s="513">
        <f>VLOOKUP(B1376,'[6]Annual Spending Worksheet '!$C$6:$AG$250,29,FALSE)</f>
        <v>0</v>
      </c>
      <c r="L1376" s="513">
        <v>0</v>
      </c>
      <c r="M1376" s="513">
        <f>D1376+E1376+H1376-J1376</f>
        <v>1771807.8271355212</v>
      </c>
      <c r="N1376" s="513"/>
    </row>
    <row r="1377" spans="2:14">
      <c r="B1377" s="513" t="s">
        <v>561</v>
      </c>
      <c r="C1377" s="889">
        <v>2019</v>
      </c>
      <c r="D1377" s="513">
        <v>1771807.8271355212</v>
      </c>
      <c r="E1377" s="513">
        <v>124895.78602689708</v>
      </c>
      <c r="F1377" s="513">
        <v>124895.78602689708</v>
      </c>
      <c r="G1377" s="513">
        <v>0</v>
      </c>
      <c r="H1377" s="513">
        <v>0</v>
      </c>
      <c r="I1377" s="622" t="s">
        <v>103</v>
      </c>
      <c r="J1377" s="513">
        <v>0</v>
      </c>
      <c r="K1377" s="513">
        <v>0</v>
      </c>
      <c r="L1377" s="513">
        <v>0</v>
      </c>
      <c r="M1377" s="513">
        <v>1896703.6131624184</v>
      </c>
      <c r="N1377" s="513"/>
    </row>
    <row r="1378" spans="2:14" ht="128.44999999999999" customHeight="1">
      <c r="B1378" s="513" t="s">
        <v>562</v>
      </c>
      <c r="C1378" s="658">
        <v>2008</v>
      </c>
      <c r="D1378" s="513">
        <v>243063.89599999972</v>
      </c>
      <c r="E1378" s="512">
        <v>212168.53790233799</v>
      </c>
      <c r="F1378" s="513">
        <v>212168.53790233799</v>
      </c>
      <c r="G1378" s="512">
        <v>0</v>
      </c>
      <c r="H1378" s="512">
        <v>400485</v>
      </c>
      <c r="I1378" s="692" t="s">
        <v>1747</v>
      </c>
      <c r="J1378" s="513">
        <v>569126.99</v>
      </c>
      <c r="K1378" s="513">
        <v>0</v>
      </c>
      <c r="L1378" s="513">
        <v>0</v>
      </c>
      <c r="M1378" s="513">
        <v>286590.44390233769</v>
      </c>
      <c r="N1378" s="622" t="s">
        <v>1748</v>
      </c>
    </row>
    <row r="1379" spans="2:14" ht="77.45" customHeight="1">
      <c r="B1379" s="513" t="s">
        <v>562</v>
      </c>
      <c r="C1379" s="658">
        <v>2009</v>
      </c>
      <c r="D1379" s="513">
        <v>286590.44390233885</v>
      </c>
      <c r="E1379" s="512">
        <v>170591.93060118821</v>
      </c>
      <c r="F1379" s="513">
        <v>170591.93060118821</v>
      </c>
      <c r="G1379" s="512">
        <v>0</v>
      </c>
      <c r="H1379" s="512">
        <v>0</v>
      </c>
      <c r="I1379" s="659" t="s">
        <v>103</v>
      </c>
      <c r="J1379" s="513">
        <v>1023562.58</v>
      </c>
      <c r="K1379" s="513">
        <v>0</v>
      </c>
      <c r="L1379" s="513">
        <v>0</v>
      </c>
      <c r="M1379" s="513">
        <v>-566380.20549647289</v>
      </c>
      <c r="N1379" s="622" t="s">
        <v>1748</v>
      </c>
    </row>
    <row r="1380" spans="2:14" ht="29.1">
      <c r="B1380" s="513" t="s">
        <v>562</v>
      </c>
      <c r="C1380" s="658">
        <v>2010</v>
      </c>
      <c r="D1380" s="513">
        <v>-566380.20549647324</v>
      </c>
      <c r="E1380" s="512">
        <v>170328.37</v>
      </c>
      <c r="F1380" s="513">
        <v>170328.37</v>
      </c>
      <c r="G1380" s="512">
        <v>-396051.83549647324</v>
      </c>
      <c r="H1380" s="512">
        <v>0</v>
      </c>
      <c r="I1380" s="659" t="s">
        <v>103</v>
      </c>
      <c r="J1380" s="513">
        <v>4410.87</v>
      </c>
      <c r="K1380" s="513">
        <v>2725454</v>
      </c>
      <c r="L1380" s="513">
        <v>0</v>
      </c>
      <c r="M1380" s="513">
        <v>-400462.70549647324</v>
      </c>
      <c r="N1380" s="622" t="s">
        <v>1748</v>
      </c>
    </row>
    <row r="1381" spans="2:14" ht="29.1">
      <c r="B1381" s="513" t="s">
        <v>562</v>
      </c>
      <c r="C1381" s="658">
        <v>2011</v>
      </c>
      <c r="D1381" s="513">
        <v>-400462.71004758496</v>
      </c>
      <c r="E1381" s="512">
        <v>173293.18330281955</v>
      </c>
      <c r="F1381" s="513">
        <v>173293.18330281955</v>
      </c>
      <c r="G1381" s="660">
        <v>-227169.5267447654</v>
      </c>
      <c r="H1381" s="512">
        <v>0</v>
      </c>
      <c r="I1381" s="659" t="s">
        <v>103</v>
      </c>
      <c r="J1381" s="513">
        <v>1223.3000000000002</v>
      </c>
      <c r="K1381" s="513">
        <v>0</v>
      </c>
      <c r="L1381" s="513">
        <v>0</v>
      </c>
      <c r="M1381" s="513">
        <v>-228392.82674476539</v>
      </c>
      <c r="N1381" s="622" t="s">
        <v>1711</v>
      </c>
    </row>
    <row r="1382" spans="2:14" ht="29.1">
      <c r="B1382" s="513" t="s">
        <v>562</v>
      </c>
      <c r="C1382" s="658">
        <v>2012</v>
      </c>
      <c r="D1382" s="513">
        <v>-228392.82674476411</v>
      </c>
      <c r="E1382" s="513">
        <v>123809.23815944964</v>
      </c>
      <c r="F1382" s="513">
        <v>123809.23815944964</v>
      </c>
      <c r="G1382" s="660">
        <v>-104583.58858531447</v>
      </c>
      <c r="H1382" s="512">
        <v>0</v>
      </c>
      <c r="I1382" s="659" t="s">
        <v>103</v>
      </c>
      <c r="J1382" s="513">
        <v>120782.08999999985</v>
      </c>
      <c r="K1382" s="513">
        <v>0</v>
      </c>
      <c r="L1382" s="513">
        <v>0</v>
      </c>
      <c r="M1382" s="513">
        <v>-225365.67858531431</v>
      </c>
      <c r="N1382" s="622" t="s">
        <v>1748</v>
      </c>
    </row>
    <row r="1383" spans="2:14" ht="29.1">
      <c r="B1383" s="513" t="s">
        <v>562</v>
      </c>
      <c r="C1383" s="658">
        <v>2013</v>
      </c>
      <c r="D1383" s="513">
        <v>-225365.67858531419</v>
      </c>
      <c r="E1383" s="513">
        <v>192201.46248888914</v>
      </c>
      <c r="F1383" s="513">
        <v>192201.46248888914</v>
      </c>
      <c r="G1383" s="660">
        <v>-33164.216096425051</v>
      </c>
      <c r="H1383" s="512">
        <v>0</v>
      </c>
      <c r="I1383" s="659" t="s">
        <v>103</v>
      </c>
      <c r="J1383" s="513">
        <v>0</v>
      </c>
      <c r="K1383" s="513">
        <v>0</v>
      </c>
      <c r="L1383" s="513">
        <v>21078.240000000002</v>
      </c>
      <c r="M1383" s="513">
        <v>-54242.456096425056</v>
      </c>
      <c r="N1383" s="622" t="s">
        <v>1748</v>
      </c>
    </row>
    <row r="1384" spans="2:14">
      <c r="B1384" s="513" t="s">
        <v>562</v>
      </c>
      <c r="C1384" s="658">
        <v>2014</v>
      </c>
      <c r="D1384" s="513">
        <v>-54242.456096425653</v>
      </c>
      <c r="E1384" s="513">
        <v>200190.60475136689</v>
      </c>
      <c r="F1384" s="513">
        <v>200190.60475136689</v>
      </c>
      <c r="G1384" s="660">
        <v>0</v>
      </c>
      <c r="H1384" s="512">
        <v>0</v>
      </c>
      <c r="I1384" s="659" t="s">
        <v>103</v>
      </c>
      <c r="J1384" s="513">
        <v>0</v>
      </c>
      <c r="K1384" s="513">
        <v>0</v>
      </c>
      <c r="L1384" s="513">
        <v>0</v>
      </c>
      <c r="M1384" s="513">
        <v>145948.14865494124</v>
      </c>
      <c r="N1384" s="622"/>
    </row>
    <row r="1385" spans="2:14">
      <c r="B1385" s="513" t="s">
        <v>562</v>
      </c>
      <c r="C1385" s="658">
        <v>2015</v>
      </c>
      <c r="D1385" s="513">
        <v>145948.14865494147</v>
      </c>
      <c r="E1385" s="513">
        <v>203448.7565804781</v>
      </c>
      <c r="F1385" s="513">
        <v>203448.7565804781</v>
      </c>
      <c r="G1385" s="660">
        <v>0</v>
      </c>
      <c r="H1385" s="660">
        <v>0</v>
      </c>
      <c r="I1385" s="659" t="s">
        <v>103</v>
      </c>
      <c r="J1385" s="513">
        <v>0</v>
      </c>
      <c r="K1385" s="513">
        <v>0</v>
      </c>
      <c r="L1385" s="513">
        <v>0</v>
      </c>
      <c r="M1385" s="513">
        <v>349396.90523541957</v>
      </c>
      <c r="N1385" s="622"/>
    </row>
    <row r="1386" spans="2:14">
      <c r="B1386" s="513" t="s">
        <v>562</v>
      </c>
      <c r="C1386" s="658">
        <v>2016</v>
      </c>
      <c r="D1386" s="513">
        <v>349396.90523541998</v>
      </c>
      <c r="E1386" s="513">
        <v>144134.69278999831</v>
      </c>
      <c r="F1386" s="513">
        <v>144134.69278999831</v>
      </c>
      <c r="G1386" s="660">
        <v>0</v>
      </c>
      <c r="H1386" s="660">
        <v>0</v>
      </c>
      <c r="I1386" s="659" t="s">
        <v>103</v>
      </c>
      <c r="J1386" s="513">
        <v>0</v>
      </c>
      <c r="K1386" s="513">
        <v>0</v>
      </c>
      <c r="L1386" s="513">
        <v>0</v>
      </c>
      <c r="M1386" s="513">
        <v>493531.59802541829</v>
      </c>
      <c r="N1386" s="622"/>
    </row>
    <row r="1387" spans="2:14">
      <c r="B1387" s="513" t="s">
        <v>562</v>
      </c>
      <c r="C1387" s="658">
        <v>2017</v>
      </c>
      <c r="D1387" s="513">
        <v>493531.59802541789</v>
      </c>
      <c r="E1387" s="513">
        <v>132505.52191902851</v>
      </c>
      <c r="F1387" s="513">
        <v>132505.52191902851</v>
      </c>
      <c r="G1387" s="513">
        <v>0</v>
      </c>
      <c r="H1387" s="513">
        <v>0</v>
      </c>
      <c r="I1387" s="659" t="s">
        <v>103</v>
      </c>
      <c r="J1387" s="513">
        <v>0</v>
      </c>
      <c r="K1387" s="513">
        <v>0</v>
      </c>
      <c r="L1387" s="513">
        <v>0</v>
      </c>
      <c r="M1387" s="513">
        <v>626037.11994444637</v>
      </c>
      <c r="N1387" s="622"/>
    </row>
    <row r="1388" spans="2:14">
      <c r="B1388" s="513" t="s">
        <v>562</v>
      </c>
      <c r="C1388" s="889">
        <v>2018</v>
      </c>
      <c r="D1388" s="513">
        <v>626037.11994444637</v>
      </c>
      <c r="E1388" s="513">
        <f>VLOOKUP(B1388,'[6]2018 allocation'!$A$11:$B$218,2, FALSE)</f>
        <v>142191.63123905536</v>
      </c>
      <c r="F1388" s="513">
        <f>E1388</f>
        <v>142191.63123905536</v>
      </c>
      <c r="G1388" s="513">
        <v>0</v>
      </c>
      <c r="H1388" s="513">
        <v>0</v>
      </c>
      <c r="I1388" s="622" t="s">
        <v>103</v>
      </c>
      <c r="J1388" s="513">
        <f>VLOOKUP(B1388,'[6]Annual Spending Worksheet '!$C$6:$AG$250,28,FALSE)</f>
        <v>0</v>
      </c>
      <c r="K1388" s="513">
        <f>VLOOKUP(B1388,'[6]Annual Spending Worksheet '!$C$6:$AG$250,29,FALSE)</f>
        <v>0</v>
      </c>
      <c r="L1388" s="513">
        <v>0</v>
      </c>
      <c r="M1388" s="513">
        <f>D1388+E1388+H1388-J1388</f>
        <v>768228.75118350168</v>
      </c>
      <c r="N1388" s="513"/>
    </row>
    <row r="1389" spans="2:14">
      <c r="B1389" s="513" t="s">
        <v>562</v>
      </c>
      <c r="C1389" s="889">
        <v>2019</v>
      </c>
      <c r="D1389" s="513">
        <v>768228.75118350168</v>
      </c>
      <c r="E1389" s="513">
        <v>152691.25818205779</v>
      </c>
      <c r="F1389" s="513">
        <v>152691.25818205779</v>
      </c>
      <c r="G1389" s="513">
        <v>0</v>
      </c>
      <c r="H1389" s="513">
        <v>0</v>
      </c>
      <c r="I1389" s="622" t="s">
        <v>103</v>
      </c>
      <c r="J1389" s="513">
        <v>0</v>
      </c>
      <c r="K1389" s="513">
        <v>0</v>
      </c>
      <c r="L1389" s="513">
        <v>0</v>
      </c>
      <c r="M1389" s="513">
        <v>920920.00936555944</v>
      </c>
      <c r="N1389" s="513"/>
    </row>
    <row r="1390" spans="2:14">
      <c r="B1390" s="513" t="s">
        <v>567</v>
      </c>
      <c r="C1390" s="658">
        <v>2008</v>
      </c>
      <c r="D1390" s="513">
        <v>508993.505</v>
      </c>
      <c r="E1390" s="512">
        <v>27862.984506519257</v>
      </c>
      <c r="F1390" s="513">
        <v>27862.984506519257</v>
      </c>
      <c r="G1390" s="513">
        <v>0</v>
      </c>
      <c r="H1390" s="512">
        <v>0</v>
      </c>
      <c r="I1390" s="659" t="s">
        <v>103</v>
      </c>
      <c r="J1390" s="513">
        <v>0</v>
      </c>
      <c r="K1390" s="513">
        <v>0</v>
      </c>
      <c r="L1390" s="513">
        <v>0</v>
      </c>
      <c r="M1390" s="513">
        <v>536856.48950651928</v>
      </c>
      <c r="N1390" s="622"/>
    </row>
    <row r="1391" spans="2:14">
      <c r="B1391" s="513" t="s">
        <v>567</v>
      </c>
      <c r="C1391" s="658">
        <v>2009</v>
      </c>
      <c r="D1391" s="513">
        <v>536856.48950651928</v>
      </c>
      <c r="E1391" s="512">
        <v>22434.141068543198</v>
      </c>
      <c r="F1391" s="513">
        <v>22434.141068543198</v>
      </c>
      <c r="G1391" s="512">
        <v>0</v>
      </c>
      <c r="H1391" s="512">
        <v>0</v>
      </c>
      <c r="I1391" s="659" t="s">
        <v>103</v>
      </c>
      <c r="J1391" s="513">
        <v>22932.3</v>
      </c>
      <c r="K1391" s="513">
        <v>0</v>
      </c>
      <c r="L1391" s="513">
        <v>0</v>
      </c>
      <c r="M1391" s="513">
        <v>536358.33057506243</v>
      </c>
      <c r="N1391" s="622"/>
    </row>
    <row r="1392" spans="2:14">
      <c r="B1392" s="513" t="s">
        <v>567</v>
      </c>
      <c r="C1392" s="658">
        <v>2010</v>
      </c>
      <c r="D1392" s="513">
        <v>536358.33057506243</v>
      </c>
      <c r="E1392" s="512">
        <v>22405.14</v>
      </c>
      <c r="F1392" s="513">
        <v>22405.14</v>
      </c>
      <c r="G1392" s="512">
        <v>0</v>
      </c>
      <c r="H1392" s="512">
        <v>0</v>
      </c>
      <c r="I1392" s="659" t="s">
        <v>103</v>
      </c>
      <c r="J1392" s="513">
        <v>199034.05</v>
      </c>
      <c r="K1392" s="513">
        <v>0</v>
      </c>
      <c r="L1392" s="513">
        <v>0</v>
      </c>
      <c r="M1392" s="513">
        <v>359729.42057506245</v>
      </c>
      <c r="N1392" s="622"/>
    </row>
    <row r="1393" spans="2:14">
      <c r="B1393" s="513" t="s">
        <v>567</v>
      </c>
      <c r="C1393" s="658">
        <v>2011</v>
      </c>
      <c r="D1393" s="513">
        <v>359729.4242508997</v>
      </c>
      <c r="E1393" s="512">
        <v>22796.363277283872</v>
      </c>
      <c r="F1393" s="513">
        <v>22796.363277283872</v>
      </c>
      <c r="G1393" s="660">
        <v>0</v>
      </c>
      <c r="H1393" s="512">
        <v>0</v>
      </c>
      <c r="I1393" s="659" t="s">
        <v>103</v>
      </c>
      <c r="J1393" s="513">
        <v>426166.3</v>
      </c>
      <c r="K1393" s="513">
        <v>655824</v>
      </c>
      <c r="L1393" s="513">
        <v>0</v>
      </c>
      <c r="M1393" s="513">
        <v>-43640.512471816444</v>
      </c>
      <c r="N1393" s="622" t="s">
        <v>1715</v>
      </c>
    </row>
    <row r="1394" spans="2:14">
      <c r="B1394" s="513" t="s">
        <v>567</v>
      </c>
      <c r="C1394" s="658">
        <v>2012</v>
      </c>
      <c r="D1394" s="513">
        <v>-43640.512471816386</v>
      </c>
      <c r="E1394" s="513">
        <v>16696.492734924177</v>
      </c>
      <c r="F1394" s="513">
        <v>16696.492734924177</v>
      </c>
      <c r="G1394" s="660">
        <v>-26944.019736892209</v>
      </c>
      <c r="H1394" s="512">
        <v>0</v>
      </c>
      <c r="I1394" s="659" t="s">
        <v>103</v>
      </c>
      <c r="J1394" s="513">
        <v>365.93000000000006</v>
      </c>
      <c r="K1394" s="513">
        <v>0</v>
      </c>
      <c r="L1394" s="513">
        <v>0</v>
      </c>
      <c r="M1394" s="513">
        <v>-27309.949736892209</v>
      </c>
      <c r="N1394" s="622" t="s">
        <v>1715</v>
      </c>
    </row>
    <row r="1395" spans="2:14">
      <c r="B1395" s="513" t="s">
        <v>567</v>
      </c>
      <c r="C1395" s="658">
        <v>2013</v>
      </c>
      <c r="D1395" s="513">
        <v>-27309.949736892246</v>
      </c>
      <c r="E1395" s="513">
        <v>25193.96346260158</v>
      </c>
      <c r="F1395" s="513">
        <v>25193.96346260158</v>
      </c>
      <c r="G1395" s="660">
        <v>-2115.9862742906662</v>
      </c>
      <c r="H1395" s="512">
        <v>0</v>
      </c>
      <c r="I1395" s="659" t="s">
        <v>103</v>
      </c>
      <c r="J1395" s="513">
        <v>0</v>
      </c>
      <c r="K1395" s="513">
        <v>0</v>
      </c>
      <c r="L1395" s="513">
        <v>0</v>
      </c>
      <c r="M1395" s="513">
        <v>-2115.9862742906662</v>
      </c>
      <c r="N1395" s="622" t="s">
        <v>1715</v>
      </c>
    </row>
    <row r="1396" spans="2:14">
      <c r="B1396" s="513" t="s">
        <v>567</v>
      </c>
      <c r="C1396" s="658">
        <v>2014</v>
      </c>
      <c r="D1396" s="513">
        <v>-2115.9862742907135</v>
      </c>
      <c r="E1396" s="513">
        <v>26178.222535298322</v>
      </c>
      <c r="F1396" s="513">
        <v>26178.222535298322</v>
      </c>
      <c r="G1396" s="660">
        <v>0</v>
      </c>
      <c r="H1396" s="512">
        <v>0</v>
      </c>
      <c r="I1396" s="659" t="s">
        <v>103</v>
      </c>
      <c r="J1396" s="513">
        <v>0</v>
      </c>
      <c r="K1396" s="513">
        <v>0</v>
      </c>
      <c r="L1396" s="513">
        <v>0</v>
      </c>
      <c r="M1396" s="513">
        <v>24062.236261007609</v>
      </c>
      <c r="N1396" s="622"/>
    </row>
    <row r="1397" spans="2:14">
      <c r="B1397" s="513" t="s">
        <v>567</v>
      </c>
      <c r="C1397" s="658">
        <v>2015</v>
      </c>
      <c r="D1397" s="513">
        <v>24062.236261007609</v>
      </c>
      <c r="E1397" s="513">
        <v>26574.650973600772</v>
      </c>
      <c r="F1397" s="513">
        <v>26574.650973600772</v>
      </c>
      <c r="G1397" s="660">
        <v>0</v>
      </c>
      <c r="H1397" s="660">
        <v>0</v>
      </c>
      <c r="I1397" s="659" t="s">
        <v>103</v>
      </c>
      <c r="J1397" s="513">
        <v>0</v>
      </c>
      <c r="K1397" s="513">
        <v>0</v>
      </c>
      <c r="L1397" s="513">
        <v>7325.08</v>
      </c>
      <c r="M1397" s="513">
        <v>43311.807234608379</v>
      </c>
      <c r="N1397" s="622"/>
    </row>
    <row r="1398" spans="2:14">
      <c r="B1398" s="513" t="s">
        <v>567</v>
      </c>
      <c r="C1398" s="658">
        <v>2016</v>
      </c>
      <c r="D1398" s="513">
        <v>43311.807234608335</v>
      </c>
      <c r="E1398" s="513">
        <v>19278.26044489734</v>
      </c>
      <c r="F1398" s="513">
        <v>19278.26044489734</v>
      </c>
      <c r="G1398" s="660">
        <v>0</v>
      </c>
      <c r="H1398" s="660">
        <v>0</v>
      </c>
      <c r="I1398" s="659" t="s">
        <v>103</v>
      </c>
      <c r="J1398" s="513">
        <v>0</v>
      </c>
      <c r="K1398" s="513">
        <v>0</v>
      </c>
      <c r="L1398" s="513">
        <v>0</v>
      </c>
      <c r="M1398" s="513">
        <v>62590.067679505679</v>
      </c>
      <c r="N1398" s="622"/>
    </row>
    <row r="1399" spans="2:14">
      <c r="B1399" s="513" t="s">
        <v>567</v>
      </c>
      <c r="C1399" s="658">
        <v>2017</v>
      </c>
      <c r="D1399" s="513">
        <v>62590.067679505679</v>
      </c>
      <c r="E1399" s="513">
        <v>17878.952642864337</v>
      </c>
      <c r="F1399" s="513">
        <v>17878.952642864337</v>
      </c>
      <c r="G1399" s="513">
        <v>0</v>
      </c>
      <c r="H1399" s="513">
        <v>0</v>
      </c>
      <c r="I1399" s="659" t="s">
        <v>103</v>
      </c>
      <c r="J1399" s="513">
        <v>0</v>
      </c>
      <c r="K1399" s="513">
        <v>0</v>
      </c>
      <c r="L1399" s="513">
        <v>0</v>
      </c>
      <c r="M1399" s="513">
        <v>80469.020322370023</v>
      </c>
      <c r="N1399" s="622"/>
    </row>
    <row r="1400" spans="2:14">
      <c r="B1400" s="513" t="s">
        <v>567</v>
      </c>
      <c r="C1400" s="889">
        <v>2018</v>
      </c>
      <c r="D1400" s="513">
        <v>80469.020322370023</v>
      </c>
      <c r="E1400" s="513">
        <f>VLOOKUP(B1400,'[6]2018 allocation'!$A$11:$B$218,2, FALSE)</f>
        <v>19091.026445020081</v>
      </c>
      <c r="F1400" s="513">
        <f>E1400</f>
        <v>19091.026445020081</v>
      </c>
      <c r="G1400" s="513">
        <v>0</v>
      </c>
      <c r="H1400" s="513">
        <v>0</v>
      </c>
      <c r="I1400" s="622" t="s">
        <v>103</v>
      </c>
      <c r="J1400" s="513">
        <f>VLOOKUP(B1400,'[6]Annual Spending Worksheet '!$C$6:$AG$250,28,FALSE)</f>
        <v>0</v>
      </c>
      <c r="K1400" s="513">
        <f>VLOOKUP(B1400,'[6]Annual Spending Worksheet '!$C$6:$AG$250,29,FALSE)</f>
        <v>0</v>
      </c>
      <c r="L1400" s="513">
        <v>0</v>
      </c>
      <c r="M1400" s="513">
        <f>D1400+E1400+H1400-J1400</f>
        <v>99560.0467673901</v>
      </c>
      <c r="N1400" s="513"/>
    </row>
    <row r="1401" spans="2:14">
      <c r="B1401" s="513" t="s">
        <v>567</v>
      </c>
      <c r="C1401" s="889">
        <v>2019</v>
      </c>
      <c r="D1401" s="513">
        <v>99560.0467673901</v>
      </c>
      <c r="E1401" s="513">
        <v>20382.27884114486</v>
      </c>
      <c r="F1401" s="513">
        <v>20382.27884114486</v>
      </c>
      <c r="G1401" s="513">
        <v>0</v>
      </c>
      <c r="H1401" s="513">
        <v>0</v>
      </c>
      <c r="I1401" s="622" t="s">
        <v>103</v>
      </c>
      <c r="J1401" s="513">
        <v>0</v>
      </c>
      <c r="K1401" s="513">
        <v>0</v>
      </c>
      <c r="L1401" s="513">
        <v>0</v>
      </c>
      <c r="M1401" s="513">
        <v>119942.32560853496</v>
      </c>
      <c r="N1401" s="513"/>
    </row>
    <row r="1402" spans="2:14">
      <c r="B1402" s="513" t="s">
        <v>571</v>
      </c>
      <c r="C1402" s="658">
        <v>2008</v>
      </c>
      <c r="D1402" s="513">
        <v>382492.43899999978</v>
      </c>
      <c r="E1402" s="512">
        <v>113875.26158463082</v>
      </c>
      <c r="F1402" s="513">
        <v>113875.26158463082</v>
      </c>
      <c r="G1402" s="512">
        <v>0</v>
      </c>
      <c r="H1402" s="512">
        <v>0</v>
      </c>
      <c r="I1402" s="659" t="s">
        <v>103</v>
      </c>
      <c r="J1402" s="513">
        <v>0</v>
      </c>
      <c r="K1402" s="513">
        <v>0</v>
      </c>
      <c r="L1402" s="513">
        <v>0</v>
      </c>
      <c r="M1402" s="513">
        <v>496367.7005846306</v>
      </c>
      <c r="N1402" s="622"/>
    </row>
    <row r="1403" spans="2:14">
      <c r="B1403" s="513" t="s">
        <v>571</v>
      </c>
      <c r="C1403" s="658">
        <v>2009</v>
      </c>
      <c r="D1403" s="513">
        <v>496367.70058463048</v>
      </c>
      <c r="E1403" s="512">
        <v>95256.023865903073</v>
      </c>
      <c r="F1403" s="513">
        <v>95256.023865903073</v>
      </c>
      <c r="G1403" s="512">
        <v>0</v>
      </c>
      <c r="H1403" s="512">
        <v>0</v>
      </c>
      <c r="I1403" s="659" t="s">
        <v>103</v>
      </c>
      <c r="J1403" s="513">
        <v>0</v>
      </c>
      <c r="K1403" s="513">
        <v>0</v>
      </c>
      <c r="L1403" s="513">
        <v>0</v>
      </c>
      <c r="M1403" s="513">
        <v>591623.72445053351</v>
      </c>
      <c r="N1403" s="622"/>
    </row>
    <row r="1404" spans="2:14" ht="29.1">
      <c r="B1404" s="513" t="s">
        <v>571</v>
      </c>
      <c r="C1404" s="658">
        <v>2010</v>
      </c>
      <c r="D1404" s="513">
        <v>591623.72445053374</v>
      </c>
      <c r="E1404" s="512">
        <v>95170.92</v>
      </c>
      <c r="F1404" s="513">
        <v>95170.92</v>
      </c>
      <c r="G1404" s="512">
        <v>0</v>
      </c>
      <c r="H1404" s="512">
        <v>1438881</v>
      </c>
      <c r="I1404" s="659" t="s">
        <v>1749</v>
      </c>
      <c r="J1404" s="513">
        <v>0</v>
      </c>
      <c r="K1404" s="513">
        <v>0</v>
      </c>
      <c r="L1404" s="513">
        <v>0</v>
      </c>
      <c r="M1404" s="513">
        <v>2125675.6444505337</v>
      </c>
      <c r="N1404" s="622"/>
    </row>
    <row r="1405" spans="2:14">
      <c r="B1405" s="513" t="s">
        <v>571</v>
      </c>
      <c r="C1405" s="658">
        <v>2011</v>
      </c>
      <c r="D1405" s="513">
        <v>2125675.6444418696</v>
      </c>
      <c r="E1405" s="512">
        <v>96502.473245849353</v>
      </c>
      <c r="F1405" s="513">
        <v>96502.473245849353</v>
      </c>
      <c r="G1405" s="512">
        <v>0</v>
      </c>
      <c r="H1405" s="512">
        <v>0</v>
      </c>
      <c r="I1405" s="659" t="s">
        <v>103</v>
      </c>
      <c r="J1405" s="513">
        <v>45608.500000000022</v>
      </c>
      <c r="K1405" s="513">
        <v>0</v>
      </c>
      <c r="L1405" s="513">
        <v>0</v>
      </c>
      <c r="M1405" s="513">
        <v>2176569.6176877189</v>
      </c>
      <c r="N1405" s="622"/>
    </row>
    <row r="1406" spans="2:14">
      <c r="B1406" s="513" t="s">
        <v>571</v>
      </c>
      <c r="C1406" s="658">
        <v>2012</v>
      </c>
      <c r="D1406" s="513">
        <v>2176569.6176877185</v>
      </c>
      <c r="E1406" s="513">
        <v>75030.560743612295</v>
      </c>
      <c r="F1406" s="513">
        <v>75030.560743612295</v>
      </c>
      <c r="G1406" s="660">
        <v>0</v>
      </c>
      <c r="H1406" s="512">
        <v>97720</v>
      </c>
      <c r="I1406" s="659" t="s">
        <v>1750</v>
      </c>
      <c r="J1406" s="513">
        <v>109642.45999999988</v>
      </c>
      <c r="K1406" s="513">
        <v>0</v>
      </c>
      <c r="L1406" s="513">
        <v>0</v>
      </c>
      <c r="M1406" s="513">
        <v>2239677.7184313308</v>
      </c>
      <c r="N1406" s="622"/>
    </row>
    <row r="1407" spans="2:14" ht="43.5">
      <c r="B1407" s="513" t="s">
        <v>571</v>
      </c>
      <c r="C1407" s="658">
        <v>2013</v>
      </c>
      <c r="D1407" s="513">
        <v>2239678.1684313309</v>
      </c>
      <c r="E1407" s="513">
        <v>104676.62475222001</v>
      </c>
      <c r="F1407" s="513">
        <v>104676.62475222001</v>
      </c>
      <c r="G1407" s="660">
        <v>0</v>
      </c>
      <c r="H1407" s="512">
        <v>355890</v>
      </c>
      <c r="I1407" s="659" t="s">
        <v>1751</v>
      </c>
      <c r="J1407" s="513">
        <v>68755.960000000021</v>
      </c>
      <c r="K1407" s="513">
        <v>0</v>
      </c>
      <c r="L1407" s="513">
        <v>0</v>
      </c>
      <c r="M1407" s="513">
        <v>2631488.8331835512</v>
      </c>
      <c r="N1407" s="622"/>
    </row>
    <row r="1408" spans="2:14">
      <c r="B1408" s="513" t="s">
        <v>571</v>
      </c>
      <c r="C1408" s="658">
        <v>2014</v>
      </c>
      <c r="D1408" s="513">
        <v>2631489.157150419</v>
      </c>
      <c r="E1408" s="513">
        <v>108027.78164105945</v>
      </c>
      <c r="F1408" s="513">
        <v>108027.78164105945</v>
      </c>
      <c r="G1408" s="660">
        <v>0</v>
      </c>
      <c r="H1408" s="512">
        <v>0</v>
      </c>
      <c r="I1408" s="659" t="s">
        <v>103</v>
      </c>
      <c r="J1408" s="513">
        <v>90457.03999999995</v>
      </c>
      <c r="K1408" s="513">
        <v>0</v>
      </c>
      <c r="L1408" s="513">
        <v>0</v>
      </c>
      <c r="M1408" s="513">
        <v>2649059.8987914785</v>
      </c>
      <c r="N1408" s="622"/>
    </row>
    <row r="1409" spans="2:14" ht="29.1">
      <c r="B1409" s="513" t="s">
        <v>571</v>
      </c>
      <c r="C1409" s="658">
        <v>2015</v>
      </c>
      <c r="D1409" s="513">
        <v>2649059.8987914785</v>
      </c>
      <c r="E1409" s="513">
        <v>109388.67562538845</v>
      </c>
      <c r="F1409" s="513">
        <v>109388.67562538845</v>
      </c>
      <c r="G1409" s="660">
        <v>0</v>
      </c>
      <c r="H1409" s="660">
        <v>281343</v>
      </c>
      <c r="I1409" s="659" t="s">
        <v>1752</v>
      </c>
      <c r="J1409" s="513">
        <v>101476.83000000002</v>
      </c>
      <c r="K1409" s="513">
        <v>0</v>
      </c>
      <c r="L1409" s="513">
        <v>0</v>
      </c>
      <c r="M1409" s="513">
        <v>2938314.7444168669</v>
      </c>
      <c r="N1409" s="622"/>
    </row>
    <row r="1410" spans="2:14">
      <c r="B1410" s="513" t="s">
        <v>571</v>
      </c>
      <c r="C1410" s="658">
        <v>2016</v>
      </c>
      <c r="D1410" s="513">
        <v>2938314.7444168678</v>
      </c>
      <c r="E1410" s="513">
        <v>84449.934911142031</v>
      </c>
      <c r="F1410" s="513">
        <v>84449.934911142031</v>
      </c>
      <c r="G1410" s="660">
        <v>0</v>
      </c>
      <c r="H1410" s="660">
        <v>0</v>
      </c>
      <c r="I1410" s="659" t="s">
        <v>103</v>
      </c>
      <c r="J1410" s="513">
        <v>1417997.8900000001</v>
      </c>
      <c r="K1410" s="513">
        <v>1842408.17</v>
      </c>
      <c r="L1410" s="513">
        <v>0</v>
      </c>
      <c r="M1410" s="513">
        <v>1604766.7893280098</v>
      </c>
      <c r="N1410" s="622"/>
    </row>
    <row r="1411" spans="2:14" ht="29.1">
      <c r="B1411" s="513" t="s">
        <v>571</v>
      </c>
      <c r="C1411" s="658">
        <v>2017</v>
      </c>
      <c r="D1411" s="513">
        <v>1604766.7893280089</v>
      </c>
      <c r="E1411" s="513">
        <v>79680.452786416514</v>
      </c>
      <c r="F1411" s="513">
        <v>79680.452786416514</v>
      </c>
      <c r="G1411" s="513">
        <v>0</v>
      </c>
      <c r="H1411" s="513">
        <v>186947</v>
      </c>
      <c r="I1411" s="659" t="s">
        <v>1753</v>
      </c>
      <c r="J1411" s="513">
        <v>8469.49</v>
      </c>
      <c r="K1411" s="513">
        <v>0</v>
      </c>
      <c r="L1411" s="513">
        <v>-320460.15000000002</v>
      </c>
      <c r="M1411" s="513">
        <v>2183384.9021144253</v>
      </c>
      <c r="N1411" s="622"/>
    </row>
    <row r="1412" spans="2:14" ht="72.599999999999994">
      <c r="B1412" s="513" t="s">
        <v>571</v>
      </c>
      <c r="C1412" s="889">
        <v>2018</v>
      </c>
      <c r="D1412" s="513">
        <v>2183384.9021144253</v>
      </c>
      <c r="E1412" s="513">
        <f>VLOOKUP(B1412,'[6]2018 allocation'!$A$11:$B$218,2, FALSE)</f>
        <v>83880.820953476257</v>
      </c>
      <c r="F1412" s="513">
        <f>E1412</f>
        <v>83880.820953476257</v>
      </c>
      <c r="G1412" s="513">
        <v>0</v>
      </c>
      <c r="H1412" s="513">
        <v>8470294</v>
      </c>
      <c r="I1412" s="622" t="s">
        <v>1754</v>
      </c>
      <c r="J1412" s="513">
        <f>VLOOKUP(B1412,'[6]Annual Spending Worksheet '!$C$6:$AG$250,28,FALSE)</f>
        <v>-26095.21999999999</v>
      </c>
      <c r="K1412" s="513">
        <f>VLOOKUP(B1412,'[6]Annual Spending Worksheet '!$C$6:$AG$250,29,FALSE)</f>
        <v>0</v>
      </c>
      <c r="L1412" s="513">
        <v>0</v>
      </c>
      <c r="M1412" s="513">
        <f>D1412+E1412+H1412-J1412</f>
        <v>10763654.943067903</v>
      </c>
      <c r="N1412" s="513"/>
    </row>
    <row r="1413" spans="2:14">
      <c r="B1413" s="513" t="s">
        <v>571</v>
      </c>
      <c r="C1413" s="889">
        <v>2019</v>
      </c>
      <c r="D1413" s="513">
        <v>10763654.943067903</v>
      </c>
      <c r="E1413" s="513">
        <v>88264.004340641579</v>
      </c>
      <c r="F1413" s="513">
        <v>88264.004340641579</v>
      </c>
      <c r="G1413" s="513">
        <v>0</v>
      </c>
      <c r="H1413" s="513">
        <v>0</v>
      </c>
      <c r="I1413" s="622" t="s">
        <v>103</v>
      </c>
      <c r="J1413" s="513">
        <v>213.37</v>
      </c>
      <c r="K1413" s="513">
        <v>0</v>
      </c>
      <c r="L1413" s="513">
        <v>0</v>
      </c>
      <c r="M1413" s="513">
        <v>10851705.577408545</v>
      </c>
      <c r="N1413" s="513"/>
    </row>
    <row r="1414" spans="2:14">
      <c r="B1414" s="513" t="s">
        <v>578</v>
      </c>
      <c r="C1414" s="658">
        <v>2008</v>
      </c>
      <c r="D1414" s="513">
        <v>129015.932</v>
      </c>
      <c r="E1414" s="512">
        <v>4114.7057460118567</v>
      </c>
      <c r="F1414" s="513">
        <v>4114.7057460118567</v>
      </c>
      <c r="G1414" s="512">
        <v>0</v>
      </c>
      <c r="H1414" s="512">
        <v>-12022</v>
      </c>
      <c r="I1414" s="659" t="s">
        <v>562</v>
      </c>
      <c r="J1414" s="513">
        <v>0</v>
      </c>
      <c r="K1414" s="513">
        <v>0</v>
      </c>
      <c r="L1414" s="513">
        <v>0</v>
      </c>
      <c r="M1414" s="513">
        <v>121108.63774601187</v>
      </c>
      <c r="N1414" s="622"/>
    </row>
    <row r="1415" spans="2:14">
      <c r="B1415" s="513" t="s">
        <v>578</v>
      </c>
      <c r="C1415" s="658">
        <v>2009</v>
      </c>
      <c r="D1415" s="513">
        <v>121108.63774601187</v>
      </c>
      <c r="E1415" s="512">
        <v>-791.07067396965476</v>
      </c>
      <c r="F1415" s="513">
        <v>-791.07067396965476</v>
      </c>
      <c r="G1415" s="512">
        <v>0</v>
      </c>
      <c r="H1415" s="512">
        <v>0</v>
      </c>
      <c r="I1415" s="659" t="s">
        <v>103</v>
      </c>
      <c r="J1415" s="513">
        <v>0</v>
      </c>
      <c r="K1415" s="513">
        <v>0</v>
      </c>
      <c r="L1415" s="513">
        <v>0</v>
      </c>
      <c r="M1415" s="513">
        <v>120317.56707204221</v>
      </c>
      <c r="N1415" s="622"/>
    </row>
    <row r="1416" spans="2:14">
      <c r="B1416" s="513" t="s">
        <v>578</v>
      </c>
      <c r="C1416" s="658">
        <v>2010</v>
      </c>
      <c r="D1416" s="513">
        <v>120317.56707204219</v>
      </c>
      <c r="E1416" s="512">
        <v>-818.38</v>
      </c>
      <c r="F1416" s="513">
        <v>-818.38</v>
      </c>
      <c r="G1416" s="512">
        <v>0</v>
      </c>
      <c r="H1416" s="512">
        <v>0</v>
      </c>
      <c r="I1416" s="659" t="s">
        <v>103</v>
      </c>
      <c r="J1416" s="513">
        <v>0</v>
      </c>
      <c r="K1416" s="513">
        <v>0</v>
      </c>
      <c r="L1416" s="513">
        <v>0</v>
      </c>
      <c r="M1416" s="513">
        <v>119499.18707204219</v>
      </c>
      <c r="N1416" s="622"/>
    </row>
    <row r="1417" spans="2:14">
      <c r="B1417" s="513" t="s">
        <v>578</v>
      </c>
      <c r="C1417" s="658">
        <v>2011</v>
      </c>
      <c r="D1417" s="513">
        <v>119499.18754245882</v>
      </c>
      <c r="E1417" s="512">
        <v>-465.88356791732917</v>
      </c>
      <c r="F1417" s="513">
        <v>-465.88356791732917</v>
      </c>
      <c r="G1417" s="512">
        <v>0</v>
      </c>
      <c r="H1417" s="512">
        <v>0</v>
      </c>
      <c r="I1417" s="659" t="s">
        <v>103</v>
      </c>
      <c r="J1417" s="513">
        <v>0</v>
      </c>
      <c r="K1417" s="513">
        <v>0</v>
      </c>
      <c r="L1417" s="513">
        <v>0</v>
      </c>
      <c r="M1417" s="513">
        <v>119033.30397454149</v>
      </c>
      <c r="N1417" s="622"/>
    </row>
    <row r="1418" spans="2:14">
      <c r="B1418" s="513" t="s">
        <v>578</v>
      </c>
      <c r="C1418" s="658">
        <v>2012</v>
      </c>
      <c r="D1418" s="513">
        <v>119033.30397454149</v>
      </c>
      <c r="E1418" s="513">
        <v>0</v>
      </c>
      <c r="F1418" s="513">
        <v>0</v>
      </c>
      <c r="G1418" s="512">
        <v>0</v>
      </c>
      <c r="H1418" s="512">
        <v>0</v>
      </c>
      <c r="I1418" s="659" t="s">
        <v>103</v>
      </c>
      <c r="J1418" s="513">
        <v>0</v>
      </c>
      <c r="K1418" s="513">
        <v>0</v>
      </c>
      <c r="L1418" s="513">
        <v>0</v>
      </c>
      <c r="M1418" s="513">
        <v>119033.30397454149</v>
      </c>
      <c r="N1418" s="622"/>
    </row>
    <row r="1419" spans="2:14">
      <c r="B1419" s="513" t="s">
        <v>578</v>
      </c>
      <c r="C1419" s="658">
        <v>2013</v>
      </c>
      <c r="D1419" s="513">
        <v>119033.30397454149</v>
      </c>
      <c r="E1419" s="513">
        <v>1757.2686291153602</v>
      </c>
      <c r="F1419" s="513">
        <v>1757.2686291153602</v>
      </c>
      <c r="G1419" s="512">
        <v>0</v>
      </c>
      <c r="H1419" s="512">
        <v>0</v>
      </c>
      <c r="I1419" s="659" t="s">
        <v>103</v>
      </c>
      <c r="J1419" s="513">
        <v>0</v>
      </c>
      <c r="K1419" s="513">
        <v>0</v>
      </c>
      <c r="L1419" s="513">
        <v>0</v>
      </c>
      <c r="M1419" s="513">
        <v>120790.57260365685</v>
      </c>
      <c r="N1419" s="622"/>
    </row>
    <row r="1420" spans="2:14">
      <c r="B1420" s="513" t="s">
        <v>578</v>
      </c>
      <c r="C1420" s="658">
        <v>2014</v>
      </c>
      <c r="D1420" s="513">
        <v>120790.57260365685</v>
      </c>
      <c r="E1420" s="513">
        <v>2690.9059845244437</v>
      </c>
      <c r="F1420" s="513">
        <v>2690.9059845244437</v>
      </c>
      <c r="G1420" s="512">
        <v>0</v>
      </c>
      <c r="H1420" s="512">
        <v>0</v>
      </c>
      <c r="I1420" s="659" t="s">
        <v>103</v>
      </c>
      <c r="J1420" s="513">
        <v>0</v>
      </c>
      <c r="K1420" s="513">
        <v>0</v>
      </c>
      <c r="L1420" s="513">
        <v>0</v>
      </c>
      <c r="M1420" s="513">
        <v>123481.4785881813</v>
      </c>
      <c r="N1420" s="622"/>
    </row>
    <row r="1421" spans="2:14">
      <c r="B1421" s="513" t="s">
        <v>578</v>
      </c>
      <c r="C1421" s="658">
        <v>2015</v>
      </c>
      <c r="D1421" s="513">
        <v>123481.47858818129</v>
      </c>
      <c r="E1421" s="513">
        <v>3063.8422220868097</v>
      </c>
      <c r="F1421" s="513">
        <v>3063.8422220868097</v>
      </c>
      <c r="G1421" s="660">
        <v>0</v>
      </c>
      <c r="H1421" s="660">
        <v>0</v>
      </c>
      <c r="I1421" s="659" t="s">
        <v>103</v>
      </c>
      <c r="J1421" s="513">
        <v>0</v>
      </c>
      <c r="K1421" s="513">
        <v>0</v>
      </c>
      <c r="L1421" s="513">
        <v>0</v>
      </c>
      <c r="M1421" s="513">
        <v>126545.32081026809</v>
      </c>
      <c r="N1421" s="622"/>
    </row>
    <row r="1422" spans="2:14">
      <c r="B1422" s="513" t="s">
        <v>578</v>
      </c>
      <c r="C1422" s="658">
        <v>2016</v>
      </c>
      <c r="D1422" s="513">
        <v>126545.32081026811</v>
      </c>
      <c r="E1422" s="513">
        <v>0</v>
      </c>
      <c r="F1422" s="513">
        <v>0</v>
      </c>
      <c r="G1422" s="660">
        <v>0</v>
      </c>
      <c r="H1422" s="660">
        <v>0</v>
      </c>
      <c r="I1422" s="659" t="s">
        <v>103</v>
      </c>
      <c r="J1422" s="513">
        <v>0</v>
      </c>
      <c r="K1422" s="513">
        <v>0</v>
      </c>
      <c r="L1422" s="513">
        <v>0</v>
      </c>
      <c r="M1422" s="513">
        <v>126545.32081026811</v>
      </c>
      <c r="N1422" s="622"/>
    </row>
    <row r="1423" spans="2:14">
      <c r="B1423" s="513" t="s">
        <v>578</v>
      </c>
      <c r="C1423" s="658">
        <v>2017</v>
      </c>
      <c r="D1423" s="513">
        <v>126545.32081026811</v>
      </c>
      <c r="E1423" s="513">
        <v>0</v>
      </c>
      <c r="F1423" s="513">
        <v>0</v>
      </c>
      <c r="G1423" s="513">
        <v>0</v>
      </c>
      <c r="H1423" s="513">
        <v>0</v>
      </c>
      <c r="I1423" s="659" t="s">
        <v>103</v>
      </c>
      <c r="J1423" s="513">
        <v>0</v>
      </c>
      <c r="K1423" s="513">
        <v>0</v>
      </c>
      <c r="L1423" s="513">
        <v>0</v>
      </c>
      <c r="M1423" s="513">
        <v>126545.32081026811</v>
      </c>
      <c r="N1423" s="622"/>
    </row>
    <row r="1424" spans="2:14">
      <c r="B1424" s="513" t="s">
        <v>578</v>
      </c>
      <c r="C1424" s="889">
        <v>2018</v>
      </c>
      <c r="D1424" s="513">
        <v>126545.32081026811</v>
      </c>
      <c r="E1424" s="513">
        <f>VLOOKUP(B1424,'[6]2018 allocation'!$A$11:$B$218,2, FALSE)</f>
        <v>0</v>
      </c>
      <c r="F1424" s="513">
        <f>E1424</f>
        <v>0</v>
      </c>
      <c r="G1424" s="513">
        <v>0</v>
      </c>
      <c r="H1424" s="513">
        <v>0</v>
      </c>
      <c r="I1424" s="622" t="s">
        <v>103</v>
      </c>
      <c r="J1424" s="513">
        <f>VLOOKUP(B1424,'[6]Annual Spending Worksheet '!$C$6:$AG$250,28,FALSE)</f>
        <v>0</v>
      </c>
      <c r="K1424" s="513">
        <f>VLOOKUP(B1424,'[6]Annual Spending Worksheet '!$C$6:$AG$250,29,FALSE)</f>
        <v>0</v>
      </c>
      <c r="L1424" s="513">
        <v>0</v>
      </c>
      <c r="M1424" s="513">
        <f>D1424+E1424+H1424-J1424</f>
        <v>126545.32081026811</v>
      </c>
      <c r="N1424" s="513"/>
    </row>
    <row r="1425" spans="2:14">
      <c r="B1425" s="513" t="s">
        <v>578</v>
      </c>
      <c r="C1425" s="889">
        <v>2019</v>
      </c>
      <c r="D1425" s="513">
        <v>126545.32081026811</v>
      </c>
      <c r="E1425" s="513">
        <v>0</v>
      </c>
      <c r="F1425" s="513">
        <v>0</v>
      </c>
      <c r="G1425" s="513">
        <v>0</v>
      </c>
      <c r="H1425" s="513">
        <v>0</v>
      </c>
      <c r="I1425" s="622" t="s">
        <v>103</v>
      </c>
      <c r="J1425" s="513">
        <v>0</v>
      </c>
      <c r="K1425" s="513">
        <v>0</v>
      </c>
      <c r="L1425" s="513">
        <v>0</v>
      </c>
      <c r="M1425" s="513">
        <v>126545.32081026811</v>
      </c>
      <c r="N1425" s="513"/>
    </row>
    <row r="1426" spans="2:14">
      <c r="B1426" s="513" t="s">
        <v>579</v>
      </c>
      <c r="C1426" s="658">
        <v>2008</v>
      </c>
      <c r="D1426" s="513">
        <v>313866.43</v>
      </c>
      <c r="E1426" s="512">
        <v>15872.298904173229</v>
      </c>
      <c r="F1426" s="513">
        <v>15872.298904173229</v>
      </c>
      <c r="G1426" s="512">
        <v>0</v>
      </c>
      <c r="H1426" s="512">
        <v>-29775</v>
      </c>
      <c r="I1426" s="659" t="s">
        <v>562</v>
      </c>
      <c r="J1426" s="513">
        <v>0</v>
      </c>
      <c r="K1426" s="513">
        <v>0</v>
      </c>
      <c r="L1426" s="513">
        <v>0</v>
      </c>
      <c r="M1426" s="513">
        <v>299963.72890417324</v>
      </c>
      <c r="N1426" s="622"/>
    </row>
    <row r="1427" spans="2:14">
      <c r="B1427" s="513" t="s">
        <v>579</v>
      </c>
      <c r="C1427" s="658">
        <v>2009</v>
      </c>
      <c r="D1427" s="513">
        <v>299963.72890417324</v>
      </c>
      <c r="E1427" s="512">
        <v>11694.906797156726</v>
      </c>
      <c r="F1427" s="513">
        <v>11694.906797156726</v>
      </c>
      <c r="G1427" s="512">
        <v>0</v>
      </c>
      <c r="H1427" s="512">
        <v>0</v>
      </c>
      <c r="I1427" s="659" t="s">
        <v>103</v>
      </c>
      <c r="J1427" s="513">
        <v>0</v>
      </c>
      <c r="K1427" s="513">
        <v>0</v>
      </c>
      <c r="L1427" s="513">
        <v>0</v>
      </c>
      <c r="M1427" s="513">
        <v>311658.63570132997</v>
      </c>
      <c r="N1427" s="622"/>
    </row>
    <row r="1428" spans="2:14">
      <c r="B1428" s="513" t="s">
        <v>579</v>
      </c>
      <c r="C1428" s="658">
        <v>2010</v>
      </c>
      <c r="D1428" s="513">
        <v>311658.63570132997</v>
      </c>
      <c r="E1428" s="512">
        <v>11670.36</v>
      </c>
      <c r="F1428" s="513">
        <v>11670.36</v>
      </c>
      <c r="G1428" s="512">
        <v>0</v>
      </c>
      <c r="H1428" s="512">
        <v>-225000</v>
      </c>
      <c r="I1428" s="659" t="s">
        <v>1755</v>
      </c>
      <c r="J1428" s="513">
        <v>0</v>
      </c>
      <c r="K1428" s="513">
        <v>0</v>
      </c>
      <c r="L1428" s="513">
        <v>0</v>
      </c>
      <c r="M1428" s="513">
        <v>98328.995701329957</v>
      </c>
      <c r="N1428" s="622"/>
    </row>
    <row r="1429" spans="2:14">
      <c r="B1429" s="513" t="s">
        <v>579</v>
      </c>
      <c r="C1429" s="658">
        <v>2011</v>
      </c>
      <c r="D1429" s="513">
        <v>98328.991098770057</v>
      </c>
      <c r="E1429" s="512">
        <v>11973.108243949746</v>
      </c>
      <c r="F1429" s="513">
        <v>11973.108243949746</v>
      </c>
      <c r="G1429" s="512">
        <v>0</v>
      </c>
      <c r="H1429" s="512">
        <v>0</v>
      </c>
      <c r="I1429" s="659" t="s">
        <v>103</v>
      </c>
      <c r="J1429" s="513">
        <v>0</v>
      </c>
      <c r="K1429" s="513">
        <v>0</v>
      </c>
      <c r="L1429" s="513">
        <v>0</v>
      </c>
      <c r="M1429" s="513">
        <v>110302.0993427198</v>
      </c>
      <c r="N1429" s="622"/>
    </row>
    <row r="1430" spans="2:14">
      <c r="B1430" s="513" t="s">
        <v>579</v>
      </c>
      <c r="C1430" s="658">
        <v>2012</v>
      </c>
      <c r="D1430" s="513">
        <v>110302.09934271983</v>
      </c>
      <c r="E1430" s="513">
        <v>7042.0636411705536</v>
      </c>
      <c r="F1430" s="513">
        <v>7042.0636411705536</v>
      </c>
      <c r="G1430" s="512">
        <v>0</v>
      </c>
      <c r="H1430" s="512">
        <v>0</v>
      </c>
      <c r="I1430" s="659" t="s">
        <v>103</v>
      </c>
      <c r="J1430" s="513">
        <v>0</v>
      </c>
      <c r="K1430" s="513">
        <v>0</v>
      </c>
      <c r="L1430" s="513">
        <v>0</v>
      </c>
      <c r="M1430" s="513">
        <v>117344.16298389038</v>
      </c>
      <c r="N1430" s="622"/>
    </row>
    <row r="1431" spans="2:14">
      <c r="B1431" s="513" t="s">
        <v>579</v>
      </c>
      <c r="C1431" s="658">
        <v>2013</v>
      </c>
      <c r="D1431" s="513">
        <v>117344.16298389039</v>
      </c>
      <c r="E1431" s="513">
        <v>13849.759358821735</v>
      </c>
      <c r="F1431" s="513">
        <v>13849.759358821735</v>
      </c>
      <c r="G1431" s="512">
        <v>0</v>
      </c>
      <c r="H1431" s="512">
        <v>-117344</v>
      </c>
      <c r="I1431" s="659" t="s">
        <v>1756</v>
      </c>
      <c r="J1431" s="513">
        <v>0</v>
      </c>
      <c r="K1431" s="513">
        <v>0</v>
      </c>
      <c r="L1431" s="513">
        <v>0</v>
      </c>
      <c r="M1431" s="513">
        <v>13849.922342712118</v>
      </c>
      <c r="N1431" s="622"/>
    </row>
    <row r="1432" spans="2:14">
      <c r="B1432" s="513" t="s">
        <v>579</v>
      </c>
      <c r="C1432" s="658">
        <v>2014</v>
      </c>
      <c r="D1432" s="513">
        <v>13849.922342712118</v>
      </c>
      <c r="E1432" s="513">
        <v>14638.203272041981</v>
      </c>
      <c r="F1432" s="513">
        <v>14638.203272041981</v>
      </c>
      <c r="G1432" s="512">
        <v>0</v>
      </c>
      <c r="H1432" s="512">
        <v>0</v>
      </c>
      <c r="I1432" s="659" t="s">
        <v>103</v>
      </c>
      <c r="J1432" s="513">
        <v>0</v>
      </c>
      <c r="K1432" s="513">
        <v>0</v>
      </c>
      <c r="L1432" s="513">
        <v>0</v>
      </c>
      <c r="M1432" s="513">
        <v>28488.125614754099</v>
      </c>
      <c r="N1432" s="622"/>
    </row>
    <row r="1433" spans="2:14">
      <c r="B1433" s="513" t="s">
        <v>579</v>
      </c>
      <c r="C1433" s="658">
        <v>2015</v>
      </c>
      <c r="D1433" s="513">
        <v>28488.125614754099</v>
      </c>
      <c r="E1433" s="513">
        <v>14958.578600759036</v>
      </c>
      <c r="F1433" s="513">
        <v>14958.578600759036</v>
      </c>
      <c r="G1433" s="660">
        <v>0</v>
      </c>
      <c r="H1433" s="660">
        <v>0</v>
      </c>
      <c r="I1433" s="659" t="s">
        <v>103</v>
      </c>
      <c r="J1433" s="513">
        <v>0</v>
      </c>
      <c r="K1433" s="513">
        <v>0</v>
      </c>
      <c r="L1433" s="513">
        <v>0</v>
      </c>
      <c r="M1433" s="513">
        <v>43446.704215513135</v>
      </c>
      <c r="N1433" s="622"/>
    </row>
    <row r="1434" spans="2:14">
      <c r="B1434" s="513" t="s">
        <v>579</v>
      </c>
      <c r="C1434" s="658">
        <v>2016</v>
      </c>
      <c r="D1434" s="513">
        <v>43446.704215513135</v>
      </c>
      <c r="E1434" s="513">
        <v>9103.7262848783867</v>
      </c>
      <c r="F1434" s="513">
        <v>9103.7262848783867</v>
      </c>
      <c r="G1434" s="660">
        <v>0</v>
      </c>
      <c r="H1434" s="660">
        <v>0</v>
      </c>
      <c r="I1434" s="659" t="s">
        <v>103</v>
      </c>
      <c r="J1434" s="513">
        <v>0</v>
      </c>
      <c r="K1434" s="513">
        <v>0</v>
      </c>
      <c r="L1434" s="513">
        <v>0</v>
      </c>
      <c r="M1434" s="513">
        <v>52550.430500391521</v>
      </c>
      <c r="N1434" s="622"/>
    </row>
    <row r="1435" spans="2:14">
      <c r="B1435" s="513" t="s">
        <v>579</v>
      </c>
      <c r="C1435" s="658">
        <v>2017</v>
      </c>
      <c r="D1435" s="513">
        <v>52550.430500391521</v>
      </c>
      <c r="E1435" s="513">
        <v>7981.9058232296775</v>
      </c>
      <c r="F1435" s="513">
        <v>7981.9058232296775</v>
      </c>
      <c r="G1435" s="513">
        <v>0</v>
      </c>
      <c r="H1435" s="513">
        <v>0</v>
      </c>
      <c r="I1435" s="659" t="s">
        <v>103</v>
      </c>
      <c r="J1435" s="513">
        <v>0</v>
      </c>
      <c r="K1435" s="513">
        <v>0</v>
      </c>
      <c r="L1435" s="513">
        <v>0</v>
      </c>
      <c r="M1435" s="513">
        <v>60532.336323621203</v>
      </c>
      <c r="N1435" s="622"/>
    </row>
    <row r="1436" spans="2:14">
      <c r="B1436" s="513" t="s">
        <v>579</v>
      </c>
      <c r="C1436" s="889">
        <v>2018</v>
      </c>
      <c r="D1436" s="513">
        <v>60532.336323621203</v>
      </c>
      <c r="E1436" s="513">
        <f>VLOOKUP(B1436,'[6]2018 allocation'!$A$11:$B$218,2, FALSE)</f>
        <v>8975.3905753971685</v>
      </c>
      <c r="F1436" s="513">
        <f>E1436</f>
        <v>8975.3905753971685</v>
      </c>
      <c r="G1436" s="513">
        <v>0</v>
      </c>
      <c r="H1436" s="513">
        <v>0</v>
      </c>
      <c r="I1436" s="622" t="s">
        <v>103</v>
      </c>
      <c r="J1436" s="513">
        <f>VLOOKUP(B1436,'[6]Annual Spending Worksheet '!$C$6:$AG$250,28,FALSE)</f>
        <v>0</v>
      </c>
      <c r="K1436" s="513">
        <f>VLOOKUP(B1436,'[6]Annual Spending Worksheet '!$C$6:$AG$250,29,FALSE)</f>
        <v>0</v>
      </c>
      <c r="L1436" s="513">
        <v>0</v>
      </c>
      <c r="M1436" s="513">
        <f>D1436+E1436+H1436-J1436</f>
        <v>69507.726899018366</v>
      </c>
      <c r="N1436" s="513"/>
    </row>
    <row r="1437" spans="2:14">
      <c r="B1437" s="513" t="s">
        <v>579</v>
      </c>
      <c r="C1437" s="889">
        <v>2019</v>
      </c>
      <c r="D1437" s="513">
        <v>69507.726899018366</v>
      </c>
      <c r="E1437" s="513">
        <v>10006.873794858346</v>
      </c>
      <c r="F1437" s="513">
        <v>10006.873794858346</v>
      </c>
      <c r="G1437" s="513">
        <v>0</v>
      </c>
      <c r="H1437" s="513">
        <v>0</v>
      </c>
      <c r="I1437" s="622" t="s">
        <v>103</v>
      </c>
      <c r="J1437" s="513">
        <v>0</v>
      </c>
      <c r="K1437" s="513">
        <v>0</v>
      </c>
      <c r="L1437" s="513">
        <v>0</v>
      </c>
      <c r="M1437" s="513">
        <v>79514.60069387671</v>
      </c>
      <c r="N1437" s="513"/>
    </row>
    <row r="1438" spans="2:14">
      <c r="B1438" s="513" t="s">
        <v>580</v>
      </c>
      <c r="C1438" s="658">
        <v>2008</v>
      </c>
      <c r="D1438" s="513">
        <v>373896.55799999996</v>
      </c>
      <c r="E1438" s="512">
        <v>40538.797476916065</v>
      </c>
      <c r="F1438" s="513">
        <v>40538.797476916065</v>
      </c>
      <c r="G1438" s="512">
        <v>0</v>
      </c>
      <c r="H1438" s="512">
        <v>-37424</v>
      </c>
      <c r="I1438" s="659" t="s">
        <v>562</v>
      </c>
      <c r="J1438" s="513">
        <v>0</v>
      </c>
      <c r="K1438" s="513">
        <v>0</v>
      </c>
      <c r="L1438" s="513">
        <v>0</v>
      </c>
      <c r="M1438" s="513">
        <v>377011.35547691601</v>
      </c>
      <c r="N1438" s="622"/>
    </row>
    <row r="1439" spans="2:14">
      <c r="B1439" s="513" t="s">
        <v>580</v>
      </c>
      <c r="C1439" s="658">
        <v>2009</v>
      </c>
      <c r="D1439" s="513">
        <v>377011.35547691601</v>
      </c>
      <c r="E1439" s="512">
        <v>29115.670946193361</v>
      </c>
      <c r="F1439" s="513">
        <v>29115.670946193361</v>
      </c>
      <c r="G1439" s="512">
        <v>0</v>
      </c>
      <c r="H1439" s="512">
        <v>0</v>
      </c>
      <c r="I1439" s="659" t="s">
        <v>103</v>
      </c>
      <c r="J1439" s="513">
        <v>0</v>
      </c>
      <c r="K1439" s="513">
        <v>0</v>
      </c>
      <c r="L1439" s="513">
        <v>0</v>
      </c>
      <c r="M1439" s="513">
        <v>406127.02642310935</v>
      </c>
      <c r="N1439" s="622"/>
    </row>
    <row r="1440" spans="2:14">
      <c r="B1440" s="513" t="s">
        <v>580</v>
      </c>
      <c r="C1440" s="658">
        <v>2010</v>
      </c>
      <c r="D1440" s="513">
        <v>406127.02642310935</v>
      </c>
      <c r="E1440" s="512">
        <v>29020.3</v>
      </c>
      <c r="F1440" s="513">
        <v>29020.3</v>
      </c>
      <c r="G1440" s="512">
        <v>0</v>
      </c>
      <c r="H1440" s="512">
        <v>0</v>
      </c>
      <c r="I1440" s="659" t="s">
        <v>103</v>
      </c>
      <c r="J1440" s="513">
        <v>0</v>
      </c>
      <c r="K1440" s="513">
        <v>0</v>
      </c>
      <c r="L1440" s="513">
        <v>0</v>
      </c>
      <c r="M1440" s="513">
        <v>435147.32642310933</v>
      </c>
      <c r="N1440" s="622"/>
    </row>
    <row r="1441" spans="2:14">
      <c r="B1441" s="513" t="s">
        <v>580</v>
      </c>
      <c r="C1441" s="658">
        <v>2011</v>
      </c>
      <c r="D1441" s="513">
        <v>435147.32315966842</v>
      </c>
      <c r="E1441" s="512">
        <v>29862.50947961408</v>
      </c>
      <c r="F1441" s="513">
        <v>29862.50947961408</v>
      </c>
      <c r="G1441" s="512">
        <v>0</v>
      </c>
      <c r="H1441" s="512">
        <v>-80000</v>
      </c>
      <c r="I1441" s="659" t="s">
        <v>1757</v>
      </c>
      <c r="J1441" s="513">
        <v>0</v>
      </c>
      <c r="K1441" s="513">
        <v>0</v>
      </c>
      <c r="L1441" s="513">
        <v>0</v>
      </c>
      <c r="M1441" s="513">
        <v>385009.83263928251</v>
      </c>
      <c r="N1441" s="622"/>
    </row>
    <row r="1442" spans="2:14">
      <c r="B1442" s="513" t="s">
        <v>580</v>
      </c>
      <c r="C1442" s="658">
        <v>2012</v>
      </c>
      <c r="D1442" s="513">
        <v>385009.83263928251</v>
      </c>
      <c r="E1442" s="513">
        <v>16396.485912268683</v>
      </c>
      <c r="F1442" s="513">
        <v>16396.485912268683</v>
      </c>
      <c r="G1442" s="512">
        <v>0</v>
      </c>
      <c r="H1442" s="512">
        <v>0</v>
      </c>
      <c r="I1442" s="659" t="s">
        <v>103</v>
      </c>
      <c r="J1442" s="513">
        <v>0</v>
      </c>
      <c r="K1442" s="513">
        <v>0</v>
      </c>
      <c r="L1442" s="513">
        <v>0</v>
      </c>
      <c r="M1442" s="513">
        <v>401406.3185515512</v>
      </c>
      <c r="N1442" s="622"/>
    </row>
    <row r="1443" spans="2:14">
      <c r="B1443" s="513" t="s">
        <v>580</v>
      </c>
      <c r="C1443" s="658">
        <v>2013</v>
      </c>
      <c r="D1443" s="513">
        <v>401406.3185515512</v>
      </c>
      <c r="E1443" s="513">
        <v>35007.458046022002</v>
      </c>
      <c r="F1443" s="513">
        <v>35007.458046022002</v>
      </c>
      <c r="G1443" s="512">
        <v>0</v>
      </c>
      <c r="H1443" s="512">
        <v>0</v>
      </c>
      <c r="I1443" s="659" t="s">
        <v>103</v>
      </c>
      <c r="J1443" s="513">
        <v>0</v>
      </c>
      <c r="K1443" s="513">
        <v>0</v>
      </c>
      <c r="L1443" s="513">
        <v>0</v>
      </c>
      <c r="M1443" s="513">
        <v>436413.77659757319</v>
      </c>
      <c r="N1443" s="622"/>
    </row>
    <row r="1444" spans="2:14">
      <c r="B1444" s="513" t="s">
        <v>580</v>
      </c>
      <c r="C1444" s="658">
        <v>2014</v>
      </c>
      <c r="D1444" s="513">
        <v>436413.77659757319</v>
      </c>
      <c r="E1444" s="513">
        <v>37152.890474486892</v>
      </c>
      <c r="F1444" s="513">
        <v>37152.890474486892</v>
      </c>
      <c r="G1444" s="512">
        <v>0</v>
      </c>
      <c r="H1444" s="512">
        <v>0</v>
      </c>
      <c r="I1444" s="659" t="s">
        <v>103</v>
      </c>
      <c r="J1444" s="513">
        <v>0</v>
      </c>
      <c r="K1444" s="513">
        <v>0</v>
      </c>
      <c r="L1444" s="513">
        <v>0</v>
      </c>
      <c r="M1444" s="513">
        <v>473566.66707206005</v>
      </c>
      <c r="N1444" s="622"/>
    </row>
    <row r="1445" spans="2:14">
      <c r="B1445" s="513" t="s">
        <v>580</v>
      </c>
      <c r="C1445" s="658">
        <v>2015</v>
      </c>
      <c r="D1445" s="513">
        <v>473566.66707206005</v>
      </c>
      <c r="E1445" s="513">
        <v>38001.327456238447</v>
      </c>
      <c r="F1445" s="513">
        <v>38001.327456238447</v>
      </c>
      <c r="G1445" s="660">
        <v>0</v>
      </c>
      <c r="H1445" s="660">
        <v>0</v>
      </c>
      <c r="I1445" s="659" t="s">
        <v>103</v>
      </c>
      <c r="J1445" s="513">
        <v>0</v>
      </c>
      <c r="K1445" s="513">
        <v>0</v>
      </c>
      <c r="L1445" s="513">
        <v>0</v>
      </c>
      <c r="M1445" s="513">
        <v>511567.9945282985</v>
      </c>
      <c r="N1445" s="622"/>
    </row>
    <row r="1446" spans="2:14">
      <c r="B1446" s="513" t="s">
        <v>580</v>
      </c>
      <c r="C1446" s="658">
        <v>2016</v>
      </c>
      <c r="D1446" s="513">
        <v>511567.9945282985</v>
      </c>
      <c r="E1446" s="513">
        <v>22150.825612559165</v>
      </c>
      <c r="F1446" s="513">
        <v>22150.825612559165</v>
      </c>
      <c r="G1446" s="660">
        <v>0</v>
      </c>
      <c r="H1446" s="660">
        <v>0</v>
      </c>
      <c r="I1446" s="659" t="s">
        <v>103</v>
      </c>
      <c r="J1446" s="513">
        <v>0</v>
      </c>
      <c r="K1446" s="513">
        <v>0</v>
      </c>
      <c r="L1446" s="513">
        <v>0</v>
      </c>
      <c r="M1446" s="513">
        <v>533718.82014085772</v>
      </c>
      <c r="N1446" s="622"/>
    </row>
    <row r="1447" spans="2:14">
      <c r="B1447" s="513" t="s">
        <v>580</v>
      </c>
      <c r="C1447" s="658">
        <v>2017</v>
      </c>
      <c r="D1447" s="513">
        <v>533718.82014085772</v>
      </c>
      <c r="E1447" s="513">
        <v>19109.551220093781</v>
      </c>
      <c r="F1447" s="513">
        <v>19109.551220093781</v>
      </c>
      <c r="G1447" s="513">
        <v>0</v>
      </c>
      <c r="H1447" s="513">
        <v>0</v>
      </c>
      <c r="I1447" s="659" t="s">
        <v>103</v>
      </c>
      <c r="J1447" s="513">
        <v>0</v>
      </c>
      <c r="K1447" s="513">
        <v>0</v>
      </c>
      <c r="L1447" s="513">
        <v>0</v>
      </c>
      <c r="M1447" s="513">
        <v>552828.37136095145</v>
      </c>
      <c r="N1447" s="622"/>
    </row>
    <row r="1448" spans="2:14" ht="29.1">
      <c r="B1448" s="513" t="s">
        <v>580</v>
      </c>
      <c r="C1448" s="889">
        <v>2018</v>
      </c>
      <c r="D1448" s="513">
        <v>552828.37136095145</v>
      </c>
      <c r="E1448" s="513">
        <f>VLOOKUP(B1448,'[6]2018 allocation'!$A$11:$B$218,2, FALSE)</f>
        <v>21794.161915235098</v>
      </c>
      <c r="F1448" s="513">
        <f>E1448</f>
        <v>21794.161915235098</v>
      </c>
      <c r="G1448" s="513">
        <v>0</v>
      </c>
      <c r="H1448" s="513">
        <v>-574623</v>
      </c>
      <c r="I1448" s="622" t="s">
        <v>1758</v>
      </c>
      <c r="J1448" s="513">
        <f>VLOOKUP(B1448,'[6]Annual Spending Worksheet '!$C$6:$AG$250,28,FALSE)</f>
        <v>0</v>
      </c>
      <c r="K1448" s="513">
        <f>VLOOKUP(B1448,'[6]Annual Spending Worksheet '!$C$6:$AG$250,29,FALSE)</f>
        <v>0</v>
      </c>
      <c r="L1448" s="513">
        <v>0</v>
      </c>
      <c r="M1448" s="513">
        <f>D1448+E1448+H1448-J1448</f>
        <v>-0.46672381344251335</v>
      </c>
      <c r="N1448" s="513"/>
    </row>
    <row r="1449" spans="2:14">
      <c r="B1449" s="513" t="s">
        <v>580</v>
      </c>
      <c r="C1449" s="889">
        <v>2019</v>
      </c>
      <c r="D1449" s="513">
        <v>-0.46672381344251335</v>
      </c>
      <c r="E1449" s="513">
        <v>24587.655202299436</v>
      </c>
      <c r="F1449" s="513">
        <v>24587.655202299436</v>
      </c>
      <c r="G1449" s="513">
        <v>0</v>
      </c>
      <c r="H1449" s="513">
        <v>10372</v>
      </c>
      <c r="I1449" s="622" t="s">
        <v>1759</v>
      </c>
      <c r="J1449" s="513">
        <v>0</v>
      </c>
      <c r="K1449" s="513">
        <v>0</v>
      </c>
      <c r="L1449" s="513">
        <v>0</v>
      </c>
      <c r="M1449" s="513">
        <v>34959.188478485994</v>
      </c>
      <c r="N1449" s="513"/>
    </row>
    <row r="1450" spans="2:14" ht="29.1">
      <c r="B1450" s="513" t="s">
        <v>581</v>
      </c>
      <c r="C1450" s="658">
        <v>2008</v>
      </c>
      <c r="D1450" s="513">
        <v>-1413454.4380000001</v>
      </c>
      <c r="E1450" s="512">
        <v>31172.800704498284</v>
      </c>
      <c r="F1450" s="513">
        <v>31172.800704498284</v>
      </c>
      <c r="G1450" s="512">
        <v>-1382281.6372955018</v>
      </c>
      <c r="H1450" s="512">
        <v>0</v>
      </c>
      <c r="I1450" s="659" t="s">
        <v>103</v>
      </c>
      <c r="J1450" s="513">
        <v>0</v>
      </c>
      <c r="K1450" s="513">
        <v>0</v>
      </c>
      <c r="L1450" s="513">
        <v>0</v>
      </c>
      <c r="M1450" s="513">
        <v>-1382281.6372955018</v>
      </c>
      <c r="N1450" s="622" t="s">
        <v>1711</v>
      </c>
    </row>
    <row r="1451" spans="2:14" ht="29.1">
      <c r="B1451" s="513" t="s">
        <v>581</v>
      </c>
      <c r="C1451" s="658">
        <v>2009</v>
      </c>
      <c r="D1451" s="513">
        <v>-1382281.6372955018</v>
      </c>
      <c r="E1451" s="512">
        <v>4395.9377348845765</v>
      </c>
      <c r="F1451" s="513">
        <v>4395.9377348845765</v>
      </c>
      <c r="G1451" s="512">
        <v>-1377885.6995606171</v>
      </c>
      <c r="H1451" s="512">
        <v>0</v>
      </c>
      <c r="I1451" s="659" t="s">
        <v>103</v>
      </c>
      <c r="J1451" s="513">
        <v>0</v>
      </c>
      <c r="K1451" s="513">
        <v>0</v>
      </c>
      <c r="L1451" s="513">
        <v>0</v>
      </c>
      <c r="M1451" s="513">
        <v>-1377885.6995606171</v>
      </c>
      <c r="N1451" s="622" t="s">
        <v>1711</v>
      </c>
    </row>
    <row r="1452" spans="2:14" ht="29.1">
      <c r="B1452" s="513" t="s">
        <v>581</v>
      </c>
      <c r="C1452" s="658">
        <v>2010</v>
      </c>
      <c r="D1452" s="513">
        <v>-1377885.6995606171</v>
      </c>
      <c r="E1452" s="512">
        <v>4251.91</v>
      </c>
      <c r="F1452" s="513">
        <v>4251.91</v>
      </c>
      <c r="G1452" s="512">
        <v>-1373633.7895606172</v>
      </c>
      <c r="H1452" s="512">
        <v>0</v>
      </c>
      <c r="I1452" s="659" t="s">
        <v>103</v>
      </c>
      <c r="J1452" s="513">
        <v>0</v>
      </c>
      <c r="K1452" s="513">
        <v>0</v>
      </c>
      <c r="L1452" s="513">
        <v>0</v>
      </c>
      <c r="M1452" s="513">
        <v>-1373633.7895606172</v>
      </c>
      <c r="N1452" s="622" t="s">
        <v>1711</v>
      </c>
    </row>
    <row r="1453" spans="2:14" ht="29.1">
      <c r="B1453" s="513" t="s">
        <v>581</v>
      </c>
      <c r="C1453" s="658">
        <v>2011</v>
      </c>
      <c r="D1453" s="513">
        <v>-1373633.7928195139</v>
      </c>
      <c r="E1453" s="512">
        <v>6195.6986540398821</v>
      </c>
      <c r="F1453" s="513">
        <v>6195.6986540398821</v>
      </c>
      <c r="G1453" s="660">
        <v>-1367438.0941654739</v>
      </c>
      <c r="H1453" s="512">
        <v>0</v>
      </c>
      <c r="I1453" s="659">
        <v>0</v>
      </c>
      <c r="J1453" s="513">
        <v>0</v>
      </c>
      <c r="K1453" s="513">
        <v>0</v>
      </c>
      <c r="L1453" s="513">
        <v>0</v>
      </c>
      <c r="M1453" s="513">
        <v>-1367438.0941654739</v>
      </c>
      <c r="N1453" s="622" t="s">
        <v>1711</v>
      </c>
    </row>
    <row r="1454" spans="2:14" ht="29.1">
      <c r="B1454" s="513" t="s">
        <v>581</v>
      </c>
      <c r="C1454" s="658">
        <v>2012</v>
      </c>
      <c r="D1454" s="513">
        <v>-1367438.0941654739</v>
      </c>
      <c r="E1454" s="513">
        <v>0</v>
      </c>
      <c r="F1454" s="513">
        <v>0</v>
      </c>
      <c r="G1454" s="660">
        <v>-1367438.0941654739</v>
      </c>
      <c r="H1454" s="512">
        <v>0</v>
      </c>
      <c r="I1454" s="659" t="s">
        <v>103</v>
      </c>
      <c r="J1454" s="513">
        <v>0</v>
      </c>
      <c r="K1454" s="513">
        <v>0</v>
      </c>
      <c r="L1454" s="513">
        <v>0</v>
      </c>
      <c r="M1454" s="513">
        <v>-1367438.0941654739</v>
      </c>
      <c r="N1454" s="622" t="s">
        <v>1711</v>
      </c>
    </row>
    <row r="1455" spans="2:14" ht="29.1">
      <c r="B1455" s="513" t="s">
        <v>581</v>
      </c>
      <c r="C1455" s="658">
        <v>2013</v>
      </c>
      <c r="D1455" s="513">
        <v>-1367438.0941654739</v>
      </c>
      <c r="E1455" s="513">
        <v>18246.770355990659</v>
      </c>
      <c r="F1455" s="513">
        <v>18246.770355990659</v>
      </c>
      <c r="G1455" s="660">
        <v>-1349191.3238094833</v>
      </c>
      <c r="H1455" s="512">
        <v>0</v>
      </c>
      <c r="I1455" s="659" t="s">
        <v>103</v>
      </c>
      <c r="J1455" s="513">
        <v>0</v>
      </c>
      <c r="K1455" s="513">
        <v>0</v>
      </c>
      <c r="L1455" s="513">
        <v>0</v>
      </c>
      <c r="M1455" s="513">
        <v>-1349191.3238094833</v>
      </c>
      <c r="N1455" s="622" t="s">
        <v>1711</v>
      </c>
    </row>
    <row r="1456" spans="2:14" ht="29.1">
      <c r="B1456" s="513" t="s">
        <v>581</v>
      </c>
      <c r="C1456" s="658">
        <v>2014</v>
      </c>
      <c r="D1456" s="513">
        <v>-1349191.3238094833</v>
      </c>
      <c r="E1456" s="513">
        <v>23317.533388588374</v>
      </c>
      <c r="F1456" s="513">
        <v>23317.533388588374</v>
      </c>
      <c r="G1456" s="660">
        <v>-1325873.790420895</v>
      </c>
      <c r="H1456" s="512">
        <v>0</v>
      </c>
      <c r="I1456" s="659" t="s">
        <v>103</v>
      </c>
      <c r="J1456" s="513">
        <v>0</v>
      </c>
      <c r="K1456" s="513">
        <v>0</v>
      </c>
      <c r="L1456" s="513">
        <v>0</v>
      </c>
      <c r="M1456" s="513">
        <v>-1325873.790420895</v>
      </c>
      <c r="N1456" s="622" t="s">
        <v>1711</v>
      </c>
    </row>
    <row r="1457" spans="2:14" ht="29.1">
      <c r="B1457" s="513" t="s">
        <v>581</v>
      </c>
      <c r="C1457" s="658">
        <v>2015</v>
      </c>
      <c r="D1457" s="513">
        <v>-1325873.790420895</v>
      </c>
      <c r="E1457" s="513">
        <v>25516.209036062748</v>
      </c>
      <c r="F1457" s="513">
        <v>25516.209036062748</v>
      </c>
      <c r="G1457" s="660">
        <v>-1300357.5813848323</v>
      </c>
      <c r="H1457" s="660">
        <v>0</v>
      </c>
      <c r="I1457" s="659" t="s">
        <v>103</v>
      </c>
      <c r="J1457" s="513">
        <v>0</v>
      </c>
      <c r="K1457" s="513">
        <v>0</v>
      </c>
      <c r="L1457" s="513">
        <v>0</v>
      </c>
      <c r="M1457" s="513">
        <v>-1300357.5813848323</v>
      </c>
      <c r="N1457" s="622" t="s">
        <v>1711</v>
      </c>
    </row>
    <row r="1458" spans="2:14" ht="29.1">
      <c r="B1458" s="513" t="s">
        <v>581</v>
      </c>
      <c r="C1458" s="658">
        <v>2016</v>
      </c>
      <c r="D1458" s="513">
        <v>-1300357.5813848323</v>
      </c>
      <c r="E1458" s="513">
        <v>0</v>
      </c>
      <c r="F1458" s="513">
        <v>0</v>
      </c>
      <c r="G1458" s="660">
        <v>-1300357.5813848323</v>
      </c>
      <c r="H1458" s="660">
        <v>0</v>
      </c>
      <c r="I1458" s="659" t="s">
        <v>103</v>
      </c>
      <c r="J1458" s="513">
        <v>0</v>
      </c>
      <c r="K1458" s="513">
        <v>0</v>
      </c>
      <c r="L1458" s="513">
        <v>0</v>
      </c>
      <c r="M1458" s="513">
        <v>-1300357.5813848323</v>
      </c>
      <c r="N1458" s="622" t="s">
        <v>1711</v>
      </c>
    </row>
    <row r="1459" spans="2:14" ht="29.1">
      <c r="B1459" s="513" t="s">
        <v>581</v>
      </c>
      <c r="C1459" s="658">
        <v>2017</v>
      </c>
      <c r="D1459" s="513">
        <v>-1300357.5813848323</v>
      </c>
      <c r="E1459" s="513">
        <v>0</v>
      </c>
      <c r="F1459" s="513">
        <v>0</v>
      </c>
      <c r="G1459" s="513">
        <v>-1300357.5813848323</v>
      </c>
      <c r="H1459" s="513">
        <v>0</v>
      </c>
      <c r="I1459" s="659" t="s">
        <v>103</v>
      </c>
      <c r="J1459" s="513">
        <v>0</v>
      </c>
      <c r="K1459" s="513">
        <v>0</v>
      </c>
      <c r="L1459" s="513">
        <v>0</v>
      </c>
      <c r="M1459" s="513">
        <v>-1300357.5813848323</v>
      </c>
      <c r="N1459" s="622" t="s">
        <v>1711</v>
      </c>
    </row>
    <row r="1460" spans="2:14" ht="29.1">
      <c r="B1460" s="513" t="s">
        <v>581</v>
      </c>
      <c r="C1460" s="889">
        <v>2018</v>
      </c>
      <c r="D1460" s="513">
        <v>-1300357.5813848323</v>
      </c>
      <c r="E1460" s="513">
        <f>VLOOKUP(B1460,'[6]2018 allocation'!$A$11:$B$218,2, FALSE)</f>
        <v>0</v>
      </c>
      <c r="F1460" s="513">
        <f>E1460</f>
        <v>0</v>
      </c>
      <c r="G1460" s="513">
        <f>D1460+E1460</f>
        <v>-1300357.5813848323</v>
      </c>
      <c r="H1460" s="513">
        <v>0</v>
      </c>
      <c r="I1460" s="622" t="s">
        <v>103</v>
      </c>
      <c r="J1460" s="513">
        <f>VLOOKUP(B1460,'[6]Annual Spending Worksheet '!$C$6:$AG$250,28,FALSE)</f>
        <v>0</v>
      </c>
      <c r="K1460" s="513">
        <f>VLOOKUP(B1460,'[6]Annual Spending Worksheet '!$C$6:$AG$250,29,FALSE)</f>
        <v>0</v>
      </c>
      <c r="L1460" s="513">
        <v>0</v>
      </c>
      <c r="M1460" s="513">
        <f>D1460+E1460+H1460-J1460</f>
        <v>-1300357.5813848323</v>
      </c>
      <c r="N1460" s="622" t="s">
        <v>1711</v>
      </c>
    </row>
    <row r="1461" spans="2:14" ht="29.1">
      <c r="B1461" s="513" t="s">
        <v>581</v>
      </c>
      <c r="C1461" s="889">
        <v>2019</v>
      </c>
      <c r="D1461" s="513">
        <v>-1300357.5813848323</v>
      </c>
      <c r="E1461" s="513">
        <v>0</v>
      </c>
      <c r="F1461" s="513">
        <v>0</v>
      </c>
      <c r="G1461" s="513">
        <v>-1300357.5813848323</v>
      </c>
      <c r="H1461" s="513">
        <v>0</v>
      </c>
      <c r="I1461" s="622" t="s">
        <v>103</v>
      </c>
      <c r="J1461" s="513">
        <v>0</v>
      </c>
      <c r="K1461" s="513">
        <v>0</v>
      </c>
      <c r="L1461" s="513">
        <v>0</v>
      </c>
      <c r="M1461" s="513">
        <v>-1300357.5813848323</v>
      </c>
      <c r="N1461" s="622" t="s">
        <v>1711</v>
      </c>
    </row>
    <row r="1462" spans="2:14">
      <c r="B1462" s="513" t="s">
        <v>582</v>
      </c>
      <c r="C1462" s="658">
        <v>2008</v>
      </c>
      <c r="D1462" s="513">
        <v>931888.56099999999</v>
      </c>
      <c r="E1462" s="512">
        <v>58786.12515771584</v>
      </c>
      <c r="F1462" s="513">
        <v>58786.12515771584</v>
      </c>
      <c r="G1462" s="660">
        <v>0</v>
      </c>
      <c r="H1462" s="512">
        <v>0</v>
      </c>
      <c r="I1462" s="659" t="s">
        <v>103</v>
      </c>
      <c r="J1462" s="513">
        <v>488678.18</v>
      </c>
      <c r="K1462" s="513">
        <v>0</v>
      </c>
      <c r="L1462" s="513">
        <v>0</v>
      </c>
      <c r="M1462" s="513">
        <v>501996.50615771586</v>
      </c>
      <c r="N1462" s="622"/>
    </row>
    <row r="1463" spans="2:14" ht="29.1">
      <c r="B1463" s="513" t="s">
        <v>582</v>
      </c>
      <c r="C1463" s="658">
        <v>2009</v>
      </c>
      <c r="D1463" s="513">
        <v>501996.5061577158</v>
      </c>
      <c r="E1463" s="512">
        <v>49000.634506230213</v>
      </c>
      <c r="F1463" s="513">
        <v>49000.634506230213</v>
      </c>
      <c r="G1463" s="660">
        <v>0</v>
      </c>
      <c r="H1463" s="512">
        <v>0</v>
      </c>
      <c r="I1463" s="659" t="s">
        <v>103</v>
      </c>
      <c r="J1463" s="513">
        <v>825314.4</v>
      </c>
      <c r="K1463" s="513">
        <v>0</v>
      </c>
      <c r="L1463" s="513">
        <v>0</v>
      </c>
      <c r="M1463" s="513">
        <v>-274317.25933605398</v>
      </c>
      <c r="N1463" s="622" t="s">
        <v>1717</v>
      </c>
    </row>
    <row r="1464" spans="2:14" ht="29.1">
      <c r="B1464" s="513" t="s">
        <v>582</v>
      </c>
      <c r="C1464" s="658">
        <v>2010</v>
      </c>
      <c r="D1464" s="513">
        <v>-274317.25933605386</v>
      </c>
      <c r="E1464" s="512">
        <v>48947.839999999997</v>
      </c>
      <c r="F1464" s="513">
        <v>48947.839999999997</v>
      </c>
      <c r="G1464" s="660">
        <v>-225369.41933605386</v>
      </c>
      <c r="H1464" s="512">
        <v>0</v>
      </c>
      <c r="I1464" s="659" t="s">
        <v>103</v>
      </c>
      <c r="J1464" s="513">
        <v>3798.2300000000009</v>
      </c>
      <c r="K1464" s="513">
        <v>0</v>
      </c>
      <c r="L1464" s="513">
        <v>48777</v>
      </c>
      <c r="M1464" s="513">
        <v>-277944.64933605387</v>
      </c>
      <c r="N1464" s="622" t="s">
        <v>1717</v>
      </c>
    </row>
    <row r="1465" spans="2:14" ht="29.1">
      <c r="B1465" s="513" t="s">
        <v>582</v>
      </c>
      <c r="C1465" s="658">
        <v>2011</v>
      </c>
      <c r="D1465" s="513">
        <v>-277944.6415300509</v>
      </c>
      <c r="E1465" s="512">
        <v>49653.744358359647</v>
      </c>
      <c r="F1465" s="513">
        <v>49653.744358359647</v>
      </c>
      <c r="G1465" s="660">
        <v>-228290.89717169123</v>
      </c>
      <c r="H1465" s="512">
        <v>0</v>
      </c>
      <c r="I1465" s="659" t="s">
        <v>103</v>
      </c>
      <c r="J1465" s="513">
        <v>-238.85</v>
      </c>
      <c r="K1465" s="513">
        <v>0</v>
      </c>
      <c r="L1465" s="513">
        <v>0</v>
      </c>
      <c r="M1465" s="513">
        <v>-228052.04717169123</v>
      </c>
      <c r="N1465" s="622" t="s">
        <v>1717</v>
      </c>
    </row>
    <row r="1466" spans="2:14" ht="29.1">
      <c r="B1466" s="513" t="s">
        <v>582</v>
      </c>
      <c r="C1466" s="658">
        <v>2012</v>
      </c>
      <c r="D1466" s="513">
        <v>-228052.0471716912</v>
      </c>
      <c r="E1466" s="513">
        <v>38025.132983435411</v>
      </c>
      <c r="F1466" s="513">
        <v>38025.132983435411</v>
      </c>
      <c r="G1466" s="660">
        <v>-190026.91418825579</v>
      </c>
      <c r="H1466" s="512">
        <v>0</v>
      </c>
      <c r="I1466" s="659" t="s">
        <v>103</v>
      </c>
      <c r="J1466" s="513">
        <v>-1412.5700000000004</v>
      </c>
      <c r="K1466" s="513">
        <v>0</v>
      </c>
      <c r="L1466" s="513">
        <v>24056.150000000081</v>
      </c>
      <c r="M1466" s="513">
        <v>-212670.49418825586</v>
      </c>
      <c r="N1466" s="622" t="s">
        <v>1717</v>
      </c>
    </row>
    <row r="1467" spans="2:14" ht="29.1">
      <c r="B1467" s="513" t="s">
        <v>582</v>
      </c>
      <c r="C1467" s="658">
        <v>2013</v>
      </c>
      <c r="D1467" s="513">
        <v>-212670.49418825586</v>
      </c>
      <c r="E1467" s="513">
        <v>54084.995211048932</v>
      </c>
      <c r="F1467" s="513">
        <v>54084.995211048932</v>
      </c>
      <c r="G1467" s="660">
        <v>-158585.49897720694</v>
      </c>
      <c r="H1467" s="512">
        <v>0</v>
      </c>
      <c r="I1467" s="659" t="s">
        <v>103</v>
      </c>
      <c r="J1467" s="513">
        <v>0</v>
      </c>
      <c r="K1467" s="513">
        <v>0</v>
      </c>
      <c r="L1467" s="513">
        <v>0</v>
      </c>
      <c r="M1467" s="513">
        <v>-158585.49897720694</v>
      </c>
      <c r="N1467" s="622" t="s">
        <v>1717</v>
      </c>
    </row>
    <row r="1468" spans="2:14" ht="29.1">
      <c r="B1468" s="513" t="s">
        <v>582</v>
      </c>
      <c r="C1468" s="658">
        <v>2014</v>
      </c>
      <c r="D1468" s="513">
        <v>-158585.49897720688</v>
      </c>
      <c r="E1468" s="513">
        <v>55963.988979449765</v>
      </c>
      <c r="F1468" s="513">
        <v>55963.988979449765</v>
      </c>
      <c r="G1468" s="660">
        <v>-102621.50999775712</v>
      </c>
      <c r="H1468" s="512">
        <v>0</v>
      </c>
      <c r="I1468" s="659" t="s">
        <v>103</v>
      </c>
      <c r="J1468" s="513">
        <v>0</v>
      </c>
      <c r="K1468" s="513">
        <v>0</v>
      </c>
      <c r="L1468" s="513">
        <v>0</v>
      </c>
      <c r="M1468" s="513">
        <v>-102621.50999775712</v>
      </c>
      <c r="N1468" s="622" t="s">
        <v>1717</v>
      </c>
    </row>
    <row r="1469" spans="2:14" ht="29.1">
      <c r="B1469" s="513" t="s">
        <v>582</v>
      </c>
      <c r="C1469" s="658">
        <v>2015</v>
      </c>
      <c r="D1469" s="513">
        <v>-102621.50999775715</v>
      </c>
      <c r="E1469" s="513">
        <v>56742.684168070948</v>
      </c>
      <c r="F1469" s="513">
        <v>56742.684168070948</v>
      </c>
      <c r="G1469" s="660">
        <v>-45878.825829686204</v>
      </c>
      <c r="H1469" s="660">
        <v>0</v>
      </c>
      <c r="I1469" s="659" t="s">
        <v>103</v>
      </c>
      <c r="J1469" s="513">
        <v>0</v>
      </c>
      <c r="K1469" s="513">
        <v>1530842.87</v>
      </c>
      <c r="L1469" s="513">
        <v>0</v>
      </c>
      <c r="M1469" s="513">
        <v>-45878.825829686204</v>
      </c>
      <c r="N1469" s="622" t="s">
        <v>1717</v>
      </c>
    </row>
    <row r="1470" spans="2:14" ht="29.1">
      <c r="B1470" s="513" t="s">
        <v>582</v>
      </c>
      <c r="C1470" s="658">
        <v>2016</v>
      </c>
      <c r="D1470" s="513">
        <v>-45878.825829686131</v>
      </c>
      <c r="E1470" s="513">
        <v>42720.241210460314</v>
      </c>
      <c r="F1470" s="513">
        <v>42720.241210460314</v>
      </c>
      <c r="G1470" s="660">
        <v>-3158.5846192258177</v>
      </c>
      <c r="H1470" s="660">
        <v>0</v>
      </c>
      <c r="I1470" s="659" t="s">
        <v>103</v>
      </c>
      <c r="J1470" s="513">
        <v>1026.8699999999999</v>
      </c>
      <c r="K1470" s="513">
        <v>0</v>
      </c>
      <c r="L1470" s="513">
        <v>0</v>
      </c>
      <c r="M1470" s="513">
        <v>-4185.4546192258176</v>
      </c>
      <c r="N1470" s="622" t="s">
        <v>1717</v>
      </c>
    </row>
    <row r="1471" spans="2:14">
      <c r="B1471" s="513" t="s">
        <v>582</v>
      </c>
      <c r="C1471" s="658">
        <v>2017</v>
      </c>
      <c r="D1471" s="513">
        <v>-4185.4546192260459</v>
      </c>
      <c r="E1471" s="513">
        <v>39985.147620727243</v>
      </c>
      <c r="F1471" s="513">
        <v>39985.147620727243</v>
      </c>
      <c r="G1471" s="513">
        <v>0</v>
      </c>
      <c r="H1471" s="513">
        <v>0</v>
      </c>
      <c r="I1471" s="659" t="s">
        <v>103</v>
      </c>
      <c r="J1471" s="513">
        <v>0</v>
      </c>
      <c r="K1471" s="513">
        <v>0</v>
      </c>
      <c r="L1471" s="513">
        <v>0</v>
      </c>
      <c r="M1471" s="513">
        <v>35799.693001501197</v>
      </c>
      <c r="N1471" s="622"/>
    </row>
    <row r="1472" spans="2:14">
      <c r="B1472" s="513" t="s">
        <v>582</v>
      </c>
      <c r="C1472" s="889">
        <v>2018</v>
      </c>
      <c r="D1472" s="513">
        <v>35799.693001501197</v>
      </c>
      <c r="E1472" s="513">
        <f>VLOOKUP(B1472,'[6]2018 allocation'!$A$11:$B$218,2, FALSE)</f>
        <v>42334.607230011999</v>
      </c>
      <c r="F1472" s="513">
        <f>E1472</f>
        <v>42334.607230011999</v>
      </c>
      <c r="G1472" s="513">
        <v>0</v>
      </c>
      <c r="H1472" s="513">
        <v>0</v>
      </c>
      <c r="I1472" s="622" t="s">
        <v>103</v>
      </c>
      <c r="J1472" s="513">
        <f>VLOOKUP(B1472,'[6]Annual Spending Worksheet '!$C$6:$AG$250,28,FALSE)</f>
        <v>0</v>
      </c>
      <c r="K1472" s="513">
        <f>VLOOKUP(B1472,'[6]Annual Spending Worksheet '!$C$6:$AG$250,29,FALSE)</f>
        <v>0</v>
      </c>
      <c r="L1472" s="513">
        <v>0</v>
      </c>
      <c r="M1472" s="513">
        <f>D1472+E1472+H1472-J1472</f>
        <v>78134.300231513189</v>
      </c>
      <c r="N1472" s="513"/>
    </row>
    <row r="1473" spans="2:14">
      <c r="B1473" s="513" t="s">
        <v>582</v>
      </c>
      <c r="C1473" s="889">
        <v>2019</v>
      </c>
      <c r="D1473" s="513">
        <v>78134.300231513189</v>
      </c>
      <c r="E1473" s="513">
        <v>44810.244100549637</v>
      </c>
      <c r="F1473" s="513">
        <v>44810.244100549637</v>
      </c>
      <c r="G1473" s="513">
        <v>0</v>
      </c>
      <c r="H1473" s="513">
        <v>0</v>
      </c>
      <c r="I1473" s="622" t="s">
        <v>103</v>
      </c>
      <c r="J1473" s="513">
        <v>0</v>
      </c>
      <c r="K1473" s="513">
        <v>0</v>
      </c>
      <c r="L1473" s="513">
        <v>0</v>
      </c>
      <c r="M1473" s="513">
        <v>122944.54433206283</v>
      </c>
      <c r="N1473" s="513"/>
    </row>
    <row r="1474" spans="2:14" ht="29.1">
      <c r="B1474" s="513" t="s">
        <v>585</v>
      </c>
      <c r="C1474" s="658">
        <v>2008</v>
      </c>
      <c r="D1474" s="513">
        <v>647328.14799999981</v>
      </c>
      <c r="E1474" s="512">
        <v>105945.32597000622</v>
      </c>
      <c r="F1474" s="513">
        <v>105945.32597000622</v>
      </c>
      <c r="G1474" s="512">
        <v>0</v>
      </c>
      <c r="H1474" s="512">
        <v>0</v>
      </c>
      <c r="I1474" s="659" t="s">
        <v>103</v>
      </c>
      <c r="J1474" s="513">
        <v>828040.86</v>
      </c>
      <c r="K1474" s="513">
        <v>0</v>
      </c>
      <c r="L1474" s="513">
        <v>0</v>
      </c>
      <c r="M1474" s="513">
        <v>-74767.386029993999</v>
      </c>
      <c r="N1474" s="622" t="s">
        <v>1711</v>
      </c>
    </row>
    <row r="1475" spans="2:14">
      <c r="B1475" s="513" t="s">
        <v>585</v>
      </c>
      <c r="C1475" s="658">
        <v>2009</v>
      </c>
      <c r="D1475" s="513">
        <v>-74767.38602999365</v>
      </c>
      <c r="E1475" s="512">
        <v>83092.989457985794</v>
      </c>
      <c r="F1475" s="513">
        <v>83092.989457985794</v>
      </c>
      <c r="G1475" s="512">
        <v>0</v>
      </c>
      <c r="H1475" s="512">
        <v>0</v>
      </c>
      <c r="I1475" s="659" t="s">
        <v>103</v>
      </c>
      <c r="J1475" s="513">
        <v>-106501.31999999999</v>
      </c>
      <c r="K1475" s="513">
        <v>0</v>
      </c>
      <c r="L1475" s="513">
        <v>0</v>
      </c>
      <c r="M1475" s="513">
        <v>114826.92342799214</v>
      </c>
      <c r="N1475" s="622"/>
    </row>
    <row r="1476" spans="2:14">
      <c r="B1476" s="513" t="s">
        <v>585</v>
      </c>
      <c r="C1476" s="658">
        <v>2010</v>
      </c>
      <c r="D1476" s="513">
        <v>114826.9234279925</v>
      </c>
      <c r="E1476" s="512">
        <v>82977.820000000007</v>
      </c>
      <c r="F1476" s="513">
        <v>82977.820000000007</v>
      </c>
      <c r="G1476" s="512">
        <v>0</v>
      </c>
      <c r="H1476" s="512">
        <v>0</v>
      </c>
      <c r="I1476" s="659" t="s">
        <v>103</v>
      </c>
      <c r="J1476" s="513">
        <v>0</v>
      </c>
      <c r="K1476" s="513">
        <v>0</v>
      </c>
      <c r="L1476" s="513">
        <v>0</v>
      </c>
      <c r="M1476" s="513">
        <v>197804.74342799251</v>
      </c>
      <c r="N1476" s="622"/>
    </row>
    <row r="1477" spans="2:14" ht="29.1">
      <c r="B1477" s="513" t="s">
        <v>585</v>
      </c>
      <c r="C1477" s="658">
        <v>2011</v>
      </c>
      <c r="D1477" s="513">
        <v>197804.7420885656</v>
      </c>
      <c r="E1477" s="512">
        <v>84638.27473086612</v>
      </c>
      <c r="F1477" s="513">
        <v>84638.27473086612</v>
      </c>
      <c r="G1477" s="512">
        <v>0</v>
      </c>
      <c r="H1477" s="512">
        <v>-188255</v>
      </c>
      <c r="I1477" s="659" t="s">
        <v>1760</v>
      </c>
      <c r="J1477" s="513">
        <v>95145.72</v>
      </c>
      <c r="K1477" s="513">
        <v>0</v>
      </c>
      <c r="L1477" s="513">
        <v>0</v>
      </c>
      <c r="M1477" s="513">
        <v>-957.70318056826363</v>
      </c>
      <c r="N1477" s="622" t="s">
        <v>1711</v>
      </c>
    </row>
    <row r="1478" spans="2:14">
      <c r="B1478" s="513" t="s">
        <v>585</v>
      </c>
      <c r="C1478" s="658">
        <v>2012</v>
      </c>
      <c r="D1478" s="513">
        <v>-957.70318056829274</v>
      </c>
      <c r="E1478" s="512">
        <v>57902.628144716145</v>
      </c>
      <c r="F1478" s="513">
        <v>57902.628144716145</v>
      </c>
      <c r="G1478" s="512">
        <v>0</v>
      </c>
      <c r="H1478" s="512">
        <v>0</v>
      </c>
      <c r="I1478" s="659" t="s">
        <v>103</v>
      </c>
      <c r="J1478" s="513">
        <v>0</v>
      </c>
      <c r="K1478" s="513">
        <v>0</v>
      </c>
      <c r="L1478" s="513">
        <v>0</v>
      </c>
      <c r="M1478" s="513">
        <v>56944.924964147853</v>
      </c>
      <c r="N1478" s="622"/>
    </row>
    <row r="1479" spans="2:14">
      <c r="B1479" s="513" t="s">
        <v>585</v>
      </c>
      <c r="C1479" s="658">
        <v>2013</v>
      </c>
      <c r="D1479" s="513">
        <v>75125.985064147972</v>
      </c>
      <c r="E1479" s="513">
        <v>94841.60744391779</v>
      </c>
      <c r="F1479" s="513">
        <v>94841.60744391779</v>
      </c>
      <c r="G1479" s="512">
        <v>0</v>
      </c>
      <c r="H1479" s="512">
        <v>-169968</v>
      </c>
      <c r="I1479" s="659" t="s">
        <v>1761</v>
      </c>
      <c r="J1479" s="513">
        <v>0</v>
      </c>
      <c r="K1479" s="513">
        <v>0</v>
      </c>
      <c r="L1479" s="513">
        <v>0</v>
      </c>
      <c r="M1479" s="513">
        <v>-0.40749193425290287</v>
      </c>
      <c r="N1479" s="622"/>
    </row>
    <row r="1480" spans="2:14">
      <c r="B1480" s="513" t="s">
        <v>585</v>
      </c>
      <c r="C1480" s="658">
        <v>2014</v>
      </c>
      <c r="D1480" s="513">
        <v>-0.40749193402007222</v>
      </c>
      <c r="E1480" s="513">
        <v>99143.25393044934</v>
      </c>
      <c r="F1480" s="513">
        <v>99143.25393044934</v>
      </c>
      <c r="G1480" s="512">
        <v>0</v>
      </c>
      <c r="H1480" s="512">
        <v>-99143</v>
      </c>
      <c r="I1480" s="659" t="s">
        <v>1762</v>
      </c>
      <c r="J1480" s="513">
        <v>0</v>
      </c>
      <c r="K1480" s="513">
        <v>0</v>
      </c>
      <c r="L1480" s="513">
        <v>0</v>
      </c>
      <c r="M1480" s="513">
        <v>-0.15356148467981257</v>
      </c>
      <c r="N1480" s="622"/>
    </row>
    <row r="1481" spans="2:14">
      <c r="B1481" s="513" t="s">
        <v>585</v>
      </c>
      <c r="C1481" s="658">
        <v>2015</v>
      </c>
      <c r="D1481" s="513">
        <v>-0.15356148453429341</v>
      </c>
      <c r="E1481" s="513">
        <v>100957.01315397605</v>
      </c>
      <c r="F1481" s="513">
        <v>100957.01315397605</v>
      </c>
      <c r="G1481" s="660">
        <v>0</v>
      </c>
      <c r="H1481" s="512">
        <v>-100957</v>
      </c>
      <c r="I1481" s="659" t="s">
        <v>1763</v>
      </c>
      <c r="J1481" s="513">
        <v>0</v>
      </c>
      <c r="K1481" s="513">
        <v>0</v>
      </c>
      <c r="L1481" s="513">
        <v>0</v>
      </c>
      <c r="M1481" s="513">
        <v>-0.14040750848653261</v>
      </c>
      <c r="N1481" s="622"/>
    </row>
    <row r="1482" spans="2:14">
      <c r="B1482" s="513" t="s">
        <v>585</v>
      </c>
      <c r="C1482" s="658">
        <v>2016</v>
      </c>
      <c r="D1482" s="513">
        <v>-0.14040750870481133</v>
      </c>
      <c r="E1482" s="513">
        <v>68951.971327277744</v>
      </c>
      <c r="F1482" s="513">
        <v>68951.971327277744</v>
      </c>
      <c r="G1482" s="660">
        <v>0</v>
      </c>
      <c r="H1482" s="660">
        <v>0</v>
      </c>
      <c r="I1482" s="659" t="s">
        <v>103</v>
      </c>
      <c r="J1482" s="513">
        <v>0</v>
      </c>
      <c r="K1482" s="513">
        <v>0</v>
      </c>
      <c r="L1482" s="513">
        <v>0</v>
      </c>
      <c r="M1482" s="513">
        <v>68951.83091976904</v>
      </c>
      <c r="N1482" s="622"/>
    </row>
    <row r="1483" spans="2:14">
      <c r="B1483" s="513" t="s">
        <v>585</v>
      </c>
      <c r="C1483" s="658">
        <v>2017</v>
      </c>
      <c r="D1483" s="513">
        <v>68951.830919769127</v>
      </c>
      <c r="E1483" s="513">
        <v>62809.774765962153</v>
      </c>
      <c r="F1483" s="513">
        <v>62809.774765962153</v>
      </c>
      <c r="G1483" s="660">
        <v>0</v>
      </c>
      <c r="H1483" s="660">
        <v>-131762</v>
      </c>
      <c r="I1483" s="659" t="s">
        <v>1764</v>
      </c>
      <c r="J1483" s="513">
        <v>0</v>
      </c>
      <c r="K1483" s="513">
        <v>0</v>
      </c>
      <c r="L1483" s="513">
        <v>0</v>
      </c>
      <c r="M1483" s="513">
        <v>-0.39431426872033626</v>
      </c>
      <c r="N1483" s="622"/>
    </row>
    <row r="1484" spans="2:14">
      <c r="B1484" s="513" t="s">
        <v>585</v>
      </c>
      <c r="C1484" s="889">
        <v>2018</v>
      </c>
      <c r="D1484" s="513">
        <v>-0.39431426872033626</v>
      </c>
      <c r="E1484" s="513">
        <f>VLOOKUP(B1484,'[6]2018 allocation'!$A$11:$B$218,2, FALSE)</f>
        <v>68185.818711106476</v>
      </c>
      <c r="F1484" s="513">
        <f>E1484</f>
        <v>68185.818711106476</v>
      </c>
      <c r="G1484" s="513">
        <v>0</v>
      </c>
      <c r="H1484" s="513">
        <v>0</v>
      </c>
      <c r="I1484" s="622" t="s">
        <v>103</v>
      </c>
      <c r="J1484" s="513">
        <f>VLOOKUP(B1484,'[6]Annual Spending Worksheet '!$C$6:$AG$250,28,FALSE)</f>
        <v>0</v>
      </c>
      <c r="K1484" s="513">
        <f>VLOOKUP(B1484,'[6]Annual Spending Worksheet '!$C$6:$AG$250,29,FALSE)</f>
        <v>0</v>
      </c>
      <c r="L1484" s="513">
        <v>0</v>
      </c>
      <c r="M1484" s="513">
        <f>D1484+E1484+H1484-J1484</f>
        <v>68185.424396837756</v>
      </c>
      <c r="N1484" s="513"/>
    </row>
    <row r="1485" spans="2:14">
      <c r="B1485" s="513" t="s">
        <v>585</v>
      </c>
      <c r="C1485" s="889">
        <v>2019</v>
      </c>
      <c r="D1485" s="513">
        <v>68185.424396837756</v>
      </c>
      <c r="E1485" s="513">
        <v>73824.075270351357</v>
      </c>
      <c r="F1485" s="513">
        <v>73824.075270351357</v>
      </c>
      <c r="G1485" s="513">
        <v>0</v>
      </c>
      <c r="H1485" s="513">
        <v>-142009</v>
      </c>
      <c r="I1485" s="622" t="s">
        <v>1765</v>
      </c>
      <c r="J1485" s="513">
        <v>0</v>
      </c>
      <c r="K1485" s="513">
        <v>0</v>
      </c>
      <c r="L1485" s="513">
        <v>0</v>
      </c>
      <c r="M1485" s="513">
        <v>0.49966718911309727</v>
      </c>
      <c r="N1485" s="513"/>
    </row>
    <row r="1486" spans="2:14" ht="29.1">
      <c r="B1486" s="513" t="s">
        <v>589</v>
      </c>
      <c r="C1486" s="658">
        <v>2008</v>
      </c>
      <c r="D1486" s="513">
        <v>-2006616.5270000007</v>
      </c>
      <c r="E1486" s="512">
        <v>304810.44222378556</v>
      </c>
      <c r="F1486" s="513">
        <v>304810.44222378556</v>
      </c>
      <c r="G1486" s="512">
        <v>-1701806.0847762153</v>
      </c>
      <c r="H1486" s="512">
        <v>0</v>
      </c>
      <c r="I1486" s="659" t="s">
        <v>103</v>
      </c>
      <c r="J1486" s="513">
        <v>-2184.08</v>
      </c>
      <c r="K1486" s="513">
        <v>0</v>
      </c>
      <c r="L1486" s="513">
        <v>0</v>
      </c>
      <c r="M1486" s="513">
        <v>-1699622.0047762152</v>
      </c>
      <c r="N1486" s="622" t="s">
        <v>1711</v>
      </c>
    </row>
    <row r="1487" spans="2:14" ht="29.1">
      <c r="B1487" s="513" t="s">
        <v>589</v>
      </c>
      <c r="C1487" s="658">
        <v>2009</v>
      </c>
      <c r="D1487" s="513">
        <v>-1699622.0047762152</v>
      </c>
      <c r="E1487" s="512">
        <v>244991.96325890583</v>
      </c>
      <c r="F1487" s="513">
        <v>244991.96325890583</v>
      </c>
      <c r="G1487" s="512">
        <v>-1454630.0415173094</v>
      </c>
      <c r="H1487" s="512">
        <v>0</v>
      </c>
      <c r="I1487" s="659" t="s">
        <v>103</v>
      </c>
      <c r="J1487" s="513">
        <v>26.81</v>
      </c>
      <c r="K1487" s="513">
        <v>0</v>
      </c>
      <c r="L1487" s="513">
        <v>0</v>
      </c>
      <c r="M1487" s="513">
        <v>-1454656.8515173094</v>
      </c>
      <c r="N1487" s="622" t="s">
        <v>1711</v>
      </c>
    </row>
    <row r="1488" spans="2:14" ht="29.1">
      <c r="B1488" s="513" t="s">
        <v>589</v>
      </c>
      <c r="C1488" s="658">
        <v>2010</v>
      </c>
      <c r="D1488" s="513">
        <v>-1454656.8515173104</v>
      </c>
      <c r="E1488" s="512">
        <v>244733.9</v>
      </c>
      <c r="F1488" s="513">
        <v>244733.9</v>
      </c>
      <c r="G1488" s="512">
        <v>-1209922.9515173105</v>
      </c>
      <c r="H1488" s="512">
        <v>0</v>
      </c>
      <c r="I1488" s="659" t="s">
        <v>103</v>
      </c>
      <c r="J1488" s="513">
        <v>0</v>
      </c>
      <c r="K1488" s="513">
        <v>0</v>
      </c>
      <c r="L1488" s="513">
        <v>0</v>
      </c>
      <c r="M1488" s="513">
        <v>-1209922.9515173105</v>
      </c>
      <c r="N1488" s="622" t="s">
        <v>1711</v>
      </c>
    </row>
    <row r="1489" spans="2:14" ht="29.1">
      <c r="B1489" s="513" t="s">
        <v>589</v>
      </c>
      <c r="C1489" s="658">
        <v>2011</v>
      </c>
      <c r="D1489" s="513">
        <v>-1209922.94755763</v>
      </c>
      <c r="E1489" s="512">
        <v>249766.04731705677</v>
      </c>
      <c r="F1489" s="513">
        <v>249766.04731705677</v>
      </c>
      <c r="G1489" s="512">
        <v>-960156.90024057322</v>
      </c>
      <c r="H1489" s="512">
        <v>188255</v>
      </c>
      <c r="I1489" s="659" t="s">
        <v>1766</v>
      </c>
      <c r="J1489" s="513">
        <v>0</v>
      </c>
      <c r="K1489" s="513">
        <v>0</v>
      </c>
      <c r="L1489" s="513">
        <v>0</v>
      </c>
      <c r="M1489" s="513">
        <v>-771901.90024057322</v>
      </c>
      <c r="N1489" s="622" t="s">
        <v>1711</v>
      </c>
    </row>
    <row r="1490" spans="2:14">
      <c r="B1490" s="513" t="s">
        <v>589</v>
      </c>
      <c r="C1490" s="658">
        <v>2012</v>
      </c>
      <c r="D1490" s="513">
        <v>-771901.90024057403</v>
      </c>
      <c r="E1490" s="513">
        <v>184290.91535236343</v>
      </c>
      <c r="F1490" s="513">
        <v>184290.91535236343</v>
      </c>
      <c r="G1490" s="512">
        <v>-587610.98488821066</v>
      </c>
      <c r="H1490" s="512">
        <v>1847982</v>
      </c>
      <c r="I1490" s="659" t="s">
        <v>1767</v>
      </c>
      <c r="J1490" s="513">
        <v>-0.14000000000000001</v>
      </c>
      <c r="K1490" s="513">
        <v>0</v>
      </c>
      <c r="L1490" s="513">
        <v>0</v>
      </c>
      <c r="M1490" s="513">
        <v>1260371.1551117892</v>
      </c>
      <c r="N1490" s="622"/>
    </row>
    <row r="1491" spans="2:14">
      <c r="B1491" s="513" t="s">
        <v>589</v>
      </c>
      <c r="C1491" s="658">
        <v>2013</v>
      </c>
      <c r="D1491" s="513">
        <v>1260371.0151117891</v>
      </c>
      <c r="E1491" s="513">
        <v>274961.19779301592</v>
      </c>
      <c r="F1491" s="513">
        <v>274961.19779301592</v>
      </c>
      <c r="G1491" s="512">
        <v>0</v>
      </c>
      <c r="H1491" s="512">
        <v>169968</v>
      </c>
      <c r="I1491" s="659" t="s">
        <v>1768</v>
      </c>
      <c r="J1491" s="513">
        <v>0</v>
      </c>
      <c r="K1491" s="513">
        <v>0</v>
      </c>
      <c r="L1491" s="513">
        <v>0</v>
      </c>
      <c r="M1491" s="513">
        <v>1705300.2129048051</v>
      </c>
      <c r="N1491" s="622"/>
    </row>
    <row r="1492" spans="2:14">
      <c r="B1492" s="513" t="s">
        <v>589</v>
      </c>
      <c r="C1492" s="658">
        <v>2014</v>
      </c>
      <c r="D1492" s="513">
        <v>1705300.2129048053</v>
      </c>
      <c r="E1492" s="513">
        <v>285392.54362309875</v>
      </c>
      <c r="F1492" s="513">
        <v>285392.54362309875</v>
      </c>
      <c r="G1492" s="660">
        <v>0</v>
      </c>
      <c r="H1492" s="512">
        <v>99143</v>
      </c>
      <c r="I1492" s="659" t="s">
        <v>103</v>
      </c>
      <c r="J1492" s="513">
        <v>261417.93000000011</v>
      </c>
      <c r="K1492" s="513">
        <v>0</v>
      </c>
      <c r="L1492" s="513">
        <v>0</v>
      </c>
      <c r="M1492" s="513">
        <v>1828417.8265279038</v>
      </c>
      <c r="N1492" s="622"/>
    </row>
    <row r="1493" spans="2:14">
      <c r="B1493" s="513" t="s">
        <v>589</v>
      </c>
      <c r="C1493" s="658">
        <v>2015</v>
      </c>
      <c r="D1493" s="513">
        <v>1828417.8265279047</v>
      </c>
      <c r="E1493" s="513">
        <v>289520.97947127651</v>
      </c>
      <c r="F1493" s="513">
        <v>289520.97947127651</v>
      </c>
      <c r="G1493" s="660">
        <v>0</v>
      </c>
      <c r="H1493" s="660">
        <v>100957</v>
      </c>
      <c r="I1493" s="659" t="s">
        <v>1769</v>
      </c>
      <c r="J1493" s="513">
        <v>68506.459999999992</v>
      </c>
      <c r="K1493" s="513">
        <v>0</v>
      </c>
      <c r="L1493" s="513">
        <v>0</v>
      </c>
      <c r="M1493" s="513">
        <v>2150389.3459991813</v>
      </c>
      <c r="N1493" s="622"/>
    </row>
    <row r="1494" spans="2:14">
      <c r="B1494" s="513" t="s">
        <v>589</v>
      </c>
      <c r="C1494" s="658">
        <v>2016</v>
      </c>
      <c r="D1494" s="513">
        <v>2150389.3459991813</v>
      </c>
      <c r="E1494" s="513">
        <v>212263.36934796575</v>
      </c>
      <c r="F1494" s="513">
        <v>212263.36934796575</v>
      </c>
      <c r="G1494" s="660">
        <v>0</v>
      </c>
      <c r="H1494" s="660">
        <v>0</v>
      </c>
      <c r="I1494" s="659" t="s">
        <v>103</v>
      </c>
      <c r="J1494" s="513">
        <v>542262.78999999992</v>
      </c>
      <c r="K1494" s="513">
        <v>0</v>
      </c>
      <c r="L1494" s="513">
        <v>0</v>
      </c>
      <c r="M1494" s="513">
        <v>1820389.925347147</v>
      </c>
      <c r="N1494" s="622"/>
    </row>
    <row r="1495" spans="2:14">
      <c r="B1495" s="513" t="s">
        <v>589</v>
      </c>
      <c r="C1495" s="658">
        <v>2017</v>
      </c>
      <c r="D1495" s="513">
        <v>1820389.9253471475</v>
      </c>
      <c r="E1495" s="513">
        <v>197449.57340053309</v>
      </c>
      <c r="F1495" s="513">
        <v>197449.57340053309</v>
      </c>
      <c r="G1495" s="513">
        <v>0</v>
      </c>
      <c r="H1495" s="513">
        <v>131762</v>
      </c>
      <c r="I1495" s="659" t="s">
        <v>1770</v>
      </c>
      <c r="J1495" s="513">
        <v>155429.19</v>
      </c>
      <c r="K1495" s="513">
        <v>0</v>
      </c>
      <c r="L1495" s="513">
        <v>0</v>
      </c>
      <c r="M1495" s="513">
        <v>1994172.3087476804</v>
      </c>
      <c r="N1495" s="622"/>
    </row>
    <row r="1496" spans="2:14">
      <c r="B1496" s="513" t="s">
        <v>589</v>
      </c>
      <c r="C1496" s="889">
        <v>2018</v>
      </c>
      <c r="D1496" s="513">
        <v>1994172.3087476804</v>
      </c>
      <c r="E1496" s="513">
        <f>VLOOKUP(B1496,'[6]2018 allocation'!$A$11:$B$218,2, FALSE)</f>
        <v>210245.0496845991</v>
      </c>
      <c r="F1496" s="513">
        <f>E1496</f>
        <v>210245.0496845991</v>
      </c>
      <c r="G1496" s="513">
        <v>0</v>
      </c>
      <c r="H1496" s="513">
        <v>0</v>
      </c>
      <c r="I1496" s="622" t="s">
        <v>103</v>
      </c>
      <c r="J1496" s="513">
        <f>VLOOKUP(B1496,'[6]Annual Spending Worksheet '!$C$6:$AG$250,28,FALSE)</f>
        <v>133836.18999999997</v>
      </c>
      <c r="K1496" s="513">
        <f>VLOOKUP(B1496,'[6]Annual Spending Worksheet '!$C$6:$AG$250,29,FALSE)</f>
        <v>0</v>
      </c>
      <c r="L1496" s="513">
        <v>0</v>
      </c>
      <c r="M1496" s="513">
        <f>D1496+E1496+H1496-J1496</f>
        <v>2070581.1684322795</v>
      </c>
      <c r="N1496" s="513"/>
    </row>
    <row r="1497" spans="2:14" ht="29.1">
      <c r="B1497" s="513" t="s">
        <v>589</v>
      </c>
      <c r="C1497" s="889">
        <v>2019</v>
      </c>
      <c r="D1497" s="513">
        <v>2070581.1684322795</v>
      </c>
      <c r="E1497" s="513">
        <v>223882.94076589553</v>
      </c>
      <c r="F1497" s="513">
        <v>223882.94076589553</v>
      </c>
      <c r="G1497" s="513">
        <v>0</v>
      </c>
      <c r="H1497" s="513">
        <v>2864224</v>
      </c>
      <c r="I1497" s="622" t="s">
        <v>1771</v>
      </c>
      <c r="J1497" s="513">
        <v>409359.78</v>
      </c>
      <c r="K1497" s="513">
        <v>0</v>
      </c>
      <c r="L1497" s="513">
        <v>0</v>
      </c>
      <c r="M1497" s="513">
        <v>4749328.3291981751</v>
      </c>
      <c r="N1497" s="513"/>
    </row>
    <row r="1498" spans="2:14">
      <c r="B1498" s="513" t="s">
        <v>596</v>
      </c>
      <c r="C1498" s="658">
        <v>2008</v>
      </c>
      <c r="D1498" s="513">
        <v>1703304.2959999982</v>
      </c>
      <c r="E1498" s="512">
        <v>411733.24124345829</v>
      </c>
      <c r="F1498" s="513">
        <v>411733.24124345829</v>
      </c>
      <c r="G1498" s="512">
        <v>0</v>
      </c>
      <c r="H1498" s="512">
        <v>0</v>
      </c>
      <c r="I1498" s="659" t="s">
        <v>103</v>
      </c>
      <c r="J1498" s="513">
        <v>0</v>
      </c>
      <c r="K1498" s="513">
        <v>0</v>
      </c>
      <c r="L1498" s="513">
        <v>0</v>
      </c>
      <c r="M1498" s="513">
        <v>2115037.5372434566</v>
      </c>
      <c r="N1498" s="622"/>
    </row>
    <row r="1499" spans="2:14">
      <c r="B1499" s="513" t="s">
        <v>596</v>
      </c>
      <c r="C1499" s="658">
        <v>2009</v>
      </c>
      <c r="D1499" s="513">
        <v>2115037.5372434556</v>
      </c>
      <c r="E1499" s="512">
        <v>326386.22594561102</v>
      </c>
      <c r="F1499" s="513">
        <v>326386.22594561102</v>
      </c>
      <c r="G1499" s="512">
        <v>0</v>
      </c>
      <c r="H1499" s="512">
        <v>0</v>
      </c>
      <c r="I1499" s="659" t="s">
        <v>103</v>
      </c>
      <c r="J1499" s="513">
        <v>0</v>
      </c>
      <c r="K1499" s="513">
        <v>0</v>
      </c>
      <c r="L1499" s="513">
        <v>0</v>
      </c>
      <c r="M1499" s="513">
        <v>2441423.7631890667</v>
      </c>
      <c r="N1499" s="622"/>
    </row>
    <row r="1500" spans="2:14">
      <c r="B1500" s="513" t="s">
        <v>596</v>
      </c>
      <c r="C1500" s="658">
        <v>2010</v>
      </c>
      <c r="D1500" s="513">
        <v>2441423.7631890662</v>
      </c>
      <c r="E1500" s="513">
        <v>325781.43</v>
      </c>
      <c r="F1500" s="513">
        <v>325781.43</v>
      </c>
      <c r="G1500" s="660">
        <v>0</v>
      </c>
      <c r="H1500" s="512">
        <v>0</v>
      </c>
      <c r="I1500" s="659" t="s">
        <v>103</v>
      </c>
      <c r="J1500" s="513">
        <v>0</v>
      </c>
      <c r="K1500" s="513">
        <v>0</v>
      </c>
      <c r="L1500" s="513">
        <v>0</v>
      </c>
      <c r="M1500" s="513">
        <v>2767205.1931890664</v>
      </c>
      <c r="N1500" s="622"/>
    </row>
    <row r="1501" spans="2:14">
      <c r="B1501" s="513" t="s">
        <v>596</v>
      </c>
      <c r="C1501" s="658">
        <v>2011</v>
      </c>
      <c r="D1501" s="513">
        <v>2767205.1897710636</v>
      </c>
      <c r="E1501" s="513">
        <v>331912.69135856436</v>
      </c>
      <c r="F1501" s="513">
        <v>331912.69135856436</v>
      </c>
      <c r="G1501" s="660">
        <v>0</v>
      </c>
      <c r="H1501" s="512">
        <v>0</v>
      </c>
      <c r="I1501" s="659" t="s">
        <v>103</v>
      </c>
      <c r="J1501" s="513">
        <v>187168.74999999997</v>
      </c>
      <c r="K1501" s="513">
        <v>0</v>
      </c>
      <c r="L1501" s="513">
        <v>0</v>
      </c>
      <c r="M1501" s="513">
        <v>2911949.131129628</v>
      </c>
      <c r="N1501" s="622"/>
    </row>
    <row r="1502" spans="2:14">
      <c r="B1502" s="513" t="s">
        <v>596</v>
      </c>
      <c r="C1502" s="658">
        <v>2012</v>
      </c>
      <c r="D1502" s="513">
        <v>2911949.131129628</v>
      </c>
      <c r="E1502" s="513">
        <v>229831.74161117873</v>
      </c>
      <c r="F1502" s="513">
        <v>229831.74161117873</v>
      </c>
      <c r="G1502" s="660">
        <v>0</v>
      </c>
      <c r="H1502" s="512">
        <v>0</v>
      </c>
      <c r="I1502" s="659" t="s">
        <v>103</v>
      </c>
      <c r="J1502" s="513">
        <v>299067.69000000012</v>
      </c>
      <c r="K1502" s="513">
        <v>0</v>
      </c>
      <c r="L1502" s="513">
        <v>0</v>
      </c>
      <c r="M1502" s="513">
        <v>2842713.1827408071</v>
      </c>
      <c r="N1502" s="622"/>
    </row>
    <row r="1503" spans="2:14">
      <c r="B1503" s="513" t="s">
        <v>596</v>
      </c>
      <c r="C1503" s="658">
        <v>2013</v>
      </c>
      <c r="D1503" s="513">
        <v>2842713.1827408075</v>
      </c>
      <c r="E1503" s="513">
        <v>370875.92520936177</v>
      </c>
      <c r="F1503" s="513">
        <v>370875.92520936177</v>
      </c>
      <c r="G1503" s="660">
        <v>0</v>
      </c>
      <c r="H1503" s="660">
        <v>0</v>
      </c>
      <c r="I1503" s="659" t="s">
        <v>103</v>
      </c>
      <c r="J1503" s="513">
        <v>1995279.87</v>
      </c>
      <c r="K1503" s="513">
        <v>0</v>
      </c>
      <c r="L1503" s="513">
        <v>0</v>
      </c>
      <c r="M1503" s="513">
        <v>1218309.237950169</v>
      </c>
      <c r="N1503" s="622"/>
    </row>
    <row r="1504" spans="2:14">
      <c r="B1504" s="513" t="s">
        <v>596</v>
      </c>
      <c r="C1504" s="658">
        <v>2014</v>
      </c>
      <c r="D1504" s="513">
        <v>1218309.2379501686</v>
      </c>
      <c r="E1504" s="513">
        <v>387284.93749526225</v>
      </c>
      <c r="F1504" s="513">
        <v>387284.93749526225</v>
      </c>
      <c r="G1504" s="660">
        <v>0</v>
      </c>
      <c r="H1504" s="660">
        <v>0</v>
      </c>
      <c r="I1504" s="659" t="s">
        <v>103</v>
      </c>
      <c r="J1504" s="513">
        <v>2711039.4200000023</v>
      </c>
      <c r="K1504" s="513">
        <v>5286650</v>
      </c>
      <c r="L1504" s="513">
        <v>129544.57</v>
      </c>
      <c r="M1504" s="513">
        <v>-1234989.8145545714</v>
      </c>
      <c r="N1504" s="622" t="s">
        <v>1715</v>
      </c>
    </row>
    <row r="1505" spans="2:14">
      <c r="B1505" s="513" t="s">
        <v>596</v>
      </c>
      <c r="C1505" s="658">
        <v>2015</v>
      </c>
      <c r="D1505" s="513">
        <v>-1234989.8145545702</v>
      </c>
      <c r="E1505" s="513">
        <v>393923.48603681452</v>
      </c>
      <c r="F1505" s="513">
        <v>393923.48603681452</v>
      </c>
      <c r="G1505" s="513">
        <v>-841066.32851775573</v>
      </c>
      <c r="H1505" s="513">
        <v>0</v>
      </c>
      <c r="I1505" s="659" t="s">
        <v>103</v>
      </c>
      <c r="J1505" s="513">
        <v>-35391.17</v>
      </c>
      <c r="K1505" s="513">
        <v>0</v>
      </c>
      <c r="L1505" s="513">
        <v>-58.34</v>
      </c>
      <c r="M1505" s="513">
        <v>-805616.81851775572</v>
      </c>
      <c r="N1505" s="622" t="s">
        <v>1715</v>
      </c>
    </row>
    <row r="1506" spans="2:14">
      <c r="B1506" s="513" t="s">
        <v>596</v>
      </c>
      <c r="C1506" s="658">
        <v>2016</v>
      </c>
      <c r="D1506" s="513">
        <v>-805616.81851775572</v>
      </c>
      <c r="E1506" s="512">
        <v>272119.59290943149</v>
      </c>
      <c r="F1506" s="513">
        <v>272119.59290943149</v>
      </c>
      <c r="G1506" s="512">
        <v>-533497.22560832417</v>
      </c>
      <c r="H1506" s="512">
        <v>0</v>
      </c>
      <c r="I1506" s="659" t="s">
        <v>103</v>
      </c>
      <c r="J1506" s="513">
        <v>0</v>
      </c>
      <c r="K1506" s="513">
        <v>0</v>
      </c>
      <c r="L1506" s="513">
        <v>0</v>
      </c>
      <c r="M1506" s="513">
        <v>-533497.22560832417</v>
      </c>
      <c r="N1506" s="622" t="s">
        <v>1715</v>
      </c>
    </row>
    <row r="1507" spans="2:14" ht="29.1">
      <c r="B1507" s="513" t="s">
        <v>596</v>
      </c>
      <c r="C1507" s="658">
        <v>2017</v>
      </c>
      <c r="D1507" s="513">
        <v>-533497.22560832463</v>
      </c>
      <c r="E1507" s="512">
        <v>248199.83845364154</v>
      </c>
      <c r="F1507" s="513">
        <v>248199.83845364154</v>
      </c>
      <c r="G1507" s="512">
        <v>-285297.38715468312</v>
      </c>
      <c r="H1507" s="512">
        <v>0</v>
      </c>
      <c r="I1507" s="659" t="s">
        <v>103</v>
      </c>
      <c r="J1507" s="513">
        <v>0</v>
      </c>
      <c r="K1507" s="513">
        <v>0</v>
      </c>
      <c r="L1507" s="513">
        <v>0</v>
      </c>
      <c r="M1507" s="513">
        <v>-285297.38715468312</v>
      </c>
      <c r="N1507" s="622" t="s">
        <v>1724</v>
      </c>
    </row>
    <row r="1508" spans="2:14" ht="29.1">
      <c r="B1508" s="513" t="s">
        <v>596</v>
      </c>
      <c r="C1508" s="889">
        <v>2018</v>
      </c>
      <c r="D1508" s="513">
        <v>-285297.38715468312</v>
      </c>
      <c r="E1508" s="513">
        <f>VLOOKUP(B1508,'[6]2018 allocation'!$A$11:$B$218,2, FALSE)</f>
        <v>268409.24376850552</v>
      </c>
      <c r="F1508" s="513">
        <f>E1508</f>
        <v>268409.24376850552</v>
      </c>
      <c r="G1508" s="513">
        <f>D1508+E1508</f>
        <v>-16888.143386177602</v>
      </c>
      <c r="H1508" s="513">
        <v>0</v>
      </c>
      <c r="I1508" s="622" t="s">
        <v>103</v>
      </c>
      <c r="J1508" s="513">
        <f>VLOOKUP(B1508,'[6]Annual Spending Worksheet '!$C$6:$AG$250,28,FALSE)</f>
        <v>0</v>
      </c>
      <c r="K1508" s="513">
        <f>VLOOKUP(B1508,'[6]Annual Spending Worksheet '!$C$6:$AG$250,29,FALSE)</f>
        <v>0</v>
      </c>
      <c r="L1508" s="513">
        <v>0</v>
      </c>
      <c r="M1508" s="513">
        <f>D1508+E1508+H1508-J1508</f>
        <v>-16888.143386177602</v>
      </c>
      <c r="N1508" s="622" t="s">
        <v>1724</v>
      </c>
    </row>
    <row r="1509" spans="2:14">
      <c r="B1509" s="513" t="s">
        <v>596</v>
      </c>
      <c r="C1509" s="889">
        <v>2019</v>
      </c>
      <c r="D1509" s="513">
        <v>-16888.143386177602</v>
      </c>
      <c r="E1509" s="513">
        <v>289751.30564897729</v>
      </c>
      <c r="F1509" s="513">
        <v>289751.30564897729</v>
      </c>
      <c r="G1509" s="513">
        <v>0</v>
      </c>
      <c r="H1509" s="513">
        <v>0</v>
      </c>
      <c r="I1509" s="622" t="s">
        <v>103</v>
      </c>
      <c r="J1509" s="513">
        <v>0</v>
      </c>
      <c r="K1509" s="513">
        <v>0</v>
      </c>
      <c r="L1509" s="513">
        <v>0</v>
      </c>
      <c r="M1509" s="513">
        <v>272863.16226279968</v>
      </c>
      <c r="N1509" s="513"/>
    </row>
    <row r="1510" spans="2:14">
      <c r="B1510" s="513" t="s">
        <v>599</v>
      </c>
      <c r="C1510" s="658">
        <v>2008</v>
      </c>
      <c r="D1510" s="513">
        <v>827314.63599999994</v>
      </c>
      <c r="E1510" s="512">
        <v>112959.42148065966</v>
      </c>
      <c r="F1510" s="513">
        <v>112959.42148065966</v>
      </c>
      <c r="G1510" s="512">
        <v>0</v>
      </c>
      <c r="H1510" s="512">
        <v>0</v>
      </c>
      <c r="I1510" s="659" t="s">
        <v>103</v>
      </c>
      <c r="J1510" s="513">
        <v>0</v>
      </c>
      <c r="K1510" s="513">
        <v>0</v>
      </c>
      <c r="L1510" s="513">
        <v>0</v>
      </c>
      <c r="M1510" s="513">
        <v>940274.05748065957</v>
      </c>
      <c r="N1510" s="622"/>
    </row>
    <row r="1511" spans="2:14">
      <c r="B1511" s="513" t="s">
        <v>599</v>
      </c>
      <c r="C1511" s="658">
        <v>2009</v>
      </c>
      <c r="D1511" s="513">
        <v>940274.0574806598</v>
      </c>
      <c r="E1511" s="512">
        <v>88837.219887396059</v>
      </c>
      <c r="F1511" s="513">
        <v>88837.219887396059</v>
      </c>
      <c r="G1511" s="512">
        <v>0</v>
      </c>
      <c r="H1511" s="512">
        <v>0</v>
      </c>
      <c r="I1511" s="659" t="s">
        <v>103</v>
      </c>
      <c r="J1511" s="513">
        <v>0</v>
      </c>
      <c r="K1511" s="513">
        <v>0</v>
      </c>
      <c r="L1511" s="513">
        <v>0</v>
      </c>
      <c r="M1511" s="513">
        <v>1029111.2773680559</v>
      </c>
      <c r="N1511" s="622"/>
    </row>
    <row r="1512" spans="2:14">
      <c r="B1512" s="513" t="s">
        <v>599</v>
      </c>
      <c r="C1512" s="658">
        <v>2010</v>
      </c>
      <c r="D1512" s="513">
        <v>1029111.2773680557</v>
      </c>
      <c r="E1512" s="512">
        <v>88682.17</v>
      </c>
      <c r="F1512" s="513">
        <v>88682.17</v>
      </c>
      <c r="G1512" s="512">
        <v>0</v>
      </c>
      <c r="H1512" s="512">
        <v>-1117793</v>
      </c>
      <c r="I1512" s="659" t="s">
        <v>1772</v>
      </c>
      <c r="J1512" s="513">
        <v>0</v>
      </c>
      <c r="K1512" s="513">
        <v>0</v>
      </c>
      <c r="L1512" s="513">
        <v>0</v>
      </c>
      <c r="M1512" s="513">
        <v>0.44736805558204651</v>
      </c>
      <c r="N1512" s="622"/>
    </row>
    <row r="1513" spans="2:14">
      <c r="B1513" s="513" t="s">
        <v>599</v>
      </c>
      <c r="C1513" s="658">
        <v>2011</v>
      </c>
      <c r="D1513" s="513">
        <v>0.44320057332515717</v>
      </c>
      <c r="E1513" s="512">
        <v>90420.539134022139</v>
      </c>
      <c r="F1513" s="513">
        <v>90420.539134022139</v>
      </c>
      <c r="G1513" s="512">
        <v>0</v>
      </c>
      <c r="H1513" s="512">
        <v>0</v>
      </c>
      <c r="I1513" s="659" t="s">
        <v>103</v>
      </c>
      <c r="J1513" s="513">
        <v>0</v>
      </c>
      <c r="K1513" s="513">
        <v>0</v>
      </c>
      <c r="L1513" s="513">
        <v>0</v>
      </c>
      <c r="M1513" s="513">
        <v>90420.982334595465</v>
      </c>
      <c r="N1513" s="622"/>
    </row>
    <row r="1514" spans="2:14">
      <c r="B1514" s="513" t="s">
        <v>599</v>
      </c>
      <c r="C1514" s="658">
        <v>2012</v>
      </c>
      <c r="D1514" s="513">
        <v>90420.982334595639</v>
      </c>
      <c r="E1514" s="513">
        <v>61662.895345838362</v>
      </c>
      <c r="F1514" s="513">
        <v>61662.895345838362</v>
      </c>
      <c r="G1514" s="512">
        <v>0</v>
      </c>
      <c r="H1514" s="512">
        <v>0</v>
      </c>
      <c r="I1514" s="659" t="s">
        <v>103</v>
      </c>
      <c r="J1514" s="513">
        <v>0</v>
      </c>
      <c r="K1514" s="513">
        <v>0</v>
      </c>
      <c r="L1514" s="513">
        <v>0</v>
      </c>
      <c r="M1514" s="513">
        <v>152083.877680434</v>
      </c>
      <c r="N1514" s="622"/>
    </row>
    <row r="1515" spans="2:14">
      <c r="B1515" s="513" t="s">
        <v>599</v>
      </c>
      <c r="C1515" s="658">
        <v>2013</v>
      </c>
      <c r="D1515" s="513">
        <v>152083.87768043391</v>
      </c>
      <c r="E1515" s="513">
        <v>101405.45104463275</v>
      </c>
      <c r="F1515" s="513">
        <v>101405.45104463275</v>
      </c>
      <c r="G1515" s="512">
        <v>0</v>
      </c>
      <c r="H1515" s="512">
        <v>0</v>
      </c>
      <c r="I1515" s="659" t="s">
        <v>103</v>
      </c>
      <c r="J1515" s="513">
        <v>0</v>
      </c>
      <c r="K1515" s="513">
        <v>0</v>
      </c>
      <c r="L1515" s="513">
        <v>0</v>
      </c>
      <c r="M1515" s="513">
        <v>253489.32872506668</v>
      </c>
      <c r="N1515" s="622"/>
    </row>
    <row r="1516" spans="2:14">
      <c r="B1516" s="513" t="s">
        <v>599</v>
      </c>
      <c r="C1516" s="658">
        <v>2014</v>
      </c>
      <c r="D1516" s="513">
        <v>253489.3287250665</v>
      </c>
      <c r="E1516" s="513">
        <v>106026.03025612979</v>
      </c>
      <c r="F1516" s="513">
        <v>106026.03025612979</v>
      </c>
      <c r="G1516" s="512">
        <v>0</v>
      </c>
      <c r="H1516" s="512">
        <v>0</v>
      </c>
      <c r="I1516" s="659" t="s">
        <v>103</v>
      </c>
      <c r="J1516" s="513">
        <v>0</v>
      </c>
      <c r="K1516" s="513">
        <v>0</v>
      </c>
      <c r="L1516" s="513">
        <v>0</v>
      </c>
      <c r="M1516" s="513">
        <v>359515.3589811963</v>
      </c>
      <c r="N1516" s="622"/>
    </row>
    <row r="1517" spans="2:14">
      <c r="B1517" s="513" t="s">
        <v>599</v>
      </c>
      <c r="C1517" s="658">
        <v>2015</v>
      </c>
      <c r="D1517" s="513">
        <v>359515.3589811963</v>
      </c>
      <c r="E1517" s="513">
        <v>107887.90402059487</v>
      </c>
      <c r="F1517" s="513">
        <v>107887.90402059487</v>
      </c>
      <c r="G1517" s="660">
        <v>0</v>
      </c>
      <c r="H1517" s="660">
        <v>0</v>
      </c>
      <c r="I1517" s="659" t="s">
        <v>103</v>
      </c>
      <c r="J1517" s="513">
        <v>0</v>
      </c>
      <c r="K1517" s="513">
        <v>0</v>
      </c>
      <c r="L1517" s="513">
        <v>0</v>
      </c>
      <c r="M1517" s="513">
        <v>467403.2630017912</v>
      </c>
      <c r="N1517" s="622"/>
    </row>
    <row r="1518" spans="2:14">
      <c r="B1518" s="513" t="s">
        <v>599</v>
      </c>
      <c r="C1518" s="658">
        <v>2016</v>
      </c>
      <c r="D1518" s="513">
        <v>467403.2630017912</v>
      </c>
      <c r="E1518" s="513">
        <v>73546.541579188866</v>
      </c>
      <c r="F1518" s="513">
        <v>73546.541579188866</v>
      </c>
      <c r="G1518" s="660">
        <v>0</v>
      </c>
      <c r="H1518" s="660">
        <v>0</v>
      </c>
      <c r="I1518" s="659" t="s">
        <v>103</v>
      </c>
      <c r="J1518" s="513">
        <v>0</v>
      </c>
      <c r="K1518" s="513">
        <v>0</v>
      </c>
      <c r="L1518" s="513">
        <v>0</v>
      </c>
      <c r="M1518" s="513">
        <v>540949.8045809801</v>
      </c>
      <c r="N1518" s="622"/>
    </row>
    <row r="1519" spans="2:14">
      <c r="B1519" s="513" t="s">
        <v>599</v>
      </c>
      <c r="C1519" s="658">
        <v>2017</v>
      </c>
      <c r="D1519" s="513">
        <v>540949.80458097998</v>
      </c>
      <c r="E1519" s="513">
        <v>66839.177436970567</v>
      </c>
      <c r="F1519" s="513">
        <v>66839.177436970567</v>
      </c>
      <c r="G1519" s="513">
        <v>0</v>
      </c>
      <c r="H1519" s="513">
        <v>0</v>
      </c>
      <c r="I1519" s="659" t="s">
        <v>103</v>
      </c>
      <c r="J1519" s="513">
        <v>0</v>
      </c>
      <c r="K1519" s="513">
        <v>0</v>
      </c>
      <c r="L1519" s="513">
        <v>0</v>
      </c>
      <c r="M1519" s="513">
        <v>607788.9820179505</v>
      </c>
      <c r="N1519" s="622"/>
    </row>
    <row r="1520" spans="2:14">
      <c r="B1520" s="513" t="s">
        <v>599</v>
      </c>
      <c r="C1520" s="889">
        <v>2018</v>
      </c>
      <c r="D1520" s="513">
        <v>607788.9820179505</v>
      </c>
      <c r="E1520" s="513">
        <f>VLOOKUP(B1520,'[6]2018 allocation'!$A$11:$B$218,2, FALSE)</f>
        <v>72591.756510493491</v>
      </c>
      <c r="F1520" s="513">
        <f>E1520</f>
        <v>72591.756510493491</v>
      </c>
      <c r="G1520" s="513">
        <v>0</v>
      </c>
      <c r="H1520" s="513">
        <v>0</v>
      </c>
      <c r="I1520" s="622" t="s">
        <v>103</v>
      </c>
      <c r="J1520" s="513">
        <f>VLOOKUP(B1520,'[6]Annual Spending Worksheet '!$C$6:$AG$250,28,FALSE)</f>
        <v>31445.590000000004</v>
      </c>
      <c r="K1520" s="513">
        <f>VLOOKUP(B1520,'[6]Annual Spending Worksheet '!$C$6:$AG$250,29,FALSE)</f>
        <v>0</v>
      </c>
      <c r="L1520" s="513">
        <v>0</v>
      </c>
      <c r="M1520" s="513">
        <f>D1520+E1520+H1520-J1520</f>
        <v>648935.148528444</v>
      </c>
      <c r="N1520" s="513"/>
    </row>
    <row r="1521" spans="2:14">
      <c r="B1521" s="513" t="s">
        <v>599</v>
      </c>
      <c r="C1521" s="889">
        <v>2019</v>
      </c>
      <c r="D1521" s="513">
        <v>648935.148528444</v>
      </c>
      <c r="E1521" s="513">
        <v>78668.241109987503</v>
      </c>
      <c r="F1521" s="513">
        <v>78668.241109987503</v>
      </c>
      <c r="G1521" s="513">
        <v>0</v>
      </c>
      <c r="H1521" s="513">
        <v>0</v>
      </c>
      <c r="I1521" s="622" t="s">
        <v>103</v>
      </c>
      <c r="J1521" s="513">
        <v>32461.510000000002</v>
      </c>
      <c r="K1521" s="513">
        <v>0</v>
      </c>
      <c r="L1521" s="513">
        <v>0</v>
      </c>
      <c r="M1521" s="513">
        <v>695141.87963843148</v>
      </c>
      <c r="N1521" s="513"/>
    </row>
    <row r="1522" spans="2:14">
      <c r="B1522" s="513" t="s">
        <v>603</v>
      </c>
      <c r="C1522" s="658">
        <v>2008</v>
      </c>
      <c r="D1522" s="513">
        <v>598450.80099999998</v>
      </c>
      <c r="E1522" s="512">
        <v>76027.218165328159</v>
      </c>
      <c r="F1522" s="513">
        <v>76027.218165328159</v>
      </c>
      <c r="G1522" s="512">
        <v>0</v>
      </c>
      <c r="H1522" s="512">
        <v>0</v>
      </c>
      <c r="I1522" s="659" t="s">
        <v>103</v>
      </c>
      <c r="J1522" s="513">
        <v>0</v>
      </c>
      <c r="K1522" s="513">
        <v>0</v>
      </c>
      <c r="L1522" s="513">
        <v>0</v>
      </c>
      <c r="M1522" s="513">
        <v>674478.01916532812</v>
      </c>
      <c r="N1522" s="622"/>
    </row>
    <row r="1523" spans="2:14">
      <c r="B1523" s="513" t="s">
        <v>603</v>
      </c>
      <c r="C1523" s="658">
        <v>2009</v>
      </c>
      <c r="D1523" s="513">
        <v>674478.01916532812</v>
      </c>
      <c r="E1523" s="512">
        <v>60576.919159134835</v>
      </c>
      <c r="F1523" s="513">
        <v>60576.919159134835</v>
      </c>
      <c r="G1523" s="512">
        <v>0</v>
      </c>
      <c r="H1523" s="512">
        <v>0</v>
      </c>
      <c r="I1523" s="659" t="s">
        <v>103</v>
      </c>
      <c r="J1523" s="513">
        <v>0</v>
      </c>
      <c r="K1523" s="513">
        <v>0</v>
      </c>
      <c r="L1523" s="513">
        <v>0</v>
      </c>
      <c r="M1523" s="513">
        <v>735054.93832446297</v>
      </c>
      <c r="N1523" s="622"/>
    </row>
    <row r="1524" spans="2:14">
      <c r="B1524" s="513" t="s">
        <v>603</v>
      </c>
      <c r="C1524" s="658">
        <v>2010</v>
      </c>
      <c r="D1524" s="513">
        <v>735054.93832446297</v>
      </c>
      <c r="E1524" s="512">
        <v>60492.31</v>
      </c>
      <c r="F1524" s="513">
        <v>60492.31</v>
      </c>
      <c r="G1524" s="512">
        <v>0</v>
      </c>
      <c r="H1524" s="512">
        <v>-795547</v>
      </c>
      <c r="I1524" s="659" t="s">
        <v>1773</v>
      </c>
      <c r="J1524" s="513">
        <v>0</v>
      </c>
      <c r="K1524" s="513">
        <v>0</v>
      </c>
      <c r="L1524" s="513">
        <v>0</v>
      </c>
      <c r="M1524" s="513">
        <v>0.2483244629111141</v>
      </c>
      <c r="N1524" s="622"/>
    </row>
    <row r="1525" spans="2:14">
      <c r="B1525" s="513" t="s">
        <v>603</v>
      </c>
      <c r="C1525" s="658">
        <v>2011</v>
      </c>
      <c r="D1525" s="513">
        <v>0.25291066674981266</v>
      </c>
      <c r="E1525" s="512">
        <v>61620.090489125199</v>
      </c>
      <c r="F1525" s="513">
        <v>61620.090489125199</v>
      </c>
      <c r="G1525" s="512">
        <v>0</v>
      </c>
      <c r="H1525" s="512">
        <v>0</v>
      </c>
      <c r="I1525" s="659" t="s">
        <v>103</v>
      </c>
      <c r="J1525" s="513">
        <v>0</v>
      </c>
      <c r="K1525" s="513">
        <v>0</v>
      </c>
      <c r="L1525" s="513">
        <v>0</v>
      </c>
      <c r="M1525" s="513">
        <v>61620.343399791949</v>
      </c>
      <c r="N1525" s="622"/>
    </row>
    <row r="1526" spans="2:14">
      <c r="B1526" s="513" t="s">
        <v>603</v>
      </c>
      <c r="C1526" s="658">
        <v>2012</v>
      </c>
      <c r="D1526" s="513">
        <v>61620.343399791978</v>
      </c>
      <c r="E1526" s="513">
        <v>43441.392544660885</v>
      </c>
      <c r="F1526" s="513">
        <v>43441.392544660885</v>
      </c>
      <c r="G1526" s="512">
        <v>0</v>
      </c>
      <c r="H1526" s="512">
        <v>0</v>
      </c>
      <c r="I1526" s="659" t="s">
        <v>103</v>
      </c>
      <c r="J1526" s="513">
        <v>0</v>
      </c>
      <c r="K1526" s="513">
        <v>0</v>
      </c>
      <c r="L1526" s="513">
        <v>0</v>
      </c>
      <c r="M1526" s="513">
        <v>105061.73594445287</v>
      </c>
      <c r="N1526" s="622"/>
    </row>
    <row r="1527" spans="2:14">
      <c r="B1527" s="513" t="s">
        <v>603</v>
      </c>
      <c r="C1527" s="658">
        <v>2013</v>
      </c>
      <c r="D1527" s="513">
        <v>105061.73594445281</v>
      </c>
      <c r="E1527" s="513">
        <v>68587.442852849214</v>
      </c>
      <c r="F1527" s="513">
        <v>68587.442852849214</v>
      </c>
      <c r="G1527" s="512">
        <v>0</v>
      </c>
      <c r="H1527" s="512">
        <v>-173649</v>
      </c>
      <c r="I1527" s="659" t="s">
        <v>1774</v>
      </c>
      <c r="J1527" s="513">
        <v>0</v>
      </c>
      <c r="K1527" s="513">
        <v>0</v>
      </c>
      <c r="L1527" s="513">
        <v>0</v>
      </c>
      <c r="M1527" s="513">
        <v>0.1787973020109348</v>
      </c>
      <c r="N1527" s="622"/>
    </row>
    <row r="1528" spans="2:14">
      <c r="B1528" s="513" t="s">
        <v>603</v>
      </c>
      <c r="C1528" s="658">
        <v>2014</v>
      </c>
      <c r="D1528" s="513">
        <v>0.17879730206914246</v>
      </c>
      <c r="E1528" s="513">
        <v>71543.440310253209</v>
      </c>
      <c r="F1528" s="513">
        <v>71543.440310253209</v>
      </c>
      <c r="G1528" s="512">
        <v>0</v>
      </c>
      <c r="H1528" s="512">
        <v>0</v>
      </c>
      <c r="I1528" s="659" t="s">
        <v>103</v>
      </c>
      <c r="J1528" s="513">
        <v>0</v>
      </c>
      <c r="K1528" s="513">
        <v>0</v>
      </c>
      <c r="L1528" s="513">
        <v>0</v>
      </c>
      <c r="M1528" s="513">
        <v>71543.619107555278</v>
      </c>
      <c r="N1528" s="622"/>
    </row>
    <row r="1529" spans="2:14">
      <c r="B1529" s="513" t="s">
        <v>603</v>
      </c>
      <c r="C1529" s="658">
        <v>2015</v>
      </c>
      <c r="D1529" s="513">
        <v>71543.619107555249</v>
      </c>
      <c r="E1529" s="513">
        <v>72746.340227038847</v>
      </c>
      <c r="F1529" s="513">
        <v>72746.340227038847</v>
      </c>
      <c r="G1529" s="660">
        <v>0</v>
      </c>
      <c r="H1529" s="660">
        <v>-144290</v>
      </c>
      <c r="I1529" s="659" t="s">
        <v>1775</v>
      </c>
      <c r="J1529" s="513">
        <v>0</v>
      </c>
      <c r="K1529" s="513">
        <v>0</v>
      </c>
      <c r="L1529" s="513">
        <v>0</v>
      </c>
      <c r="M1529" s="513">
        <v>-4.0665405918844044E-2</v>
      </c>
      <c r="N1529" s="622"/>
    </row>
    <row r="1530" spans="2:14">
      <c r="B1530" s="513" t="s">
        <v>603</v>
      </c>
      <c r="C1530" s="658">
        <v>2016</v>
      </c>
      <c r="D1530" s="513">
        <v>-4.0665405802428722E-2</v>
      </c>
      <c r="E1530" s="513">
        <v>50839.632776415769</v>
      </c>
      <c r="F1530" s="513">
        <v>50839.632776415769</v>
      </c>
      <c r="G1530" s="660">
        <v>0</v>
      </c>
      <c r="H1530" s="660">
        <v>0</v>
      </c>
      <c r="I1530" s="659" t="s">
        <v>103</v>
      </c>
      <c r="J1530" s="513">
        <v>0</v>
      </c>
      <c r="K1530" s="513">
        <v>0</v>
      </c>
      <c r="L1530" s="513">
        <v>0</v>
      </c>
      <c r="M1530" s="513">
        <v>50839.592111009966</v>
      </c>
      <c r="N1530" s="622"/>
    </row>
    <row r="1531" spans="2:14">
      <c r="B1531" s="513" t="s">
        <v>603</v>
      </c>
      <c r="C1531" s="658">
        <v>2017</v>
      </c>
      <c r="D1531" s="513">
        <v>50839.592111009872</v>
      </c>
      <c r="E1531" s="513">
        <v>46628.458438688373</v>
      </c>
      <c r="F1531" s="513">
        <v>46628.458438688373</v>
      </c>
      <c r="G1531" s="513">
        <v>0</v>
      </c>
      <c r="H1531" s="513">
        <v>-97468</v>
      </c>
      <c r="I1531" s="659" t="s">
        <v>1776</v>
      </c>
      <c r="J1531" s="513">
        <v>0</v>
      </c>
      <c r="K1531" s="513">
        <v>0</v>
      </c>
      <c r="L1531" s="513">
        <v>0</v>
      </c>
      <c r="M1531" s="513">
        <v>5.054969823686406E-2</v>
      </c>
      <c r="N1531" s="622"/>
    </row>
    <row r="1532" spans="2:14">
      <c r="B1532" s="513" t="s">
        <v>603</v>
      </c>
      <c r="C1532" s="889">
        <v>2018</v>
      </c>
      <c r="D1532" s="513">
        <v>5.054969823686406E-2</v>
      </c>
      <c r="E1532" s="513">
        <f>VLOOKUP(B1532,'[6]2018 allocation'!$A$11:$B$218,2, FALSE)</f>
        <v>50296.600196959218</v>
      </c>
      <c r="F1532" s="513">
        <f>E1532</f>
        <v>50296.600196959218</v>
      </c>
      <c r="G1532" s="513">
        <v>0</v>
      </c>
      <c r="H1532" s="513">
        <v>0</v>
      </c>
      <c r="I1532" s="622" t="s">
        <v>103</v>
      </c>
      <c r="J1532" s="513">
        <f>VLOOKUP(B1532,'[6]Annual Spending Worksheet '!$C$6:$AG$250,28,FALSE)</f>
        <v>0</v>
      </c>
      <c r="K1532" s="513">
        <f>VLOOKUP(B1532,'[6]Annual Spending Worksheet '!$C$6:$AG$250,29,FALSE)</f>
        <v>0</v>
      </c>
      <c r="L1532" s="513">
        <v>0</v>
      </c>
      <c r="M1532" s="513">
        <f>D1532+E1532+H1532-J1532</f>
        <v>50296.650746657455</v>
      </c>
      <c r="N1532" s="513"/>
    </row>
    <row r="1533" spans="2:14">
      <c r="B1533" s="513" t="s">
        <v>603</v>
      </c>
      <c r="C1533" s="889">
        <v>2019</v>
      </c>
      <c r="D1533" s="513">
        <v>50296.650746657455</v>
      </c>
      <c r="E1533" s="513">
        <v>54172.205328570868</v>
      </c>
      <c r="F1533" s="513">
        <v>54172.205328570868</v>
      </c>
      <c r="G1533" s="513">
        <v>0</v>
      </c>
      <c r="H1533" s="513">
        <v>0</v>
      </c>
      <c r="I1533" s="622" t="s">
        <v>103</v>
      </c>
      <c r="J1533" s="513">
        <v>0</v>
      </c>
      <c r="K1533" s="513">
        <v>0</v>
      </c>
      <c r="L1533" s="513">
        <v>0</v>
      </c>
      <c r="M1533" s="513">
        <v>104468.85607522832</v>
      </c>
      <c r="N1533" s="513"/>
    </row>
    <row r="1534" spans="2:14" ht="29.1">
      <c r="B1534" s="513" t="s">
        <v>604</v>
      </c>
      <c r="C1534" s="658">
        <v>2008</v>
      </c>
      <c r="D1534" s="513">
        <v>-2565457.2269999981</v>
      </c>
      <c r="E1534" s="512">
        <v>790963.68103935337</v>
      </c>
      <c r="F1534" s="513">
        <v>790963.68103935337</v>
      </c>
      <c r="G1534" s="512">
        <v>-1774493.5459606447</v>
      </c>
      <c r="H1534" s="512">
        <v>0</v>
      </c>
      <c r="I1534" s="659" t="s">
        <v>103</v>
      </c>
      <c r="J1534" s="513">
        <v>953889.54999999993</v>
      </c>
      <c r="K1534" s="513">
        <v>2428301</v>
      </c>
      <c r="L1534" s="513">
        <v>0</v>
      </c>
      <c r="M1534" s="513">
        <v>-2728383.0959606445</v>
      </c>
      <c r="N1534" s="622" t="s">
        <v>1711</v>
      </c>
    </row>
    <row r="1535" spans="2:14">
      <c r="B1535" s="513" t="s">
        <v>604</v>
      </c>
      <c r="C1535" s="658">
        <v>2009</v>
      </c>
      <c r="D1535" s="513">
        <v>-2728383.0959606469</v>
      </c>
      <c r="E1535" s="512">
        <v>640879.96933209687</v>
      </c>
      <c r="F1535" s="513">
        <v>640879.96933209687</v>
      </c>
      <c r="G1535" s="512">
        <v>-2087503.12662855</v>
      </c>
      <c r="H1535" s="512">
        <v>0</v>
      </c>
      <c r="I1535" s="659" t="s">
        <v>103</v>
      </c>
      <c r="J1535" s="513">
        <v>1284119.7000000002</v>
      </c>
      <c r="K1535" s="513">
        <v>2428301</v>
      </c>
      <c r="L1535" s="513">
        <v>0</v>
      </c>
      <c r="M1535" s="513">
        <v>-3371622.82662855</v>
      </c>
      <c r="N1535" s="622" t="s">
        <v>1715</v>
      </c>
    </row>
    <row r="1536" spans="2:14">
      <c r="B1536" s="513" t="s">
        <v>604</v>
      </c>
      <c r="C1536" s="658">
        <v>2010</v>
      </c>
      <c r="D1536" s="513">
        <v>-3371622.8266285509</v>
      </c>
      <c r="E1536" s="512">
        <v>639982.68000000005</v>
      </c>
      <c r="F1536" s="513">
        <v>639982.68000000005</v>
      </c>
      <c r="G1536" s="512">
        <v>-2731640.1466285507</v>
      </c>
      <c r="H1536" s="512">
        <v>0</v>
      </c>
      <c r="I1536" s="659" t="s">
        <v>103</v>
      </c>
      <c r="J1536" s="513">
        <v>166205.25</v>
      </c>
      <c r="K1536" s="513">
        <v>2498464</v>
      </c>
      <c r="L1536" s="513">
        <v>0</v>
      </c>
      <c r="M1536" s="513">
        <v>-2897845.3966285507</v>
      </c>
      <c r="N1536" s="622" t="s">
        <v>1715</v>
      </c>
    </row>
    <row r="1537" spans="2:14">
      <c r="B1537" s="513" t="s">
        <v>604</v>
      </c>
      <c r="C1537" s="658">
        <v>2011</v>
      </c>
      <c r="D1537" s="513">
        <v>-2897845.3965006433</v>
      </c>
      <c r="E1537" s="512">
        <v>650745.84872380679</v>
      </c>
      <c r="F1537" s="513">
        <v>650745.84872380679</v>
      </c>
      <c r="G1537" s="512">
        <v>-2247099.5477768364</v>
      </c>
      <c r="H1537" s="512">
        <v>0</v>
      </c>
      <c r="I1537" s="659" t="s">
        <v>103</v>
      </c>
      <c r="J1537" s="513">
        <v>32188.510000000017</v>
      </c>
      <c r="K1537" s="513">
        <v>0</v>
      </c>
      <c r="L1537" s="513">
        <v>16187.67</v>
      </c>
      <c r="M1537" s="513">
        <v>-2295475.7277768366</v>
      </c>
      <c r="N1537" s="622" t="s">
        <v>1715</v>
      </c>
    </row>
    <row r="1538" spans="2:14">
      <c r="B1538" s="513" t="s">
        <v>604</v>
      </c>
      <c r="C1538" s="658">
        <v>2012</v>
      </c>
      <c r="D1538" s="513">
        <v>-2295475.7277768366</v>
      </c>
      <c r="E1538" s="512">
        <v>472484.4453472239</v>
      </c>
      <c r="F1538" s="513">
        <v>472484.4453472239</v>
      </c>
      <c r="G1538" s="660">
        <v>-1822991.2824296127</v>
      </c>
      <c r="H1538" s="512">
        <v>0</v>
      </c>
      <c r="I1538" s="659" t="s">
        <v>103</v>
      </c>
      <c r="J1538" s="513">
        <v>-14256.51</v>
      </c>
      <c r="K1538" s="513">
        <v>0</v>
      </c>
      <c r="L1538" s="513">
        <v>-93232.270000000717</v>
      </c>
      <c r="M1538" s="513">
        <v>-1715502.502429612</v>
      </c>
      <c r="N1538" s="622" t="s">
        <v>1715</v>
      </c>
    </row>
    <row r="1539" spans="2:14">
      <c r="B1539" s="513" t="s">
        <v>604</v>
      </c>
      <c r="C1539" s="658">
        <v>2013</v>
      </c>
      <c r="D1539" s="513">
        <v>-1715502.502429612</v>
      </c>
      <c r="E1539" s="513">
        <v>718763.41633422941</v>
      </c>
      <c r="F1539" s="513">
        <v>718763.41633422941</v>
      </c>
      <c r="G1539" s="660">
        <v>-996739.08609538258</v>
      </c>
      <c r="H1539" s="512">
        <v>0</v>
      </c>
      <c r="I1539" s="659" t="s">
        <v>103</v>
      </c>
      <c r="J1539" s="513">
        <v>0</v>
      </c>
      <c r="K1539" s="513">
        <v>0</v>
      </c>
      <c r="L1539" s="513">
        <v>0</v>
      </c>
      <c r="M1539" s="513">
        <v>-996739.08609538258</v>
      </c>
      <c r="N1539" s="622" t="s">
        <v>1715</v>
      </c>
    </row>
    <row r="1540" spans="2:14">
      <c r="B1540" s="513" t="s">
        <v>604</v>
      </c>
      <c r="C1540" s="658">
        <v>2014</v>
      </c>
      <c r="D1540" s="513">
        <v>-996739.08609538153</v>
      </c>
      <c r="E1540" s="513">
        <v>747428.98271410714</v>
      </c>
      <c r="F1540" s="513">
        <v>747428.98271410714</v>
      </c>
      <c r="G1540" s="660">
        <v>-249310.10338127438</v>
      </c>
      <c r="H1540" s="512">
        <v>0</v>
      </c>
      <c r="I1540" s="659" t="s">
        <v>103</v>
      </c>
      <c r="J1540" s="513">
        <v>0</v>
      </c>
      <c r="K1540" s="513">
        <v>0</v>
      </c>
      <c r="L1540" s="513">
        <v>0</v>
      </c>
      <c r="M1540" s="513">
        <v>-249310.10338127438</v>
      </c>
      <c r="N1540" s="622" t="s">
        <v>1715</v>
      </c>
    </row>
    <row r="1541" spans="2:14">
      <c r="B1541" s="513" t="s">
        <v>604</v>
      </c>
      <c r="C1541" s="658">
        <v>2015</v>
      </c>
      <c r="D1541" s="513">
        <v>-249310.10338127613</v>
      </c>
      <c r="E1541" s="513">
        <v>759144.48788468668</v>
      </c>
      <c r="F1541" s="513">
        <v>759144.48788468668</v>
      </c>
      <c r="G1541" s="660">
        <v>0</v>
      </c>
      <c r="H1541" s="512">
        <v>0</v>
      </c>
      <c r="I1541" s="659" t="s">
        <v>103</v>
      </c>
      <c r="J1541" s="513">
        <v>0</v>
      </c>
      <c r="K1541" s="513">
        <v>0</v>
      </c>
      <c r="L1541" s="513">
        <v>0</v>
      </c>
      <c r="M1541" s="513">
        <v>509834.38450341055</v>
      </c>
      <c r="N1541" s="622"/>
    </row>
    <row r="1542" spans="2:14">
      <c r="B1542" s="513" t="s">
        <v>604</v>
      </c>
      <c r="C1542" s="658">
        <v>2016</v>
      </c>
      <c r="D1542" s="513">
        <v>509834.38450340927</v>
      </c>
      <c r="E1542" s="513">
        <v>546068.43041562499</v>
      </c>
      <c r="F1542" s="513">
        <v>546068.43041562499</v>
      </c>
      <c r="G1542" s="660">
        <v>0</v>
      </c>
      <c r="H1542" s="660">
        <v>0</v>
      </c>
      <c r="I1542" s="659" t="s">
        <v>103</v>
      </c>
      <c r="J1542" s="513">
        <v>0</v>
      </c>
      <c r="K1542" s="513">
        <v>0</v>
      </c>
      <c r="L1542" s="513">
        <v>0</v>
      </c>
      <c r="M1542" s="513">
        <v>1055902.8149190343</v>
      </c>
      <c r="N1542" s="622"/>
    </row>
    <row r="1543" spans="2:14">
      <c r="B1543" s="513" t="s">
        <v>604</v>
      </c>
      <c r="C1543" s="658">
        <v>2017</v>
      </c>
      <c r="D1543" s="513">
        <v>1055902.8149190359</v>
      </c>
      <c r="E1543" s="513">
        <v>504316.01343734062</v>
      </c>
      <c r="F1543" s="513">
        <v>504316.01343734062</v>
      </c>
      <c r="G1543" s="660">
        <v>0</v>
      </c>
      <c r="H1543" s="660">
        <v>0</v>
      </c>
      <c r="I1543" s="659" t="s">
        <v>103</v>
      </c>
      <c r="J1543" s="513">
        <v>0</v>
      </c>
      <c r="K1543" s="513">
        <v>0</v>
      </c>
      <c r="L1543" s="513">
        <v>0</v>
      </c>
      <c r="M1543" s="513">
        <v>1560218.8283563764</v>
      </c>
      <c r="N1543" s="622"/>
    </row>
    <row r="1544" spans="2:14">
      <c r="B1544" s="513" t="s">
        <v>604</v>
      </c>
      <c r="C1544" s="889">
        <v>2018</v>
      </c>
      <c r="D1544" s="513">
        <v>1560218.8283563764</v>
      </c>
      <c r="E1544" s="513">
        <f>VLOOKUP(B1544,'[6]2018 allocation'!$A$11:$B$218,2, FALSE)</f>
        <v>539600.83477465017</v>
      </c>
      <c r="F1544" s="513">
        <f>E1544</f>
        <v>539600.83477465017</v>
      </c>
      <c r="G1544" s="513">
        <v>0</v>
      </c>
      <c r="H1544" s="513">
        <v>0</v>
      </c>
      <c r="I1544" s="622" t="s">
        <v>103</v>
      </c>
      <c r="J1544" s="513">
        <f>VLOOKUP(B1544,'[6]Annual Spending Worksheet '!$C$6:$AG$250,28,FALSE)</f>
        <v>0</v>
      </c>
      <c r="K1544" s="513">
        <f>VLOOKUP(B1544,'[6]Annual Spending Worksheet '!$C$6:$AG$250,29,FALSE)</f>
        <v>0</v>
      </c>
      <c r="L1544" s="513">
        <v>0</v>
      </c>
      <c r="M1544" s="513">
        <f>D1544+E1544+H1544-J1544</f>
        <v>2099819.6631310266</v>
      </c>
      <c r="N1544" s="513"/>
    </row>
    <row r="1545" spans="2:14">
      <c r="B1545" s="513" t="s">
        <v>604</v>
      </c>
      <c r="C1545" s="889">
        <v>2019</v>
      </c>
      <c r="D1545" s="513">
        <v>2099819.6631310266</v>
      </c>
      <c r="E1545" s="513">
        <v>577106.53202239494</v>
      </c>
      <c r="F1545" s="513">
        <v>577106.53202239494</v>
      </c>
      <c r="G1545" s="513">
        <v>0</v>
      </c>
      <c r="H1545" s="513">
        <v>0</v>
      </c>
      <c r="I1545" s="622" t="s">
        <v>103</v>
      </c>
      <c r="J1545" s="513">
        <v>44394.94</v>
      </c>
      <c r="K1545" s="513">
        <v>0</v>
      </c>
      <c r="L1545" s="513">
        <v>0</v>
      </c>
      <c r="M1545" s="513">
        <v>2632531.2551534218</v>
      </c>
      <c r="N1545" s="513"/>
    </row>
    <row r="1546" spans="2:14">
      <c r="B1546" s="513" t="s">
        <v>622</v>
      </c>
      <c r="C1546" s="658">
        <v>2008</v>
      </c>
      <c r="D1546" s="513">
        <v>1702254.608</v>
      </c>
      <c r="E1546" s="512">
        <v>106100.93779118989</v>
      </c>
      <c r="F1546" s="513">
        <v>106100.93779118989</v>
      </c>
      <c r="G1546" s="513">
        <v>0</v>
      </c>
      <c r="H1546" s="512">
        <v>0</v>
      </c>
      <c r="I1546" s="659" t="s">
        <v>103</v>
      </c>
      <c r="J1546" s="513">
        <v>24058.310000000019</v>
      </c>
      <c r="K1546" s="513">
        <v>0</v>
      </c>
      <c r="L1546" s="513">
        <v>0</v>
      </c>
      <c r="M1546" s="513">
        <v>1784297.2357911898</v>
      </c>
      <c r="N1546" s="622"/>
    </row>
    <row r="1547" spans="2:14">
      <c r="B1547" s="513" t="s">
        <v>622</v>
      </c>
      <c r="C1547" s="658">
        <v>2009</v>
      </c>
      <c r="D1547" s="513">
        <v>1784297.2357911901</v>
      </c>
      <c r="E1547" s="512">
        <v>86528.777776713745</v>
      </c>
      <c r="F1547" s="513">
        <v>86528.777776713745</v>
      </c>
      <c r="G1547" s="660">
        <v>0</v>
      </c>
      <c r="H1547" s="512">
        <v>0</v>
      </c>
      <c r="I1547" s="659" t="s">
        <v>103</v>
      </c>
      <c r="J1547" s="513">
        <v>62227.44000000001</v>
      </c>
      <c r="K1547" s="513">
        <v>0</v>
      </c>
      <c r="L1547" s="513">
        <v>0</v>
      </c>
      <c r="M1547" s="513">
        <v>1808598.5735679038</v>
      </c>
      <c r="N1547" s="622"/>
    </row>
    <row r="1548" spans="2:14">
      <c r="B1548" s="513" t="s">
        <v>622</v>
      </c>
      <c r="C1548" s="658">
        <v>2010</v>
      </c>
      <c r="D1548" s="513">
        <v>1808598.5735679041</v>
      </c>
      <c r="E1548" s="512">
        <v>86415.22</v>
      </c>
      <c r="F1548" s="513">
        <v>86415.22</v>
      </c>
      <c r="G1548" s="660">
        <v>0</v>
      </c>
      <c r="H1548" s="512">
        <v>0</v>
      </c>
      <c r="I1548" s="659" t="s">
        <v>103</v>
      </c>
      <c r="J1548" s="513">
        <v>1238376.5799999998</v>
      </c>
      <c r="K1548" s="513">
        <v>959707.61</v>
      </c>
      <c r="L1548" s="513">
        <v>0</v>
      </c>
      <c r="M1548" s="513">
        <v>656637.2135679042</v>
      </c>
      <c r="N1548" s="622"/>
    </row>
    <row r="1549" spans="2:14">
      <c r="B1549" s="513" t="s">
        <v>622</v>
      </c>
      <c r="C1549" s="658">
        <v>2011</v>
      </c>
      <c r="D1549" s="513">
        <v>656637.21096727625</v>
      </c>
      <c r="E1549" s="512">
        <v>87877.12827257035</v>
      </c>
      <c r="F1549" s="513">
        <v>87877.12827257035</v>
      </c>
      <c r="G1549" s="512">
        <v>0</v>
      </c>
      <c r="H1549" s="512">
        <v>0</v>
      </c>
      <c r="I1549" s="659" t="s">
        <v>103</v>
      </c>
      <c r="J1549" s="513">
        <v>-139775.37999999998</v>
      </c>
      <c r="K1549" s="513">
        <v>0</v>
      </c>
      <c r="L1549" s="513">
        <v>186224.66</v>
      </c>
      <c r="M1549" s="513">
        <v>698065.05923984654</v>
      </c>
      <c r="N1549" s="622"/>
    </row>
    <row r="1550" spans="2:14">
      <c r="B1550" s="513" t="s">
        <v>622</v>
      </c>
      <c r="C1550" s="658">
        <v>2012</v>
      </c>
      <c r="D1550" s="513">
        <v>698065.05923984619</v>
      </c>
      <c r="E1550" s="513">
        <v>64864.567758362609</v>
      </c>
      <c r="F1550" s="513">
        <v>64864.567758362609</v>
      </c>
      <c r="G1550" s="512">
        <v>0</v>
      </c>
      <c r="H1550" s="512">
        <v>0</v>
      </c>
      <c r="I1550" s="659" t="s">
        <v>103</v>
      </c>
      <c r="J1550" s="513">
        <v>-416.40999999999968</v>
      </c>
      <c r="K1550" s="513">
        <v>0</v>
      </c>
      <c r="L1550" s="513">
        <v>1500</v>
      </c>
      <c r="M1550" s="513">
        <v>761846.03699820885</v>
      </c>
      <c r="N1550" s="622"/>
    </row>
    <row r="1551" spans="2:14">
      <c r="B1551" s="513" t="s">
        <v>622</v>
      </c>
      <c r="C1551" s="658">
        <v>2013</v>
      </c>
      <c r="D1551" s="513">
        <v>761846.03699820908</v>
      </c>
      <c r="E1551" s="513">
        <v>96652.569594821543</v>
      </c>
      <c r="F1551" s="513">
        <v>96652.569594821543</v>
      </c>
      <c r="G1551" s="512">
        <v>0</v>
      </c>
      <c r="H1551" s="512">
        <v>0</v>
      </c>
      <c r="I1551" s="659" t="s">
        <v>103</v>
      </c>
      <c r="J1551" s="513">
        <v>0</v>
      </c>
      <c r="K1551" s="513">
        <v>0</v>
      </c>
      <c r="L1551" s="513">
        <v>0</v>
      </c>
      <c r="M1551" s="513">
        <v>858498.60659303062</v>
      </c>
      <c r="N1551" s="622"/>
    </row>
    <row r="1552" spans="2:14">
      <c r="B1552" s="513" t="s">
        <v>622</v>
      </c>
      <c r="C1552" s="658">
        <v>2014</v>
      </c>
      <c r="D1552" s="513">
        <v>858498.6065930305</v>
      </c>
      <c r="E1552" s="513">
        <v>100342.18504086361</v>
      </c>
      <c r="F1552" s="513">
        <v>100342.18504086361</v>
      </c>
      <c r="G1552" s="512">
        <v>0</v>
      </c>
      <c r="H1552" s="512">
        <v>0</v>
      </c>
      <c r="I1552" s="659" t="s">
        <v>103</v>
      </c>
      <c r="J1552" s="513">
        <v>0</v>
      </c>
      <c r="K1552" s="513">
        <v>0</v>
      </c>
      <c r="L1552" s="513">
        <v>0</v>
      </c>
      <c r="M1552" s="513">
        <v>958840.79163389408</v>
      </c>
      <c r="N1552" s="622"/>
    </row>
    <row r="1553" spans="2:14">
      <c r="B1553" s="513" t="s">
        <v>622</v>
      </c>
      <c r="C1553" s="658">
        <v>2015</v>
      </c>
      <c r="D1553" s="513">
        <v>958840.7916338942</v>
      </c>
      <c r="E1553" s="513">
        <v>101843.76322421741</v>
      </c>
      <c r="F1553" s="513">
        <v>101843.76322421741</v>
      </c>
      <c r="G1553" s="660">
        <v>0</v>
      </c>
      <c r="H1553" s="660">
        <v>0</v>
      </c>
      <c r="I1553" s="659" t="s">
        <v>103</v>
      </c>
      <c r="J1553" s="513">
        <v>51519.98</v>
      </c>
      <c r="K1553" s="513">
        <v>0</v>
      </c>
      <c r="L1553" s="513">
        <v>283.86</v>
      </c>
      <c r="M1553" s="513">
        <v>1008880.7148581116</v>
      </c>
      <c r="N1553" s="622"/>
    </row>
    <row r="1554" spans="2:14">
      <c r="B1554" s="513" t="s">
        <v>622</v>
      </c>
      <c r="C1554" s="658">
        <v>2016</v>
      </c>
      <c r="D1554" s="513">
        <v>1008880.7148581115</v>
      </c>
      <c r="E1554" s="513">
        <v>74382.942182236933</v>
      </c>
      <c r="F1554" s="513">
        <v>74382.942182236933</v>
      </c>
      <c r="G1554" s="660">
        <v>0</v>
      </c>
      <c r="H1554" s="660">
        <v>0</v>
      </c>
      <c r="I1554" s="659" t="s">
        <v>103</v>
      </c>
      <c r="J1554" s="513">
        <v>53862.11</v>
      </c>
      <c r="K1554" s="513">
        <v>0</v>
      </c>
      <c r="L1554" s="513">
        <v>0</v>
      </c>
      <c r="M1554" s="513">
        <v>1029401.5470403483</v>
      </c>
      <c r="N1554" s="622"/>
    </row>
    <row r="1555" spans="2:14">
      <c r="B1555" s="513" t="s">
        <v>622</v>
      </c>
      <c r="C1555" s="658">
        <v>2017</v>
      </c>
      <c r="D1555" s="513">
        <v>1029401.5470403484</v>
      </c>
      <c r="E1555" s="513">
        <v>69061.923959477266</v>
      </c>
      <c r="F1555" s="513">
        <v>69061.923959477266</v>
      </c>
      <c r="G1555" s="513">
        <v>0</v>
      </c>
      <c r="H1555" s="513">
        <v>0</v>
      </c>
      <c r="I1555" s="659" t="s">
        <v>103</v>
      </c>
      <c r="J1555" s="513">
        <v>749724.77</v>
      </c>
      <c r="K1555" s="513">
        <v>0</v>
      </c>
      <c r="L1555" s="513">
        <v>0</v>
      </c>
      <c r="M1555" s="513">
        <v>348738.70099982573</v>
      </c>
      <c r="N1555" s="622"/>
    </row>
    <row r="1556" spans="2:14">
      <c r="B1556" s="513" t="s">
        <v>622</v>
      </c>
      <c r="C1556" s="889">
        <v>2018</v>
      </c>
      <c r="D1556" s="513">
        <v>348738.70099982573</v>
      </c>
      <c r="E1556" s="513">
        <f>VLOOKUP(B1556,'[6]2018 allocation'!$A$11:$B$218,2, FALSE)</f>
        <v>73662.845799000817</v>
      </c>
      <c r="F1556" s="513">
        <f>E1556</f>
        <v>73662.845799000817</v>
      </c>
      <c r="G1556" s="513">
        <v>0</v>
      </c>
      <c r="H1556" s="513">
        <v>0</v>
      </c>
      <c r="I1556" s="622" t="s">
        <v>103</v>
      </c>
      <c r="J1556" s="513">
        <f>VLOOKUP(B1556,'[6]Annual Spending Worksheet '!$C$6:$AG$250,28,FALSE)</f>
        <v>480554.57000000012</v>
      </c>
      <c r="K1556" s="513">
        <f>VLOOKUP(B1556,'[6]Annual Spending Worksheet '!$C$6:$AG$250,29,FALSE)</f>
        <v>1338551.6099999964</v>
      </c>
      <c r="L1556" s="513">
        <v>0</v>
      </c>
      <c r="M1556" s="513">
        <f>D1556+E1556+H1556-J1556</f>
        <v>-58153.023201173579</v>
      </c>
      <c r="N1556" s="622" t="s">
        <v>1715</v>
      </c>
    </row>
    <row r="1557" spans="2:14">
      <c r="B1557" s="513" t="s">
        <v>622</v>
      </c>
      <c r="C1557" s="889">
        <v>2019</v>
      </c>
      <c r="D1557" s="513">
        <v>-58153.023201173579</v>
      </c>
      <c r="E1557" s="513">
        <v>78513.706854315882</v>
      </c>
      <c r="F1557" s="513">
        <v>78513.706854315882</v>
      </c>
      <c r="G1557" s="513">
        <v>0</v>
      </c>
      <c r="H1557" s="513">
        <v>0</v>
      </c>
      <c r="I1557" s="622" t="s">
        <v>103</v>
      </c>
      <c r="J1557" s="513">
        <v>360.95000000000005</v>
      </c>
      <c r="K1557" s="513">
        <v>0</v>
      </c>
      <c r="L1557" s="513">
        <v>0</v>
      </c>
      <c r="M1557" s="513">
        <v>19999.733653142303</v>
      </c>
      <c r="N1557" s="513"/>
    </row>
    <row r="1558" spans="2:14">
      <c r="B1558" s="513" t="s">
        <v>629</v>
      </c>
      <c r="C1558" s="658">
        <v>2008</v>
      </c>
      <c r="D1558" s="513">
        <v>1600832.1490000002</v>
      </c>
      <c r="E1558" s="512">
        <v>97158.020465674999</v>
      </c>
      <c r="F1558" s="513">
        <v>97158.020465674999</v>
      </c>
      <c r="G1558" s="512">
        <v>0</v>
      </c>
      <c r="H1558" s="512">
        <v>0</v>
      </c>
      <c r="I1558" s="659" t="s">
        <v>103</v>
      </c>
      <c r="J1558" s="513">
        <v>0</v>
      </c>
      <c r="K1558" s="513">
        <v>0</v>
      </c>
      <c r="L1558" s="513">
        <v>0</v>
      </c>
      <c r="M1558" s="513">
        <v>1697990.1694656753</v>
      </c>
      <c r="N1558" s="622"/>
    </row>
    <row r="1559" spans="2:14">
      <c r="B1559" s="513" t="s">
        <v>629</v>
      </c>
      <c r="C1559" s="658">
        <v>2009</v>
      </c>
      <c r="D1559" s="513">
        <v>1697990.169465675</v>
      </c>
      <c r="E1559" s="512">
        <v>78045.316977816867</v>
      </c>
      <c r="F1559" s="513">
        <v>78045.316977816867</v>
      </c>
      <c r="G1559" s="512">
        <v>0</v>
      </c>
      <c r="H1559" s="512">
        <v>0</v>
      </c>
      <c r="I1559" s="659" t="s">
        <v>103</v>
      </c>
      <c r="J1559" s="513">
        <v>0</v>
      </c>
      <c r="K1559" s="513">
        <v>0</v>
      </c>
      <c r="L1559" s="513">
        <v>0</v>
      </c>
      <c r="M1559" s="513">
        <v>1776035.4864434919</v>
      </c>
      <c r="N1559" s="622"/>
    </row>
    <row r="1560" spans="2:14">
      <c r="B1560" s="513" t="s">
        <v>629</v>
      </c>
      <c r="C1560" s="658">
        <v>2010</v>
      </c>
      <c r="D1560" s="513">
        <v>1776035.4864434917</v>
      </c>
      <c r="E1560" s="512">
        <v>77938.05</v>
      </c>
      <c r="F1560" s="513">
        <v>77938.05</v>
      </c>
      <c r="G1560" s="512">
        <v>0</v>
      </c>
      <c r="H1560" s="512">
        <v>0</v>
      </c>
      <c r="I1560" s="659" t="s">
        <v>103</v>
      </c>
      <c r="J1560" s="513">
        <v>0</v>
      </c>
      <c r="K1560" s="513">
        <v>0</v>
      </c>
      <c r="L1560" s="513">
        <v>0</v>
      </c>
      <c r="M1560" s="513">
        <v>1853973.5364434917</v>
      </c>
      <c r="N1560" s="622"/>
    </row>
    <row r="1561" spans="2:14">
      <c r="B1561" s="513" t="s">
        <v>629</v>
      </c>
      <c r="C1561" s="658">
        <v>2011</v>
      </c>
      <c r="D1561" s="513">
        <v>1853973.5343587073</v>
      </c>
      <c r="E1561" s="512">
        <v>79300.125488005055</v>
      </c>
      <c r="F1561" s="513">
        <v>79300.125488005055</v>
      </c>
      <c r="G1561" s="512">
        <v>0</v>
      </c>
      <c r="H1561" s="512">
        <v>-50000</v>
      </c>
      <c r="I1561" s="659" t="s">
        <v>1777</v>
      </c>
      <c r="J1561" s="513">
        <v>0</v>
      </c>
      <c r="K1561" s="513">
        <v>0</v>
      </c>
      <c r="L1561" s="513">
        <v>0</v>
      </c>
      <c r="M1561" s="513">
        <v>1883273.6598467124</v>
      </c>
      <c r="N1561" s="622"/>
    </row>
    <row r="1562" spans="2:14">
      <c r="B1562" s="513" t="s">
        <v>629</v>
      </c>
      <c r="C1562" s="658">
        <v>2012</v>
      </c>
      <c r="D1562" s="513">
        <v>1883273.6598467124</v>
      </c>
      <c r="E1562" s="513">
        <v>56707.603862965945</v>
      </c>
      <c r="F1562" s="513">
        <v>56707.603862965945</v>
      </c>
      <c r="G1562" s="512">
        <v>0</v>
      </c>
      <c r="H1562" s="512">
        <v>0</v>
      </c>
      <c r="I1562" s="659" t="s">
        <v>103</v>
      </c>
      <c r="J1562" s="513">
        <v>0</v>
      </c>
      <c r="K1562" s="513">
        <v>0</v>
      </c>
      <c r="L1562" s="513">
        <v>0</v>
      </c>
      <c r="M1562" s="513">
        <v>1939981.2637096783</v>
      </c>
      <c r="N1562" s="622"/>
    </row>
    <row r="1563" spans="2:14">
      <c r="B1563" s="513" t="s">
        <v>629</v>
      </c>
      <c r="C1563" s="658">
        <v>2013</v>
      </c>
      <c r="D1563" s="513">
        <v>1939981.2637096783</v>
      </c>
      <c r="E1563" s="513">
        <v>87965.89701259954</v>
      </c>
      <c r="F1563" s="513">
        <v>87965.89701259954</v>
      </c>
      <c r="G1563" s="512">
        <v>0</v>
      </c>
      <c r="H1563" s="512">
        <v>0</v>
      </c>
      <c r="I1563" s="659" t="s">
        <v>103</v>
      </c>
      <c r="J1563" s="513">
        <v>0</v>
      </c>
      <c r="K1563" s="513">
        <v>0</v>
      </c>
      <c r="L1563" s="513">
        <v>0</v>
      </c>
      <c r="M1563" s="513">
        <v>2027947.1607222778</v>
      </c>
      <c r="N1563" s="622"/>
    </row>
    <row r="1564" spans="2:14">
      <c r="B1564" s="513" t="s">
        <v>629</v>
      </c>
      <c r="C1564" s="658">
        <v>2014</v>
      </c>
      <c r="D1564" s="513">
        <v>2027947.1607222781</v>
      </c>
      <c r="E1564" s="513">
        <v>91602.641447258953</v>
      </c>
      <c r="F1564" s="513">
        <v>91602.641447258953</v>
      </c>
      <c r="G1564" s="512">
        <v>0</v>
      </c>
      <c r="H1564" s="512">
        <v>0</v>
      </c>
      <c r="I1564" s="659" t="s">
        <v>103</v>
      </c>
      <c r="J1564" s="513">
        <v>0</v>
      </c>
      <c r="K1564" s="513">
        <v>0</v>
      </c>
      <c r="L1564" s="513">
        <v>0</v>
      </c>
      <c r="M1564" s="513">
        <v>2119549.8021695372</v>
      </c>
      <c r="N1564" s="622"/>
    </row>
    <row r="1565" spans="2:14">
      <c r="B1565" s="513" t="s">
        <v>629</v>
      </c>
      <c r="C1565" s="658">
        <v>2015</v>
      </c>
      <c r="D1565" s="513">
        <v>2119549.8021695372</v>
      </c>
      <c r="E1565" s="513">
        <v>93093.693645169347</v>
      </c>
      <c r="F1565" s="513">
        <v>93093.693645169347</v>
      </c>
      <c r="G1565" s="660">
        <v>0</v>
      </c>
      <c r="H1565" s="660">
        <v>0</v>
      </c>
      <c r="I1565" s="659" t="s">
        <v>103</v>
      </c>
      <c r="J1565" s="513">
        <v>33055.550000000003</v>
      </c>
      <c r="K1565" s="513">
        <v>0</v>
      </c>
      <c r="L1565" s="513">
        <v>0</v>
      </c>
      <c r="M1565" s="513">
        <v>2179587.9458147069</v>
      </c>
      <c r="N1565" s="622"/>
    </row>
    <row r="1566" spans="2:14">
      <c r="B1566" s="513" t="s">
        <v>629</v>
      </c>
      <c r="C1566" s="658">
        <v>2016</v>
      </c>
      <c r="D1566" s="513">
        <v>2179587.9458147064</v>
      </c>
      <c r="E1566" s="513">
        <v>65982.19678584869</v>
      </c>
      <c r="F1566" s="513">
        <v>65982.19678584869</v>
      </c>
      <c r="G1566" s="660">
        <v>0</v>
      </c>
      <c r="H1566" s="660">
        <v>0</v>
      </c>
      <c r="I1566" s="659" t="s">
        <v>103</v>
      </c>
      <c r="J1566" s="513">
        <v>279112.92</v>
      </c>
      <c r="K1566" s="513">
        <v>0</v>
      </c>
      <c r="L1566" s="513">
        <v>0</v>
      </c>
      <c r="M1566" s="513">
        <v>1966457.222600555</v>
      </c>
      <c r="N1566" s="622"/>
    </row>
    <row r="1567" spans="2:14">
      <c r="B1567" s="513" t="s">
        <v>629</v>
      </c>
      <c r="C1567" s="658">
        <v>2017</v>
      </c>
      <c r="D1567" s="513">
        <v>1966457.2226005553</v>
      </c>
      <c r="E1567" s="513">
        <v>60735.145139482767</v>
      </c>
      <c r="F1567" s="513">
        <v>60735.145139482767</v>
      </c>
      <c r="G1567" s="513">
        <v>0</v>
      </c>
      <c r="H1567" s="513">
        <v>0</v>
      </c>
      <c r="I1567" s="659" t="s">
        <v>103</v>
      </c>
      <c r="J1567" s="513">
        <v>43208.590000000004</v>
      </c>
      <c r="K1567" s="513">
        <v>0</v>
      </c>
      <c r="L1567" s="513">
        <v>0</v>
      </c>
      <c r="M1567" s="513">
        <v>1983983.777740038</v>
      </c>
      <c r="N1567" s="622"/>
    </row>
    <row r="1568" spans="2:14">
      <c r="B1568" s="513" t="s">
        <v>629</v>
      </c>
      <c r="C1568" s="889">
        <v>2018</v>
      </c>
      <c r="D1568" s="513">
        <v>1983983.777740038</v>
      </c>
      <c r="E1568" s="513">
        <f>VLOOKUP(B1568,'[6]2018 allocation'!$A$11:$B$218,2, FALSE)</f>
        <v>65287.397177799823</v>
      </c>
      <c r="F1568" s="513">
        <f>E1568</f>
        <v>65287.397177799823</v>
      </c>
      <c r="G1568" s="513">
        <v>0</v>
      </c>
      <c r="H1568" s="513">
        <v>0</v>
      </c>
      <c r="I1568" s="622" t="s">
        <v>103</v>
      </c>
      <c r="J1568" s="513">
        <f>VLOOKUP(B1568,'[6]Annual Spending Worksheet '!$C$6:$AG$250,28,FALSE)</f>
        <v>31819.42</v>
      </c>
      <c r="K1568" s="513">
        <f>VLOOKUP(B1568,'[6]Annual Spending Worksheet '!$C$6:$AG$250,29,FALSE)</f>
        <v>0</v>
      </c>
      <c r="L1568" s="513">
        <v>0</v>
      </c>
      <c r="M1568" s="513">
        <f>D1568+E1568+H1568-J1568</f>
        <v>2017451.7549178379</v>
      </c>
      <c r="N1568" s="513"/>
    </row>
    <row r="1569" spans="2:14">
      <c r="B1569" s="513" t="s">
        <v>629</v>
      </c>
      <c r="C1569" s="889">
        <v>2019</v>
      </c>
      <c r="D1569" s="513">
        <v>2017451.7549178379</v>
      </c>
      <c r="E1569" s="513">
        <v>70063.777990977003</v>
      </c>
      <c r="F1569" s="513">
        <v>70063.777990977003</v>
      </c>
      <c r="G1569" s="513">
        <v>0</v>
      </c>
      <c r="H1569" s="513">
        <v>0</v>
      </c>
      <c r="I1569" s="622" t="s">
        <v>103</v>
      </c>
      <c r="J1569" s="513">
        <v>21017.45</v>
      </c>
      <c r="K1569" s="513">
        <v>0</v>
      </c>
      <c r="L1569" s="513">
        <v>0</v>
      </c>
      <c r="M1569" s="513">
        <v>2066498.082908815</v>
      </c>
      <c r="N1569" s="513"/>
    </row>
    <row r="1570" spans="2:14" ht="29.1">
      <c r="B1570" s="513" t="s">
        <v>633</v>
      </c>
      <c r="C1570" s="658">
        <v>2008</v>
      </c>
      <c r="D1570" s="513">
        <v>-282890.4319999991</v>
      </c>
      <c r="E1570" s="512">
        <v>176926.73667103119</v>
      </c>
      <c r="F1570" s="513">
        <v>176926.73667103119</v>
      </c>
      <c r="G1570" s="512">
        <v>-105963.69532896791</v>
      </c>
      <c r="H1570" s="512">
        <v>0</v>
      </c>
      <c r="I1570" s="659" t="s">
        <v>103</v>
      </c>
      <c r="J1570" s="513">
        <v>0</v>
      </c>
      <c r="K1570" s="513">
        <v>0</v>
      </c>
      <c r="L1570" s="513">
        <v>0</v>
      </c>
      <c r="M1570" s="513">
        <v>-105963.69532896791</v>
      </c>
      <c r="N1570" s="622" t="s">
        <v>1711</v>
      </c>
    </row>
    <row r="1571" spans="2:14">
      <c r="B1571" s="513" t="s">
        <v>633</v>
      </c>
      <c r="C1571" s="658">
        <v>2009</v>
      </c>
      <c r="D1571" s="513">
        <v>-105963.69532896765</v>
      </c>
      <c r="E1571" s="512">
        <v>138033.82699281786</v>
      </c>
      <c r="F1571" s="513">
        <v>138033.82699281786</v>
      </c>
      <c r="G1571" s="512">
        <v>0</v>
      </c>
      <c r="H1571" s="512">
        <v>0</v>
      </c>
      <c r="I1571" s="659" t="s">
        <v>103</v>
      </c>
      <c r="J1571" s="513">
        <v>0</v>
      </c>
      <c r="K1571" s="513">
        <v>0</v>
      </c>
      <c r="L1571" s="513">
        <v>0</v>
      </c>
      <c r="M1571" s="513">
        <v>32070.131663850218</v>
      </c>
      <c r="N1571" s="622"/>
    </row>
    <row r="1572" spans="2:14">
      <c r="B1572" s="513" t="s">
        <v>633</v>
      </c>
      <c r="C1572" s="658">
        <v>2010</v>
      </c>
      <c r="D1572" s="513">
        <v>32070.131663850509</v>
      </c>
      <c r="E1572" s="512">
        <v>137792.20000000001</v>
      </c>
      <c r="F1572" s="513">
        <v>137792.20000000001</v>
      </c>
      <c r="G1572" s="512">
        <v>0</v>
      </c>
      <c r="H1572" s="512">
        <v>0</v>
      </c>
      <c r="I1572" s="659" t="s">
        <v>103</v>
      </c>
      <c r="J1572" s="513">
        <v>0</v>
      </c>
      <c r="K1572" s="513">
        <v>0</v>
      </c>
      <c r="L1572" s="513">
        <v>0</v>
      </c>
      <c r="M1572" s="513">
        <v>169862.33166385052</v>
      </c>
      <c r="N1572" s="622"/>
    </row>
    <row r="1573" spans="2:14">
      <c r="B1573" s="513" t="s">
        <v>633</v>
      </c>
      <c r="C1573" s="658">
        <v>2011</v>
      </c>
      <c r="D1573" s="513">
        <v>169862.32892115414</v>
      </c>
      <c r="E1573" s="512">
        <v>140602.89779835808</v>
      </c>
      <c r="F1573" s="513">
        <v>140602.89779835808</v>
      </c>
      <c r="G1573" s="512">
        <v>0</v>
      </c>
      <c r="H1573" s="512">
        <v>0</v>
      </c>
      <c r="I1573" s="659" t="s">
        <v>103</v>
      </c>
      <c r="J1573" s="513">
        <v>0</v>
      </c>
      <c r="K1573" s="513">
        <v>0</v>
      </c>
      <c r="L1573" s="513">
        <v>0</v>
      </c>
      <c r="M1573" s="513">
        <v>310465.22671951225</v>
      </c>
      <c r="N1573" s="622"/>
    </row>
    <row r="1574" spans="2:14">
      <c r="B1574" s="513" t="s">
        <v>633</v>
      </c>
      <c r="C1574" s="658">
        <v>2012</v>
      </c>
      <c r="D1574" s="513">
        <v>310465.2267195126</v>
      </c>
      <c r="E1574" s="512">
        <v>94129.849936500963</v>
      </c>
      <c r="F1574" s="513">
        <v>94129.849936500963</v>
      </c>
      <c r="G1574" s="512">
        <v>0</v>
      </c>
      <c r="H1574" s="512">
        <v>0</v>
      </c>
      <c r="I1574" s="659" t="s">
        <v>103</v>
      </c>
      <c r="J1574" s="513">
        <v>0</v>
      </c>
      <c r="K1574" s="513">
        <v>0</v>
      </c>
      <c r="L1574" s="513">
        <v>0</v>
      </c>
      <c r="M1574" s="513">
        <v>404595.07665601355</v>
      </c>
      <c r="N1574" s="622"/>
    </row>
    <row r="1575" spans="2:14">
      <c r="B1575" s="513" t="s">
        <v>633</v>
      </c>
      <c r="C1575" s="658">
        <v>2013</v>
      </c>
      <c r="D1575" s="513">
        <v>404595.07665601373</v>
      </c>
      <c r="E1575" s="513">
        <v>158362.1006675229</v>
      </c>
      <c r="F1575" s="513">
        <v>158362.1006675229</v>
      </c>
      <c r="G1575" s="512">
        <v>0</v>
      </c>
      <c r="H1575" s="512">
        <v>0</v>
      </c>
      <c r="I1575" s="659" t="s">
        <v>103</v>
      </c>
      <c r="J1575" s="513">
        <v>0</v>
      </c>
      <c r="K1575" s="513">
        <v>0</v>
      </c>
      <c r="L1575" s="513">
        <v>0</v>
      </c>
      <c r="M1575" s="513">
        <v>562957.1773235366</v>
      </c>
      <c r="N1575" s="622"/>
    </row>
    <row r="1576" spans="2:14">
      <c r="B1576" s="513" t="s">
        <v>633</v>
      </c>
      <c r="C1576" s="658">
        <v>2014</v>
      </c>
      <c r="D1576" s="513">
        <v>562957.17732353695</v>
      </c>
      <c r="E1576" s="513">
        <v>165872.17714846853</v>
      </c>
      <c r="F1576" s="513">
        <v>165872.17714846853</v>
      </c>
      <c r="G1576" s="512">
        <v>0</v>
      </c>
      <c r="H1576" s="512">
        <v>0</v>
      </c>
      <c r="I1576" s="659" t="s">
        <v>103</v>
      </c>
      <c r="J1576" s="513">
        <v>0</v>
      </c>
      <c r="K1576" s="513">
        <v>0</v>
      </c>
      <c r="L1576" s="513">
        <v>0</v>
      </c>
      <c r="M1576" s="513">
        <v>728829.35447200551</v>
      </c>
      <c r="N1576" s="622"/>
    </row>
    <row r="1577" spans="2:14">
      <c r="B1577" s="513" t="s">
        <v>633</v>
      </c>
      <c r="C1577" s="658">
        <v>2015</v>
      </c>
      <c r="D1577" s="513">
        <v>728829.35447200574</v>
      </c>
      <c r="E1577" s="513">
        <v>168964.17866159251</v>
      </c>
      <c r="F1577" s="513">
        <v>168964.17866159251</v>
      </c>
      <c r="G1577" s="512">
        <v>0</v>
      </c>
      <c r="H1577" s="512">
        <v>0</v>
      </c>
      <c r="I1577" s="659" t="s">
        <v>103</v>
      </c>
      <c r="J1577" s="513">
        <v>0</v>
      </c>
      <c r="K1577" s="513">
        <v>0</v>
      </c>
      <c r="L1577" s="513">
        <v>0</v>
      </c>
      <c r="M1577" s="513">
        <v>897793.53313359828</v>
      </c>
      <c r="N1577" s="622"/>
    </row>
    <row r="1578" spans="2:14">
      <c r="B1578" s="513" t="s">
        <v>633</v>
      </c>
      <c r="C1578" s="658">
        <v>2016</v>
      </c>
      <c r="D1578" s="513">
        <v>897793.53313359804</v>
      </c>
      <c r="E1578" s="513">
        <v>112656.65683506336</v>
      </c>
      <c r="F1578" s="513">
        <v>112656.65683506336</v>
      </c>
      <c r="G1578" s="660">
        <v>0</v>
      </c>
      <c r="H1578" s="660">
        <v>0</v>
      </c>
      <c r="I1578" s="659" t="s">
        <v>103</v>
      </c>
      <c r="J1578" s="513">
        <v>0</v>
      </c>
      <c r="K1578" s="513">
        <v>0</v>
      </c>
      <c r="L1578" s="513">
        <v>0</v>
      </c>
      <c r="M1578" s="513">
        <v>1010450.1899686614</v>
      </c>
      <c r="N1578" s="622"/>
    </row>
    <row r="1579" spans="2:14">
      <c r="B1579" s="513" t="s">
        <v>633</v>
      </c>
      <c r="C1579" s="658">
        <v>2017</v>
      </c>
      <c r="D1579" s="513">
        <v>1010450.1899686614</v>
      </c>
      <c r="E1579" s="513">
        <v>101390.22176302057</v>
      </c>
      <c r="F1579" s="513">
        <v>101390.22176302057</v>
      </c>
      <c r="G1579" s="660">
        <v>0</v>
      </c>
      <c r="H1579" s="660">
        <v>0</v>
      </c>
      <c r="I1579" s="659" t="s">
        <v>103</v>
      </c>
      <c r="J1579" s="513">
        <v>0</v>
      </c>
      <c r="K1579" s="513">
        <v>0</v>
      </c>
      <c r="L1579" s="513">
        <v>0</v>
      </c>
      <c r="M1579" s="513">
        <v>1111840.411731682</v>
      </c>
      <c r="N1579" s="622"/>
    </row>
    <row r="1580" spans="2:14">
      <c r="B1580" s="513" t="s">
        <v>633</v>
      </c>
      <c r="C1580" s="889">
        <v>2018</v>
      </c>
      <c r="D1580" s="513">
        <v>1111840.411731682</v>
      </c>
      <c r="E1580" s="513">
        <f>VLOOKUP(B1580,'[6]2018 allocation'!$A$11:$B$218,2, FALSE)</f>
        <v>110926.22747696699</v>
      </c>
      <c r="F1580" s="513">
        <f>E1580</f>
        <v>110926.22747696699</v>
      </c>
      <c r="G1580" s="513">
        <v>0</v>
      </c>
      <c r="H1580" s="513">
        <v>0</v>
      </c>
      <c r="I1580" s="622" t="s">
        <v>103</v>
      </c>
      <c r="J1580" s="513">
        <f>VLOOKUP(B1580,'[6]Annual Spending Worksheet '!$C$6:$AG$250,28,FALSE)</f>
        <v>0</v>
      </c>
      <c r="K1580" s="513">
        <f>VLOOKUP(B1580,'[6]Annual Spending Worksheet '!$C$6:$AG$250,29,FALSE)</f>
        <v>0</v>
      </c>
      <c r="L1580" s="513">
        <v>0</v>
      </c>
      <c r="M1580" s="513">
        <f>D1580+E1580+H1580-J1580</f>
        <v>1222766.6392086491</v>
      </c>
      <c r="N1580" s="513"/>
    </row>
    <row r="1581" spans="2:14">
      <c r="B1581" s="513" t="s">
        <v>633</v>
      </c>
      <c r="C1581" s="889">
        <v>2019</v>
      </c>
      <c r="D1581" s="513">
        <v>1222766.6392086491</v>
      </c>
      <c r="E1581" s="513">
        <v>120913.83234774298</v>
      </c>
      <c r="F1581" s="513">
        <v>120913.83234774298</v>
      </c>
      <c r="G1581" s="513">
        <v>0</v>
      </c>
      <c r="H1581" s="513">
        <v>0</v>
      </c>
      <c r="I1581" s="622" t="s">
        <v>103</v>
      </c>
      <c r="J1581" s="513">
        <v>0</v>
      </c>
      <c r="K1581" s="513">
        <v>0</v>
      </c>
      <c r="L1581" s="513">
        <v>0</v>
      </c>
      <c r="M1581" s="513">
        <v>1343680.471556392</v>
      </c>
      <c r="N1581" s="513"/>
    </row>
    <row r="1582" spans="2:14">
      <c r="B1582" s="513" t="s">
        <v>634</v>
      </c>
      <c r="C1582" s="658">
        <v>2008</v>
      </c>
      <c r="D1582" s="513">
        <v>196456.85800000001</v>
      </c>
      <c r="E1582" s="512">
        <v>13816.469782282413</v>
      </c>
      <c r="F1582" s="513">
        <v>13816.469782282413</v>
      </c>
      <c r="G1582" s="513">
        <v>0</v>
      </c>
      <c r="H1582" s="512">
        <v>0</v>
      </c>
      <c r="I1582" s="659" t="s">
        <v>103</v>
      </c>
      <c r="J1582" s="513">
        <v>0</v>
      </c>
      <c r="K1582" s="513">
        <v>0</v>
      </c>
      <c r="L1582" s="513">
        <v>0</v>
      </c>
      <c r="M1582" s="513">
        <v>210273.32778228243</v>
      </c>
      <c r="N1582" s="622"/>
    </row>
    <row r="1583" spans="2:14">
      <c r="B1583" s="513" t="s">
        <v>634</v>
      </c>
      <c r="C1583" s="658">
        <v>2009</v>
      </c>
      <c r="D1583" s="513">
        <v>210273.32778228243</v>
      </c>
      <c r="E1583" s="512">
        <v>11352.581941662662</v>
      </c>
      <c r="F1583" s="513">
        <v>11352.581941662662</v>
      </c>
      <c r="G1583" s="660">
        <v>0</v>
      </c>
      <c r="H1583" s="512">
        <v>0</v>
      </c>
      <c r="I1583" s="659" t="s">
        <v>103</v>
      </c>
      <c r="J1583" s="513">
        <v>0</v>
      </c>
      <c r="K1583" s="513">
        <v>0</v>
      </c>
      <c r="L1583" s="513">
        <v>0</v>
      </c>
      <c r="M1583" s="513">
        <v>221625.90972394508</v>
      </c>
      <c r="N1583" s="622"/>
    </row>
    <row r="1584" spans="2:14">
      <c r="B1584" s="513" t="s">
        <v>634</v>
      </c>
      <c r="C1584" s="658">
        <v>2010</v>
      </c>
      <c r="D1584" s="513">
        <v>221625.90972394508</v>
      </c>
      <c r="E1584" s="512">
        <v>11340.13</v>
      </c>
      <c r="F1584" s="513">
        <v>11340.13</v>
      </c>
      <c r="G1584" s="660">
        <v>0</v>
      </c>
      <c r="H1584" s="512">
        <v>0</v>
      </c>
      <c r="I1584" s="659" t="s">
        <v>103</v>
      </c>
      <c r="J1584" s="513">
        <v>53651.56</v>
      </c>
      <c r="K1584" s="513">
        <v>0</v>
      </c>
      <c r="L1584" s="513">
        <v>0</v>
      </c>
      <c r="M1584" s="513">
        <v>179314.47972394509</v>
      </c>
      <c r="N1584" s="622"/>
    </row>
    <row r="1585" spans="2:14" ht="29.1">
      <c r="B1585" s="513" t="s">
        <v>634</v>
      </c>
      <c r="C1585" s="658">
        <v>2011</v>
      </c>
      <c r="D1585" s="513">
        <v>179314.47611515934</v>
      </c>
      <c r="E1585" s="513">
        <v>11517.616852615889</v>
      </c>
      <c r="F1585" s="513">
        <v>11517.616852615889</v>
      </c>
      <c r="G1585" s="660">
        <v>0</v>
      </c>
      <c r="H1585" s="512">
        <v>130000</v>
      </c>
      <c r="I1585" s="659" t="s">
        <v>1778</v>
      </c>
      <c r="J1585" s="513">
        <v>340103.54000000161</v>
      </c>
      <c r="K1585" s="513">
        <v>395357</v>
      </c>
      <c r="L1585" s="513">
        <v>0</v>
      </c>
      <c r="M1585" s="513">
        <v>-19271.447032226366</v>
      </c>
      <c r="N1585" s="622" t="s">
        <v>1725</v>
      </c>
    </row>
    <row r="1586" spans="2:14" ht="29.1">
      <c r="B1586" s="513" t="s">
        <v>634</v>
      </c>
      <c r="C1586" s="658">
        <v>2012</v>
      </c>
      <c r="D1586" s="513">
        <v>-19271.446932226419</v>
      </c>
      <c r="E1586" s="513">
        <v>8635.4456577061464</v>
      </c>
      <c r="F1586" s="513">
        <v>8635.4456577061464</v>
      </c>
      <c r="G1586" s="660">
        <v>-10636.001274520273</v>
      </c>
      <c r="H1586" s="660">
        <v>0</v>
      </c>
      <c r="I1586" s="659" t="s">
        <v>103</v>
      </c>
      <c r="J1586" s="513">
        <v>4554.9100000000017</v>
      </c>
      <c r="K1586" s="513">
        <v>0</v>
      </c>
      <c r="L1586" s="513">
        <v>0</v>
      </c>
      <c r="M1586" s="513">
        <v>-15190.911274520275</v>
      </c>
      <c r="N1586" s="622" t="s">
        <v>1725</v>
      </c>
    </row>
    <row r="1587" spans="2:14" ht="29.1">
      <c r="B1587" s="513" t="s">
        <v>634</v>
      </c>
      <c r="C1587" s="658">
        <v>2013</v>
      </c>
      <c r="D1587" s="513">
        <v>-15190.911274520215</v>
      </c>
      <c r="E1587" s="513">
        <v>12620.488954433731</v>
      </c>
      <c r="F1587" s="513">
        <v>12620.488954433731</v>
      </c>
      <c r="G1587" s="660">
        <v>-2570.4223200864835</v>
      </c>
      <c r="H1587" s="660">
        <v>0</v>
      </c>
      <c r="I1587" s="659" t="s">
        <v>103</v>
      </c>
      <c r="J1587" s="513">
        <v>0</v>
      </c>
      <c r="K1587" s="513">
        <v>0</v>
      </c>
      <c r="L1587" s="513">
        <v>0</v>
      </c>
      <c r="M1587" s="513">
        <v>-2570.4223200864835</v>
      </c>
      <c r="N1587" s="622" t="s">
        <v>1725</v>
      </c>
    </row>
    <row r="1588" spans="2:14">
      <c r="B1588" s="513" t="s">
        <v>634</v>
      </c>
      <c r="C1588" s="658">
        <v>2014</v>
      </c>
      <c r="D1588" s="513">
        <v>-2570.422320086509</v>
      </c>
      <c r="E1588" s="513">
        <v>13081.197547998974</v>
      </c>
      <c r="F1588" s="513">
        <v>13081.197547998974</v>
      </c>
      <c r="G1588" s="513">
        <v>0</v>
      </c>
      <c r="H1588" s="513">
        <v>0</v>
      </c>
      <c r="I1588" s="659" t="s">
        <v>103</v>
      </c>
      <c r="J1588" s="513">
        <v>-2175.9899999999998</v>
      </c>
      <c r="K1588" s="513">
        <v>0</v>
      </c>
      <c r="L1588" s="513">
        <v>-776.92</v>
      </c>
      <c r="M1588" s="513">
        <v>13463.685227912465</v>
      </c>
      <c r="N1588" s="622"/>
    </row>
    <row r="1589" spans="2:14">
      <c r="B1589" s="513" t="s">
        <v>634</v>
      </c>
      <c r="C1589" s="658">
        <v>2015</v>
      </c>
      <c r="D1589" s="513">
        <v>13463.685127914068</v>
      </c>
      <c r="E1589" s="512">
        <v>13266.719757879993</v>
      </c>
      <c r="F1589" s="513">
        <v>13266.719757879993</v>
      </c>
      <c r="G1589" s="660">
        <v>0</v>
      </c>
      <c r="H1589" s="512">
        <v>0</v>
      </c>
      <c r="I1589" s="659" t="s">
        <v>103</v>
      </c>
      <c r="J1589" s="513">
        <v>0</v>
      </c>
      <c r="K1589" s="513">
        <v>0</v>
      </c>
      <c r="L1589" s="513">
        <v>0</v>
      </c>
      <c r="M1589" s="513">
        <v>26730.404885794062</v>
      </c>
      <c r="N1589" s="622"/>
    </row>
    <row r="1590" spans="2:14">
      <c r="B1590" s="513" t="s">
        <v>634</v>
      </c>
      <c r="C1590" s="658">
        <v>2016</v>
      </c>
      <c r="D1590" s="513">
        <v>26730.404885794036</v>
      </c>
      <c r="E1590" s="513">
        <v>9851.9995156985569</v>
      </c>
      <c r="F1590" s="513">
        <v>9851.9995156985569</v>
      </c>
      <c r="G1590" s="660">
        <v>0</v>
      </c>
      <c r="H1590" s="512">
        <v>0</v>
      </c>
      <c r="I1590" s="659" t="s">
        <v>103</v>
      </c>
      <c r="J1590" s="513">
        <v>0</v>
      </c>
      <c r="K1590" s="513">
        <v>0</v>
      </c>
      <c r="L1590" s="513">
        <v>0</v>
      </c>
      <c r="M1590" s="513">
        <v>36582.404401492589</v>
      </c>
      <c r="N1590" s="622"/>
    </row>
    <row r="1591" spans="2:14">
      <c r="B1591" s="513" t="s">
        <v>634</v>
      </c>
      <c r="C1591" s="658">
        <v>2017</v>
      </c>
      <c r="D1591" s="513">
        <v>36582.404401492677</v>
      </c>
      <c r="E1591" s="513">
        <v>9189.7130158472173</v>
      </c>
      <c r="F1591" s="513">
        <v>9189.7130158472173</v>
      </c>
      <c r="G1591" s="660">
        <v>0</v>
      </c>
      <c r="H1591" s="512">
        <v>0</v>
      </c>
      <c r="I1591" s="659" t="s">
        <v>103</v>
      </c>
      <c r="J1591" s="513">
        <v>0</v>
      </c>
      <c r="K1591" s="513">
        <v>0</v>
      </c>
      <c r="L1591" s="513">
        <v>0</v>
      </c>
      <c r="M1591" s="513">
        <v>45772.11741733989</v>
      </c>
      <c r="N1591" s="622"/>
    </row>
    <row r="1592" spans="2:14">
      <c r="B1592" s="513" t="s">
        <v>634</v>
      </c>
      <c r="C1592" s="889">
        <v>2018</v>
      </c>
      <c r="D1592" s="513">
        <v>45772.11741733989</v>
      </c>
      <c r="E1592" s="513">
        <f>VLOOKUP(B1592,'[6]2018 allocation'!$A$11:$B$218,2, FALSE)</f>
        <v>9770.1897901510056</v>
      </c>
      <c r="F1592" s="513">
        <f>E1592</f>
        <v>9770.1897901510056</v>
      </c>
      <c r="G1592" s="513">
        <v>0</v>
      </c>
      <c r="H1592" s="513">
        <v>-18960</v>
      </c>
      <c r="I1592" s="622" t="s">
        <v>1779</v>
      </c>
      <c r="J1592" s="513">
        <f>VLOOKUP(B1592,'[6]Annual Spending Worksheet '!$C$6:$AG$250,28,FALSE)</f>
        <v>0</v>
      </c>
      <c r="K1592" s="513">
        <f>VLOOKUP(B1592,'[6]Annual Spending Worksheet '!$C$6:$AG$250,29,FALSE)</f>
        <v>0</v>
      </c>
      <c r="L1592" s="513">
        <v>0</v>
      </c>
      <c r="M1592" s="513">
        <f>D1592+E1592+H1592-J1592</f>
        <v>36582.3072074909</v>
      </c>
      <c r="N1592" s="513"/>
    </row>
    <row r="1593" spans="2:14">
      <c r="B1593" s="513" t="s">
        <v>634</v>
      </c>
      <c r="C1593" s="889">
        <v>2019</v>
      </c>
      <c r="D1593" s="513">
        <v>36582.3072074909</v>
      </c>
      <c r="E1593" s="513">
        <v>10371.805884657713</v>
      </c>
      <c r="F1593" s="513">
        <v>10371.805884657713</v>
      </c>
      <c r="G1593" s="513">
        <v>0</v>
      </c>
      <c r="H1593" s="513">
        <v>-10372</v>
      </c>
      <c r="I1593" s="622" t="s">
        <v>1780</v>
      </c>
      <c r="J1593" s="513">
        <v>0</v>
      </c>
      <c r="K1593" s="513">
        <v>0</v>
      </c>
      <c r="L1593" s="513">
        <v>0</v>
      </c>
      <c r="M1593" s="513">
        <v>36582.113092148611</v>
      </c>
      <c r="N1593" s="513"/>
    </row>
    <row r="1594" spans="2:14">
      <c r="B1594" s="513" t="s">
        <v>638</v>
      </c>
      <c r="C1594" s="658">
        <v>2008</v>
      </c>
      <c r="D1594" s="513">
        <v>4272004.6569999997</v>
      </c>
      <c r="E1594" s="512">
        <v>250019.88036146597</v>
      </c>
      <c r="F1594" s="513">
        <v>250019.88036146597</v>
      </c>
      <c r="G1594" s="512">
        <v>0</v>
      </c>
      <c r="H1594" s="512">
        <v>0</v>
      </c>
      <c r="I1594" s="659" t="s">
        <v>103</v>
      </c>
      <c r="J1594" s="513">
        <v>91120.66</v>
      </c>
      <c r="K1594" s="513">
        <v>0</v>
      </c>
      <c r="L1594" s="513">
        <v>0</v>
      </c>
      <c r="M1594" s="513">
        <v>4430903.8773614652</v>
      </c>
      <c r="N1594" s="622"/>
    </row>
    <row r="1595" spans="2:14">
      <c r="B1595" s="513" t="s">
        <v>638</v>
      </c>
      <c r="C1595" s="658">
        <v>2009</v>
      </c>
      <c r="D1595" s="513">
        <v>4430903.8773614652</v>
      </c>
      <c r="E1595" s="512">
        <v>200729.5808707712</v>
      </c>
      <c r="F1595" s="513">
        <v>200729.5808707712</v>
      </c>
      <c r="G1595" s="512">
        <v>0</v>
      </c>
      <c r="H1595" s="512">
        <v>500000</v>
      </c>
      <c r="I1595" s="659" t="s">
        <v>1781</v>
      </c>
      <c r="J1595" s="513">
        <v>369567.98</v>
      </c>
      <c r="K1595" s="513">
        <v>0</v>
      </c>
      <c r="L1595" s="513">
        <v>0</v>
      </c>
      <c r="M1595" s="513">
        <v>4762065.4782322366</v>
      </c>
      <c r="N1595" s="622"/>
    </row>
    <row r="1596" spans="2:14">
      <c r="B1596" s="513" t="s">
        <v>638</v>
      </c>
      <c r="C1596" s="658">
        <v>2010</v>
      </c>
      <c r="D1596" s="513">
        <v>4762065.4782322366</v>
      </c>
      <c r="E1596" s="512">
        <v>200406.13</v>
      </c>
      <c r="F1596" s="513">
        <v>200406.13</v>
      </c>
      <c r="G1596" s="512">
        <v>0</v>
      </c>
      <c r="H1596" s="512">
        <v>0</v>
      </c>
      <c r="I1596" s="659" t="s">
        <v>103</v>
      </c>
      <c r="J1596" s="513">
        <v>470959.51</v>
      </c>
      <c r="K1596" s="513">
        <v>0</v>
      </c>
      <c r="L1596" s="513">
        <v>951</v>
      </c>
      <c r="M1596" s="513">
        <v>4490561.0982322367</v>
      </c>
      <c r="N1596" s="622"/>
    </row>
    <row r="1597" spans="2:14">
      <c r="B1597" s="513" t="s">
        <v>638</v>
      </c>
      <c r="C1597" s="658">
        <v>2011</v>
      </c>
      <c r="D1597" s="513">
        <v>4490561.2698193341</v>
      </c>
      <c r="E1597" s="512">
        <v>203926.45623864565</v>
      </c>
      <c r="F1597" s="513">
        <v>203926.45623864565</v>
      </c>
      <c r="G1597" s="512">
        <v>0</v>
      </c>
      <c r="H1597" s="512">
        <v>0</v>
      </c>
      <c r="I1597" s="659" t="s">
        <v>103</v>
      </c>
      <c r="J1597" s="513">
        <v>3471902.3699999992</v>
      </c>
      <c r="K1597" s="513">
        <v>4730150</v>
      </c>
      <c r="L1597" s="513">
        <v>0</v>
      </c>
      <c r="M1597" s="513">
        <v>1222585.356057981</v>
      </c>
      <c r="N1597" s="622"/>
    </row>
    <row r="1598" spans="2:14">
      <c r="B1598" s="513" t="s">
        <v>638</v>
      </c>
      <c r="C1598" s="658">
        <v>2012</v>
      </c>
      <c r="D1598" s="513">
        <v>1222585.356057981</v>
      </c>
      <c r="E1598" s="513">
        <v>144811.93196025735</v>
      </c>
      <c r="F1598" s="513">
        <v>144811.93196025735</v>
      </c>
      <c r="G1598" s="512">
        <v>0</v>
      </c>
      <c r="H1598" s="512">
        <v>0</v>
      </c>
      <c r="I1598" s="659" t="s">
        <v>103</v>
      </c>
      <c r="J1598" s="513">
        <v>3129.0099999999952</v>
      </c>
      <c r="K1598" s="513">
        <v>0</v>
      </c>
      <c r="L1598" s="513">
        <v>96042.59</v>
      </c>
      <c r="M1598" s="513">
        <v>1268225.6880182382</v>
      </c>
      <c r="N1598" s="622"/>
    </row>
    <row r="1599" spans="2:14">
      <c r="B1599" s="513" t="s">
        <v>638</v>
      </c>
      <c r="C1599" s="658">
        <v>2013</v>
      </c>
      <c r="D1599" s="513">
        <v>1268225.6881182389</v>
      </c>
      <c r="E1599" s="513">
        <v>226463.2955238604</v>
      </c>
      <c r="F1599" s="513">
        <v>226463.2955238604</v>
      </c>
      <c r="G1599" s="512">
        <v>0</v>
      </c>
      <c r="H1599" s="512">
        <v>0</v>
      </c>
      <c r="I1599" s="659" t="s">
        <v>103</v>
      </c>
      <c r="J1599" s="513">
        <v>-8561.159999999998</v>
      </c>
      <c r="K1599" s="513">
        <v>0</v>
      </c>
      <c r="L1599" s="513">
        <v>0</v>
      </c>
      <c r="M1599" s="513">
        <v>1503250.1436420993</v>
      </c>
      <c r="N1599" s="622"/>
    </row>
    <row r="1600" spans="2:14">
      <c r="B1600" s="513" t="s">
        <v>638</v>
      </c>
      <c r="C1600" s="658">
        <v>2014</v>
      </c>
      <c r="D1600" s="513">
        <v>1503250.1436420986</v>
      </c>
      <c r="E1600" s="513">
        <v>236007.15266111214</v>
      </c>
      <c r="F1600" s="513">
        <v>236007.15266111214</v>
      </c>
      <c r="G1600" s="512">
        <v>0</v>
      </c>
      <c r="H1600" s="512">
        <v>0</v>
      </c>
      <c r="I1600" s="659" t="s">
        <v>103</v>
      </c>
      <c r="J1600" s="513">
        <v>0</v>
      </c>
      <c r="K1600" s="513">
        <v>0</v>
      </c>
      <c r="L1600" s="513">
        <v>7948.8</v>
      </c>
      <c r="M1600" s="513">
        <v>1731308.4963032107</v>
      </c>
      <c r="N1600" s="622"/>
    </row>
    <row r="1601" spans="2:14">
      <c r="B1601" s="513" t="s">
        <v>638</v>
      </c>
      <c r="C1601" s="658">
        <v>2015</v>
      </c>
      <c r="D1601" s="513">
        <v>1731308.49630321</v>
      </c>
      <c r="E1601" s="513">
        <v>239894.52965989415</v>
      </c>
      <c r="F1601" s="513">
        <v>239894.52965989415</v>
      </c>
      <c r="G1601" s="660">
        <v>0</v>
      </c>
      <c r="H1601" s="660">
        <v>0</v>
      </c>
      <c r="I1601" s="659" t="s">
        <v>103</v>
      </c>
      <c r="J1601" s="513">
        <v>0</v>
      </c>
      <c r="K1601" s="513">
        <v>0</v>
      </c>
      <c r="L1601" s="513">
        <v>42.98</v>
      </c>
      <c r="M1601" s="513">
        <v>1971160.0459631041</v>
      </c>
      <c r="N1601" s="622"/>
    </row>
    <row r="1602" spans="2:14">
      <c r="B1602" s="513" t="s">
        <v>638</v>
      </c>
      <c r="C1602" s="658">
        <v>2016</v>
      </c>
      <c r="D1602" s="513">
        <v>1971160.045963103</v>
      </c>
      <c r="E1602" s="513">
        <v>168964.89917742848</v>
      </c>
      <c r="F1602" s="513">
        <v>168964.89917742848</v>
      </c>
      <c r="G1602" s="660">
        <v>0</v>
      </c>
      <c r="H1602" s="660">
        <v>0</v>
      </c>
      <c r="I1602" s="659" t="s">
        <v>103</v>
      </c>
      <c r="J1602" s="513">
        <v>0</v>
      </c>
      <c r="K1602" s="513">
        <v>0</v>
      </c>
      <c r="L1602" s="513">
        <v>0</v>
      </c>
      <c r="M1602" s="513">
        <v>2140124.9451405313</v>
      </c>
      <c r="N1602" s="622"/>
    </row>
    <row r="1603" spans="2:14">
      <c r="B1603" s="513" t="s">
        <v>638</v>
      </c>
      <c r="C1603" s="658">
        <v>2017</v>
      </c>
      <c r="D1603" s="513">
        <v>2140124.9451405313</v>
      </c>
      <c r="E1603" s="513">
        <v>154998.69045842299</v>
      </c>
      <c r="F1603" s="513">
        <v>154998.69045842299</v>
      </c>
      <c r="G1603" s="513">
        <v>0</v>
      </c>
      <c r="H1603" s="513">
        <v>0</v>
      </c>
      <c r="I1603" s="659" t="s">
        <v>103</v>
      </c>
      <c r="J1603" s="513">
        <v>0</v>
      </c>
      <c r="K1603" s="513">
        <v>0</v>
      </c>
      <c r="L1603" s="513">
        <v>0</v>
      </c>
      <c r="M1603" s="513">
        <v>2295123.6355989543</v>
      </c>
      <c r="N1603" s="622"/>
    </row>
    <row r="1604" spans="2:14">
      <c r="B1604" s="513" t="s">
        <v>638</v>
      </c>
      <c r="C1604" s="889">
        <v>2018</v>
      </c>
      <c r="D1604" s="513">
        <v>2295123.6355989543</v>
      </c>
      <c r="E1604" s="513">
        <f>VLOOKUP(B1604,'[6]2018 allocation'!$A$11:$B$218,2, FALSE)</f>
        <v>166870.83032402562</v>
      </c>
      <c r="F1604" s="513">
        <f>E1604</f>
        <v>166870.83032402562</v>
      </c>
      <c r="G1604" s="513">
        <v>0</v>
      </c>
      <c r="H1604" s="513">
        <v>0</v>
      </c>
      <c r="I1604" s="622" t="s">
        <v>103</v>
      </c>
      <c r="J1604" s="513">
        <f>VLOOKUP(B1604,'[6]Annual Spending Worksheet '!$C$6:$AG$250,28,FALSE)</f>
        <v>0</v>
      </c>
      <c r="K1604" s="513">
        <f>VLOOKUP(B1604,'[6]Annual Spending Worksheet '!$C$6:$AG$250,29,FALSE)</f>
        <v>0</v>
      </c>
      <c r="L1604" s="513">
        <v>0</v>
      </c>
      <c r="M1604" s="513">
        <f>D1604+E1604+H1604-J1604</f>
        <v>2461994.4659229801</v>
      </c>
      <c r="N1604" s="513"/>
    </row>
    <row r="1605" spans="2:14">
      <c r="B1605" s="513" t="s">
        <v>638</v>
      </c>
      <c r="C1605" s="889">
        <v>2019</v>
      </c>
      <c r="D1605" s="513">
        <v>2461994.4659229801</v>
      </c>
      <c r="E1605" s="513">
        <v>179368.83353153427</v>
      </c>
      <c r="F1605" s="513">
        <v>179368.83353153427</v>
      </c>
      <c r="G1605" s="513">
        <v>0</v>
      </c>
      <c r="H1605" s="513">
        <v>0</v>
      </c>
      <c r="I1605" s="622" t="s">
        <v>103</v>
      </c>
      <c r="J1605" s="513">
        <v>88433.67</v>
      </c>
      <c r="K1605" s="513">
        <v>0</v>
      </c>
      <c r="L1605" s="513">
        <v>0</v>
      </c>
      <c r="M1605" s="513">
        <v>2552929.6294545145</v>
      </c>
      <c r="N1605" s="513"/>
    </row>
    <row r="1606" spans="2:14">
      <c r="B1606" s="513" t="s">
        <v>643</v>
      </c>
      <c r="C1606" s="658">
        <v>2008</v>
      </c>
      <c r="D1606" s="513">
        <v>-103907.29599999962</v>
      </c>
      <c r="E1606" s="512">
        <v>118391.78064063849</v>
      </c>
      <c r="F1606" s="513">
        <v>118391.78064063849</v>
      </c>
      <c r="G1606" s="512">
        <v>0</v>
      </c>
      <c r="H1606" s="512">
        <v>0</v>
      </c>
      <c r="I1606" s="659" t="s">
        <v>103</v>
      </c>
      <c r="J1606" s="513">
        <v>0</v>
      </c>
      <c r="K1606" s="513">
        <v>0</v>
      </c>
      <c r="L1606" s="513">
        <v>0</v>
      </c>
      <c r="M1606" s="513">
        <v>14484.484640638868</v>
      </c>
      <c r="N1606" s="622"/>
    </row>
    <row r="1607" spans="2:14">
      <c r="B1607" s="513" t="s">
        <v>643</v>
      </c>
      <c r="C1607" s="658">
        <v>2009</v>
      </c>
      <c r="D1607" s="513">
        <v>14484.48464063881</v>
      </c>
      <c r="E1607" s="512">
        <v>92953.830138996578</v>
      </c>
      <c r="F1607" s="513">
        <v>92953.830138996578</v>
      </c>
      <c r="G1607" s="512">
        <v>0</v>
      </c>
      <c r="H1607" s="512">
        <v>0</v>
      </c>
      <c r="I1607" s="659" t="s">
        <v>103</v>
      </c>
      <c r="J1607" s="513">
        <v>0</v>
      </c>
      <c r="K1607" s="513">
        <v>0</v>
      </c>
      <c r="L1607" s="513">
        <v>0</v>
      </c>
      <c r="M1607" s="513">
        <v>107438.31477963539</v>
      </c>
      <c r="N1607" s="622"/>
    </row>
    <row r="1608" spans="2:14">
      <c r="B1608" s="513" t="s">
        <v>643</v>
      </c>
      <c r="C1608" s="658">
        <v>2010</v>
      </c>
      <c r="D1608" s="513">
        <v>107438.31477963552</v>
      </c>
      <c r="E1608" s="512">
        <v>92801.98</v>
      </c>
      <c r="F1608" s="513">
        <v>92801.98</v>
      </c>
      <c r="G1608" s="512">
        <v>0</v>
      </c>
      <c r="H1608" s="512">
        <v>0</v>
      </c>
      <c r="I1608" s="659" t="s">
        <v>103</v>
      </c>
      <c r="J1608" s="513">
        <v>0</v>
      </c>
      <c r="K1608" s="513">
        <v>0</v>
      </c>
      <c r="L1608" s="513">
        <v>0</v>
      </c>
      <c r="M1608" s="513">
        <v>200240.2947796355</v>
      </c>
      <c r="N1608" s="622"/>
    </row>
    <row r="1609" spans="2:14">
      <c r="B1609" s="513" t="s">
        <v>643</v>
      </c>
      <c r="C1609" s="658">
        <v>2011</v>
      </c>
      <c r="D1609" s="513">
        <v>200240.29620765056</v>
      </c>
      <c r="E1609" s="512">
        <v>94585.273537470624</v>
      </c>
      <c r="F1609" s="513">
        <v>94585.273537470624</v>
      </c>
      <c r="G1609" s="512">
        <v>0</v>
      </c>
      <c r="H1609" s="512">
        <v>0</v>
      </c>
      <c r="I1609" s="659" t="s">
        <v>103</v>
      </c>
      <c r="J1609" s="513">
        <v>0</v>
      </c>
      <c r="K1609" s="513">
        <v>0</v>
      </c>
      <c r="L1609" s="513">
        <v>0</v>
      </c>
      <c r="M1609" s="513">
        <v>294825.56974512117</v>
      </c>
      <c r="N1609" s="622"/>
    </row>
    <row r="1610" spans="2:14">
      <c r="B1610" s="513" t="s">
        <v>643</v>
      </c>
      <c r="C1610" s="658">
        <v>2012</v>
      </c>
      <c r="D1610" s="513">
        <v>294825.56974512106</v>
      </c>
      <c r="E1610" s="513">
        <v>63845.569569619744</v>
      </c>
      <c r="F1610" s="513">
        <v>63845.569569619744</v>
      </c>
      <c r="G1610" s="512">
        <v>0</v>
      </c>
      <c r="H1610" s="512">
        <v>0</v>
      </c>
      <c r="I1610" s="659" t="s">
        <v>103</v>
      </c>
      <c r="J1610" s="513">
        <v>0</v>
      </c>
      <c r="K1610" s="513">
        <v>0</v>
      </c>
      <c r="L1610" s="513">
        <v>0</v>
      </c>
      <c r="M1610" s="513">
        <v>358671.13931474078</v>
      </c>
      <c r="N1610" s="622"/>
    </row>
    <row r="1611" spans="2:14">
      <c r="B1611" s="513" t="s">
        <v>643</v>
      </c>
      <c r="C1611" s="658">
        <v>2013</v>
      </c>
      <c r="D1611" s="513">
        <v>358671.1393147409</v>
      </c>
      <c r="E1611" s="513">
        <v>106312.14047974993</v>
      </c>
      <c r="F1611" s="513">
        <v>106312.14047974993</v>
      </c>
      <c r="G1611" s="512">
        <v>0</v>
      </c>
      <c r="H1611" s="512">
        <v>0</v>
      </c>
      <c r="I1611" s="659" t="s">
        <v>103</v>
      </c>
      <c r="J1611" s="513">
        <v>0</v>
      </c>
      <c r="K1611" s="513">
        <v>0</v>
      </c>
      <c r="L1611" s="513">
        <v>0</v>
      </c>
      <c r="M1611" s="513">
        <v>464983.27979449084</v>
      </c>
      <c r="N1611" s="622"/>
    </row>
    <row r="1612" spans="2:14">
      <c r="B1612" s="513" t="s">
        <v>643</v>
      </c>
      <c r="C1612" s="658">
        <v>2014</v>
      </c>
      <c r="D1612" s="513">
        <v>464983.2797944909</v>
      </c>
      <c r="E1612" s="513">
        <v>111303.20790892297</v>
      </c>
      <c r="F1612" s="513">
        <v>111303.20790892297</v>
      </c>
      <c r="G1612" s="512">
        <v>0</v>
      </c>
      <c r="H1612" s="512">
        <v>0</v>
      </c>
      <c r="I1612" s="659" t="s">
        <v>103</v>
      </c>
      <c r="J1612" s="513">
        <v>0</v>
      </c>
      <c r="K1612" s="513">
        <v>0</v>
      </c>
      <c r="L1612" s="513">
        <v>0</v>
      </c>
      <c r="M1612" s="513">
        <v>576286.48770341382</v>
      </c>
      <c r="N1612" s="622"/>
    </row>
    <row r="1613" spans="2:14">
      <c r="B1613" s="513" t="s">
        <v>643</v>
      </c>
      <c r="C1613" s="658">
        <v>2015</v>
      </c>
      <c r="D1613" s="513">
        <v>576286.4877034137</v>
      </c>
      <c r="E1613" s="513">
        <v>113366.05544515287</v>
      </c>
      <c r="F1613" s="513">
        <v>113366.05544515287</v>
      </c>
      <c r="G1613" s="660">
        <v>0</v>
      </c>
      <c r="H1613" s="660">
        <v>0</v>
      </c>
      <c r="I1613" s="659" t="s">
        <v>103</v>
      </c>
      <c r="J1613" s="513">
        <v>0</v>
      </c>
      <c r="K1613" s="513">
        <v>0</v>
      </c>
      <c r="L1613" s="513">
        <v>0</v>
      </c>
      <c r="M1613" s="513">
        <v>689652.54314856662</v>
      </c>
      <c r="N1613" s="622"/>
    </row>
    <row r="1614" spans="2:14">
      <c r="B1614" s="513" t="s">
        <v>643</v>
      </c>
      <c r="C1614" s="658">
        <v>2016</v>
      </c>
      <c r="D1614" s="513">
        <v>689652.5431485665</v>
      </c>
      <c r="E1614" s="513">
        <v>76305.111483291534</v>
      </c>
      <c r="F1614" s="513">
        <v>76305.111483291534</v>
      </c>
      <c r="G1614" s="660">
        <v>0</v>
      </c>
      <c r="H1614" s="660">
        <v>0</v>
      </c>
      <c r="I1614" s="659" t="s">
        <v>103</v>
      </c>
      <c r="J1614" s="513">
        <v>0</v>
      </c>
      <c r="K1614" s="513">
        <v>0</v>
      </c>
      <c r="L1614" s="513">
        <v>0</v>
      </c>
      <c r="M1614" s="513">
        <v>765957.65463185799</v>
      </c>
      <c r="N1614" s="622"/>
    </row>
    <row r="1615" spans="2:14">
      <c r="B1615" s="513" t="s">
        <v>643</v>
      </c>
      <c r="C1615" s="658">
        <v>2017</v>
      </c>
      <c r="D1615" s="513">
        <v>765957.65463185823</v>
      </c>
      <c r="E1615" s="513">
        <v>68885.4080185333</v>
      </c>
      <c r="F1615" s="513">
        <v>68885.4080185333</v>
      </c>
      <c r="G1615" s="513">
        <v>0</v>
      </c>
      <c r="H1615" s="513">
        <v>0</v>
      </c>
      <c r="I1615" s="659" t="s">
        <v>103</v>
      </c>
      <c r="J1615" s="513">
        <v>0</v>
      </c>
      <c r="K1615" s="513">
        <v>0</v>
      </c>
      <c r="L1615" s="513">
        <v>0</v>
      </c>
      <c r="M1615" s="513">
        <v>834843.06265039148</v>
      </c>
      <c r="N1615" s="622"/>
    </row>
    <row r="1616" spans="2:14">
      <c r="B1616" s="513" t="s">
        <v>643</v>
      </c>
      <c r="C1616" s="889">
        <v>2018</v>
      </c>
      <c r="D1616" s="513">
        <v>834843.06265039148</v>
      </c>
      <c r="E1616" s="513">
        <f>VLOOKUP(B1616,'[6]2018 allocation'!$A$11:$B$218,2, FALSE)</f>
        <v>75088.121198476467</v>
      </c>
      <c r="F1616" s="513">
        <f>E1616</f>
        <v>75088.121198476467</v>
      </c>
      <c r="G1616" s="513">
        <v>0</v>
      </c>
      <c r="H1616" s="513">
        <v>0</v>
      </c>
      <c r="I1616" s="622" t="s">
        <v>103</v>
      </c>
      <c r="J1616" s="513">
        <f>VLOOKUP(B1616,'[6]Annual Spending Worksheet '!$C$6:$AG$250,28,FALSE)</f>
        <v>107220.23999999999</v>
      </c>
      <c r="K1616" s="513">
        <f>VLOOKUP(B1616,'[6]Annual Spending Worksheet '!$C$6:$AG$250,29,FALSE)</f>
        <v>0</v>
      </c>
      <c r="L1616" s="513">
        <v>0</v>
      </c>
      <c r="M1616" s="513">
        <f>D1616+E1616+H1616-J1616</f>
        <v>802710.9438488679</v>
      </c>
      <c r="N1616" s="513"/>
    </row>
    <row r="1617" spans="2:14">
      <c r="B1617" s="513" t="s">
        <v>643</v>
      </c>
      <c r="C1617" s="889">
        <v>2019</v>
      </c>
      <c r="D1617" s="513">
        <v>802710.9438488679</v>
      </c>
      <c r="E1617" s="513">
        <v>81639.870819644217</v>
      </c>
      <c r="F1617" s="513">
        <v>81639.870819644217</v>
      </c>
      <c r="G1617" s="513">
        <v>0</v>
      </c>
      <c r="H1617" s="513">
        <v>95961</v>
      </c>
      <c r="I1617" s="622" t="s">
        <v>1782</v>
      </c>
      <c r="J1617" s="513">
        <v>760453.57000000007</v>
      </c>
      <c r="K1617" s="513">
        <v>0</v>
      </c>
      <c r="L1617" s="513">
        <v>0</v>
      </c>
      <c r="M1617" s="513">
        <v>219858.24466851202</v>
      </c>
      <c r="N1617" s="513"/>
    </row>
    <row r="1618" spans="2:14">
      <c r="B1618" s="513" t="s">
        <v>647</v>
      </c>
      <c r="C1618" s="658">
        <v>2008</v>
      </c>
      <c r="D1618" s="513">
        <v>7118448.137000001</v>
      </c>
      <c r="E1618" s="512">
        <v>387128.6199642772</v>
      </c>
      <c r="F1618" s="513">
        <v>387128.6199642772</v>
      </c>
      <c r="G1618" s="512">
        <v>0</v>
      </c>
      <c r="H1618" s="512">
        <v>0</v>
      </c>
      <c r="I1618" s="659" t="s">
        <v>103</v>
      </c>
      <c r="J1618" s="513">
        <v>149435.83000000002</v>
      </c>
      <c r="K1618" s="513">
        <v>0</v>
      </c>
      <c r="L1618" s="513">
        <v>0</v>
      </c>
      <c r="M1618" s="513">
        <v>7356140.9269642783</v>
      </c>
      <c r="N1618" s="622"/>
    </row>
    <row r="1619" spans="2:14">
      <c r="B1619" s="513" t="s">
        <v>647</v>
      </c>
      <c r="C1619" s="658">
        <v>2009</v>
      </c>
      <c r="D1619" s="513">
        <v>7356140.9269642783</v>
      </c>
      <c r="E1619" s="512">
        <v>328239.81197685673</v>
      </c>
      <c r="F1619" s="513">
        <v>328239.81197685673</v>
      </c>
      <c r="G1619" s="512">
        <v>0</v>
      </c>
      <c r="H1619" s="512">
        <v>0</v>
      </c>
      <c r="I1619" s="659" t="s">
        <v>103</v>
      </c>
      <c r="J1619" s="513">
        <v>40411.590000000004</v>
      </c>
      <c r="K1619" s="513">
        <v>0</v>
      </c>
      <c r="L1619" s="513">
        <v>0</v>
      </c>
      <c r="M1619" s="513">
        <v>7643969.148941135</v>
      </c>
      <c r="N1619" s="622"/>
    </row>
    <row r="1620" spans="2:14">
      <c r="B1620" s="513" t="s">
        <v>647</v>
      </c>
      <c r="C1620" s="658">
        <v>2010</v>
      </c>
      <c r="D1620" s="513">
        <v>7643969.148941136</v>
      </c>
      <c r="E1620" s="512">
        <v>327912.74</v>
      </c>
      <c r="F1620" s="513">
        <v>327912.74</v>
      </c>
      <c r="G1620" s="512">
        <v>0</v>
      </c>
      <c r="H1620" s="512">
        <v>0</v>
      </c>
      <c r="I1620" s="659" t="s">
        <v>103</v>
      </c>
      <c r="J1620" s="513">
        <v>203273.58999999997</v>
      </c>
      <c r="K1620" s="513">
        <v>0</v>
      </c>
      <c r="L1620" s="513">
        <v>0</v>
      </c>
      <c r="M1620" s="513">
        <v>7768608.2989411363</v>
      </c>
      <c r="N1620" s="622"/>
    </row>
    <row r="1621" spans="2:14">
      <c r="B1621" s="513" t="s">
        <v>647</v>
      </c>
      <c r="C1621" s="658">
        <v>2011</v>
      </c>
      <c r="D1621" s="513">
        <v>7768608.3026392618</v>
      </c>
      <c r="E1621" s="512">
        <v>332151.67648565688</v>
      </c>
      <c r="F1621" s="513">
        <v>332151.67648565688</v>
      </c>
      <c r="G1621" s="512">
        <v>0</v>
      </c>
      <c r="H1621" s="512">
        <v>0</v>
      </c>
      <c r="I1621" s="659" t="s">
        <v>103</v>
      </c>
      <c r="J1621" s="513">
        <v>142299.72999999998</v>
      </c>
      <c r="K1621" s="513">
        <v>0</v>
      </c>
      <c r="L1621" s="513">
        <v>0</v>
      </c>
      <c r="M1621" s="513">
        <v>7958460.2491249181</v>
      </c>
      <c r="N1621" s="622"/>
    </row>
    <row r="1622" spans="2:14">
      <c r="B1622" s="513" t="s">
        <v>647</v>
      </c>
      <c r="C1622" s="658">
        <v>2012</v>
      </c>
      <c r="D1622" s="513">
        <v>7958460.24912492</v>
      </c>
      <c r="E1622" s="513">
        <v>263003.4163372796</v>
      </c>
      <c r="F1622" s="513">
        <v>263003.4163372796</v>
      </c>
      <c r="G1622" s="512">
        <v>0</v>
      </c>
      <c r="H1622" s="512">
        <v>0</v>
      </c>
      <c r="I1622" s="659" t="s">
        <v>103</v>
      </c>
      <c r="J1622" s="513">
        <v>169401.37</v>
      </c>
      <c r="K1622" s="513">
        <v>0</v>
      </c>
      <c r="L1622" s="513">
        <v>0</v>
      </c>
      <c r="M1622" s="513">
        <v>8052062.2954621995</v>
      </c>
      <c r="N1622" s="622"/>
    </row>
    <row r="1623" spans="2:14">
      <c r="B1623" s="513" t="s">
        <v>647</v>
      </c>
      <c r="C1623" s="658">
        <v>2013</v>
      </c>
      <c r="D1623" s="513">
        <v>8052062.2953621987</v>
      </c>
      <c r="E1623" s="513">
        <v>358250.06831959216</v>
      </c>
      <c r="F1623" s="513">
        <v>358250.06831959216</v>
      </c>
      <c r="G1623" s="512">
        <v>0</v>
      </c>
      <c r="H1623" s="512">
        <v>0</v>
      </c>
      <c r="I1623" s="659" t="s">
        <v>103</v>
      </c>
      <c r="J1623" s="513">
        <v>2978982.0599999977</v>
      </c>
      <c r="K1623" s="513">
        <v>0</v>
      </c>
      <c r="L1623" s="513">
        <v>3537.17</v>
      </c>
      <c r="M1623" s="513">
        <v>5427793.1336817937</v>
      </c>
      <c r="N1623" s="622"/>
    </row>
    <row r="1624" spans="2:14">
      <c r="B1624" s="513" t="s">
        <v>647</v>
      </c>
      <c r="C1624" s="658">
        <v>2014</v>
      </c>
      <c r="D1624" s="513">
        <v>5427793.1336817946</v>
      </c>
      <c r="E1624" s="513">
        <v>369242.63514782256</v>
      </c>
      <c r="F1624" s="513">
        <v>369242.63514782256</v>
      </c>
      <c r="G1624" s="660">
        <v>0</v>
      </c>
      <c r="H1624" s="512">
        <v>0</v>
      </c>
      <c r="I1624" s="659" t="s">
        <v>103</v>
      </c>
      <c r="J1624" s="513">
        <v>171354.84999999995</v>
      </c>
      <c r="K1624" s="513">
        <v>3692398</v>
      </c>
      <c r="L1624" s="513">
        <v>1339.2</v>
      </c>
      <c r="M1624" s="513">
        <v>5624341.7188296178</v>
      </c>
      <c r="N1624" s="622"/>
    </row>
    <row r="1625" spans="2:14">
      <c r="B1625" s="513" t="s">
        <v>647</v>
      </c>
      <c r="C1625" s="658">
        <v>2015</v>
      </c>
      <c r="D1625" s="513">
        <v>5624341.7189296149</v>
      </c>
      <c r="E1625" s="513">
        <v>373842.97224687011</v>
      </c>
      <c r="F1625" s="513">
        <v>373842.97224687011</v>
      </c>
      <c r="G1625" s="660">
        <v>0</v>
      </c>
      <c r="H1625" s="660">
        <v>0</v>
      </c>
      <c r="I1625" s="659" t="s">
        <v>103</v>
      </c>
      <c r="J1625" s="513">
        <v>53342.710000000006</v>
      </c>
      <c r="K1625" s="513">
        <v>0</v>
      </c>
      <c r="L1625" s="513">
        <v>44019.59</v>
      </c>
      <c r="M1625" s="513">
        <v>5900822.3911764855</v>
      </c>
      <c r="N1625" s="622"/>
    </row>
    <row r="1626" spans="2:14">
      <c r="B1626" s="513" t="s">
        <v>647</v>
      </c>
      <c r="C1626" s="658">
        <v>2016</v>
      </c>
      <c r="D1626" s="513">
        <v>5900822.3911764864</v>
      </c>
      <c r="E1626" s="513">
        <v>291893.32874851138</v>
      </c>
      <c r="F1626" s="513">
        <v>291893.32874851138</v>
      </c>
      <c r="G1626" s="660">
        <v>0</v>
      </c>
      <c r="H1626" s="660">
        <v>0</v>
      </c>
      <c r="I1626" s="659" t="s">
        <v>103</v>
      </c>
      <c r="J1626" s="513">
        <v>30823.43</v>
      </c>
      <c r="K1626" s="513">
        <v>0</v>
      </c>
      <c r="L1626" s="513">
        <v>0</v>
      </c>
      <c r="M1626" s="513">
        <v>6161892.2899249978</v>
      </c>
      <c r="N1626" s="622"/>
    </row>
    <row r="1627" spans="2:14">
      <c r="B1627" s="513" t="s">
        <v>647</v>
      </c>
      <c r="C1627" s="658">
        <v>2017</v>
      </c>
      <c r="D1627" s="513">
        <v>6161892.2899249997</v>
      </c>
      <c r="E1627" s="513">
        <v>275767.558081005</v>
      </c>
      <c r="F1627" s="513">
        <v>275767.558081005</v>
      </c>
      <c r="G1627" s="513">
        <v>0</v>
      </c>
      <c r="H1627" s="513">
        <v>0</v>
      </c>
      <c r="I1627" s="659" t="s">
        <v>103</v>
      </c>
      <c r="J1627" s="513">
        <v>19207.349999999999</v>
      </c>
      <c r="K1627" s="513">
        <v>0</v>
      </c>
      <c r="L1627" s="513">
        <v>0</v>
      </c>
      <c r="M1627" s="513">
        <v>6418452.4980060048</v>
      </c>
      <c r="N1627" s="622"/>
    </row>
    <row r="1628" spans="2:14">
      <c r="B1628" s="513" t="s">
        <v>647</v>
      </c>
      <c r="C1628" s="889">
        <v>2018</v>
      </c>
      <c r="D1628" s="513">
        <v>6418452.4980060048</v>
      </c>
      <c r="E1628" s="513">
        <f>VLOOKUP(B1628,'[6]2018 allocation'!$A$11:$B$218,2, FALSE)</f>
        <v>289459.37600303959</v>
      </c>
      <c r="F1628" s="513">
        <f>E1628</f>
        <v>289459.37600303959</v>
      </c>
      <c r="G1628" s="513">
        <v>0</v>
      </c>
      <c r="H1628" s="513">
        <v>0</v>
      </c>
      <c r="I1628" s="622" t="s">
        <v>103</v>
      </c>
      <c r="J1628" s="513">
        <f>VLOOKUP(B1628,'[6]Annual Spending Worksheet '!$C$6:$AG$250,28,FALSE)</f>
        <v>16383.22</v>
      </c>
      <c r="K1628" s="513">
        <f>VLOOKUP(B1628,'[6]Annual Spending Worksheet '!$C$6:$AG$250,29,FALSE)</f>
        <v>0</v>
      </c>
      <c r="L1628" s="513">
        <v>0</v>
      </c>
      <c r="M1628" s="513">
        <f>D1628+E1628+H1628-J1628</f>
        <v>6691528.6540090451</v>
      </c>
      <c r="N1628" s="513"/>
    </row>
    <row r="1629" spans="2:14">
      <c r="B1629" s="513" t="s">
        <v>647</v>
      </c>
      <c r="C1629" s="889">
        <v>2019</v>
      </c>
      <c r="D1629" s="513">
        <v>6691528.6540090451</v>
      </c>
      <c r="E1629" s="513">
        <v>303909.4965205068</v>
      </c>
      <c r="F1629" s="513">
        <v>303909.4965205068</v>
      </c>
      <c r="G1629" s="513">
        <v>0</v>
      </c>
      <c r="H1629" s="513">
        <v>0</v>
      </c>
      <c r="I1629" s="622" t="s">
        <v>103</v>
      </c>
      <c r="J1629" s="513">
        <v>26406.21</v>
      </c>
      <c r="K1629" s="513">
        <v>0</v>
      </c>
      <c r="L1629" s="513">
        <v>0</v>
      </c>
      <c r="M1629" s="513">
        <v>6969031.9405295523</v>
      </c>
      <c r="N1629" s="513"/>
    </row>
    <row r="1630" spans="2:14">
      <c r="B1630" s="890" t="s">
        <v>1343</v>
      </c>
      <c r="C1630" s="898"/>
      <c r="D1630" s="899">
        <f>SUM(D1246:D1629)</f>
        <v>411655029.98349547</v>
      </c>
      <c r="E1630" s="899">
        <f>SUM(E1246:E1629)</f>
        <v>61360000.889171779</v>
      </c>
      <c r="F1630" s="899">
        <f t="shared" ref="F1630:H1630" si="21">SUM(F1246:F1629)</f>
        <v>61360000.889171779</v>
      </c>
      <c r="G1630" s="899">
        <f t="shared" si="21"/>
        <v>-48173178.286328405</v>
      </c>
      <c r="H1630" s="899">
        <f t="shared" si="21"/>
        <v>5151486</v>
      </c>
      <c r="I1630" s="900">
        <f>SUM(I1245:I1627)</f>
        <v>0</v>
      </c>
      <c r="J1630" s="899">
        <f>SUM(J1246:J1629)</f>
        <v>58132100.56999997</v>
      </c>
      <c r="K1630" s="899">
        <f t="shared" ref="K1630:M1630" si="22">SUM(K1246:K1629)</f>
        <v>60580568.669999957</v>
      </c>
      <c r="L1630" s="899">
        <f t="shared" si="22"/>
        <v>373679.77999999933</v>
      </c>
      <c r="M1630" s="899">
        <f t="shared" si="22"/>
        <v>419660736.52266717</v>
      </c>
      <c r="N1630" s="903"/>
    </row>
    <row r="1631" spans="2:14">
      <c r="B1631" s="887" t="s">
        <v>658</v>
      </c>
      <c r="C1631" s="655"/>
      <c r="D1631" s="513"/>
      <c r="E1631" s="513"/>
      <c r="F1631" s="513"/>
      <c r="G1631" s="513"/>
      <c r="H1631" s="513"/>
      <c r="I1631" s="659"/>
      <c r="J1631" s="513"/>
      <c r="K1631" s="513"/>
      <c r="L1631" s="513"/>
      <c r="M1631" s="513"/>
      <c r="N1631" s="622"/>
    </row>
    <row r="1632" spans="2:14">
      <c r="B1632" s="513" t="s">
        <v>659</v>
      </c>
      <c r="C1632" s="658">
        <v>2008</v>
      </c>
      <c r="D1632" s="513">
        <v>242738.19</v>
      </c>
      <c r="E1632" s="512">
        <v>49301.306957858644</v>
      </c>
      <c r="F1632" s="513">
        <v>49301.306957858644</v>
      </c>
      <c r="G1632" s="660">
        <v>0</v>
      </c>
      <c r="H1632" s="512">
        <v>0</v>
      </c>
      <c r="I1632" s="659" t="s">
        <v>103</v>
      </c>
      <c r="J1632" s="513">
        <v>4770</v>
      </c>
      <c r="K1632" s="513">
        <v>0</v>
      </c>
      <c r="L1632" s="513">
        <v>0</v>
      </c>
      <c r="M1632" s="513">
        <v>287269.49695785868</v>
      </c>
      <c r="N1632" s="622"/>
    </row>
    <row r="1633" spans="2:14">
      <c r="B1633" s="513" t="s">
        <v>659</v>
      </c>
      <c r="C1633" s="658">
        <v>2009</v>
      </c>
      <c r="D1633" s="513">
        <v>287269.17695785873</v>
      </c>
      <c r="E1633" s="512">
        <v>33306.233903330642</v>
      </c>
      <c r="F1633" s="513">
        <v>33306.233903330642</v>
      </c>
      <c r="G1633" s="660">
        <v>0</v>
      </c>
      <c r="H1633" s="512">
        <v>0</v>
      </c>
      <c r="I1633" s="659" t="s">
        <v>103</v>
      </c>
      <c r="J1633" s="513">
        <v>25489.709999999995</v>
      </c>
      <c r="K1633" s="513">
        <v>0</v>
      </c>
      <c r="L1633" s="513">
        <v>0</v>
      </c>
      <c r="M1633" s="513">
        <v>295085.70086118934</v>
      </c>
      <c r="N1633" s="622"/>
    </row>
    <row r="1634" spans="2:14">
      <c r="B1634" s="513" t="s">
        <v>659</v>
      </c>
      <c r="C1634" s="658">
        <v>2010</v>
      </c>
      <c r="D1634" s="513">
        <v>295085.70086118951</v>
      </c>
      <c r="E1634" s="512">
        <v>33135.4</v>
      </c>
      <c r="F1634" s="513">
        <v>33135.4</v>
      </c>
      <c r="G1634" s="660">
        <v>0</v>
      </c>
      <c r="H1634" s="512">
        <v>0</v>
      </c>
      <c r="I1634" s="659" t="s">
        <v>103</v>
      </c>
      <c r="J1634" s="513">
        <v>11799.19</v>
      </c>
      <c r="K1634" s="513">
        <v>0</v>
      </c>
      <c r="L1634" s="513">
        <v>0</v>
      </c>
      <c r="M1634" s="513">
        <v>316421.91086118954</v>
      </c>
      <c r="N1634" s="622"/>
    </row>
    <row r="1635" spans="2:14">
      <c r="B1635" s="513" t="s">
        <v>659</v>
      </c>
      <c r="C1635" s="658">
        <v>2011</v>
      </c>
      <c r="D1635" s="513">
        <v>316421.90753471886</v>
      </c>
      <c r="E1635" s="512">
        <v>34265.771166585197</v>
      </c>
      <c r="F1635" s="513">
        <v>34265.771166585197</v>
      </c>
      <c r="G1635" s="660">
        <v>0</v>
      </c>
      <c r="H1635" s="512">
        <v>0</v>
      </c>
      <c r="I1635" s="659" t="s">
        <v>103</v>
      </c>
      <c r="J1635" s="513">
        <v>499017.62000000034</v>
      </c>
      <c r="K1635" s="513">
        <v>605874</v>
      </c>
      <c r="L1635" s="513">
        <v>0</v>
      </c>
      <c r="M1635" s="513">
        <v>-148329.94129869627</v>
      </c>
      <c r="N1635" s="622" t="s">
        <v>1715</v>
      </c>
    </row>
    <row r="1636" spans="2:14">
      <c r="B1636" s="513" t="s">
        <v>659</v>
      </c>
      <c r="C1636" s="658">
        <v>2012</v>
      </c>
      <c r="D1636" s="513">
        <v>-148329.94129869645</v>
      </c>
      <c r="E1636" s="513">
        <v>13847.2171010282</v>
      </c>
      <c r="F1636" s="513">
        <v>13847.2171010282</v>
      </c>
      <c r="G1636" s="660">
        <v>-134482.72419766826</v>
      </c>
      <c r="H1636" s="512">
        <v>0</v>
      </c>
      <c r="I1636" s="659" t="s">
        <v>103</v>
      </c>
      <c r="J1636" s="513">
        <v>-22511.370000000003</v>
      </c>
      <c r="K1636" s="513">
        <v>0</v>
      </c>
      <c r="L1636" s="513">
        <v>0</v>
      </c>
      <c r="M1636" s="513">
        <v>-111971.35419766826</v>
      </c>
      <c r="N1636" s="622" t="s">
        <v>1715</v>
      </c>
    </row>
    <row r="1637" spans="2:14">
      <c r="B1637" s="513" t="s">
        <v>659</v>
      </c>
      <c r="C1637" s="658">
        <v>2013</v>
      </c>
      <c r="D1637" s="513">
        <v>-111971.35419766814</v>
      </c>
      <c r="E1637" s="513">
        <v>42040.000089920155</v>
      </c>
      <c r="F1637" s="513">
        <v>42040.000089920155</v>
      </c>
      <c r="G1637" s="660">
        <v>-69931.354107747989</v>
      </c>
      <c r="H1637" s="512">
        <v>0</v>
      </c>
      <c r="I1637" s="659" t="s">
        <v>103</v>
      </c>
      <c r="J1637" s="513">
        <v>-1623.5799999999981</v>
      </c>
      <c r="K1637" s="513">
        <v>0</v>
      </c>
      <c r="L1637" s="513">
        <v>0</v>
      </c>
      <c r="M1637" s="513">
        <v>-68307.774107747988</v>
      </c>
      <c r="N1637" s="622" t="s">
        <v>1715</v>
      </c>
    </row>
    <row r="1638" spans="2:14" ht="29.1">
      <c r="B1638" s="513" t="s">
        <v>659</v>
      </c>
      <c r="C1638" s="658">
        <v>2014</v>
      </c>
      <c r="D1638" s="513">
        <v>-68307.774107747944</v>
      </c>
      <c r="E1638" s="513">
        <v>45446.872563485158</v>
      </c>
      <c r="F1638" s="513">
        <v>45446.872563485158</v>
      </c>
      <c r="G1638" s="660">
        <v>-22860.901544262786</v>
      </c>
      <c r="H1638" s="512">
        <v>0</v>
      </c>
      <c r="I1638" s="659" t="s">
        <v>103</v>
      </c>
      <c r="J1638" s="513">
        <v>-147.88999999999999</v>
      </c>
      <c r="K1638" s="513">
        <v>0</v>
      </c>
      <c r="L1638" s="513">
        <v>0</v>
      </c>
      <c r="M1638" s="513">
        <v>-22713.011544262787</v>
      </c>
      <c r="N1638" s="622" t="s">
        <v>1716</v>
      </c>
    </row>
    <row r="1639" spans="2:14">
      <c r="B1639" s="513" t="s">
        <v>659</v>
      </c>
      <c r="C1639" s="658">
        <v>2015</v>
      </c>
      <c r="D1639" s="513">
        <v>-22713.01154426299</v>
      </c>
      <c r="E1639" s="513">
        <v>46964.838016894129</v>
      </c>
      <c r="F1639" s="513">
        <v>46964.838016894129</v>
      </c>
      <c r="G1639" s="660">
        <v>0</v>
      </c>
      <c r="H1639" s="660">
        <v>0</v>
      </c>
      <c r="I1639" s="659" t="s">
        <v>103</v>
      </c>
      <c r="J1639" s="513">
        <v>0</v>
      </c>
      <c r="K1639" s="513">
        <v>0</v>
      </c>
      <c r="L1639" s="513">
        <v>9839.08</v>
      </c>
      <c r="M1639" s="513">
        <v>14412.746472631139</v>
      </c>
      <c r="N1639" s="622"/>
    </row>
    <row r="1640" spans="2:14">
      <c r="B1640" s="513" t="s">
        <v>659</v>
      </c>
      <c r="C1640" s="658">
        <v>2016</v>
      </c>
      <c r="D1640" s="513">
        <v>14412.746472631581</v>
      </c>
      <c r="E1640" s="513">
        <v>21207.757648551451</v>
      </c>
      <c r="F1640" s="513">
        <v>21207.757648551451</v>
      </c>
      <c r="G1640" s="660">
        <v>0</v>
      </c>
      <c r="H1640" s="660">
        <v>0</v>
      </c>
      <c r="I1640" s="659" t="s">
        <v>103</v>
      </c>
      <c r="J1640" s="513">
        <v>0</v>
      </c>
      <c r="K1640" s="513">
        <v>0</v>
      </c>
      <c r="L1640" s="513">
        <v>0</v>
      </c>
      <c r="M1640" s="513">
        <v>35620.504121183032</v>
      </c>
      <c r="N1640" s="622"/>
    </row>
    <row r="1641" spans="2:14">
      <c r="B1641" s="513" t="s">
        <v>659</v>
      </c>
      <c r="C1641" s="658">
        <v>2017</v>
      </c>
      <c r="D1641" s="513">
        <v>35620.504121182952</v>
      </c>
      <c r="E1641" s="513">
        <v>15792.6877425522</v>
      </c>
      <c r="F1641" s="513">
        <v>15792.6877425522</v>
      </c>
      <c r="G1641" s="513">
        <v>0</v>
      </c>
      <c r="H1641" s="513">
        <v>0</v>
      </c>
      <c r="I1641" s="659" t="s">
        <v>103</v>
      </c>
      <c r="J1641" s="513">
        <v>0</v>
      </c>
      <c r="K1641" s="513">
        <v>0</v>
      </c>
      <c r="L1641" s="513">
        <v>0</v>
      </c>
      <c r="M1641" s="513">
        <v>51413.191863735148</v>
      </c>
      <c r="N1641" s="622"/>
    </row>
    <row r="1642" spans="2:14">
      <c r="B1642" s="513" t="s">
        <v>659</v>
      </c>
      <c r="C1642" s="889">
        <v>2018</v>
      </c>
      <c r="D1642" s="513">
        <v>51413.191863735148</v>
      </c>
      <c r="E1642" s="513">
        <f>VLOOKUP(B1642,'[6]2018 allocation'!$A$11:$B$218,2, FALSE)</f>
        <v>19847.982216274177</v>
      </c>
      <c r="F1642" s="513">
        <f>E1642</f>
        <v>19847.982216274177</v>
      </c>
      <c r="G1642" s="513">
        <v>0</v>
      </c>
      <c r="H1642" s="513">
        <v>0</v>
      </c>
      <c r="I1642" s="622" t="s">
        <v>103</v>
      </c>
      <c r="J1642" s="513">
        <f>VLOOKUP(B1642,'[6]Annual Spending Worksheet '!$C$6:$AG$250,28,FALSE)</f>
        <v>0</v>
      </c>
      <c r="K1642" s="513">
        <f>VLOOKUP(B1642,'[6]Annual Spending Worksheet '!$C$6:$AG$250,29,FALSE)</f>
        <v>0</v>
      </c>
      <c r="L1642" s="513">
        <v>0</v>
      </c>
      <c r="M1642" s="513">
        <f>D1642+E1642+H1642-J1642</f>
        <v>71261.174080009325</v>
      </c>
      <c r="N1642" s="513"/>
    </row>
    <row r="1643" spans="2:14">
      <c r="B1643" s="513" t="s">
        <v>659</v>
      </c>
      <c r="C1643" s="889">
        <v>2019</v>
      </c>
      <c r="D1643" s="513">
        <v>71261.174080009325</v>
      </c>
      <c r="E1643" s="513">
        <v>24175.099065373317</v>
      </c>
      <c r="F1643" s="513">
        <v>24175.099065373317</v>
      </c>
      <c r="G1643" s="513">
        <v>0</v>
      </c>
      <c r="H1643" s="513">
        <v>0</v>
      </c>
      <c r="I1643" s="622" t="s">
        <v>103</v>
      </c>
      <c r="J1643" s="513">
        <v>0</v>
      </c>
      <c r="K1643" s="513">
        <v>0</v>
      </c>
      <c r="L1643" s="513">
        <v>0</v>
      </c>
      <c r="M1643" s="513">
        <v>95436.273145382642</v>
      </c>
      <c r="N1643" s="513"/>
    </row>
    <row r="1644" spans="2:14">
      <c r="B1644" s="513" t="s">
        <v>664</v>
      </c>
      <c r="C1644" s="658">
        <v>2008</v>
      </c>
      <c r="D1644" s="513">
        <v>324932.65000000002</v>
      </c>
      <c r="E1644" s="512">
        <v>39712.345283026574</v>
      </c>
      <c r="F1644" s="513">
        <v>39712.345283026574</v>
      </c>
      <c r="G1644" s="512">
        <v>0</v>
      </c>
      <c r="H1644" s="512">
        <v>0</v>
      </c>
      <c r="I1644" s="659" t="s">
        <v>103</v>
      </c>
      <c r="J1644" s="513">
        <v>0</v>
      </c>
      <c r="K1644" s="513">
        <v>0</v>
      </c>
      <c r="L1644" s="513">
        <v>0</v>
      </c>
      <c r="M1644" s="513">
        <v>364644.9952830266</v>
      </c>
      <c r="N1644" s="622"/>
    </row>
    <row r="1645" spans="2:14">
      <c r="B1645" s="513" t="s">
        <v>664</v>
      </c>
      <c r="C1645" s="658">
        <v>2009</v>
      </c>
      <c r="D1645" s="513">
        <v>364644.99528302648</v>
      </c>
      <c r="E1645" s="512">
        <v>29447.76960715196</v>
      </c>
      <c r="F1645" s="513">
        <v>29447.76960715196</v>
      </c>
      <c r="G1645" s="512">
        <v>0</v>
      </c>
      <c r="H1645" s="512">
        <v>0</v>
      </c>
      <c r="I1645" s="659" t="s">
        <v>103</v>
      </c>
      <c r="J1645" s="513">
        <v>0</v>
      </c>
      <c r="K1645" s="513">
        <v>0</v>
      </c>
      <c r="L1645" s="513">
        <v>0</v>
      </c>
      <c r="M1645" s="513">
        <v>394092.76489017846</v>
      </c>
      <c r="N1645" s="622"/>
    </row>
    <row r="1646" spans="2:14">
      <c r="B1646" s="513" t="s">
        <v>664</v>
      </c>
      <c r="C1646" s="658">
        <v>2010</v>
      </c>
      <c r="D1646" s="513">
        <v>394092.76489017834</v>
      </c>
      <c r="E1646" s="512">
        <v>29401.62</v>
      </c>
      <c r="F1646" s="513">
        <v>29401.62</v>
      </c>
      <c r="G1646" s="512">
        <v>0</v>
      </c>
      <c r="H1646" s="512">
        <v>0</v>
      </c>
      <c r="I1646" s="659" t="s">
        <v>103</v>
      </c>
      <c r="J1646" s="513">
        <v>0</v>
      </c>
      <c r="K1646" s="513">
        <v>0</v>
      </c>
      <c r="L1646" s="513">
        <v>0</v>
      </c>
      <c r="M1646" s="513">
        <v>423494.38489017833</v>
      </c>
      <c r="N1646" s="622"/>
    </row>
    <row r="1647" spans="2:14">
      <c r="B1647" s="513" t="s">
        <v>664</v>
      </c>
      <c r="C1647" s="658">
        <v>2011</v>
      </c>
      <c r="D1647" s="513">
        <v>423494.38088389183</v>
      </c>
      <c r="E1647" s="512">
        <v>30151.736213025895</v>
      </c>
      <c r="F1647" s="513">
        <v>30151.736213025895</v>
      </c>
      <c r="G1647" s="512">
        <v>0</v>
      </c>
      <c r="H1647" s="512">
        <v>0</v>
      </c>
      <c r="I1647" s="659" t="s">
        <v>103</v>
      </c>
      <c r="J1647" s="513">
        <v>0</v>
      </c>
      <c r="K1647" s="513">
        <v>0</v>
      </c>
      <c r="L1647" s="513">
        <v>0</v>
      </c>
      <c r="M1647" s="513">
        <v>453646.1170969177</v>
      </c>
      <c r="N1647" s="622"/>
    </row>
    <row r="1648" spans="2:14">
      <c r="B1648" s="513" t="s">
        <v>664</v>
      </c>
      <c r="C1648" s="658">
        <v>2012</v>
      </c>
      <c r="D1648" s="513">
        <v>453646.1170969177</v>
      </c>
      <c r="E1648" s="513">
        <v>18070.948315604794</v>
      </c>
      <c r="F1648" s="513">
        <v>18070.948315604794</v>
      </c>
      <c r="G1648" s="512">
        <v>0</v>
      </c>
      <c r="H1648" s="512">
        <v>0</v>
      </c>
      <c r="I1648" s="659" t="s">
        <v>103</v>
      </c>
      <c r="J1648" s="513">
        <v>0</v>
      </c>
      <c r="K1648" s="513">
        <v>0</v>
      </c>
      <c r="L1648" s="513">
        <v>0</v>
      </c>
      <c r="M1648" s="513">
        <v>471717.06541252253</v>
      </c>
      <c r="N1648" s="622"/>
    </row>
    <row r="1649" spans="2:14">
      <c r="B1649" s="513" t="s">
        <v>664</v>
      </c>
      <c r="C1649" s="658">
        <v>2013</v>
      </c>
      <c r="D1649" s="513">
        <v>471717.06541252253</v>
      </c>
      <c r="E1649" s="513">
        <v>34759.409993659814</v>
      </c>
      <c r="F1649" s="513">
        <v>34759.409993659814</v>
      </c>
      <c r="G1649" s="512">
        <v>0</v>
      </c>
      <c r="H1649" s="512">
        <v>0</v>
      </c>
      <c r="I1649" s="659" t="s">
        <v>103</v>
      </c>
      <c r="J1649" s="513">
        <v>0</v>
      </c>
      <c r="K1649" s="513">
        <v>0</v>
      </c>
      <c r="L1649" s="513">
        <v>0</v>
      </c>
      <c r="M1649" s="513">
        <v>506476.47540618235</v>
      </c>
      <c r="N1649" s="622"/>
    </row>
    <row r="1650" spans="2:14">
      <c r="B1650" s="513" t="s">
        <v>664</v>
      </c>
      <c r="C1650" s="658">
        <v>2014</v>
      </c>
      <c r="D1650" s="513">
        <v>506476.47540618223</v>
      </c>
      <c r="E1650" s="513">
        <v>36700.973601453174</v>
      </c>
      <c r="F1650" s="513">
        <v>36700.973601453174</v>
      </c>
      <c r="G1650" s="512">
        <v>0</v>
      </c>
      <c r="H1650" s="512">
        <v>0</v>
      </c>
      <c r="I1650" s="659" t="s">
        <v>103</v>
      </c>
      <c r="J1650" s="513">
        <v>0</v>
      </c>
      <c r="K1650" s="513">
        <v>0</v>
      </c>
      <c r="L1650" s="513">
        <v>0</v>
      </c>
      <c r="M1650" s="513">
        <v>543177.44900763535</v>
      </c>
      <c r="N1650" s="622"/>
    </row>
    <row r="1651" spans="2:14">
      <c r="B1651" s="513" t="s">
        <v>664</v>
      </c>
      <c r="C1651" s="658">
        <v>2015</v>
      </c>
      <c r="D1651" s="513">
        <v>543177.44900763547</v>
      </c>
      <c r="E1651" s="513">
        <v>37504.629664977976</v>
      </c>
      <c r="F1651" s="513">
        <v>37504.629664977976</v>
      </c>
      <c r="G1651" s="512">
        <v>0</v>
      </c>
      <c r="H1651" s="660">
        <v>0</v>
      </c>
      <c r="I1651" s="659" t="s">
        <v>103</v>
      </c>
      <c r="J1651" s="513">
        <v>0</v>
      </c>
      <c r="K1651" s="513">
        <v>0</v>
      </c>
      <c r="L1651" s="513">
        <v>0</v>
      </c>
      <c r="M1651" s="513">
        <v>580682.07867261348</v>
      </c>
      <c r="N1651" s="622"/>
    </row>
    <row r="1652" spans="2:14">
      <c r="B1652" s="513" t="s">
        <v>664</v>
      </c>
      <c r="C1652" s="658">
        <v>2016</v>
      </c>
      <c r="D1652" s="513">
        <v>580682.07867261348</v>
      </c>
      <c r="E1652" s="513">
        <v>23041.841799709899</v>
      </c>
      <c r="F1652" s="513">
        <v>23041.841799709899</v>
      </c>
      <c r="G1652" s="660">
        <v>0</v>
      </c>
      <c r="H1652" s="660">
        <v>0</v>
      </c>
      <c r="I1652" s="659" t="s">
        <v>103</v>
      </c>
      <c r="J1652" s="513">
        <v>0</v>
      </c>
      <c r="K1652" s="513">
        <v>0</v>
      </c>
      <c r="L1652" s="513">
        <v>0</v>
      </c>
      <c r="M1652" s="513">
        <v>603723.92047232343</v>
      </c>
      <c r="N1652" s="622"/>
    </row>
    <row r="1653" spans="2:14">
      <c r="B1653" s="513" t="s">
        <v>664</v>
      </c>
      <c r="C1653" s="658">
        <v>2017</v>
      </c>
      <c r="D1653" s="513">
        <v>603723.92047232343</v>
      </c>
      <c r="E1653" s="513">
        <v>20226.543183404818</v>
      </c>
      <c r="F1653" s="513">
        <v>20226.543183404818</v>
      </c>
      <c r="G1653" s="513">
        <v>0</v>
      </c>
      <c r="H1653" s="513">
        <v>0</v>
      </c>
      <c r="I1653" s="659" t="s">
        <v>103</v>
      </c>
      <c r="J1653" s="513">
        <v>0</v>
      </c>
      <c r="K1653" s="513">
        <v>0</v>
      </c>
      <c r="L1653" s="513">
        <v>0</v>
      </c>
      <c r="M1653" s="513">
        <v>623950.46365572826</v>
      </c>
      <c r="N1653" s="622"/>
    </row>
    <row r="1654" spans="2:14">
      <c r="B1654" s="513" t="s">
        <v>664</v>
      </c>
      <c r="C1654" s="889">
        <v>2018</v>
      </c>
      <c r="D1654" s="513">
        <v>623950.46365572826</v>
      </c>
      <c r="E1654" s="513">
        <f>VLOOKUP(B1654,'[6]2018 allocation'!$A$11:$B$218,2, FALSE)</f>
        <v>22595.165703373943</v>
      </c>
      <c r="F1654" s="513">
        <f>E1654</f>
        <v>22595.165703373943</v>
      </c>
      <c r="G1654" s="513">
        <v>0</v>
      </c>
      <c r="H1654" s="513">
        <v>0</v>
      </c>
      <c r="I1654" s="622" t="s">
        <v>103</v>
      </c>
      <c r="J1654" s="513">
        <f>VLOOKUP(B1654,'[6]Annual Spending Worksheet '!$C$6:$AG$250,28,FALSE)</f>
        <v>0</v>
      </c>
      <c r="K1654" s="513">
        <f>VLOOKUP(B1654,'[6]Annual Spending Worksheet '!$C$6:$AG$250,29,FALSE)</f>
        <v>0</v>
      </c>
      <c r="L1654" s="513">
        <v>0</v>
      </c>
      <c r="M1654" s="513">
        <f>D1654+E1654+H1654-J1654</f>
        <v>646545.62935910223</v>
      </c>
      <c r="N1654" s="513"/>
    </row>
    <row r="1655" spans="2:14">
      <c r="B1655" s="513" t="s">
        <v>664</v>
      </c>
      <c r="C1655" s="889">
        <v>2019</v>
      </c>
      <c r="D1655" s="513">
        <v>646545.62935910223</v>
      </c>
      <c r="E1655" s="513">
        <v>25167.234021849454</v>
      </c>
      <c r="F1655" s="513">
        <v>25167.234021849454</v>
      </c>
      <c r="G1655" s="513">
        <v>0</v>
      </c>
      <c r="H1655" s="513">
        <v>0</v>
      </c>
      <c r="I1655" s="622" t="s">
        <v>103</v>
      </c>
      <c r="J1655" s="513">
        <v>0</v>
      </c>
      <c r="K1655" s="513">
        <v>0</v>
      </c>
      <c r="L1655" s="513">
        <v>0</v>
      </c>
      <c r="M1655" s="513">
        <v>671712.86338095169</v>
      </c>
      <c r="N1655" s="513"/>
    </row>
    <row r="1656" spans="2:14">
      <c r="B1656" s="513" t="s">
        <v>665</v>
      </c>
      <c r="C1656" s="658">
        <v>2008</v>
      </c>
      <c r="D1656" s="513">
        <v>18494.891000000003</v>
      </c>
      <c r="E1656" s="512">
        <v>23773.823776681333</v>
      </c>
      <c r="F1656" s="513">
        <v>23773.823776681333</v>
      </c>
      <c r="G1656" s="512">
        <v>0</v>
      </c>
      <c r="H1656" s="512">
        <v>0</v>
      </c>
      <c r="I1656" s="659" t="s">
        <v>103</v>
      </c>
      <c r="J1656" s="513">
        <v>0</v>
      </c>
      <c r="K1656" s="513">
        <v>0</v>
      </c>
      <c r="L1656" s="513">
        <v>0</v>
      </c>
      <c r="M1656" s="513">
        <v>42268.714776681336</v>
      </c>
      <c r="N1656" s="622"/>
    </row>
    <row r="1657" spans="2:14">
      <c r="B1657" s="513" t="s">
        <v>665</v>
      </c>
      <c r="C1657" s="658">
        <v>2009</v>
      </c>
      <c r="D1657" s="513">
        <v>42268.714776681329</v>
      </c>
      <c r="E1657" s="512">
        <v>18463.05095679736</v>
      </c>
      <c r="F1657" s="513">
        <v>18463.05095679736</v>
      </c>
      <c r="G1657" s="512">
        <v>0</v>
      </c>
      <c r="H1657" s="512">
        <v>0</v>
      </c>
      <c r="I1657" s="659" t="s">
        <v>103</v>
      </c>
      <c r="J1657" s="513">
        <v>0</v>
      </c>
      <c r="K1657" s="513">
        <v>0</v>
      </c>
      <c r="L1657" s="513">
        <v>0</v>
      </c>
      <c r="M1657" s="513">
        <v>60731.765733478693</v>
      </c>
      <c r="N1657" s="622"/>
    </row>
    <row r="1658" spans="2:14">
      <c r="B1658" s="513" t="s">
        <v>665</v>
      </c>
      <c r="C1658" s="658">
        <v>2010</v>
      </c>
      <c r="D1658" s="513">
        <v>60731.765733478707</v>
      </c>
      <c r="E1658" s="512">
        <v>18429.7</v>
      </c>
      <c r="F1658" s="513">
        <v>18429.7</v>
      </c>
      <c r="G1658" s="512">
        <v>0</v>
      </c>
      <c r="H1658" s="512">
        <v>0</v>
      </c>
      <c r="I1658" s="659" t="s">
        <v>103</v>
      </c>
      <c r="J1658" s="513">
        <v>0</v>
      </c>
      <c r="K1658" s="513">
        <v>0</v>
      </c>
      <c r="L1658" s="513">
        <v>0</v>
      </c>
      <c r="M1658" s="513">
        <v>79161.465733478704</v>
      </c>
      <c r="N1658" s="622"/>
    </row>
    <row r="1659" spans="2:14">
      <c r="B1659" s="513" t="s">
        <v>665</v>
      </c>
      <c r="C1659" s="658">
        <v>2011</v>
      </c>
      <c r="D1659" s="513">
        <v>79161.466056318546</v>
      </c>
      <c r="E1659" s="512">
        <v>18812.953536201716</v>
      </c>
      <c r="F1659" s="513">
        <v>18812.953536201716</v>
      </c>
      <c r="G1659" s="512">
        <v>0</v>
      </c>
      <c r="H1659" s="512">
        <v>0</v>
      </c>
      <c r="I1659" s="659" t="s">
        <v>103</v>
      </c>
      <c r="J1659" s="513">
        <v>0</v>
      </c>
      <c r="K1659" s="513">
        <v>0</v>
      </c>
      <c r="L1659" s="513">
        <v>0</v>
      </c>
      <c r="M1659" s="513">
        <v>97974.419592520266</v>
      </c>
      <c r="N1659" s="622"/>
    </row>
    <row r="1660" spans="2:14">
      <c r="B1660" s="513" t="s">
        <v>665</v>
      </c>
      <c r="C1660" s="658">
        <v>2012</v>
      </c>
      <c r="D1660" s="513">
        <v>97974.41959252028</v>
      </c>
      <c r="E1660" s="513">
        <v>12551.89885268865</v>
      </c>
      <c r="F1660" s="513">
        <v>12551.89885268865</v>
      </c>
      <c r="G1660" s="512">
        <v>0</v>
      </c>
      <c r="H1660" s="512">
        <v>0</v>
      </c>
      <c r="I1660" s="659" t="s">
        <v>103</v>
      </c>
      <c r="J1660" s="513">
        <v>0</v>
      </c>
      <c r="K1660" s="513">
        <v>0</v>
      </c>
      <c r="L1660" s="513">
        <v>0</v>
      </c>
      <c r="M1660" s="513">
        <v>110526.31844520893</v>
      </c>
      <c r="N1660" s="622"/>
    </row>
    <row r="1661" spans="2:14">
      <c r="B1661" s="513" t="s">
        <v>665</v>
      </c>
      <c r="C1661" s="658">
        <v>2013</v>
      </c>
      <c r="D1661" s="513">
        <v>110526.31844520895</v>
      </c>
      <c r="E1661" s="513">
        <v>21218.55058323807</v>
      </c>
      <c r="F1661" s="513">
        <v>21218.55058323807</v>
      </c>
      <c r="G1661" s="512">
        <v>0</v>
      </c>
      <c r="H1661" s="512">
        <v>0</v>
      </c>
      <c r="I1661" s="659" t="s">
        <v>103</v>
      </c>
      <c r="J1661" s="513">
        <v>0</v>
      </c>
      <c r="K1661" s="513">
        <v>0</v>
      </c>
      <c r="L1661" s="513">
        <v>0</v>
      </c>
      <c r="M1661" s="513">
        <v>131744.86902844702</v>
      </c>
      <c r="N1661" s="622"/>
    </row>
    <row r="1662" spans="2:14">
      <c r="B1662" s="513" t="s">
        <v>665</v>
      </c>
      <c r="C1662" s="658">
        <v>2014</v>
      </c>
      <c r="D1662" s="513">
        <v>131744.86902844696</v>
      </c>
      <c r="E1662" s="513">
        <v>22242.196637538749</v>
      </c>
      <c r="F1662" s="513">
        <v>22242.196637538749</v>
      </c>
      <c r="G1662" s="512">
        <v>0</v>
      </c>
      <c r="H1662" s="512">
        <v>0</v>
      </c>
      <c r="I1662" s="659" t="s">
        <v>103</v>
      </c>
      <c r="J1662" s="513">
        <v>0</v>
      </c>
      <c r="K1662" s="513">
        <v>0</v>
      </c>
      <c r="L1662" s="513">
        <v>0</v>
      </c>
      <c r="M1662" s="513">
        <v>153987.06566598572</v>
      </c>
      <c r="N1662" s="622"/>
    </row>
    <row r="1663" spans="2:14">
      <c r="B1663" s="513" t="s">
        <v>665</v>
      </c>
      <c r="C1663" s="658">
        <v>2015</v>
      </c>
      <c r="D1663" s="513">
        <v>153987.06566598569</v>
      </c>
      <c r="E1663" s="513">
        <v>22678.393229137437</v>
      </c>
      <c r="F1663" s="513">
        <v>22678.393229137437</v>
      </c>
      <c r="G1663" s="512">
        <v>0</v>
      </c>
      <c r="H1663" s="660">
        <v>0</v>
      </c>
      <c r="I1663" s="659" t="s">
        <v>103</v>
      </c>
      <c r="J1663" s="513">
        <v>0</v>
      </c>
      <c r="K1663" s="513">
        <v>0</v>
      </c>
      <c r="L1663" s="513">
        <v>0</v>
      </c>
      <c r="M1663" s="513">
        <v>176665.45889512313</v>
      </c>
      <c r="N1663" s="622"/>
    </row>
    <row r="1664" spans="2:14">
      <c r="B1664" s="513" t="s">
        <v>665</v>
      </c>
      <c r="C1664" s="658">
        <v>2016</v>
      </c>
      <c r="D1664" s="513">
        <v>176665.4588951231</v>
      </c>
      <c r="E1664" s="513">
        <v>14997.24538806167</v>
      </c>
      <c r="F1664" s="513">
        <v>14997.24538806167</v>
      </c>
      <c r="G1664" s="660">
        <v>0</v>
      </c>
      <c r="H1664" s="660">
        <v>0</v>
      </c>
      <c r="I1664" s="659" t="s">
        <v>103</v>
      </c>
      <c r="J1664" s="513">
        <v>0</v>
      </c>
      <c r="K1664" s="513">
        <v>0</v>
      </c>
      <c r="L1664" s="513">
        <v>0</v>
      </c>
      <c r="M1664" s="513">
        <v>191662.70428318478</v>
      </c>
      <c r="N1664" s="622"/>
    </row>
    <row r="1665" spans="2:14">
      <c r="B1665" s="513" t="s">
        <v>665</v>
      </c>
      <c r="C1665" s="658">
        <v>2017</v>
      </c>
      <c r="D1665" s="513">
        <v>191662.70428318472</v>
      </c>
      <c r="E1665" s="513">
        <v>13406.664825753713</v>
      </c>
      <c r="F1665" s="513">
        <v>13406.664825753713</v>
      </c>
      <c r="G1665" s="513">
        <v>0</v>
      </c>
      <c r="H1665" s="513">
        <v>0</v>
      </c>
      <c r="I1665" s="659" t="s">
        <v>103</v>
      </c>
      <c r="J1665" s="513">
        <v>0</v>
      </c>
      <c r="K1665" s="513">
        <v>0</v>
      </c>
      <c r="L1665" s="513">
        <v>0</v>
      </c>
      <c r="M1665" s="513">
        <v>205069.36910893844</v>
      </c>
      <c r="N1665" s="622"/>
    </row>
    <row r="1666" spans="2:14">
      <c r="B1666" s="513" t="s">
        <v>665</v>
      </c>
      <c r="C1666" s="889">
        <v>2018</v>
      </c>
      <c r="D1666" s="513">
        <v>205069.36910893844</v>
      </c>
      <c r="E1666" s="513">
        <f>VLOOKUP(B1666,'[6]2018 allocation'!$A$11:$B$218,2, FALSE)</f>
        <v>14571.104740242403</v>
      </c>
      <c r="F1666" s="513">
        <f>E1666</f>
        <v>14571.104740242403</v>
      </c>
      <c r="G1666" s="513">
        <v>0</v>
      </c>
      <c r="H1666" s="513">
        <v>0</v>
      </c>
      <c r="I1666" s="622" t="s">
        <v>103</v>
      </c>
      <c r="J1666" s="513">
        <f>VLOOKUP(B1666,'[6]Annual Spending Worksheet '!$C$6:$AG$250,28,FALSE)</f>
        <v>0</v>
      </c>
      <c r="K1666" s="513">
        <f>VLOOKUP(B1666,'[6]Annual Spending Worksheet '!$C$6:$AG$250,29,FALSE)</f>
        <v>0</v>
      </c>
      <c r="L1666" s="513">
        <v>0</v>
      </c>
      <c r="M1666" s="513">
        <f>D1666+E1666+H1666-J1666</f>
        <v>219640.47384918085</v>
      </c>
      <c r="N1666" s="513"/>
    </row>
    <row r="1667" spans="2:14">
      <c r="B1667" s="513" t="s">
        <v>665</v>
      </c>
      <c r="C1667" s="889">
        <v>2019</v>
      </c>
      <c r="D1667" s="513">
        <v>219640.47384918085</v>
      </c>
      <c r="E1667" s="513">
        <v>15959.412021871616</v>
      </c>
      <c r="F1667" s="513">
        <v>15959.412021871616</v>
      </c>
      <c r="G1667" s="513">
        <v>0</v>
      </c>
      <c r="H1667" s="513">
        <v>0</v>
      </c>
      <c r="I1667" s="622" t="s">
        <v>103</v>
      </c>
      <c r="J1667" s="513">
        <v>0</v>
      </c>
      <c r="K1667" s="513">
        <v>0</v>
      </c>
      <c r="L1667" s="513">
        <v>0</v>
      </c>
      <c r="M1667" s="513">
        <v>235599.88587105248</v>
      </c>
      <c r="N1667" s="513"/>
    </row>
    <row r="1668" spans="2:14">
      <c r="B1668" s="513" t="s">
        <v>666</v>
      </c>
      <c r="C1668" s="658">
        <v>2008</v>
      </c>
      <c r="D1668" s="513">
        <v>246760.16099999996</v>
      </c>
      <c r="E1668" s="512">
        <v>16358.98262892178</v>
      </c>
      <c r="F1668" s="513">
        <v>16358.98262892178</v>
      </c>
      <c r="G1668" s="660">
        <v>0</v>
      </c>
      <c r="H1668" s="512">
        <v>0</v>
      </c>
      <c r="I1668" s="659" t="s">
        <v>103</v>
      </c>
      <c r="J1668" s="513">
        <v>28148</v>
      </c>
      <c r="K1668" s="513">
        <v>0</v>
      </c>
      <c r="L1668" s="513">
        <v>0</v>
      </c>
      <c r="M1668" s="513">
        <v>234971.14362892177</v>
      </c>
      <c r="N1668" s="622"/>
    </row>
    <row r="1669" spans="2:14">
      <c r="B1669" s="513" t="s">
        <v>666</v>
      </c>
      <c r="C1669" s="658">
        <v>2009</v>
      </c>
      <c r="D1669" s="513">
        <v>234970.76362892176</v>
      </c>
      <c r="E1669" s="512">
        <v>11938.386393356255</v>
      </c>
      <c r="F1669" s="513">
        <v>11938.386393356255</v>
      </c>
      <c r="G1669" s="660">
        <v>0</v>
      </c>
      <c r="H1669" s="512">
        <v>0</v>
      </c>
      <c r="I1669" s="659" t="s">
        <v>103</v>
      </c>
      <c r="J1669" s="513">
        <v>32124.35</v>
      </c>
      <c r="K1669" s="513">
        <v>0</v>
      </c>
      <c r="L1669" s="513">
        <v>0</v>
      </c>
      <c r="M1669" s="513">
        <v>214784.80002227801</v>
      </c>
      <c r="N1669" s="622"/>
    </row>
    <row r="1670" spans="2:14">
      <c r="B1670" s="513" t="s">
        <v>666</v>
      </c>
      <c r="C1670" s="658">
        <v>2010</v>
      </c>
      <c r="D1670" s="513">
        <v>214784.80002227804</v>
      </c>
      <c r="E1670" s="512">
        <v>11918.45</v>
      </c>
      <c r="F1670" s="513">
        <v>11918.45</v>
      </c>
      <c r="G1670" s="660">
        <v>0</v>
      </c>
      <c r="H1670" s="512">
        <v>0</v>
      </c>
      <c r="I1670" s="659" t="s">
        <v>103</v>
      </c>
      <c r="J1670" s="513">
        <v>9805.73</v>
      </c>
      <c r="K1670" s="513">
        <v>0</v>
      </c>
      <c r="L1670" s="513">
        <v>0</v>
      </c>
      <c r="M1670" s="513">
        <v>216897.52002227804</v>
      </c>
      <c r="N1670" s="622"/>
    </row>
    <row r="1671" spans="2:14">
      <c r="B1671" s="513" t="s">
        <v>666</v>
      </c>
      <c r="C1671" s="658">
        <v>2011</v>
      </c>
      <c r="D1671" s="513">
        <v>216897.52296877271</v>
      </c>
      <c r="E1671" s="512">
        <v>12240.011038039611</v>
      </c>
      <c r="F1671" s="513">
        <v>12240.011038039611</v>
      </c>
      <c r="G1671" s="660">
        <v>0</v>
      </c>
      <c r="H1671" s="512">
        <v>0</v>
      </c>
      <c r="I1671" s="659" t="s">
        <v>103</v>
      </c>
      <c r="J1671" s="513">
        <v>352391.87000000058</v>
      </c>
      <c r="K1671" s="513">
        <v>478821</v>
      </c>
      <c r="L1671" s="513">
        <v>0</v>
      </c>
      <c r="M1671" s="513">
        <v>-123254.33599318826</v>
      </c>
      <c r="N1671" s="622" t="s">
        <v>1783</v>
      </c>
    </row>
    <row r="1672" spans="2:14">
      <c r="B1672" s="513" t="s">
        <v>666</v>
      </c>
      <c r="C1672" s="658">
        <v>2012</v>
      </c>
      <c r="D1672" s="513">
        <v>-123254.33599318826</v>
      </c>
      <c r="E1672" s="513">
        <v>7042.0456410464139</v>
      </c>
      <c r="F1672" s="513">
        <v>7042.0456410464139</v>
      </c>
      <c r="G1672" s="660">
        <v>-116212.29035214185</v>
      </c>
      <c r="H1672" s="512">
        <v>0</v>
      </c>
      <c r="I1672" s="659" t="s">
        <v>103</v>
      </c>
      <c r="J1672" s="513">
        <v>10539.360000000002</v>
      </c>
      <c r="K1672" s="513">
        <v>0</v>
      </c>
      <c r="L1672" s="513">
        <v>0</v>
      </c>
      <c r="M1672" s="513">
        <v>-126751.65035214185</v>
      </c>
      <c r="N1672" s="622" t="s">
        <v>1783</v>
      </c>
    </row>
    <row r="1673" spans="2:14">
      <c r="B1673" s="513" t="s">
        <v>666</v>
      </c>
      <c r="C1673" s="658">
        <v>2013</v>
      </c>
      <c r="D1673" s="513">
        <v>-126751.65035214182</v>
      </c>
      <c r="E1673" s="513">
        <v>14208.018272171183</v>
      </c>
      <c r="F1673" s="513">
        <v>14208.018272171183</v>
      </c>
      <c r="G1673" s="660">
        <v>-112543.63207997064</v>
      </c>
      <c r="H1673" s="512">
        <v>0</v>
      </c>
      <c r="I1673" s="659" t="s">
        <v>103</v>
      </c>
      <c r="J1673" s="513">
        <v>464.31999999999556</v>
      </c>
      <c r="K1673" s="513">
        <v>0</v>
      </c>
      <c r="L1673" s="513">
        <v>0</v>
      </c>
      <c r="M1673" s="513">
        <v>-113007.95207997064</v>
      </c>
      <c r="N1673" s="622" t="s">
        <v>1783</v>
      </c>
    </row>
    <row r="1674" spans="2:14">
      <c r="B1674" s="513" t="s">
        <v>666</v>
      </c>
      <c r="C1674" s="658">
        <v>2014</v>
      </c>
      <c r="D1674" s="513">
        <v>-113007.95207997056</v>
      </c>
      <c r="E1674" s="513">
        <v>15030.732475381141</v>
      </c>
      <c r="F1674" s="513">
        <v>15030.732475381141</v>
      </c>
      <c r="G1674" s="660">
        <v>-97977.219604589423</v>
      </c>
      <c r="H1674" s="512">
        <v>0</v>
      </c>
      <c r="I1674" s="659" t="s">
        <v>103</v>
      </c>
      <c r="J1674" s="513">
        <v>-968.73</v>
      </c>
      <c r="K1674" s="513">
        <v>0</v>
      </c>
      <c r="L1674" s="513">
        <v>-17232.830000000002</v>
      </c>
      <c r="M1674" s="513">
        <v>-79775.659604589426</v>
      </c>
      <c r="N1674" s="622" t="s">
        <v>1783</v>
      </c>
    </row>
    <row r="1675" spans="2:14">
      <c r="B1675" s="513" t="s">
        <v>666</v>
      </c>
      <c r="C1675" s="658">
        <v>2015</v>
      </c>
      <c r="D1675" s="513">
        <v>-79775.659604588873</v>
      </c>
      <c r="E1675" s="513">
        <v>15364.955792752837</v>
      </c>
      <c r="F1675" s="513">
        <v>15364.955792752837</v>
      </c>
      <c r="G1675" s="660">
        <v>-64410.703811836036</v>
      </c>
      <c r="H1675" s="660">
        <v>0</v>
      </c>
      <c r="I1675" s="659" t="s">
        <v>103</v>
      </c>
      <c r="J1675" s="513">
        <v>0</v>
      </c>
      <c r="K1675" s="513">
        <v>0</v>
      </c>
      <c r="L1675" s="513">
        <v>0</v>
      </c>
      <c r="M1675" s="513">
        <v>-64410.703811836036</v>
      </c>
      <c r="N1675" s="622" t="s">
        <v>1783</v>
      </c>
    </row>
    <row r="1676" spans="2:14">
      <c r="B1676" s="513" t="s">
        <v>666</v>
      </c>
      <c r="C1676" s="658">
        <v>2016</v>
      </c>
      <c r="D1676" s="513">
        <v>-64410.703811836021</v>
      </c>
      <c r="E1676" s="513">
        <v>9237.055110542824</v>
      </c>
      <c r="F1676" s="513">
        <v>9237.055110542824</v>
      </c>
      <c r="G1676" s="660">
        <v>-55173.648701293198</v>
      </c>
      <c r="H1676" s="660">
        <v>0</v>
      </c>
      <c r="I1676" s="659" t="s">
        <v>103</v>
      </c>
      <c r="J1676" s="513">
        <v>0</v>
      </c>
      <c r="K1676" s="513">
        <v>0</v>
      </c>
      <c r="L1676" s="513">
        <v>0</v>
      </c>
      <c r="M1676" s="513">
        <v>-55173.648701293198</v>
      </c>
      <c r="N1676" s="622" t="s">
        <v>1783</v>
      </c>
    </row>
    <row r="1677" spans="2:14">
      <c r="B1677" s="513" t="s">
        <v>666</v>
      </c>
      <c r="C1677" s="658">
        <v>2017</v>
      </c>
      <c r="D1677" s="513">
        <v>-55173.648701293219</v>
      </c>
      <c r="E1677" s="513">
        <v>8048.7795304595011</v>
      </c>
      <c r="F1677" s="513">
        <v>8048.7795304595011</v>
      </c>
      <c r="G1677" s="513">
        <v>-47124.869170833721</v>
      </c>
      <c r="H1677" s="513">
        <v>0</v>
      </c>
      <c r="I1677" s="659" t="s">
        <v>103</v>
      </c>
      <c r="J1677" s="513">
        <v>0</v>
      </c>
      <c r="K1677" s="513">
        <v>0</v>
      </c>
      <c r="L1677" s="513">
        <v>0</v>
      </c>
      <c r="M1677" s="513">
        <v>-47124.869170833721</v>
      </c>
      <c r="N1677" s="622" t="s">
        <v>1783</v>
      </c>
    </row>
    <row r="1678" spans="2:14">
      <c r="B1678" s="513" t="s">
        <v>666</v>
      </c>
      <c r="C1678" s="889">
        <v>2018</v>
      </c>
      <c r="D1678" s="513">
        <v>-47124.869170833721</v>
      </c>
      <c r="E1678" s="513">
        <f>VLOOKUP(B1678,'[6]2018 allocation'!$A$11:$B$218,2, FALSE)</f>
        <v>9078.4017838115142</v>
      </c>
      <c r="F1678" s="513">
        <f>E1678</f>
        <v>9078.4017838115142</v>
      </c>
      <c r="G1678" s="513">
        <f>D1678+E1678</f>
        <v>-38046.467387022203</v>
      </c>
      <c r="H1678" s="513">
        <v>0</v>
      </c>
      <c r="I1678" s="622" t="s">
        <v>103</v>
      </c>
      <c r="J1678" s="513">
        <f>VLOOKUP(B1678,'[6]Annual Spending Worksheet '!$C$6:$AG$250,28,FALSE)</f>
        <v>0</v>
      </c>
      <c r="K1678" s="513">
        <f>VLOOKUP(B1678,'[6]Annual Spending Worksheet '!$C$6:$AG$250,29,FALSE)</f>
        <v>0</v>
      </c>
      <c r="L1678" s="513">
        <v>0</v>
      </c>
      <c r="M1678" s="513">
        <f>D1678+E1678+H1678-J1678</f>
        <v>-38046.467387022203</v>
      </c>
      <c r="N1678" s="622" t="s">
        <v>1783</v>
      </c>
    </row>
    <row r="1679" spans="2:14">
      <c r="B1679" s="513" t="s">
        <v>666</v>
      </c>
      <c r="C1679" s="889">
        <v>2019</v>
      </c>
      <c r="D1679" s="513">
        <v>-38046.467387022203</v>
      </c>
      <c r="E1679" s="513">
        <v>10154.749138926256</v>
      </c>
      <c r="F1679" s="513">
        <v>10154.749138926256</v>
      </c>
      <c r="G1679" s="513">
        <v>-27891.718248095945</v>
      </c>
      <c r="H1679" s="513">
        <v>0</v>
      </c>
      <c r="I1679" s="622" t="s">
        <v>103</v>
      </c>
      <c r="J1679" s="513">
        <v>0</v>
      </c>
      <c r="K1679" s="513">
        <v>0</v>
      </c>
      <c r="L1679" s="513">
        <v>0</v>
      </c>
      <c r="M1679" s="513">
        <v>-27891.718248095945</v>
      </c>
      <c r="N1679" s="622" t="s">
        <v>1783</v>
      </c>
    </row>
    <row r="1680" spans="2:14" ht="29.1">
      <c r="B1680" s="513" t="s">
        <v>670</v>
      </c>
      <c r="C1680" s="658">
        <v>2008</v>
      </c>
      <c r="D1680" s="513">
        <v>-545254.16000000061</v>
      </c>
      <c r="E1680" s="512">
        <v>131612.71991063646</v>
      </c>
      <c r="F1680" s="513">
        <v>131612.71991063646</v>
      </c>
      <c r="G1680" s="512">
        <v>-413641.44008936419</v>
      </c>
      <c r="H1680" s="512">
        <v>0</v>
      </c>
      <c r="I1680" s="659" t="s">
        <v>103</v>
      </c>
      <c r="J1680" s="513">
        <v>121515</v>
      </c>
      <c r="K1680" s="513">
        <v>0</v>
      </c>
      <c r="L1680" s="513">
        <v>0</v>
      </c>
      <c r="M1680" s="513">
        <v>-535156.44008936419</v>
      </c>
      <c r="N1680" s="622" t="s">
        <v>1712</v>
      </c>
    </row>
    <row r="1681" spans="2:14" ht="29.1">
      <c r="B1681" s="513" t="s">
        <v>670</v>
      </c>
      <c r="C1681" s="658">
        <v>2009</v>
      </c>
      <c r="D1681" s="513">
        <v>-535156.78008936299</v>
      </c>
      <c r="E1681" s="512">
        <v>105153.48094552621</v>
      </c>
      <c r="F1681" s="513">
        <v>105153.48094552621</v>
      </c>
      <c r="G1681" s="512">
        <v>-430003.29914383678</v>
      </c>
      <c r="H1681" s="512">
        <v>0</v>
      </c>
      <c r="I1681" s="659" t="s">
        <v>103</v>
      </c>
      <c r="J1681" s="513">
        <v>721.9</v>
      </c>
      <c r="K1681" s="513">
        <v>0</v>
      </c>
      <c r="L1681" s="513">
        <v>58</v>
      </c>
      <c r="M1681" s="513">
        <v>-430667.1991438368</v>
      </c>
      <c r="N1681" s="622" t="s">
        <v>1711</v>
      </c>
    </row>
    <row r="1682" spans="2:14" ht="29.1">
      <c r="B1682" s="513" t="s">
        <v>670</v>
      </c>
      <c r="C1682" s="658">
        <v>2010</v>
      </c>
      <c r="D1682" s="513">
        <v>-430666.979143837</v>
      </c>
      <c r="E1682" s="512">
        <v>105011.14</v>
      </c>
      <c r="F1682" s="513">
        <v>105011.14</v>
      </c>
      <c r="G1682" s="512">
        <v>-325655.83914383699</v>
      </c>
      <c r="H1682" s="512">
        <v>0</v>
      </c>
      <c r="I1682" s="659" t="s">
        <v>103</v>
      </c>
      <c r="J1682" s="513">
        <v>0</v>
      </c>
      <c r="K1682" s="513">
        <v>0</v>
      </c>
      <c r="L1682" s="513">
        <v>0</v>
      </c>
      <c r="M1682" s="513">
        <v>-325655.83914383699</v>
      </c>
      <c r="N1682" s="622" t="s">
        <v>1712</v>
      </c>
    </row>
    <row r="1683" spans="2:14" ht="29.1">
      <c r="B1683" s="513" t="s">
        <v>670</v>
      </c>
      <c r="C1683" s="658">
        <v>2011</v>
      </c>
      <c r="D1683" s="513">
        <v>-325655.84347432293</v>
      </c>
      <c r="E1683" s="512">
        <v>106913.7047196709</v>
      </c>
      <c r="F1683" s="513">
        <v>106913.7047196709</v>
      </c>
      <c r="G1683" s="512">
        <v>-218742.13875465203</v>
      </c>
      <c r="H1683" s="512">
        <v>0</v>
      </c>
      <c r="I1683" s="659" t="s">
        <v>103</v>
      </c>
      <c r="J1683" s="513">
        <v>0</v>
      </c>
      <c r="K1683" s="513">
        <v>0</v>
      </c>
      <c r="L1683" s="513">
        <v>0</v>
      </c>
      <c r="M1683" s="513">
        <v>-218742.13875465203</v>
      </c>
      <c r="N1683" s="622" t="s">
        <v>1711</v>
      </c>
    </row>
    <row r="1684" spans="2:14" ht="29.1">
      <c r="B1684" s="513" t="s">
        <v>670</v>
      </c>
      <c r="C1684" s="658">
        <v>2012</v>
      </c>
      <c r="D1684" s="513">
        <v>-218742.13875465188</v>
      </c>
      <c r="E1684" s="512">
        <v>75603.487587677591</v>
      </c>
      <c r="F1684" s="513">
        <v>75603.487587677591</v>
      </c>
      <c r="G1684" s="512">
        <v>-143138.65116697428</v>
      </c>
      <c r="H1684" s="512">
        <v>0</v>
      </c>
      <c r="I1684" s="659" t="s">
        <v>103</v>
      </c>
      <c r="J1684" s="513">
        <v>0</v>
      </c>
      <c r="K1684" s="513">
        <v>0</v>
      </c>
      <c r="L1684" s="513">
        <v>0</v>
      </c>
      <c r="M1684" s="513">
        <v>-143138.65116697428</v>
      </c>
      <c r="N1684" s="622" t="s">
        <v>1711</v>
      </c>
    </row>
    <row r="1685" spans="2:14" ht="29.1">
      <c r="B1685" s="513" t="s">
        <v>670</v>
      </c>
      <c r="C1685" s="658">
        <v>2013</v>
      </c>
      <c r="D1685" s="513">
        <v>-143138.6511669741</v>
      </c>
      <c r="E1685" s="513">
        <v>118832.28089191705</v>
      </c>
      <c r="F1685" s="513">
        <v>118832.28089191705</v>
      </c>
      <c r="G1685" s="512">
        <v>-24306.370275057052</v>
      </c>
      <c r="H1685" s="512">
        <v>0</v>
      </c>
      <c r="I1685" s="659" t="s">
        <v>103</v>
      </c>
      <c r="J1685" s="513">
        <v>0</v>
      </c>
      <c r="K1685" s="513">
        <v>0</v>
      </c>
      <c r="L1685" s="513">
        <v>0</v>
      </c>
      <c r="M1685" s="513">
        <v>-24306.370275057052</v>
      </c>
      <c r="N1685" s="622" t="s">
        <v>1711</v>
      </c>
    </row>
    <row r="1686" spans="2:14">
      <c r="B1686" s="513" t="s">
        <v>670</v>
      </c>
      <c r="C1686" s="658">
        <v>2014</v>
      </c>
      <c r="D1686" s="513">
        <v>-24306.370275056921</v>
      </c>
      <c r="E1686" s="513">
        <v>123852.74248149009</v>
      </c>
      <c r="F1686" s="513">
        <v>123852.74248149009</v>
      </c>
      <c r="G1686" s="512">
        <v>0</v>
      </c>
      <c r="H1686" s="512">
        <v>0</v>
      </c>
      <c r="I1686" s="659" t="s">
        <v>103</v>
      </c>
      <c r="J1686" s="513">
        <v>0</v>
      </c>
      <c r="K1686" s="513">
        <v>0</v>
      </c>
      <c r="L1686" s="513">
        <v>0</v>
      </c>
      <c r="M1686" s="513">
        <v>99546.372206433167</v>
      </c>
      <c r="N1686" s="622"/>
    </row>
    <row r="1687" spans="2:14">
      <c r="B1687" s="513" t="s">
        <v>670</v>
      </c>
      <c r="C1687" s="658">
        <v>2015</v>
      </c>
      <c r="D1687" s="513">
        <v>99546.372206433211</v>
      </c>
      <c r="E1687" s="513">
        <v>125891.94912011171</v>
      </c>
      <c r="F1687" s="513">
        <v>125891.94912011171</v>
      </c>
      <c r="G1687" s="512">
        <v>0</v>
      </c>
      <c r="H1687" s="512">
        <v>0</v>
      </c>
      <c r="I1687" s="659" t="s">
        <v>103</v>
      </c>
      <c r="J1687" s="513">
        <v>0</v>
      </c>
      <c r="K1687" s="513">
        <v>0</v>
      </c>
      <c r="L1687" s="513">
        <v>0</v>
      </c>
      <c r="M1687" s="513">
        <v>225438.32132654492</v>
      </c>
      <c r="N1687" s="622"/>
    </row>
    <row r="1688" spans="2:14">
      <c r="B1688" s="513" t="s">
        <v>670</v>
      </c>
      <c r="C1688" s="658">
        <v>2016</v>
      </c>
      <c r="D1688" s="513">
        <v>225438.32132654497</v>
      </c>
      <c r="E1688" s="513">
        <v>88589.267328422982</v>
      </c>
      <c r="F1688" s="513">
        <v>88589.267328422982</v>
      </c>
      <c r="G1688" s="512">
        <v>0</v>
      </c>
      <c r="H1688" s="660">
        <v>0</v>
      </c>
      <c r="I1688" s="659" t="s">
        <v>103</v>
      </c>
      <c r="J1688" s="513">
        <v>0</v>
      </c>
      <c r="K1688" s="513">
        <v>0</v>
      </c>
      <c r="L1688" s="513">
        <v>0</v>
      </c>
      <c r="M1688" s="513">
        <v>314027.58865496796</v>
      </c>
      <c r="N1688" s="622"/>
    </row>
    <row r="1689" spans="2:14">
      <c r="B1689" s="513" t="s">
        <v>670</v>
      </c>
      <c r="C1689" s="658">
        <v>2017</v>
      </c>
      <c r="D1689" s="513">
        <v>314027.58865496796</v>
      </c>
      <c r="E1689" s="513">
        <v>81344.384013698087</v>
      </c>
      <c r="F1689" s="513">
        <v>81344.384013698087</v>
      </c>
      <c r="G1689" s="660">
        <v>0</v>
      </c>
      <c r="H1689" s="660">
        <v>0</v>
      </c>
      <c r="I1689" s="659" t="s">
        <v>103</v>
      </c>
      <c r="J1689" s="513">
        <v>9896.2099999999991</v>
      </c>
      <c r="K1689" s="513">
        <v>0</v>
      </c>
      <c r="L1689" s="513">
        <v>0</v>
      </c>
      <c r="M1689" s="513">
        <v>385475.76266866602</v>
      </c>
      <c r="N1689" s="622"/>
    </row>
    <row r="1690" spans="2:14">
      <c r="B1690" s="513" t="s">
        <v>670</v>
      </c>
      <c r="C1690" s="889">
        <v>2018</v>
      </c>
      <c r="D1690" s="513">
        <v>385475.76266866602</v>
      </c>
      <c r="E1690" s="513">
        <f>VLOOKUP(B1690,'[6]2018 allocation'!$A$11:$B$218,2, FALSE)</f>
        <v>87585.386163350253</v>
      </c>
      <c r="F1690" s="513">
        <f>E1690</f>
        <v>87585.386163350253</v>
      </c>
      <c r="G1690" s="513">
        <v>0</v>
      </c>
      <c r="H1690" s="513">
        <v>0</v>
      </c>
      <c r="I1690" s="622" t="s">
        <v>103</v>
      </c>
      <c r="J1690" s="513">
        <f>VLOOKUP(B1690,'[6]Annual Spending Worksheet '!$C$6:$AG$250,28,FALSE)</f>
        <v>253832.10000000003</v>
      </c>
      <c r="K1690" s="513">
        <f>VLOOKUP(B1690,'[6]Annual Spending Worksheet '!$C$6:$AG$250,29,FALSE)</f>
        <v>0</v>
      </c>
      <c r="L1690" s="513">
        <v>0</v>
      </c>
      <c r="M1690" s="513">
        <f>D1690+E1690+H1690-J1690</f>
        <v>219229.04883201624</v>
      </c>
      <c r="N1690" s="513"/>
    </row>
    <row r="1691" spans="2:14">
      <c r="B1691" s="513" t="s">
        <v>670</v>
      </c>
      <c r="C1691" s="889">
        <v>2019</v>
      </c>
      <c r="D1691" s="513">
        <v>219229.04883201624</v>
      </c>
      <c r="E1691" s="513">
        <v>94179.350240553918</v>
      </c>
      <c r="F1691" s="513">
        <v>94179.350240553918</v>
      </c>
      <c r="G1691" s="513">
        <v>0</v>
      </c>
      <c r="H1691" s="513">
        <v>0</v>
      </c>
      <c r="I1691" s="622" t="s">
        <v>103</v>
      </c>
      <c r="J1691" s="513">
        <v>335843.49</v>
      </c>
      <c r="K1691" s="513">
        <v>616808.95999999996</v>
      </c>
      <c r="L1691" s="513">
        <v>0</v>
      </c>
      <c r="M1691" s="513">
        <v>-22435.090927429846</v>
      </c>
      <c r="N1691" s="622" t="s">
        <v>1783</v>
      </c>
    </row>
    <row r="1692" spans="2:14" ht="29.1">
      <c r="B1692" s="513" t="s">
        <v>678</v>
      </c>
      <c r="C1692" s="658">
        <v>2008</v>
      </c>
      <c r="D1692" s="513">
        <v>-1479745.5969999991</v>
      </c>
      <c r="E1692" s="512">
        <v>224283.86446416975</v>
      </c>
      <c r="F1692" s="513">
        <v>224283.86446416975</v>
      </c>
      <c r="G1692" s="660">
        <v>-1255461.7325358293</v>
      </c>
      <c r="H1692" s="512">
        <v>0</v>
      </c>
      <c r="I1692" s="659" t="s">
        <v>103</v>
      </c>
      <c r="J1692" s="513">
        <v>12431</v>
      </c>
      <c r="K1692" s="513">
        <v>0</v>
      </c>
      <c r="L1692" s="513">
        <v>0</v>
      </c>
      <c r="M1692" s="513">
        <v>-1267892.7325358293</v>
      </c>
      <c r="N1692" s="622" t="s">
        <v>1712</v>
      </c>
    </row>
    <row r="1693" spans="2:14" ht="29.1">
      <c r="B1693" s="513" t="s">
        <v>678</v>
      </c>
      <c r="C1693" s="658">
        <v>2009</v>
      </c>
      <c r="D1693" s="513">
        <v>-1267892.6125358297</v>
      </c>
      <c r="E1693" s="512">
        <v>166093.25367972458</v>
      </c>
      <c r="F1693" s="513">
        <v>166093.25367972458</v>
      </c>
      <c r="G1693" s="660">
        <v>-1101799.358856105</v>
      </c>
      <c r="H1693" s="512">
        <v>0</v>
      </c>
      <c r="I1693" s="659" t="s">
        <v>103</v>
      </c>
      <c r="J1693" s="513">
        <v>0</v>
      </c>
      <c r="K1693" s="513">
        <v>0</v>
      </c>
      <c r="L1693" s="513">
        <v>0</v>
      </c>
      <c r="M1693" s="513">
        <v>-1101799.358856105</v>
      </c>
      <c r="N1693" s="622" t="s">
        <v>1711</v>
      </c>
    </row>
    <row r="1694" spans="2:14" ht="29.1">
      <c r="B1694" s="513" t="s">
        <v>678</v>
      </c>
      <c r="C1694" s="658">
        <v>2010</v>
      </c>
      <c r="D1694" s="513">
        <v>-1101799.4788561054</v>
      </c>
      <c r="E1694" s="512">
        <v>165628.9</v>
      </c>
      <c r="F1694" s="513">
        <v>165628.9</v>
      </c>
      <c r="G1694" s="660">
        <v>-936170.57885610533</v>
      </c>
      <c r="H1694" s="512">
        <v>0</v>
      </c>
      <c r="I1694" s="659" t="s">
        <v>103</v>
      </c>
      <c r="J1694" s="513">
        <v>0</v>
      </c>
      <c r="K1694" s="513">
        <v>0</v>
      </c>
      <c r="L1694" s="513">
        <v>0</v>
      </c>
      <c r="M1694" s="513">
        <v>-936170.57885610533</v>
      </c>
      <c r="N1694" s="622" t="s">
        <v>1712</v>
      </c>
    </row>
    <row r="1695" spans="2:14" ht="29.1">
      <c r="B1695" s="513" t="s">
        <v>678</v>
      </c>
      <c r="C1695" s="658">
        <v>2011</v>
      </c>
      <c r="D1695" s="513">
        <v>-936170.57547938451</v>
      </c>
      <c r="E1695" s="512">
        <v>170162.63355796097</v>
      </c>
      <c r="F1695" s="513">
        <v>170162.63355796097</v>
      </c>
      <c r="G1695" s="660">
        <v>-766007.94192142354</v>
      </c>
      <c r="H1695" s="512">
        <v>0</v>
      </c>
      <c r="I1695" s="659" t="s">
        <v>103</v>
      </c>
      <c r="J1695" s="513">
        <v>156.82000000000002</v>
      </c>
      <c r="K1695" s="513">
        <v>0</v>
      </c>
      <c r="L1695" s="513">
        <v>0</v>
      </c>
      <c r="M1695" s="513">
        <v>-766164.76192142349</v>
      </c>
      <c r="N1695" s="622" t="s">
        <v>1711</v>
      </c>
    </row>
    <row r="1696" spans="2:14" ht="29.1">
      <c r="B1696" s="513" t="s">
        <v>678</v>
      </c>
      <c r="C1696" s="658">
        <v>2012</v>
      </c>
      <c r="D1696" s="513">
        <v>-766163.84192142356</v>
      </c>
      <c r="E1696" s="513">
        <v>101624.37550419326</v>
      </c>
      <c r="F1696" s="513">
        <v>101624.37550419326</v>
      </c>
      <c r="G1696" s="660">
        <v>-664539.46641723032</v>
      </c>
      <c r="H1696" s="512">
        <v>0</v>
      </c>
      <c r="I1696" s="659" t="s">
        <v>103</v>
      </c>
      <c r="J1696" s="513">
        <v>0</v>
      </c>
      <c r="K1696" s="513">
        <v>0</v>
      </c>
      <c r="L1696" s="513">
        <v>0</v>
      </c>
      <c r="M1696" s="513">
        <v>-664539.46641723032</v>
      </c>
      <c r="N1696" s="622" t="s">
        <v>1711</v>
      </c>
    </row>
    <row r="1697" spans="2:14" ht="29.1">
      <c r="B1697" s="513" t="s">
        <v>678</v>
      </c>
      <c r="C1697" s="658">
        <v>2013</v>
      </c>
      <c r="D1697" s="513">
        <v>-664539.46641723067</v>
      </c>
      <c r="E1697" s="513">
        <v>196256.15602104785</v>
      </c>
      <c r="F1697" s="513">
        <v>196256.15602104785</v>
      </c>
      <c r="G1697" s="660">
        <v>-468283.31039618282</v>
      </c>
      <c r="H1697" s="512">
        <v>0</v>
      </c>
      <c r="I1697" s="659" t="s">
        <v>103</v>
      </c>
      <c r="J1697" s="513">
        <v>0</v>
      </c>
      <c r="K1697" s="513">
        <v>0</v>
      </c>
      <c r="L1697" s="513">
        <v>0</v>
      </c>
      <c r="M1697" s="513">
        <v>-468283.31039618282</v>
      </c>
      <c r="N1697" s="622" t="s">
        <v>1711</v>
      </c>
    </row>
    <row r="1698" spans="2:14" ht="29.1">
      <c r="B1698" s="513" t="s">
        <v>678</v>
      </c>
      <c r="C1698" s="658">
        <v>2014</v>
      </c>
      <c r="D1698" s="513">
        <v>-468283.31039618235</v>
      </c>
      <c r="E1698" s="513">
        <v>207351.40521144264</v>
      </c>
      <c r="F1698" s="513">
        <v>207351.40521144264</v>
      </c>
      <c r="G1698" s="660">
        <v>-260931.90518473971</v>
      </c>
      <c r="H1698" s="512">
        <v>0</v>
      </c>
      <c r="I1698" s="659" t="s">
        <v>103</v>
      </c>
      <c r="J1698" s="513">
        <v>0</v>
      </c>
      <c r="K1698" s="513">
        <v>0</v>
      </c>
      <c r="L1698" s="513">
        <v>0</v>
      </c>
      <c r="M1698" s="513">
        <v>-260931.90518473971</v>
      </c>
      <c r="N1698" s="622" t="s">
        <v>1711</v>
      </c>
    </row>
    <row r="1699" spans="2:14" ht="29.1">
      <c r="B1699" s="513" t="s">
        <v>678</v>
      </c>
      <c r="C1699" s="658">
        <v>2015</v>
      </c>
      <c r="D1699" s="513">
        <v>-260931.90518473927</v>
      </c>
      <c r="E1699" s="513">
        <v>211725.85669081888</v>
      </c>
      <c r="F1699" s="513">
        <v>211725.85669081888</v>
      </c>
      <c r="G1699" s="660">
        <v>-49206.048493920389</v>
      </c>
      <c r="H1699" s="660">
        <v>0</v>
      </c>
      <c r="I1699" s="659" t="s">
        <v>103</v>
      </c>
      <c r="J1699" s="513">
        <v>0</v>
      </c>
      <c r="K1699" s="513">
        <v>0</v>
      </c>
      <c r="L1699" s="513">
        <v>0</v>
      </c>
      <c r="M1699" s="513">
        <v>-49206.048493920389</v>
      </c>
      <c r="N1699" s="622" t="s">
        <v>1711</v>
      </c>
    </row>
    <row r="1700" spans="2:14">
      <c r="B1700" s="513" t="s">
        <v>678</v>
      </c>
      <c r="C1700" s="658">
        <v>2016</v>
      </c>
      <c r="D1700" s="513">
        <v>-49206.048493920825</v>
      </c>
      <c r="E1700" s="513">
        <v>129719.82427518052</v>
      </c>
      <c r="F1700" s="513">
        <v>129719.82427518052</v>
      </c>
      <c r="G1700" s="660">
        <v>0</v>
      </c>
      <c r="H1700" s="660">
        <v>0</v>
      </c>
      <c r="I1700" s="659" t="s">
        <v>103</v>
      </c>
      <c r="J1700" s="513">
        <v>0</v>
      </c>
      <c r="K1700" s="513">
        <v>0</v>
      </c>
      <c r="L1700" s="513">
        <v>0</v>
      </c>
      <c r="M1700" s="513">
        <v>80513.775781259697</v>
      </c>
      <c r="N1700" s="622"/>
    </row>
    <row r="1701" spans="2:14">
      <c r="B1701" s="513" t="s">
        <v>678</v>
      </c>
      <c r="C1701" s="658">
        <v>2017</v>
      </c>
      <c r="D1701" s="513">
        <v>80513.775781259872</v>
      </c>
      <c r="E1701" s="513">
        <v>113487.17192443532</v>
      </c>
      <c r="F1701" s="513">
        <v>113487.17192443532</v>
      </c>
      <c r="G1701" s="513">
        <v>0</v>
      </c>
      <c r="H1701" s="513">
        <v>0</v>
      </c>
      <c r="I1701" s="659" t="s">
        <v>103</v>
      </c>
      <c r="J1701" s="513">
        <v>0</v>
      </c>
      <c r="K1701" s="513">
        <v>0</v>
      </c>
      <c r="L1701" s="513">
        <v>0</v>
      </c>
      <c r="M1701" s="513">
        <v>194000.94770569517</v>
      </c>
      <c r="N1701" s="622"/>
    </row>
    <row r="1702" spans="2:14">
      <c r="B1702" s="513" t="s">
        <v>678</v>
      </c>
      <c r="C1702" s="889">
        <v>2018</v>
      </c>
      <c r="D1702" s="513">
        <v>194000.94770569517</v>
      </c>
      <c r="E1702" s="513">
        <f>VLOOKUP(B1702,'[6]2018 allocation'!$A$11:$B$218,2, FALSE)</f>
        <v>127060.46622151291</v>
      </c>
      <c r="F1702" s="513">
        <f>E1702</f>
        <v>127060.46622151291</v>
      </c>
      <c r="G1702" s="513">
        <v>0</v>
      </c>
      <c r="H1702" s="513">
        <v>0</v>
      </c>
      <c r="I1702" s="622" t="s">
        <v>103</v>
      </c>
      <c r="J1702" s="513">
        <f>VLOOKUP(B1702,'[6]Annual Spending Worksheet '!$C$6:$AG$250,28,FALSE)</f>
        <v>0</v>
      </c>
      <c r="K1702" s="513">
        <f>VLOOKUP(B1702,'[6]Annual Spending Worksheet '!$C$6:$AG$250,29,FALSE)</f>
        <v>0</v>
      </c>
      <c r="L1702" s="513">
        <v>0</v>
      </c>
      <c r="M1702" s="513">
        <f>D1702+E1702+H1702-J1702</f>
        <v>321061.41392720805</v>
      </c>
      <c r="N1702" s="513"/>
    </row>
    <row r="1703" spans="2:14">
      <c r="B1703" s="513" t="s">
        <v>678</v>
      </c>
      <c r="C1703" s="889">
        <v>2019</v>
      </c>
      <c r="D1703" s="513">
        <v>321061.41392720805</v>
      </c>
      <c r="E1703" s="513">
        <v>141536.39274814969</v>
      </c>
      <c r="F1703" s="513">
        <v>141536.39274814969</v>
      </c>
      <c r="G1703" s="513">
        <v>0</v>
      </c>
      <c r="H1703" s="513">
        <v>0</v>
      </c>
      <c r="I1703" s="622" t="s">
        <v>103</v>
      </c>
      <c r="J1703" s="513">
        <v>-18742.190000000002</v>
      </c>
      <c r="K1703" s="513">
        <v>0</v>
      </c>
      <c r="L1703" s="513">
        <v>0</v>
      </c>
      <c r="M1703" s="513">
        <v>481339.99667535775</v>
      </c>
      <c r="N1703" s="513"/>
    </row>
    <row r="1704" spans="2:14">
      <c r="B1704" s="513" t="s">
        <v>679</v>
      </c>
      <c r="C1704" s="658">
        <v>2008</v>
      </c>
      <c r="D1704" s="513">
        <v>1050809.1459999999</v>
      </c>
      <c r="E1704" s="512">
        <v>69985.557009690703</v>
      </c>
      <c r="F1704" s="513">
        <v>69985.557009690703</v>
      </c>
      <c r="G1704" s="512">
        <v>0</v>
      </c>
      <c r="H1704" s="512">
        <v>0</v>
      </c>
      <c r="I1704" s="659" t="s">
        <v>103</v>
      </c>
      <c r="J1704" s="513">
        <v>0</v>
      </c>
      <c r="K1704" s="513">
        <v>0</v>
      </c>
      <c r="L1704" s="513">
        <v>0</v>
      </c>
      <c r="M1704" s="513">
        <v>1120794.7030096906</v>
      </c>
      <c r="N1704" s="622"/>
    </row>
    <row r="1705" spans="2:14">
      <c r="B1705" s="513" t="s">
        <v>679</v>
      </c>
      <c r="C1705" s="658">
        <v>2009</v>
      </c>
      <c r="D1705" s="513">
        <v>1120794.7030096906</v>
      </c>
      <c r="E1705" s="512">
        <v>56752.715119082604</v>
      </c>
      <c r="F1705" s="513">
        <v>56752.715119082604</v>
      </c>
      <c r="G1705" s="512">
        <v>0</v>
      </c>
      <c r="H1705" s="512">
        <v>0</v>
      </c>
      <c r="I1705" s="659" t="s">
        <v>103</v>
      </c>
      <c r="J1705" s="513">
        <v>0</v>
      </c>
      <c r="K1705" s="513">
        <v>0</v>
      </c>
      <c r="L1705" s="513">
        <v>0</v>
      </c>
      <c r="M1705" s="513">
        <v>1177547.4181287733</v>
      </c>
      <c r="N1705" s="622"/>
    </row>
    <row r="1706" spans="2:14">
      <c r="B1706" s="513" t="s">
        <v>679</v>
      </c>
      <c r="C1706" s="658">
        <v>2010</v>
      </c>
      <c r="D1706" s="513">
        <v>1177547.4181287733</v>
      </c>
      <c r="E1706" s="512">
        <v>56678.85</v>
      </c>
      <c r="F1706" s="513">
        <v>56678.85</v>
      </c>
      <c r="G1706" s="512">
        <v>0</v>
      </c>
      <c r="H1706" s="512">
        <v>0</v>
      </c>
      <c r="I1706" s="659" t="s">
        <v>103</v>
      </c>
      <c r="J1706" s="513">
        <v>0</v>
      </c>
      <c r="K1706" s="513">
        <v>0</v>
      </c>
      <c r="L1706" s="513">
        <v>0</v>
      </c>
      <c r="M1706" s="513">
        <v>1234226.2681287734</v>
      </c>
      <c r="N1706" s="622"/>
    </row>
    <row r="1707" spans="2:14">
      <c r="B1707" s="513" t="s">
        <v>679</v>
      </c>
      <c r="C1707" s="658">
        <v>2011</v>
      </c>
      <c r="D1707" s="513">
        <v>1234226.2634277365</v>
      </c>
      <c r="E1707" s="512">
        <v>57634.505417720764</v>
      </c>
      <c r="F1707" s="513">
        <v>57634.505417720764</v>
      </c>
      <c r="G1707" s="512">
        <v>0</v>
      </c>
      <c r="H1707" s="512">
        <v>0</v>
      </c>
      <c r="I1707" s="659" t="s">
        <v>103</v>
      </c>
      <c r="J1707" s="513">
        <v>0</v>
      </c>
      <c r="K1707" s="513">
        <v>0</v>
      </c>
      <c r="L1707" s="513">
        <v>0</v>
      </c>
      <c r="M1707" s="513">
        <v>1291860.7688454571</v>
      </c>
      <c r="N1707" s="622"/>
    </row>
    <row r="1708" spans="2:14">
      <c r="B1708" s="513" t="s">
        <v>679</v>
      </c>
      <c r="C1708" s="658">
        <v>2012</v>
      </c>
      <c r="D1708" s="513">
        <v>1291860.7688454574</v>
      </c>
      <c r="E1708" s="513">
        <v>41589.01135864445</v>
      </c>
      <c r="F1708" s="513">
        <v>41589.01135864445</v>
      </c>
      <c r="G1708" s="512">
        <v>0</v>
      </c>
      <c r="H1708" s="512">
        <v>0</v>
      </c>
      <c r="I1708" s="659" t="s">
        <v>103</v>
      </c>
      <c r="J1708" s="513">
        <v>34976.93</v>
      </c>
      <c r="K1708" s="513">
        <v>0</v>
      </c>
      <c r="L1708" s="513">
        <v>0</v>
      </c>
      <c r="M1708" s="513">
        <v>1298472.8502041018</v>
      </c>
      <c r="N1708" s="622"/>
    </row>
    <row r="1709" spans="2:14">
      <c r="B1709" s="513" t="s">
        <v>679</v>
      </c>
      <c r="C1709" s="658">
        <v>2013</v>
      </c>
      <c r="D1709" s="513">
        <v>1298472.8502041018</v>
      </c>
      <c r="E1709" s="513">
        <v>63700.83753226704</v>
      </c>
      <c r="F1709" s="513">
        <v>63700.83753226704</v>
      </c>
      <c r="G1709" s="512">
        <v>0</v>
      </c>
      <c r="H1709" s="512">
        <v>0</v>
      </c>
      <c r="I1709" s="659" t="s">
        <v>103</v>
      </c>
      <c r="J1709" s="513">
        <v>15562.290000000005</v>
      </c>
      <c r="K1709" s="513">
        <v>0</v>
      </c>
      <c r="L1709" s="513">
        <v>0</v>
      </c>
      <c r="M1709" s="513">
        <v>1346611.3977363687</v>
      </c>
      <c r="N1709" s="622"/>
    </row>
    <row r="1710" spans="2:14">
      <c r="B1710" s="513" t="s">
        <v>679</v>
      </c>
      <c r="C1710" s="658">
        <v>2014</v>
      </c>
      <c r="D1710" s="513">
        <v>1346611.3977363687</v>
      </c>
      <c r="E1710" s="513">
        <v>66286.005815679309</v>
      </c>
      <c r="F1710" s="513">
        <v>66286.005815679309</v>
      </c>
      <c r="G1710" s="512">
        <v>0</v>
      </c>
      <c r="H1710" s="512">
        <v>0</v>
      </c>
      <c r="I1710" s="659" t="s">
        <v>103</v>
      </c>
      <c r="J1710" s="513">
        <v>43252.790000000008</v>
      </c>
      <c r="K1710" s="513">
        <v>0</v>
      </c>
      <c r="L1710" s="513">
        <v>0</v>
      </c>
      <c r="M1710" s="513">
        <v>1369644.6135520479</v>
      </c>
      <c r="N1710" s="622"/>
    </row>
    <row r="1711" spans="2:14">
      <c r="B1711" s="513" t="s">
        <v>679</v>
      </c>
      <c r="C1711" s="658">
        <v>2015</v>
      </c>
      <c r="D1711" s="513">
        <v>1369644.6135520479</v>
      </c>
      <c r="E1711" s="513">
        <v>67342.709566220714</v>
      </c>
      <c r="F1711" s="513">
        <v>67342.709566220714</v>
      </c>
      <c r="G1711" s="512">
        <v>0</v>
      </c>
      <c r="H1711" s="660">
        <v>0</v>
      </c>
      <c r="I1711" s="659" t="s">
        <v>103</v>
      </c>
      <c r="J1711" s="513">
        <v>848614.46</v>
      </c>
      <c r="K1711" s="513">
        <v>805929</v>
      </c>
      <c r="L1711" s="513">
        <v>-136476.98000000001</v>
      </c>
      <c r="M1711" s="513">
        <v>724849.84311826853</v>
      </c>
      <c r="N1711" s="622"/>
    </row>
    <row r="1712" spans="2:14">
      <c r="B1712" s="513" t="s">
        <v>679</v>
      </c>
      <c r="C1712" s="658">
        <v>2016</v>
      </c>
      <c r="D1712" s="513">
        <v>724849.84311826853</v>
      </c>
      <c r="E1712" s="513">
        <v>48084.655820141452</v>
      </c>
      <c r="F1712" s="513">
        <v>48084.655820141452</v>
      </c>
      <c r="G1712" s="660">
        <v>0</v>
      </c>
      <c r="H1712" s="660">
        <v>0</v>
      </c>
      <c r="I1712" s="659" t="s">
        <v>103</v>
      </c>
      <c r="J1712" s="513">
        <v>0</v>
      </c>
      <c r="K1712" s="513">
        <v>0</v>
      </c>
      <c r="L1712" s="513">
        <v>0</v>
      </c>
      <c r="M1712" s="513">
        <v>772934.49893840996</v>
      </c>
      <c r="N1712" s="622"/>
    </row>
    <row r="1713" spans="2:14">
      <c r="B1713" s="513" t="s">
        <v>679</v>
      </c>
      <c r="C1713" s="658">
        <v>2017</v>
      </c>
      <c r="D1713" s="513">
        <v>772934.49893841008</v>
      </c>
      <c r="E1713" s="513">
        <v>44251.003939246802</v>
      </c>
      <c r="F1713" s="513">
        <v>44251.003939246802</v>
      </c>
      <c r="G1713" s="513">
        <v>0</v>
      </c>
      <c r="H1713" s="513">
        <v>0</v>
      </c>
      <c r="I1713" s="659" t="s">
        <v>103</v>
      </c>
      <c r="J1713" s="513">
        <v>0</v>
      </c>
      <c r="K1713" s="513">
        <v>0</v>
      </c>
      <c r="L1713" s="513">
        <v>0</v>
      </c>
      <c r="M1713" s="513">
        <v>817185.50287765684</v>
      </c>
      <c r="N1713" s="622"/>
    </row>
    <row r="1714" spans="2:14">
      <c r="B1714" s="513" t="s">
        <v>679</v>
      </c>
      <c r="C1714" s="889">
        <v>2018</v>
      </c>
      <c r="D1714" s="513">
        <v>817185.50287765684</v>
      </c>
      <c r="E1714" s="513">
        <f>VLOOKUP(B1714,'[6]2018 allocation'!$A$11:$B$218,2, FALSE)</f>
        <v>47383.003782543747</v>
      </c>
      <c r="F1714" s="513">
        <f>E1714</f>
        <v>47383.003782543747</v>
      </c>
      <c r="G1714" s="513">
        <v>0</v>
      </c>
      <c r="H1714" s="513">
        <v>0</v>
      </c>
      <c r="I1714" s="622" t="s">
        <v>103</v>
      </c>
      <c r="J1714" s="513">
        <f>VLOOKUP(B1714,'[6]Annual Spending Worksheet '!$C$6:$AG$250,28,FALSE)</f>
        <v>0</v>
      </c>
      <c r="K1714" s="513">
        <f>VLOOKUP(B1714,'[6]Annual Spending Worksheet '!$C$6:$AG$250,29,FALSE)</f>
        <v>0</v>
      </c>
      <c r="L1714" s="513">
        <v>0</v>
      </c>
      <c r="M1714" s="513">
        <f>D1714+E1714+H1714-J1714</f>
        <v>864568.50666020054</v>
      </c>
      <c r="N1714" s="513"/>
    </row>
    <row r="1715" spans="2:14">
      <c r="B1715" s="513" t="s">
        <v>679</v>
      </c>
      <c r="C1715" s="889">
        <v>2019</v>
      </c>
      <c r="D1715" s="513">
        <v>864568.50666020054</v>
      </c>
      <c r="E1715" s="513">
        <v>50777.034694539412</v>
      </c>
      <c r="F1715" s="513">
        <v>50777.034694539412</v>
      </c>
      <c r="G1715" s="513">
        <v>0</v>
      </c>
      <c r="H1715" s="513">
        <v>0</v>
      </c>
      <c r="I1715" s="622" t="s">
        <v>103</v>
      </c>
      <c r="J1715" s="513">
        <v>0</v>
      </c>
      <c r="K1715" s="513">
        <v>0</v>
      </c>
      <c r="L1715" s="513">
        <v>0</v>
      </c>
      <c r="M1715" s="513">
        <v>915345.54135473992</v>
      </c>
      <c r="N1715" s="513"/>
    </row>
    <row r="1716" spans="2:14">
      <c r="B1716" s="513" t="s">
        <v>684</v>
      </c>
      <c r="C1716" s="658">
        <v>2008</v>
      </c>
      <c r="D1716" s="513">
        <v>0</v>
      </c>
      <c r="E1716" s="512">
        <v>0</v>
      </c>
      <c r="F1716" s="513">
        <v>0</v>
      </c>
      <c r="G1716" s="512">
        <v>0</v>
      </c>
      <c r="H1716" s="512">
        <v>0</v>
      </c>
      <c r="I1716" s="659" t="s">
        <v>103</v>
      </c>
      <c r="J1716" s="513">
        <v>0</v>
      </c>
      <c r="K1716" s="513">
        <v>0</v>
      </c>
      <c r="L1716" s="513">
        <v>0</v>
      </c>
      <c r="M1716" s="513">
        <v>0</v>
      </c>
      <c r="N1716" s="622"/>
    </row>
    <row r="1717" spans="2:14">
      <c r="B1717" s="513" t="s">
        <v>684</v>
      </c>
      <c r="C1717" s="658">
        <v>2009</v>
      </c>
      <c r="D1717" s="513">
        <v>0</v>
      </c>
      <c r="E1717" s="512">
        <v>0</v>
      </c>
      <c r="F1717" s="513">
        <v>0</v>
      </c>
      <c r="G1717" s="512">
        <v>0</v>
      </c>
      <c r="H1717" s="512">
        <v>0</v>
      </c>
      <c r="I1717" s="659" t="s">
        <v>103</v>
      </c>
      <c r="J1717" s="513">
        <v>0</v>
      </c>
      <c r="K1717" s="513">
        <v>0</v>
      </c>
      <c r="L1717" s="513">
        <v>0</v>
      </c>
      <c r="M1717" s="513">
        <v>0</v>
      </c>
      <c r="N1717" s="622"/>
    </row>
    <row r="1718" spans="2:14">
      <c r="B1718" s="513" t="s">
        <v>684</v>
      </c>
      <c r="C1718" s="658">
        <v>2010</v>
      </c>
      <c r="D1718" s="513">
        <v>0</v>
      </c>
      <c r="E1718" s="512">
        <v>0</v>
      </c>
      <c r="F1718" s="513">
        <v>0</v>
      </c>
      <c r="G1718" s="512">
        <v>0</v>
      </c>
      <c r="H1718" s="512">
        <v>0</v>
      </c>
      <c r="I1718" s="659" t="s">
        <v>103</v>
      </c>
      <c r="J1718" s="513">
        <v>0</v>
      </c>
      <c r="K1718" s="513">
        <v>0</v>
      </c>
      <c r="L1718" s="513">
        <v>0</v>
      </c>
      <c r="M1718" s="513">
        <v>0</v>
      </c>
      <c r="N1718" s="622"/>
    </row>
    <row r="1719" spans="2:14">
      <c r="B1719" s="513" t="s">
        <v>684</v>
      </c>
      <c r="C1719" s="658">
        <v>2011</v>
      </c>
      <c r="D1719" s="513">
        <v>0</v>
      </c>
      <c r="E1719" s="512">
        <v>27784.608459096879</v>
      </c>
      <c r="F1719" s="513">
        <v>27784.608459096879</v>
      </c>
      <c r="G1719" s="512">
        <v>0</v>
      </c>
      <c r="H1719" s="512">
        <v>0</v>
      </c>
      <c r="I1719" s="659" t="s">
        <v>103</v>
      </c>
      <c r="J1719" s="513">
        <v>0</v>
      </c>
      <c r="K1719" s="513">
        <v>0</v>
      </c>
      <c r="L1719" s="513">
        <v>0</v>
      </c>
      <c r="M1719" s="513">
        <v>27784.608459096879</v>
      </c>
      <c r="N1719" s="622"/>
    </row>
    <row r="1720" spans="2:14">
      <c r="B1720" s="513" t="s">
        <v>684</v>
      </c>
      <c r="C1720" s="658">
        <v>2012</v>
      </c>
      <c r="D1720" s="513">
        <v>27784.608459096879</v>
      </c>
      <c r="E1720" s="513">
        <v>36394.220816960311</v>
      </c>
      <c r="F1720" s="513">
        <v>36394.220816960311</v>
      </c>
      <c r="G1720" s="512">
        <v>0</v>
      </c>
      <c r="H1720" s="512">
        <v>0</v>
      </c>
      <c r="I1720" s="659" t="s">
        <v>103</v>
      </c>
      <c r="J1720" s="513">
        <v>0</v>
      </c>
      <c r="K1720" s="513">
        <v>0</v>
      </c>
      <c r="L1720" s="513">
        <v>0</v>
      </c>
      <c r="M1720" s="513">
        <v>64178.829276057193</v>
      </c>
      <c r="N1720" s="622"/>
    </row>
    <row r="1721" spans="2:14">
      <c r="B1721" s="513" t="s">
        <v>684</v>
      </c>
      <c r="C1721" s="658">
        <v>2013</v>
      </c>
      <c r="D1721" s="513">
        <v>64178.829276057193</v>
      </c>
      <c r="E1721" s="513">
        <v>56114.09478586488</v>
      </c>
      <c r="F1721" s="513">
        <v>56114.09478586488</v>
      </c>
      <c r="G1721" s="512">
        <v>0</v>
      </c>
      <c r="H1721" s="512">
        <v>0</v>
      </c>
      <c r="I1721" s="659" t="s">
        <v>103</v>
      </c>
      <c r="J1721" s="513">
        <v>0</v>
      </c>
      <c r="K1721" s="513">
        <v>0</v>
      </c>
      <c r="L1721" s="513">
        <v>0</v>
      </c>
      <c r="M1721" s="513">
        <v>120292.92406192207</v>
      </c>
      <c r="N1721" s="622"/>
    </row>
    <row r="1722" spans="2:14">
      <c r="B1722" s="513" t="s">
        <v>684</v>
      </c>
      <c r="C1722" s="658">
        <v>2014</v>
      </c>
      <c r="D1722" s="513">
        <v>120292.92406192207</v>
      </c>
      <c r="E1722" s="513">
        <v>58635.419890828241</v>
      </c>
      <c r="F1722" s="513">
        <v>58635.419890828241</v>
      </c>
      <c r="G1722" s="512">
        <v>0</v>
      </c>
      <c r="H1722" s="512">
        <v>0</v>
      </c>
      <c r="I1722" s="659" t="s">
        <v>103</v>
      </c>
      <c r="J1722" s="513">
        <v>0</v>
      </c>
      <c r="K1722" s="513">
        <v>0</v>
      </c>
      <c r="L1722" s="513">
        <v>0</v>
      </c>
      <c r="M1722" s="513">
        <v>178928.34395275032</v>
      </c>
      <c r="N1722" s="622"/>
    </row>
    <row r="1723" spans="2:14">
      <c r="B1723" s="513" t="s">
        <v>684</v>
      </c>
      <c r="C1723" s="658">
        <v>2015</v>
      </c>
      <c r="D1723" s="513">
        <v>178928.34395275032</v>
      </c>
      <c r="E1723" s="513">
        <v>59773.835401042161</v>
      </c>
      <c r="F1723" s="513">
        <v>59773.835401042161</v>
      </c>
      <c r="G1723" s="512">
        <v>0</v>
      </c>
      <c r="H1723" s="660">
        <v>0</v>
      </c>
      <c r="I1723" s="659" t="s">
        <v>103</v>
      </c>
      <c r="J1723" s="513">
        <v>0</v>
      </c>
      <c r="K1723" s="513">
        <v>0</v>
      </c>
      <c r="L1723" s="513">
        <v>0</v>
      </c>
      <c r="M1723" s="513">
        <v>238702.17935379248</v>
      </c>
      <c r="N1723" s="622"/>
    </row>
    <row r="1724" spans="2:14">
      <c r="B1724" s="513" t="s">
        <v>684</v>
      </c>
      <c r="C1724" s="658">
        <v>2016</v>
      </c>
      <c r="D1724" s="513">
        <v>238702.17935379248</v>
      </c>
      <c r="E1724" s="513">
        <v>41008.132553258969</v>
      </c>
      <c r="F1724" s="513">
        <v>41008.132553258969</v>
      </c>
      <c r="G1724" s="660">
        <v>0</v>
      </c>
      <c r="H1724" s="660">
        <v>0</v>
      </c>
      <c r="I1724" s="659" t="s">
        <v>103</v>
      </c>
      <c r="J1724" s="513">
        <v>0</v>
      </c>
      <c r="K1724" s="513">
        <v>0</v>
      </c>
      <c r="L1724" s="513">
        <v>0</v>
      </c>
      <c r="M1724" s="513">
        <v>279710.31190705148</v>
      </c>
      <c r="N1724" s="622"/>
    </row>
    <row r="1725" spans="2:14">
      <c r="B1725" s="513" t="s">
        <v>684</v>
      </c>
      <c r="C1725" s="658">
        <v>2017</v>
      </c>
      <c r="D1725" s="513">
        <v>279710.31190705148</v>
      </c>
      <c r="E1725" s="513">
        <v>36921.150195674971</v>
      </c>
      <c r="F1725" s="513">
        <v>36921.150195674971</v>
      </c>
      <c r="G1725" s="513">
        <v>0</v>
      </c>
      <c r="H1725" s="513">
        <v>0</v>
      </c>
      <c r="I1725" s="659" t="s">
        <v>103</v>
      </c>
      <c r="J1725" s="513">
        <v>0</v>
      </c>
      <c r="K1725" s="513">
        <v>0</v>
      </c>
      <c r="L1725" s="513">
        <v>0</v>
      </c>
      <c r="M1725" s="513">
        <v>316631.46210272645</v>
      </c>
      <c r="N1725" s="622"/>
    </row>
    <row r="1726" spans="2:14">
      <c r="B1726" s="513" t="s">
        <v>684</v>
      </c>
      <c r="C1726" s="889">
        <v>2018</v>
      </c>
      <c r="D1726" s="513">
        <v>316631.46210272645</v>
      </c>
      <c r="E1726" s="513">
        <f>VLOOKUP(B1726,'[6]2018 allocation'!$A$11:$B$218,2, FALSE)</f>
        <v>39936.800809491557</v>
      </c>
      <c r="F1726" s="513">
        <f>E1726</f>
        <v>39936.800809491557</v>
      </c>
      <c r="G1726" s="513">
        <v>0</v>
      </c>
      <c r="H1726" s="513">
        <v>0</v>
      </c>
      <c r="I1726" s="622" t="s">
        <v>103</v>
      </c>
      <c r="J1726" s="513">
        <f>VLOOKUP(B1726,'[6]Annual Spending Worksheet '!$C$6:$AG$250,28,FALSE)</f>
        <v>0</v>
      </c>
      <c r="K1726" s="513">
        <f>VLOOKUP(B1726,'[6]Annual Spending Worksheet '!$C$6:$AG$250,29,FALSE)</f>
        <v>0</v>
      </c>
      <c r="L1726" s="513">
        <v>0</v>
      </c>
      <c r="M1726" s="513">
        <f>D1726+E1726+H1726-J1726</f>
        <v>356568.26291221799</v>
      </c>
      <c r="N1726" s="513"/>
    </row>
    <row r="1727" spans="2:14">
      <c r="B1727" s="513" t="s">
        <v>684</v>
      </c>
      <c r="C1727" s="889">
        <v>2019</v>
      </c>
      <c r="D1727" s="513">
        <v>356568.26291221799</v>
      </c>
      <c r="E1727" s="513">
        <v>43371.963018734386</v>
      </c>
      <c r="F1727" s="513">
        <v>43371.963018734386</v>
      </c>
      <c r="G1727" s="513">
        <v>0</v>
      </c>
      <c r="H1727" s="513">
        <v>0</v>
      </c>
      <c r="I1727" s="622" t="s">
        <v>103</v>
      </c>
      <c r="J1727" s="513">
        <v>0</v>
      </c>
      <c r="K1727" s="513">
        <v>0</v>
      </c>
      <c r="L1727" s="513">
        <v>0</v>
      </c>
      <c r="M1727" s="513">
        <v>399940.22593095235</v>
      </c>
      <c r="N1727" s="513"/>
    </row>
    <row r="1728" spans="2:14" ht="29.1">
      <c r="B1728" s="513" t="s">
        <v>685</v>
      </c>
      <c r="C1728" s="658">
        <v>2008</v>
      </c>
      <c r="D1728" s="513">
        <v>-347043.99400000041</v>
      </c>
      <c r="E1728" s="512">
        <v>130883.79814967795</v>
      </c>
      <c r="F1728" s="513">
        <v>130883.79814967795</v>
      </c>
      <c r="G1728" s="660">
        <v>-216160.19585032246</v>
      </c>
      <c r="H1728" s="512">
        <v>0</v>
      </c>
      <c r="I1728" s="659" t="s">
        <v>103</v>
      </c>
      <c r="J1728" s="513">
        <v>44410</v>
      </c>
      <c r="K1728" s="513">
        <v>0</v>
      </c>
      <c r="L1728" s="513">
        <v>0</v>
      </c>
      <c r="M1728" s="513">
        <v>-260570.19585032246</v>
      </c>
      <c r="N1728" s="622" t="s">
        <v>1784</v>
      </c>
    </row>
    <row r="1729" spans="2:14" ht="29.1">
      <c r="B1729" s="513" t="s">
        <v>685</v>
      </c>
      <c r="C1729" s="658">
        <v>2009</v>
      </c>
      <c r="D1729" s="513">
        <v>-260569.78585032234</v>
      </c>
      <c r="E1729" s="512">
        <v>94471.375750155814</v>
      </c>
      <c r="F1729" s="513">
        <v>94471.375750155814</v>
      </c>
      <c r="G1729" s="660">
        <v>-166098.41010016651</v>
      </c>
      <c r="H1729" s="512">
        <v>0</v>
      </c>
      <c r="I1729" s="659" t="s">
        <v>103</v>
      </c>
      <c r="J1729" s="513">
        <v>4225.7300000000005</v>
      </c>
      <c r="K1729" s="513">
        <v>0</v>
      </c>
      <c r="L1729" s="513">
        <v>0</v>
      </c>
      <c r="M1729" s="513">
        <v>-170324.14010016652</v>
      </c>
      <c r="N1729" s="622" t="s">
        <v>1784</v>
      </c>
    </row>
    <row r="1730" spans="2:14">
      <c r="B1730" s="513" t="s">
        <v>685</v>
      </c>
      <c r="C1730" s="658">
        <v>2010</v>
      </c>
      <c r="D1730" s="513">
        <v>-170324.14010016667</v>
      </c>
      <c r="E1730" s="512">
        <v>94241.67</v>
      </c>
      <c r="F1730" s="513">
        <v>94241.67</v>
      </c>
      <c r="G1730" s="660">
        <v>-76082.470100166669</v>
      </c>
      <c r="H1730" s="512">
        <v>0</v>
      </c>
      <c r="I1730" s="659" t="s">
        <v>103</v>
      </c>
      <c r="J1730" s="513">
        <v>-109437.31</v>
      </c>
      <c r="K1730" s="513">
        <v>0</v>
      </c>
      <c r="L1730" s="513">
        <v>0</v>
      </c>
      <c r="M1730" s="513">
        <v>33354.839899833329</v>
      </c>
      <c r="N1730" s="622"/>
    </row>
    <row r="1731" spans="2:14">
      <c r="B1731" s="513" t="s">
        <v>685</v>
      </c>
      <c r="C1731" s="658">
        <v>2011</v>
      </c>
      <c r="D1731" s="513">
        <v>33354.84072054131</v>
      </c>
      <c r="E1731" s="512">
        <v>96850.199124623337</v>
      </c>
      <c r="F1731" s="513">
        <v>96850.199124623337</v>
      </c>
      <c r="G1731" s="660">
        <v>0</v>
      </c>
      <c r="H1731" s="512">
        <v>0</v>
      </c>
      <c r="I1731" s="659" t="s">
        <v>103</v>
      </c>
      <c r="J1731" s="513">
        <v>14467.11</v>
      </c>
      <c r="K1731" s="513">
        <v>0</v>
      </c>
      <c r="L1731" s="513">
        <v>-3010</v>
      </c>
      <c r="M1731" s="513">
        <v>118747.92984516465</v>
      </c>
      <c r="N1731" s="622"/>
    </row>
    <row r="1732" spans="2:14">
      <c r="B1732" s="513" t="s">
        <v>685</v>
      </c>
      <c r="C1732" s="658">
        <v>2012</v>
      </c>
      <c r="D1732" s="513">
        <v>118747.92984516546</v>
      </c>
      <c r="E1732" s="512">
        <v>53113.313523510631</v>
      </c>
      <c r="F1732" s="513">
        <v>53113.313523510631</v>
      </c>
      <c r="G1732" s="512">
        <v>0</v>
      </c>
      <c r="H1732" s="512">
        <v>0</v>
      </c>
      <c r="I1732" s="659" t="s">
        <v>103</v>
      </c>
      <c r="J1732" s="513">
        <v>956.40000000000055</v>
      </c>
      <c r="K1732" s="513">
        <v>0</v>
      </c>
      <c r="L1732" s="513">
        <v>0</v>
      </c>
      <c r="M1732" s="513">
        <v>170904.84336867611</v>
      </c>
      <c r="N1732" s="622"/>
    </row>
    <row r="1733" spans="2:14">
      <c r="B1733" s="513" t="s">
        <v>685</v>
      </c>
      <c r="C1733" s="658">
        <v>2013</v>
      </c>
      <c r="D1733" s="513">
        <v>170904.84336867603</v>
      </c>
      <c r="E1733" s="513">
        <v>113471.23099789026</v>
      </c>
      <c r="F1733" s="513">
        <v>113471.23099789026</v>
      </c>
      <c r="G1733" s="512">
        <v>0</v>
      </c>
      <c r="H1733" s="512">
        <v>0</v>
      </c>
      <c r="I1733" s="659" t="s">
        <v>103</v>
      </c>
      <c r="J1733" s="513">
        <v>1458.8500000000022</v>
      </c>
      <c r="K1733" s="513">
        <v>0</v>
      </c>
      <c r="L1733" s="513">
        <v>0</v>
      </c>
      <c r="M1733" s="513">
        <v>282917.22436656628</v>
      </c>
      <c r="N1733" s="622"/>
    </row>
    <row r="1734" spans="2:14">
      <c r="B1734" s="513" t="s">
        <v>685</v>
      </c>
      <c r="C1734" s="658">
        <v>2014</v>
      </c>
      <c r="D1734" s="513">
        <v>282917.22436656617</v>
      </c>
      <c r="E1734" s="513">
        <v>120524.57190205026</v>
      </c>
      <c r="F1734" s="513">
        <v>120524.57190205026</v>
      </c>
      <c r="G1734" s="512">
        <v>0</v>
      </c>
      <c r="H1734" s="512">
        <v>0</v>
      </c>
      <c r="I1734" s="659" t="s">
        <v>103</v>
      </c>
      <c r="J1734" s="513">
        <v>-39253.760000000002</v>
      </c>
      <c r="K1734" s="513">
        <v>0</v>
      </c>
      <c r="L1734" s="513">
        <v>39875.51</v>
      </c>
      <c r="M1734" s="513">
        <v>402820.04626861645</v>
      </c>
      <c r="N1734" s="622"/>
    </row>
    <row r="1735" spans="2:14">
      <c r="B1735" s="513" t="s">
        <v>685</v>
      </c>
      <c r="C1735" s="658">
        <v>2015</v>
      </c>
      <c r="D1735" s="513">
        <v>402820.04626861587</v>
      </c>
      <c r="E1735" s="513">
        <v>123425.89264015437</v>
      </c>
      <c r="F1735" s="513">
        <v>123425.89264015437</v>
      </c>
      <c r="G1735" s="512">
        <v>0</v>
      </c>
      <c r="H1735" s="512">
        <v>0</v>
      </c>
      <c r="I1735" s="659" t="s">
        <v>103</v>
      </c>
      <c r="J1735" s="513">
        <v>0</v>
      </c>
      <c r="K1735" s="513">
        <v>0</v>
      </c>
      <c r="L1735" s="513">
        <v>0</v>
      </c>
      <c r="M1735" s="513">
        <v>526245.93890877021</v>
      </c>
      <c r="N1735" s="622"/>
    </row>
    <row r="1736" spans="2:14">
      <c r="B1736" s="513" t="s">
        <v>685</v>
      </c>
      <c r="C1736" s="658">
        <v>2016</v>
      </c>
      <c r="D1736" s="513">
        <v>526245.93890877021</v>
      </c>
      <c r="E1736" s="513">
        <v>70904.137314112682</v>
      </c>
      <c r="F1736" s="513">
        <v>70904.137314112682</v>
      </c>
      <c r="G1736" s="512">
        <v>0</v>
      </c>
      <c r="H1736" s="660">
        <v>0</v>
      </c>
      <c r="I1736" s="659" t="s">
        <v>103</v>
      </c>
      <c r="J1736" s="513">
        <v>-67.31</v>
      </c>
      <c r="K1736" s="513">
        <v>0</v>
      </c>
      <c r="L1736" s="513">
        <v>67.31</v>
      </c>
      <c r="M1736" s="513">
        <v>597150.07622288284</v>
      </c>
      <c r="N1736" s="622"/>
    </row>
    <row r="1737" spans="2:14">
      <c r="B1737" s="513" t="s">
        <v>685</v>
      </c>
      <c r="C1737" s="658">
        <v>2017</v>
      </c>
      <c r="D1737" s="513">
        <v>597150.07622288307</v>
      </c>
      <c r="E1737" s="513">
        <v>60633.803071402814</v>
      </c>
      <c r="F1737" s="513">
        <v>60633.803071402814</v>
      </c>
      <c r="G1737" s="660">
        <v>0</v>
      </c>
      <c r="H1737" s="660">
        <v>0</v>
      </c>
      <c r="I1737" s="659" t="s">
        <v>103</v>
      </c>
      <c r="J1737" s="513">
        <v>0</v>
      </c>
      <c r="K1737" s="513">
        <v>0</v>
      </c>
      <c r="L1737" s="513">
        <v>0</v>
      </c>
      <c r="M1737" s="513">
        <v>657783.8792942859</v>
      </c>
      <c r="N1737" s="622"/>
    </row>
    <row r="1738" spans="2:14">
      <c r="B1738" s="513" t="s">
        <v>685</v>
      </c>
      <c r="C1738" s="889">
        <v>2018</v>
      </c>
      <c r="D1738" s="513">
        <v>657783.8792942859</v>
      </c>
      <c r="E1738" s="513">
        <f>VLOOKUP(B1738,'[6]2018 allocation'!$A$11:$B$218,2, FALSE)</f>
        <v>69183.976955675709</v>
      </c>
      <c r="F1738" s="513">
        <f>E1738</f>
        <v>69183.976955675709</v>
      </c>
      <c r="G1738" s="513">
        <v>0</v>
      </c>
      <c r="H1738" s="513">
        <v>0</v>
      </c>
      <c r="I1738" s="622" t="s">
        <v>103</v>
      </c>
      <c r="J1738" s="513">
        <f>VLOOKUP(B1738,'[6]Annual Spending Worksheet '!$C$6:$AG$250,28,FALSE)</f>
        <v>0</v>
      </c>
      <c r="K1738" s="513">
        <f>VLOOKUP(B1738,'[6]Annual Spending Worksheet '!$C$6:$AG$250,29,FALSE)</f>
        <v>0</v>
      </c>
      <c r="L1738" s="513">
        <v>0</v>
      </c>
      <c r="M1738" s="513">
        <f>D1738+E1738+H1738-J1738</f>
        <v>726967.85624996165</v>
      </c>
      <c r="N1738" s="513"/>
    </row>
    <row r="1739" spans="2:14">
      <c r="B1739" s="513" t="s">
        <v>685</v>
      </c>
      <c r="C1739" s="889">
        <v>2019</v>
      </c>
      <c r="D1739" s="513">
        <v>726967.85624996165</v>
      </c>
      <c r="E1739" s="513">
        <v>78537.010341576504</v>
      </c>
      <c r="F1739" s="513">
        <v>78537.010341576504</v>
      </c>
      <c r="G1739" s="513">
        <v>0</v>
      </c>
      <c r="H1739" s="513">
        <v>0</v>
      </c>
      <c r="I1739" s="622" t="s">
        <v>103</v>
      </c>
      <c r="J1739" s="513">
        <v>0</v>
      </c>
      <c r="K1739" s="513">
        <v>0</v>
      </c>
      <c r="L1739" s="513">
        <v>0</v>
      </c>
      <c r="M1739" s="513">
        <v>805504.86659153819</v>
      </c>
      <c r="N1739" s="513"/>
    </row>
    <row r="1740" spans="2:14">
      <c r="B1740" s="513" t="s">
        <v>688</v>
      </c>
      <c r="C1740" s="658">
        <v>2008</v>
      </c>
      <c r="D1740" s="513">
        <v>15917.875999999989</v>
      </c>
      <c r="E1740" s="512">
        <v>17432.052660824287</v>
      </c>
      <c r="F1740" s="513">
        <v>17432.052660824287</v>
      </c>
      <c r="G1740" s="512">
        <v>0</v>
      </c>
      <c r="H1740" s="512">
        <v>0</v>
      </c>
      <c r="I1740" s="659" t="s">
        <v>103</v>
      </c>
      <c r="J1740" s="513">
        <v>0</v>
      </c>
      <c r="K1740" s="513">
        <v>0</v>
      </c>
      <c r="L1740" s="513">
        <v>0</v>
      </c>
      <c r="M1740" s="513">
        <v>33349.928660824276</v>
      </c>
      <c r="N1740" s="622"/>
    </row>
    <row r="1741" spans="2:14">
      <c r="B1741" s="513" t="s">
        <v>688</v>
      </c>
      <c r="C1741" s="658">
        <v>2009</v>
      </c>
      <c r="D1741" s="513">
        <v>33349.928660824255</v>
      </c>
      <c r="E1741" s="512">
        <v>12947.060200534224</v>
      </c>
      <c r="F1741" s="513">
        <v>12947.060200534224</v>
      </c>
      <c r="G1741" s="512">
        <v>0</v>
      </c>
      <c r="H1741" s="512">
        <v>0</v>
      </c>
      <c r="I1741" s="659" t="s">
        <v>103</v>
      </c>
      <c r="J1741" s="513">
        <v>0</v>
      </c>
      <c r="K1741" s="513">
        <v>0</v>
      </c>
      <c r="L1741" s="513">
        <v>0</v>
      </c>
      <c r="M1741" s="513">
        <v>46296.988861358477</v>
      </c>
      <c r="N1741" s="622"/>
    </row>
    <row r="1742" spans="2:14" ht="29.1">
      <c r="B1742" s="513" t="s">
        <v>688</v>
      </c>
      <c r="C1742" s="658">
        <v>2010</v>
      </c>
      <c r="D1742" s="513">
        <v>46296.988861358492</v>
      </c>
      <c r="E1742" s="512">
        <v>12920.89</v>
      </c>
      <c r="F1742" s="513">
        <v>12920.89</v>
      </c>
      <c r="G1742" s="512">
        <v>0</v>
      </c>
      <c r="H1742" s="512">
        <v>1942793</v>
      </c>
      <c r="I1742" s="659" t="s">
        <v>1785</v>
      </c>
      <c r="J1742" s="513">
        <v>1133.8499999999999</v>
      </c>
      <c r="K1742" s="513">
        <v>0</v>
      </c>
      <c r="L1742" s="513">
        <v>0</v>
      </c>
      <c r="M1742" s="513">
        <v>2000877.0288613583</v>
      </c>
      <c r="N1742" s="622"/>
    </row>
    <row r="1743" spans="2:14">
      <c r="B1743" s="513" t="s">
        <v>688</v>
      </c>
      <c r="C1743" s="658">
        <v>2011</v>
      </c>
      <c r="D1743" s="513">
        <v>2000877.0286299468</v>
      </c>
      <c r="E1743" s="512">
        <v>13251.574426761468</v>
      </c>
      <c r="F1743" s="513">
        <v>13251.574426761468</v>
      </c>
      <c r="G1743" s="512">
        <v>0</v>
      </c>
      <c r="H1743" s="512">
        <v>0</v>
      </c>
      <c r="I1743" s="659" t="s">
        <v>103</v>
      </c>
      <c r="J1743" s="513">
        <v>105909.97000000013</v>
      </c>
      <c r="K1743" s="513">
        <v>0</v>
      </c>
      <c r="L1743" s="513">
        <v>0</v>
      </c>
      <c r="M1743" s="513">
        <v>1908218.6330567079</v>
      </c>
      <c r="N1743" s="622"/>
    </row>
    <row r="1744" spans="2:14">
      <c r="B1744" s="513" t="s">
        <v>688</v>
      </c>
      <c r="C1744" s="658">
        <v>2012</v>
      </c>
      <c r="D1744" s="513">
        <v>1908218.6330567079</v>
      </c>
      <c r="E1744" s="513">
        <v>7974.5863972099087</v>
      </c>
      <c r="F1744" s="513">
        <v>7974.5863972099087</v>
      </c>
      <c r="G1744" s="512">
        <v>0</v>
      </c>
      <c r="H1744" s="512">
        <v>0</v>
      </c>
      <c r="I1744" s="659" t="s">
        <v>103</v>
      </c>
      <c r="J1744" s="513">
        <v>32151.629999999994</v>
      </c>
      <c r="K1744" s="513">
        <v>0</v>
      </c>
      <c r="L1744" s="513">
        <v>0</v>
      </c>
      <c r="M1744" s="513">
        <v>1884041.5894539179</v>
      </c>
      <c r="N1744" s="622"/>
    </row>
    <row r="1745" spans="2:14">
      <c r="B1745" s="513" t="s">
        <v>688</v>
      </c>
      <c r="C1745" s="658">
        <v>2013</v>
      </c>
      <c r="D1745" s="513">
        <v>1884041.5894539177</v>
      </c>
      <c r="E1745" s="513">
        <v>15271.863769290254</v>
      </c>
      <c r="F1745" s="513">
        <v>15271.863769290254</v>
      </c>
      <c r="G1745" s="512">
        <v>0</v>
      </c>
      <c r="H1745" s="512">
        <v>0</v>
      </c>
      <c r="I1745" s="659" t="s">
        <v>103</v>
      </c>
      <c r="J1745" s="513">
        <v>1480580.0900000005</v>
      </c>
      <c r="K1745" s="513">
        <v>1824468</v>
      </c>
      <c r="L1745" s="513">
        <v>0</v>
      </c>
      <c r="M1745" s="513">
        <v>418733.36322320742</v>
      </c>
      <c r="N1745" s="622"/>
    </row>
    <row r="1746" spans="2:14">
      <c r="B1746" s="513" t="s">
        <v>688</v>
      </c>
      <c r="C1746" s="658">
        <v>2014</v>
      </c>
      <c r="D1746" s="513">
        <v>418733.36322320765</v>
      </c>
      <c r="E1746" s="513">
        <v>16128.52778410967</v>
      </c>
      <c r="F1746" s="513">
        <v>16128.52778410967</v>
      </c>
      <c r="G1746" s="512">
        <v>0</v>
      </c>
      <c r="H1746" s="512">
        <v>0</v>
      </c>
      <c r="I1746" s="659" t="s">
        <v>103</v>
      </c>
      <c r="J1746" s="513">
        <v>203295.96000000008</v>
      </c>
      <c r="K1746" s="513">
        <v>0</v>
      </c>
      <c r="L1746" s="513">
        <v>0</v>
      </c>
      <c r="M1746" s="513">
        <v>231565.93100731727</v>
      </c>
      <c r="N1746" s="622"/>
    </row>
    <row r="1747" spans="2:14">
      <c r="B1747" s="513" t="s">
        <v>688</v>
      </c>
      <c r="C1747" s="658">
        <v>2015</v>
      </c>
      <c r="D1747" s="513">
        <v>231565.93100731727</v>
      </c>
      <c r="E1747" s="513">
        <v>16482.743529224281</v>
      </c>
      <c r="F1747" s="513">
        <v>16482.743529224281</v>
      </c>
      <c r="G1747" s="512">
        <v>0</v>
      </c>
      <c r="H1747" s="660">
        <v>0</v>
      </c>
      <c r="I1747" s="659" t="s">
        <v>103</v>
      </c>
      <c r="J1747" s="513">
        <v>0</v>
      </c>
      <c r="K1747" s="513">
        <v>0</v>
      </c>
      <c r="L1747" s="513">
        <v>1396.09</v>
      </c>
      <c r="M1747" s="513">
        <v>246652.58453654154</v>
      </c>
      <c r="N1747" s="622"/>
    </row>
    <row r="1748" spans="2:14">
      <c r="B1748" s="513" t="s">
        <v>688</v>
      </c>
      <c r="C1748" s="658">
        <v>2016</v>
      </c>
      <c r="D1748" s="513">
        <v>246652.58453654218</v>
      </c>
      <c r="E1748" s="513">
        <v>10106.899941573629</v>
      </c>
      <c r="F1748" s="513">
        <v>10106.899941573629</v>
      </c>
      <c r="G1748" s="660">
        <v>0</v>
      </c>
      <c r="H1748" s="660">
        <v>0</v>
      </c>
      <c r="I1748" s="659" t="s">
        <v>103</v>
      </c>
      <c r="J1748" s="513">
        <v>0</v>
      </c>
      <c r="K1748" s="513">
        <v>0</v>
      </c>
      <c r="L1748" s="513">
        <v>0</v>
      </c>
      <c r="M1748" s="513">
        <v>256759.4844781158</v>
      </c>
      <c r="N1748" s="622"/>
    </row>
    <row r="1749" spans="2:14">
      <c r="B1749" s="513" t="s">
        <v>688</v>
      </c>
      <c r="C1749" s="658">
        <v>2017</v>
      </c>
      <c r="D1749" s="513">
        <v>256759.48447811557</v>
      </c>
      <c r="E1749" s="513">
        <v>8845.5346973468022</v>
      </c>
      <c r="F1749" s="513">
        <v>8845.5346973468022</v>
      </c>
      <c r="G1749" s="513">
        <v>0</v>
      </c>
      <c r="H1749" s="513">
        <v>0</v>
      </c>
      <c r="I1749" s="659" t="s">
        <v>103</v>
      </c>
      <c r="J1749" s="513">
        <v>0</v>
      </c>
      <c r="K1749" s="513">
        <v>0</v>
      </c>
      <c r="L1749" s="513">
        <v>0</v>
      </c>
      <c r="M1749" s="513">
        <v>265605.01917546237</v>
      </c>
      <c r="N1749" s="622"/>
    </row>
    <row r="1750" spans="2:14">
      <c r="B1750" s="513" t="s">
        <v>688</v>
      </c>
      <c r="C1750" s="889">
        <v>2018</v>
      </c>
      <c r="D1750" s="513">
        <v>265605.01917546237</v>
      </c>
      <c r="E1750" s="513">
        <f>VLOOKUP(B1750,'[6]2018 allocation'!$A$11:$B$218,2, FALSE)</f>
        <v>9908.5748970198874</v>
      </c>
      <c r="F1750" s="513">
        <f>E1750</f>
        <v>9908.5748970198874</v>
      </c>
      <c r="G1750" s="513">
        <v>0</v>
      </c>
      <c r="H1750" s="513">
        <v>-265605</v>
      </c>
      <c r="I1750" s="622" t="s">
        <v>1786</v>
      </c>
      <c r="J1750" s="513">
        <f>VLOOKUP(B1750,'[6]Annual Spending Worksheet '!$C$6:$AG$250,28,FALSE)</f>
        <v>0</v>
      </c>
      <c r="K1750" s="513">
        <f>VLOOKUP(B1750,'[6]Annual Spending Worksheet '!$C$6:$AG$250,29,FALSE)</f>
        <v>0</v>
      </c>
      <c r="L1750" s="513">
        <v>0</v>
      </c>
      <c r="M1750" s="513">
        <f>D1750+E1750+H1750-J1750</f>
        <v>9908.5940724822576</v>
      </c>
      <c r="N1750" s="513"/>
    </row>
    <row r="1751" spans="2:14">
      <c r="B1751" s="513" t="s">
        <v>688</v>
      </c>
      <c r="C1751" s="889">
        <v>2019</v>
      </c>
      <c r="D1751" s="513">
        <v>9908.5940724822576</v>
      </c>
      <c r="E1751" s="513">
        <v>11014.498389916391</v>
      </c>
      <c r="F1751" s="513">
        <v>11014.498389916391</v>
      </c>
      <c r="G1751" s="513">
        <v>0</v>
      </c>
      <c r="H1751" s="513">
        <v>0</v>
      </c>
      <c r="I1751" s="622" t="s">
        <v>103</v>
      </c>
      <c r="J1751" s="513">
        <v>0</v>
      </c>
      <c r="K1751" s="513">
        <v>0</v>
      </c>
      <c r="L1751" s="513">
        <v>0</v>
      </c>
      <c r="M1751" s="513">
        <v>20923.09246239865</v>
      </c>
      <c r="N1751" s="513"/>
    </row>
    <row r="1752" spans="2:14">
      <c r="B1752" s="513" t="s">
        <v>692</v>
      </c>
      <c r="C1752" s="658">
        <v>2008</v>
      </c>
      <c r="D1752" s="513">
        <v>0</v>
      </c>
      <c r="E1752" s="512">
        <v>0</v>
      </c>
      <c r="F1752" s="513">
        <v>0</v>
      </c>
      <c r="G1752" s="512">
        <v>0</v>
      </c>
      <c r="H1752" s="512">
        <v>0</v>
      </c>
      <c r="I1752" s="659" t="s">
        <v>103</v>
      </c>
      <c r="J1752" s="513">
        <v>0</v>
      </c>
      <c r="K1752" s="513">
        <v>0</v>
      </c>
      <c r="L1752" s="513">
        <v>0</v>
      </c>
      <c r="M1752" s="513">
        <v>0</v>
      </c>
      <c r="N1752" s="622"/>
    </row>
    <row r="1753" spans="2:14">
      <c r="B1753" s="513" t="s">
        <v>692</v>
      </c>
      <c r="C1753" s="658">
        <v>2009</v>
      </c>
      <c r="D1753" s="513">
        <v>0</v>
      </c>
      <c r="E1753" s="512">
        <v>0</v>
      </c>
      <c r="F1753" s="513">
        <v>0</v>
      </c>
      <c r="G1753" s="512">
        <v>0</v>
      </c>
      <c r="H1753" s="512">
        <v>0</v>
      </c>
      <c r="I1753" s="659" t="s">
        <v>103</v>
      </c>
      <c r="J1753" s="513">
        <v>0</v>
      </c>
      <c r="K1753" s="513">
        <v>0</v>
      </c>
      <c r="L1753" s="513">
        <v>0</v>
      </c>
      <c r="M1753" s="513">
        <v>0</v>
      </c>
      <c r="N1753" s="622"/>
    </row>
    <row r="1754" spans="2:14">
      <c r="B1754" s="513" t="s">
        <v>692</v>
      </c>
      <c r="C1754" s="658">
        <v>2010</v>
      </c>
      <c r="D1754" s="513">
        <v>0</v>
      </c>
      <c r="E1754" s="512">
        <v>0</v>
      </c>
      <c r="F1754" s="513">
        <v>0</v>
      </c>
      <c r="G1754" s="512">
        <v>0</v>
      </c>
      <c r="H1754" s="512">
        <v>0</v>
      </c>
      <c r="I1754" s="659" t="s">
        <v>103</v>
      </c>
      <c r="J1754" s="513">
        <v>0</v>
      </c>
      <c r="K1754" s="513">
        <v>0</v>
      </c>
      <c r="L1754" s="513">
        <v>0</v>
      </c>
      <c r="M1754" s="513">
        <v>0</v>
      </c>
      <c r="N1754" s="622"/>
    </row>
    <row r="1755" spans="2:14">
      <c r="B1755" s="513" t="s">
        <v>692</v>
      </c>
      <c r="C1755" s="658">
        <v>2011</v>
      </c>
      <c r="D1755" s="513">
        <v>0</v>
      </c>
      <c r="E1755" s="512">
        <v>0</v>
      </c>
      <c r="F1755" s="513">
        <v>0</v>
      </c>
      <c r="G1755" s="512">
        <v>0</v>
      </c>
      <c r="H1755" s="512">
        <v>0</v>
      </c>
      <c r="I1755" s="659" t="s">
        <v>103</v>
      </c>
      <c r="J1755" s="513">
        <v>0</v>
      </c>
      <c r="K1755" s="513">
        <v>0</v>
      </c>
      <c r="L1755" s="513">
        <v>0</v>
      </c>
      <c r="M1755" s="513">
        <v>0</v>
      </c>
      <c r="N1755" s="622"/>
    </row>
    <row r="1756" spans="2:14">
      <c r="B1756" s="513" t="s">
        <v>692</v>
      </c>
      <c r="C1756" s="658">
        <v>2012</v>
      </c>
      <c r="D1756" s="513">
        <v>0</v>
      </c>
      <c r="E1756" s="513">
        <v>0</v>
      </c>
      <c r="F1756" s="513">
        <v>0</v>
      </c>
      <c r="G1756" s="512">
        <v>0</v>
      </c>
      <c r="H1756" s="512">
        <v>0</v>
      </c>
      <c r="I1756" s="659" t="s">
        <v>103</v>
      </c>
      <c r="J1756" s="513">
        <v>0</v>
      </c>
      <c r="K1756" s="513">
        <v>0</v>
      </c>
      <c r="L1756" s="513">
        <v>0</v>
      </c>
      <c r="M1756" s="513">
        <v>0</v>
      </c>
      <c r="N1756" s="622"/>
    </row>
    <row r="1757" spans="2:14">
      <c r="B1757" s="513" t="s">
        <v>692</v>
      </c>
      <c r="C1757" s="658">
        <v>2013</v>
      </c>
      <c r="D1757" s="513">
        <v>0</v>
      </c>
      <c r="E1757" s="513">
        <v>39596.232494872304</v>
      </c>
      <c r="F1757" s="513">
        <v>39596.232494872304</v>
      </c>
      <c r="G1757" s="512">
        <v>0</v>
      </c>
      <c r="H1757" s="512">
        <v>0</v>
      </c>
      <c r="I1757" s="659" t="s">
        <v>103</v>
      </c>
      <c r="J1757" s="513">
        <v>0</v>
      </c>
      <c r="K1757" s="513">
        <v>0</v>
      </c>
      <c r="L1757" s="513">
        <v>0</v>
      </c>
      <c r="M1757" s="513">
        <v>39596.232494872304</v>
      </c>
      <c r="N1757" s="622"/>
    </row>
    <row r="1758" spans="2:14">
      <c r="B1758" s="513" t="s">
        <v>692</v>
      </c>
      <c r="C1758" s="658">
        <v>2014</v>
      </c>
      <c r="D1758" s="513">
        <v>39596.232494872304</v>
      </c>
      <c r="E1758" s="513">
        <v>47404.47227697276</v>
      </c>
      <c r="F1758" s="513">
        <v>47404.47227697276</v>
      </c>
      <c r="G1758" s="512">
        <v>0</v>
      </c>
      <c r="H1758" s="512">
        <v>0</v>
      </c>
      <c r="I1758" s="659" t="s">
        <v>103</v>
      </c>
      <c r="J1758" s="513">
        <v>0</v>
      </c>
      <c r="K1758" s="513">
        <v>0</v>
      </c>
      <c r="L1758" s="513">
        <v>0</v>
      </c>
      <c r="M1758" s="513">
        <v>87000.704771845063</v>
      </c>
      <c r="N1758" s="622"/>
    </row>
    <row r="1759" spans="2:14">
      <c r="B1759" s="513" t="s">
        <v>692</v>
      </c>
      <c r="C1759" s="658">
        <v>2015</v>
      </c>
      <c r="D1759" s="513">
        <v>87000.704771845063</v>
      </c>
      <c r="E1759" s="513">
        <v>50593.463732468976</v>
      </c>
      <c r="F1759" s="513">
        <v>50593.463732468976</v>
      </c>
      <c r="G1759" s="660">
        <v>0</v>
      </c>
      <c r="H1759" s="660">
        <v>0</v>
      </c>
      <c r="I1759" s="659" t="s">
        <v>103</v>
      </c>
      <c r="J1759" s="513">
        <v>0</v>
      </c>
      <c r="K1759" s="513">
        <v>0</v>
      </c>
      <c r="L1759" s="513">
        <v>0</v>
      </c>
      <c r="M1759" s="513">
        <v>137594.16850431403</v>
      </c>
      <c r="N1759" s="622"/>
    </row>
    <row r="1760" spans="2:14">
      <c r="B1760" s="513" t="s">
        <v>692</v>
      </c>
      <c r="C1760" s="658">
        <v>2016</v>
      </c>
      <c r="D1760" s="513">
        <v>137594.16850431403</v>
      </c>
      <c r="E1760" s="513">
        <v>0</v>
      </c>
      <c r="F1760" s="513">
        <v>0</v>
      </c>
      <c r="G1760" s="660">
        <v>0</v>
      </c>
      <c r="H1760" s="660">
        <v>0</v>
      </c>
      <c r="I1760" s="659" t="s">
        <v>103</v>
      </c>
      <c r="J1760" s="513">
        <v>0</v>
      </c>
      <c r="K1760" s="513">
        <v>0</v>
      </c>
      <c r="L1760" s="513">
        <v>0</v>
      </c>
      <c r="M1760" s="513">
        <v>137594.16850431403</v>
      </c>
      <c r="N1760" s="622"/>
    </row>
    <row r="1761" spans="2:14">
      <c r="B1761" s="513" t="s">
        <v>692</v>
      </c>
      <c r="C1761" s="658">
        <v>2017</v>
      </c>
      <c r="D1761" s="513">
        <v>137594.16850431403</v>
      </c>
      <c r="E1761" s="513">
        <v>0</v>
      </c>
      <c r="F1761" s="513">
        <v>0</v>
      </c>
      <c r="G1761" s="513">
        <v>0</v>
      </c>
      <c r="H1761" s="513">
        <v>0</v>
      </c>
      <c r="I1761" s="659" t="s">
        <v>103</v>
      </c>
      <c r="J1761" s="513">
        <v>0</v>
      </c>
      <c r="K1761" s="513">
        <v>0</v>
      </c>
      <c r="L1761" s="513">
        <v>0</v>
      </c>
      <c r="M1761" s="513">
        <v>137594.16850431403</v>
      </c>
      <c r="N1761" s="622"/>
    </row>
    <row r="1762" spans="2:14">
      <c r="B1762" s="513" t="s">
        <v>692</v>
      </c>
      <c r="C1762" s="889">
        <v>2018</v>
      </c>
      <c r="D1762" s="513">
        <v>137594.16850431403</v>
      </c>
      <c r="E1762" s="513">
        <f>VLOOKUP(B1762,'[6]2018 allocation'!$A$11:$B$218,2, FALSE)</f>
        <v>0</v>
      </c>
      <c r="F1762" s="513">
        <f>E1762</f>
        <v>0</v>
      </c>
      <c r="G1762" s="513">
        <v>0</v>
      </c>
      <c r="H1762" s="513">
        <v>0</v>
      </c>
      <c r="I1762" s="622" t="s">
        <v>103</v>
      </c>
      <c r="J1762" s="513">
        <f>VLOOKUP(B1762,'[6]Annual Spending Worksheet '!$C$6:$AG$250,28,FALSE)</f>
        <v>0</v>
      </c>
      <c r="K1762" s="513">
        <f>VLOOKUP(B1762,'[6]Annual Spending Worksheet '!$C$6:$AG$250,29,FALSE)</f>
        <v>0</v>
      </c>
      <c r="L1762" s="513">
        <v>0</v>
      </c>
      <c r="M1762" s="513">
        <f>D1762+E1762+H1762-J1762</f>
        <v>137594.16850431403</v>
      </c>
      <c r="N1762" s="513"/>
    </row>
    <row r="1763" spans="2:14">
      <c r="B1763" s="513" t="s">
        <v>692</v>
      </c>
      <c r="C1763" s="889">
        <v>2019</v>
      </c>
      <c r="D1763" s="513">
        <v>137594.16850431403</v>
      </c>
      <c r="E1763" s="513">
        <v>0</v>
      </c>
      <c r="F1763" s="513">
        <v>0</v>
      </c>
      <c r="G1763" s="513">
        <v>0</v>
      </c>
      <c r="H1763" s="513">
        <v>0</v>
      </c>
      <c r="I1763" s="622" t="s">
        <v>103</v>
      </c>
      <c r="J1763" s="513">
        <v>0</v>
      </c>
      <c r="K1763" s="513">
        <v>0</v>
      </c>
      <c r="L1763" s="513">
        <v>0</v>
      </c>
      <c r="M1763" s="513">
        <v>137594.16850431403</v>
      </c>
      <c r="N1763" s="513"/>
    </row>
    <row r="1764" spans="2:14">
      <c r="B1764" s="513" t="s">
        <v>1787</v>
      </c>
      <c r="C1764" s="658">
        <v>2008</v>
      </c>
      <c r="D1764" s="513">
        <v>771002.10100000002</v>
      </c>
      <c r="E1764" s="512">
        <v>56283.969478967323</v>
      </c>
      <c r="F1764" s="513">
        <v>56283.969478967323</v>
      </c>
      <c r="G1764" s="512">
        <v>0</v>
      </c>
      <c r="H1764" s="512">
        <v>0</v>
      </c>
      <c r="I1764" s="659" t="s">
        <v>103</v>
      </c>
      <c r="J1764" s="513">
        <v>0</v>
      </c>
      <c r="K1764" s="513">
        <v>0</v>
      </c>
      <c r="L1764" s="513">
        <v>0</v>
      </c>
      <c r="M1764" s="513">
        <v>827286.07047896739</v>
      </c>
      <c r="N1764" s="622"/>
    </row>
    <row r="1765" spans="2:14">
      <c r="B1765" s="513" t="s">
        <v>1787</v>
      </c>
      <c r="C1765" s="658">
        <v>2009</v>
      </c>
      <c r="D1765" s="513">
        <v>827286.07047896739</v>
      </c>
      <c r="E1765" s="512">
        <v>36558.723247076334</v>
      </c>
      <c r="F1765" s="513">
        <v>36558.723247076334</v>
      </c>
      <c r="G1765" s="512">
        <v>0</v>
      </c>
      <c r="H1765" s="512">
        <v>0</v>
      </c>
      <c r="I1765" s="659" t="s">
        <v>103</v>
      </c>
      <c r="J1765" s="513">
        <v>0</v>
      </c>
      <c r="K1765" s="513">
        <v>0</v>
      </c>
      <c r="L1765" s="513">
        <v>0</v>
      </c>
      <c r="M1765" s="513">
        <v>863844.79372604378</v>
      </c>
      <c r="N1765" s="622"/>
    </row>
    <row r="1766" spans="2:14">
      <c r="B1766" s="513" t="s">
        <v>1787</v>
      </c>
      <c r="C1766" s="658">
        <v>2010</v>
      </c>
      <c r="D1766" s="513">
        <v>863844.79372604378</v>
      </c>
      <c r="E1766" s="512">
        <v>36453.29</v>
      </c>
      <c r="F1766" s="513">
        <v>36453.29</v>
      </c>
      <c r="G1766" s="512">
        <v>0</v>
      </c>
      <c r="H1766" s="512">
        <v>0</v>
      </c>
      <c r="I1766" s="659" t="s">
        <v>103</v>
      </c>
      <c r="J1766" s="513">
        <v>0</v>
      </c>
      <c r="K1766" s="513">
        <v>0</v>
      </c>
      <c r="L1766" s="513">
        <v>0</v>
      </c>
      <c r="M1766" s="513">
        <v>900298.08372604381</v>
      </c>
      <c r="N1766" s="622"/>
    </row>
    <row r="1767" spans="2:14">
      <c r="B1767" s="513" t="s">
        <v>1787</v>
      </c>
      <c r="C1767" s="658">
        <v>2011</v>
      </c>
      <c r="D1767" s="513">
        <v>900298.08500411757</v>
      </c>
      <c r="E1767" s="512">
        <v>37864.408791766095</v>
      </c>
      <c r="F1767" s="513">
        <v>37864.408791766095</v>
      </c>
      <c r="G1767" s="512">
        <v>0</v>
      </c>
      <c r="H1767" s="512">
        <v>0</v>
      </c>
      <c r="I1767" s="659" t="s">
        <v>103</v>
      </c>
      <c r="J1767" s="513">
        <v>0</v>
      </c>
      <c r="K1767" s="513">
        <v>0</v>
      </c>
      <c r="L1767" s="513">
        <v>0</v>
      </c>
      <c r="M1767" s="513">
        <v>938162.49379588361</v>
      </c>
      <c r="N1767" s="622"/>
    </row>
    <row r="1768" spans="2:14">
      <c r="B1768" s="513" t="s">
        <v>1787</v>
      </c>
      <c r="C1768" s="658">
        <v>2012</v>
      </c>
      <c r="D1768" s="513">
        <v>938162.49379588361</v>
      </c>
      <c r="E1768" s="513">
        <v>13957.666056935355</v>
      </c>
      <c r="F1768" s="513">
        <v>13957.666056935355</v>
      </c>
      <c r="G1768" s="512">
        <v>0</v>
      </c>
      <c r="H1768" s="512">
        <v>0</v>
      </c>
      <c r="I1768" s="659" t="s">
        <v>103</v>
      </c>
      <c r="J1768" s="513">
        <v>0</v>
      </c>
      <c r="K1768" s="513">
        <v>0</v>
      </c>
      <c r="L1768" s="513">
        <v>0</v>
      </c>
      <c r="M1768" s="513">
        <v>952120.15985281894</v>
      </c>
      <c r="N1768" s="622"/>
    </row>
    <row r="1769" spans="2:14">
      <c r="B1769" s="513" t="s">
        <v>1787</v>
      </c>
      <c r="C1769" s="658">
        <v>2013</v>
      </c>
      <c r="D1769" s="513">
        <v>952120.15985281905</v>
      </c>
      <c r="E1769" s="513">
        <v>47017.250352032519</v>
      </c>
      <c r="F1769" s="513">
        <v>47017.250352032519</v>
      </c>
      <c r="G1769" s="512">
        <v>0</v>
      </c>
      <c r="H1769" s="512">
        <v>0</v>
      </c>
      <c r="I1769" s="659" t="s">
        <v>103</v>
      </c>
      <c r="J1769" s="513">
        <v>26699.719999999994</v>
      </c>
      <c r="K1769" s="513">
        <v>0</v>
      </c>
      <c r="L1769" s="513">
        <v>0</v>
      </c>
      <c r="M1769" s="513">
        <v>972437.69020485156</v>
      </c>
      <c r="N1769" s="622"/>
    </row>
    <row r="1770" spans="2:14">
      <c r="B1770" s="513" t="s">
        <v>1787</v>
      </c>
      <c r="C1770" s="658">
        <v>2014</v>
      </c>
      <c r="D1770" s="513">
        <v>972437.69020485156</v>
      </c>
      <c r="E1770" s="513">
        <v>51145.384625054772</v>
      </c>
      <c r="F1770" s="513">
        <v>51145.384625054772</v>
      </c>
      <c r="G1770" s="660">
        <v>0</v>
      </c>
      <c r="H1770" s="512">
        <v>0</v>
      </c>
      <c r="I1770" s="659" t="s">
        <v>103</v>
      </c>
      <c r="J1770" s="513">
        <v>58840.039999999986</v>
      </c>
      <c r="K1770" s="513">
        <v>0</v>
      </c>
      <c r="L1770" s="513">
        <v>0</v>
      </c>
      <c r="M1770" s="513">
        <v>964743.0348299063</v>
      </c>
      <c r="N1770" s="622"/>
    </row>
    <row r="1771" spans="2:14">
      <c r="B1771" s="513" t="s">
        <v>1787</v>
      </c>
      <c r="C1771" s="658">
        <v>2015</v>
      </c>
      <c r="D1771" s="513">
        <v>964743.03482990619</v>
      </c>
      <c r="E1771" s="513">
        <v>52942.319820531557</v>
      </c>
      <c r="F1771" s="513">
        <v>52942.319820531557</v>
      </c>
      <c r="G1771" s="660">
        <v>0</v>
      </c>
      <c r="H1771" s="660">
        <v>0</v>
      </c>
      <c r="I1771" s="659" t="s">
        <v>103</v>
      </c>
      <c r="J1771" s="513">
        <v>45982.520000000011</v>
      </c>
      <c r="K1771" s="513">
        <v>0</v>
      </c>
      <c r="L1771" s="513">
        <v>0</v>
      </c>
      <c r="M1771" s="513">
        <v>971702.8346504377</v>
      </c>
      <c r="N1771" s="622"/>
    </row>
    <row r="1772" spans="2:14" ht="29.1">
      <c r="B1772" s="513" t="s">
        <v>1787</v>
      </c>
      <c r="C1772" s="658">
        <v>2016</v>
      </c>
      <c r="D1772" s="513">
        <v>971702.83465043781</v>
      </c>
      <c r="E1772" s="513">
        <v>22362.9675611977</v>
      </c>
      <c r="F1772" s="513">
        <v>22362.9675611977</v>
      </c>
      <c r="G1772" s="660">
        <v>0</v>
      </c>
      <c r="H1772" s="660">
        <v>0</v>
      </c>
      <c r="I1772" s="659" t="s">
        <v>103</v>
      </c>
      <c r="J1772" s="513">
        <v>1102322.0899999999</v>
      </c>
      <c r="K1772" s="513">
        <v>1267249.8199999998</v>
      </c>
      <c r="L1772" s="513">
        <v>0</v>
      </c>
      <c r="M1772" s="513">
        <v>-108256.28778836434</v>
      </c>
      <c r="N1772" s="622" t="s">
        <v>1706</v>
      </c>
    </row>
    <row r="1773" spans="2:14" ht="29.1">
      <c r="B1773" s="513" t="s">
        <v>1787</v>
      </c>
      <c r="C1773" s="658">
        <v>2017</v>
      </c>
      <c r="D1773" s="513">
        <v>-108256.28778836434</v>
      </c>
      <c r="E1773" s="513">
        <v>16013.27213980761</v>
      </c>
      <c r="F1773" s="513">
        <v>16013.27213980761</v>
      </c>
      <c r="G1773" s="513">
        <v>-92243.015648556728</v>
      </c>
      <c r="H1773" s="513">
        <v>0</v>
      </c>
      <c r="I1773" s="659" t="s">
        <v>103</v>
      </c>
      <c r="J1773" s="513">
        <v>-0.02</v>
      </c>
      <c r="K1773" s="513">
        <v>0</v>
      </c>
      <c r="L1773" s="513">
        <v>33405.47</v>
      </c>
      <c r="M1773" s="513">
        <v>-125648.46564855672</v>
      </c>
      <c r="N1773" s="622" t="s">
        <v>1706</v>
      </c>
    </row>
    <row r="1774" spans="2:14" ht="29.1">
      <c r="B1774" s="513" t="s">
        <v>693</v>
      </c>
      <c r="C1774" s="889">
        <v>2018</v>
      </c>
      <c r="D1774" s="513">
        <v>-125648.46564855672</v>
      </c>
      <c r="E1774" s="513">
        <f>VLOOKUP(B1774,'[6]2018 allocation'!$A$11:$B$218,2, FALSE)</f>
        <v>20739.24724979571</v>
      </c>
      <c r="F1774" s="513">
        <f>E1774</f>
        <v>20739.24724979571</v>
      </c>
      <c r="G1774" s="513">
        <f>D1774+E1774</f>
        <v>-104909.21839876102</v>
      </c>
      <c r="H1774" s="513">
        <v>0</v>
      </c>
      <c r="I1774" s="622" t="s">
        <v>103</v>
      </c>
      <c r="J1774" s="513">
        <f>VLOOKUP(B1774,'[6]Annual Spending Worksheet '!$C$6:$AG$250,28,FALSE)</f>
        <v>0</v>
      </c>
      <c r="K1774" s="513">
        <f>VLOOKUP(B1774,'[6]Annual Spending Worksheet '!$C$6:$AG$250,29,FALSE)</f>
        <v>0</v>
      </c>
      <c r="L1774" s="513">
        <v>0</v>
      </c>
      <c r="M1774" s="513">
        <f>D1774+E1774+H1774-J1774</f>
        <v>-104909.21839876102</v>
      </c>
      <c r="N1774" s="622" t="s">
        <v>1706</v>
      </c>
    </row>
    <row r="1775" spans="2:14" ht="29.1">
      <c r="B1775" s="513" t="s">
        <v>693</v>
      </c>
      <c r="C1775" s="889">
        <v>2019</v>
      </c>
      <c r="D1775" s="513">
        <v>-104909.21839876102</v>
      </c>
      <c r="E1775" s="513">
        <v>26036.492810245265</v>
      </c>
      <c r="F1775" s="513">
        <v>26036.492810245265</v>
      </c>
      <c r="G1775" s="513">
        <v>-78872.72558851575</v>
      </c>
      <c r="H1775" s="513">
        <v>0</v>
      </c>
      <c r="I1775" s="622" t="s">
        <v>103</v>
      </c>
      <c r="J1775" s="513">
        <v>0</v>
      </c>
      <c r="K1775" s="513">
        <v>0</v>
      </c>
      <c r="L1775" s="513">
        <v>0</v>
      </c>
      <c r="M1775" s="513">
        <v>-78872.72558851575</v>
      </c>
      <c r="N1775" s="622" t="s">
        <v>1706</v>
      </c>
    </row>
    <row r="1776" spans="2:14">
      <c r="B1776" s="513" t="s">
        <v>697</v>
      </c>
      <c r="C1776" s="658">
        <v>2008</v>
      </c>
      <c r="D1776" s="513">
        <v>0</v>
      </c>
      <c r="E1776" s="512">
        <v>0</v>
      </c>
      <c r="F1776" s="513">
        <v>0</v>
      </c>
      <c r="G1776" s="512">
        <v>0</v>
      </c>
      <c r="H1776" s="512">
        <v>0</v>
      </c>
      <c r="I1776" s="659" t="s">
        <v>103</v>
      </c>
      <c r="J1776" s="513">
        <v>0</v>
      </c>
      <c r="K1776" s="513">
        <v>0</v>
      </c>
      <c r="L1776" s="513">
        <v>0</v>
      </c>
      <c r="M1776" s="513">
        <v>0</v>
      </c>
      <c r="N1776" s="622"/>
    </row>
    <row r="1777" spans="2:14">
      <c r="B1777" s="513" t="s">
        <v>697</v>
      </c>
      <c r="C1777" s="658">
        <v>2009</v>
      </c>
      <c r="D1777" s="513">
        <v>0</v>
      </c>
      <c r="E1777" s="512">
        <v>77081.003339580842</v>
      </c>
      <c r="F1777" s="513">
        <v>77081.003339580842</v>
      </c>
      <c r="G1777" s="512">
        <v>0</v>
      </c>
      <c r="H1777" s="512">
        <v>0</v>
      </c>
      <c r="I1777" s="659" t="s">
        <v>103</v>
      </c>
      <c r="J1777" s="513">
        <v>0</v>
      </c>
      <c r="K1777" s="513">
        <v>0</v>
      </c>
      <c r="L1777" s="513">
        <v>0</v>
      </c>
      <c r="M1777" s="513">
        <v>77081.003339580842</v>
      </c>
      <c r="N1777" s="622"/>
    </row>
    <row r="1778" spans="2:14">
      <c r="B1778" s="513" t="s">
        <v>697</v>
      </c>
      <c r="C1778" s="658">
        <v>2010</v>
      </c>
      <c r="D1778" s="513">
        <v>77081.003339580842</v>
      </c>
      <c r="E1778" s="512">
        <v>76828.5</v>
      </c>
      <c r="F1778" s="513">
        <v>76828.5</v>
      </c>
      <c r="G1778" s="512">
        <v>0</v>
      </c>
      <c r="H1778" s="512">
        <v>0</v>
      </c>
      <c r="I1778" s="659" t="s">
        <v>103</v>
      </c>
      <c r="J1778" s="513">
        <v>0</v>
      </c>
      <c r="K1778" s="513">
        <v>0</v>
      </c>
      <c r="L1778" s="513">
        <v>0</v>
      </c>
      <c r="M1778" s="513">
        <v>153909.50333958084</v>
      </c>
      <c r="N1778" s="622"/>
    </row>
    <row r="1779" spans="2:14">
      <c r="B1779" s="513" t="s">
        <v>697</v>
      </c>
      <c r="C1779" s="658">
        <v>2011</v>
      </c>
      <c r="D1779" s="513">
        <v>153909.50577660403</v>
      </c>
      <c r="E1779" s="512">
        <v>78651.363858398399</v>
      </c>
      <c r="F1779" s="513">
        <v>78651.363858398399</v>
      </c>
      <c r="G1779" s="512">
        <v>0</v>
      </c>
      <c r="H1779" s="512">
        <v>0</v>
      </c>
      <c r="I1779" s="659" t="s">
        <v>103</v>
      </c>
      <c r="J1779" s="513">
        <v>0</v>
      </c>
      <c r="K1779" s="513">
        <v>0</v>
      </c>
      <c r="L1779" s="513">
        <v>0</v>
      </c>
      <c r="M1779" s="513">
        <v>232560.86963500243</v>
      </c>
      <c r="N1779" s="622"/>
    </row>
    <row r="1780" spans="2:14">
      <c r="B1780" s="513" t="s">
        <v>697</v>
      </c>
      <c r="C1780" s="658">
        <v>2012</v>
      </c>
      <c r="D1780" s="513">
        <v>232560.86963500243</v>
      </c>
      <c r="E1780" s="513">
        <v>45323.530959901327</v>
      </c>
      <c r="F1780" s="513">
        <v>45323.530959901327</v>
      </c>
      <c r="G1780" s="512">
        <v>0</v>
      </c>
      <c r="H1780" s="512">
        <v>0</v>
      </c>
      <c r="I1780" s="659" t="s">
        <v>103</v>
      </c>
      <c r="J1780" s="513">
        <v>0</v>
      </c>
      <c r="K1780" s="513">
        <v>0</v>
      </c>
      <c r="L1780" s="513">
        <v>0</v>
      </c>
      <c r="M1780" s="513">
        <v>277884.40059490374</v>
      </c>
      <c r="N1780" s="622"/>
    </row>
    <row r="1781" spans="2:14">
      <c r="B1781" s="513" t="s">
        <v>697</v>
      </c>
      <c r="C1781" s="658">
        <v>2013</v>
      </c>
      <c r="D1781" s="513">
        <v>277884.40059490374</v>
      </c>
      <c r="E1781" s="513">
        <v>91295.318658935168</v>
      </c>
      <c r="F1781" s="513">
        <v>91295.318658935168</v>
      </c>
      <c r="G1781" s="512">
        <v>0</v>
      </c>
      <c r="H1781" s="512">
        <v>0</v>
      </c>
      <c r="I1781" s="659" t="s">
        <v>103</v>
      </c>
      <c r="J1781" s="513">
        <v>0</v>
      </c>
      <c r="K1781" s="513">
        <v>0</v>
      </c>
      <c r="L1781" s="513">
        <v>0</v>
      </c>
      <c r="M1781" s="513">
        <v>369179.71925383888</v>
      </c>
      <c r="N1781" s="622"/>
    </row>
    <row r="1782" spans="2:14">
      <c r="B1782" s="513" t="s">
        <v>697</v>
      </c>
      <c r="C1782" s="658">
        <v>2014</v>
      </c>
      <c r="D1782" s="513">
        <v>369179.71925383888</v>
      </c>
      <c r="E1782" s="513">
        <v>96819.817193130642</v>
      </c>
      <c r="F1782" s="513">
        <v>96819.817193130642</v>
      </c>
      <c r="G1782" s="512">
        <v>0</v>
      </c>
      <c r="H1782" s="512">
        <v>0</v>
      </c>
      <c r="I1782" s="659" t="s">
        <v>103</v>
      </c>
      <c r="J1782" s="513">
        <v>0</v>
      </c>
      <c r="K1782" s="513">
        <v>0</v>
      </c>
      <c r="L1782" s="513">
        <v>0</v>
      </c>
      <c r="M1782" s="513">
        <v>465999.53644696949</v>
      </c>
      <c r="N1782" s="622"/>
    </row>
    <row r="1783" spans="2:14">
      <c r="B1783" s="513" t="s">
        <v>697</v>
      </c>
      <c r="C1783" s="658">
        <v>2015</v>
      </c>
      <c r="D1783" s="513">
        <v>465999.53644696949</v>
      </c>
      <c r="E1783" s="513">
        <v>99301.291313663081</v>
      </c>
      <c r="F1783" s="513">
        <v>99301.291313663081</v>
      </c>
      <c r="G1783" s="660">
        <v>0</v>
      </c>
      <c r="H1783" s="660">
        <v>0</v>
      </c>
      <c r="I1783" s="659" t="s">
        <v>103</v>
      </c>
      <c r="J1783" s="513">
        <v>0</v>
      </c>
      <c r="K1783" s="513">
        <v>0</v>
      </c>
      <c r="L1783" s="513">
        <v>0</v>
      </c>
      <c r="M1783" s="513">
        <v>565300.82776063262</v>
      </c>
      <c r="N1783" s="622"/>
    </row>
    <row r="1784" spans="2:14">
      <c r="B1784" s="513" t="s">
        <v>697</v>
      </c>
      <c r="C1784" s="658">
        <v>2016</v>
      </c>
      <c r="D1784" s="513">
        <v>565300.82776063262</v>
      </c>
      <c r="E1784" s="513">
        <v>57603.097350744196</v>
      </c>
      <c r="F1784" s="513">
        <v>57603.097350744196</v>
      </c>
      <c r="G1784" s="660">
        <v>0</v>
      </c>
      <c r="H1784" s="660">
        <v>0</v>
      </c>
      <c r="I1784" s="659" t="s">
        <v>103</v>
      </c>
      <c r="J1784" s="513">
        <v>0</v>
      </c>
      <c r="K1784" s="513">
        <v>0</v>
      </c>
      <c r="L1784" s="513">
        <v>0</v>
      </c>
      <c r="M1784" s="513">
        <v>622903.9251113768</v>
      </c>
      <c r="N1784" s="622"/>
    </row>
    <row r="1785" spans="2:14">
      <c r="B1785" s="513" t="s">
        <v>697</v>
      </c>
      <c r="C1785" s="658">
        <v>2017</v>
      </c>
      <c r="D1785" s="513">
        <v>622903.9251113768</v>
      </c>
      <c r="E1785" s="513">
        <v>48867.606657171142</v>
      </c>
      <c r="F1785" s="513">
        <v>48867.606657171142</v>
      </c>
      <c r="G1785" s="513">
        <v>0</v>
      </c>
      <c r="H1785" s="513">
        <v>0</v>
      </c>
      <c r="I1785" s="659" t="s">
        <v>103</v>
      </c>
      <c r="J1785" s="513">
        <v>0</v>
      </c>
      <c r="K1785" s="513">
        <v>0</v>
      </c>
      <c r="L1785" s="513">
        <v>0</v>
      </c>
      <c r="M1785" s="513">
        <v>671771.53176854795</v>
      </c>
      <c r="N1785" s="622"/>
    </row>
    <row r="1786" spans="2:14">
      <c r="B1786" s="513" t="s">
        <v>697</v>
      </c>
      <c r="C1786" s="889">
        <v>2018</v>
      </c>
      <c r="D1786" s="513">
        <v>671771.53176854795</v>
      </c>
      <c r="E1786" s="513">
        <f>VLOOKUP(B1786,'[6]2018 allocation'!$A$11:$B$218,2, FALSE)</f>
        <v>55533.655982170269</v>
      </c>
      <c r="F1786" s="513">
        <f>E1786</f>
        <v>55533.655982170269</v>
      </c>
      <c r="G1786" s="513">
        <v>0</v>
      </c>
      <c r="H1786" s="513">
        <v>0</v>
      </c>
      <c r="I1786" s="622" t="s">
        <v>103</v>
      </c>
      <c r="J1786" s="513">
        <f>VLOOKUP(B1786,'[6]Annual Spending Worksheet '!$C$6:$AG$250,28,FALSE)</f>
        <v>0</v>
      </c>
      <c r="K1786" s="513">
        <f>VLOOKUP(B1786,'[6]Annual Spending Worksheet '!$C$6:$AG$250,29,FALSE)</f>
        <v>0</v>
      </c>
      <c r="L1786" s="513">
        <v>0</v>
      </c>
      <c r="M1786" s="513">
        <f>D1786+E1786+H1786-J1786</f>
        <v>727305.18775071821</v>
      </c>
      <c r="N1786" s="513"/>
    </row>
    <row r="1787" spans="2:14">
      <c r="B1787" s="513" t="s">
        <v>697</v>
      </c>
      <c r="C1787" s="889">
        <v>2019</v>
      </c>
      <c r="D1787" s="513">
        <v>727305.18775071821</v>
      </c>
      <c r="E1787" s="513">
        <v>62656.028624530838</v>
      </c>
      <c r="F1787" s="513">
        <v>62656.028624530838</v>
      </c>
      <c r="G1787" s="513">
        <v>0</v>
      </c>
      <c r="H1787" s="513">
        <v>0</v>
      </c>
      <c r="I1787" s="622" t="s">
        <v>103</v>
      </c>
      <c r="J1787" s="513">
        <v>0</v>
      </c>
      <c r="K1787" s="513">
        <v>0</v>
      </c>
      <c r="L1787" s="513">
        <v>0</v>
      </c>
      <c r="M1787" s="513">
        <v>789961.21637524909</v>
      </c>
      <c r="N1787" s="513"/>
    </row>
    <row r="1788" spans="2:14">
      <c r="B1788" s="513" t="s">
        <v>698</v>
      </c>
      <c r="C1788" s="658">
        <v>2008</v>
      </c>
      <c r="D1788" s="513">
        <v>884684.61400000006</v>
      </c>
      <c r="E1788" s="512">
        <v>239900.53847750794</v>
      </c>
      <c r="F1788" s="513">
        <v>239900.53847750794</v>
      </c>
      <c r="G1788" s="512">
        <v>0</v>
      </c>
      <c r="H1788" s="512">
        <v>0</v>
      </c>
      <c r="I1788" s="659" t="s">
        <v>103</v>
      </c>
      <c r="J1788" s="513">
        <v>1019.11</v>
      </c>
      <c r="K1788" s="513">
        <v>0</v>
      </c>
      <c r="L1788" s="513">
        <v>0</v>
      </c>
      <c r="M1788" s="513">
        <v>1123566.0424775078</v>
      </c>
      <c r="N1788" s="622"/>
    </row>
    <row r="1789" spans="2:14">
      <c r="B1789" s="513" t="s">
        <v>698</v>
      </c>
      <c r="C1789" s="658">
        <v>2009</v>
      </c>
      <c r="D1789" s="513">
        <v>1123566.0424775085</v>
      </c>
      <c r="E1789" s="512">
        <v>186041.53331014971</v>
      </c>
      <c r="F1789" s="513">
        <v>186041.53331014971</v>
      </c>
      <c r="G1789" s="512">
        <v>0</v>
      </c>
      <c r="H1789" s="512">
        <v>0</v>
      </c>
      <c r="I1789" s="659" t="s">
        <v>103</v>
      </c>
      <c r="J1789" s="513">
        <v>40455.19</v>
      </c>
      <c r="K1789" s="513">
        <v>0</v>
      </c>
      <c r="L1789" s="513">
        <v>14915</v>
      </c>
      <c r="M1789" s="513">
        <v>1254237.3857876584</v>
      </c>
      <c r="N1789" s="622"/>
    </row>
    <row r="1790" spans="2:14">
      <c r="B1790" s="513" t="s">
        <v>698</v>
      </c>
      <c r="C1790" s="658">
        <v>2010</v>
      </c>
      <c r="D1790" s="513">
        <v>1254237.1557876579</v>
      </c>
      <c r="E1790" s="512">
        <v>185743.72</v>
      </c>
      <c r="F1790" s="513">
        <v>185743.72</v>
      </c>
      <c r="G1790" s="512">
        <v>0</v>
      </c>
      <c r="H1790" s="512">
        <v>0</v>
      </c>
      <c r="I1790" s="659" t="s">
        <v>103</v>
      </c>
      <c r="J1790" s="513">
        <v>1005222.55</v>
      </c>
      <c r="K1790" s="513">
        <v>990929</v>
      </c>
      <c r="L1790" s="513">
        <v>0</v>
      </c>
      <c r="M1790" s="513">
        <v>434758.32578765787</v>
      </c>
      <c r="N1790" s="622"/>
    </row>
    <row r="1791" spans="2:14">
      <c r="B1791" s="513" t="s">
        <v>698</v>
      </c>
      <c r="C1791" s="658">
        <v>2011</v>
      </c>
      <c r="D1791" s="513">
        <v>434758.32960795518</v>
      </c>
      <c r="E1791" s="512">
        <v>189569.93258572338</v>
      </c>
      <c r="F1791" s="513">
        <v>189569.93258572338</v>
      </c>
      <c r="G1791" s="512">
        <v>0</v>
      </c>
      <c r="H1791" s="512">
        <v>0</v>
      </c>
      <c r="I1791" s="659" t="s">
        <v>103</v>
      </c>
      <c r="J1791" s="513">
        <v>-30284.16</v>
      </c>
      <c r="K1791" s="513">
        <v>0</v>
      </c>
      <c r="L1791" s="513">
        <v>0</v>
      </c>
      <c r="M1791" s="513">
        <v>654612.42219367856</v>
      </c>
      <c r="N1791" s="622"/>
    </row>
    <row r="1792" spans="2:14">
      <c r="B1792" s="513" t="s">
        <v>698</v>
      </c>
      <c r="C1792" s="658">
        <v>2012</v>
      </c>
      <c r="D1792" s="513">
        <v>654612.42219367903</v>
      </c>
      <c r="E1792" s="513">
        <v>125465.1347230762</v>
      </c>
      <c r="F1792" s="513">
        <v>125465.1347230762</v>
      </c>
      <c r="G1792" s="512">
        <v>0</v>
      </c>
      <c r="H1792" s="512">
        <v>0</v>
      </c>
      <c r="I1792" s="659" t="s">
        <v>103</v>
      </c>
      <c r="J1792" s="513">
        <v>33988.37000000001</v>
      </c>
      <c r="K1792" s="513">
        <v>0</v>
      </c>
      <c r="L1792" s="513">
        <v>0</v>
      </c>
      <c r="M1792" s="513">
        <v>746089.18691675528</v>
      </c>
      <c r="N1792" s="622"/>
    </row>
    <row r="1793" spans="2:14">
      <c r="B1793" s="513" t="s">
        <v>698</v>
      </c>
      <c r="C1793" s="658">
        <v>2013</v>
      </c>
      <c r="D1793" s="513">
        <v>746089.18691675458</v>
      </c>
      <c r="E1793" s="513">
        <v>213991.13357671755</v>
      </c>
      <c r="F1793" s="513">
        <v>213991.13357671755</v>
      </c>
      <c r="G1793" s="660">
        <v>0</v>
      </c>
      <c r="H1793" s="512">
        <v>0</v>
      </c>
      <c r="I1793" s="659" t="s">
        <v>103</v>
      </c>
      <c r="J1793" s="513">
        <v>42842.069999999956</v>
      </c>
      <c r="K1793" s="513">
        <v>0</v>
      </c>
      <c r="L1793" s="513">
        <v>0</v>
      </c>
      <c r="M1793" s="513">
        <v>917238.25049347221</v>
      </c>
      <c r="N1793" s="622"/>
    </row>
    <row r="1794" spans="2:14">
      <c r="B1794" s="513" t="s">
        <v>698</v>
      </c>
      <c r="C1794" s="658">
        <v>2014</v>
      </c>
      <c r="D1794" s="513">
        <v>917238.25049347244</v>
      </c>
      <c r="E1794" s="513">
        <v>224279.05410044151</v>
      </c>
      <c r="F1794" s="513">
        <v>224279.05410044151</v>
      </c>
      <c r="G1794" s="660">
        <v>0</v>
      </c>
      <c r="H1794" s="512">
        <v>0</v>
      </c>
      <c r="I1794" s="659" t="s">
        <v>103</v>
      </c>
      <c r="J1794" s="513">
        <v>818328.15000000037</v>
      </c>
      <c r="K1794" s="513">
        <v>890159</v>
      </c>
      <c r="L1794" s="513">
        <v>4112.53</v>
      </c>
      <c r="M1794" s="513">
        <v>319076.62459391356</v>
      </c>
      <c r="N1794" s="622"/>
    </row>
    <row r="1795" spans="2:14">
      <c r="B1795" s="513" t="s">
        <v>698</v>
      </c>
      <c r="C1795" s="658">
        <v>2015</v>
      </c>
      <c r="D1795" s="513">
        <v>319076.62459391356</v>
      </c>
      <c r="E1795" s="513">
        <v>228419.73750267006</v>
      </c>
      <c r="F1795" s="513">
        <v>228419.73750267006</v>
      </c>
      <c r="G1795" s="660">
        <v>0</v>
      </c>
      <c r="H1795" s="660">
        <v>0</v>
      </c>
      <c r="I1795" s="659" t="s">
        <v>103</v>
      </c>
      <c r="J1795" s="513">
        <v>684.49</v>
      </c>
      <c r="K1795" s="513">
        <v>0</v>
      </c>
      <c r="L1795" s="513">
        <v>-18352.259999999998</v>
      </c>
      <c r="M1795" s="513">
        <v>565164.13209658361</v>
      </c>
      <c r="N1795" s="622"/>
    </row>
    <row r="1796" spans="2:14">
      <c r="B1796" s="513" t="s">
        <v>698</v>
      </c>
      <c r="C1796" s="658">
        <v>2016</v>
      </c>
      <c r="D1796" s="513">
        <v>565164.13209658395</v>
      </c>
      <c r="E1796" s="513">
        <v>152141.76142307557</v>
      </c>
      <c r="F1796" s="513">
        <v>152141.76142307557</v>
      </c>
      <c r="G1796" s="660">
        <v>0</v>
      </c>
      <c r="H1796" s="660">
        <v>0</v>
      </c>
      <c r="I1796" s="659" t="s">
        <v>103</v>
      </c>
      <c r="J1796" s="513">
        <v>0</v>
      </c>
      <c r="K1796" s="513">
        <v>0</v>
      </c>
      <c r="L1796" s="513">
        <v>-15908.6</v>
      </c>
      <c r="M1796" s="513">
        <v>733214.4935196595</v>
      </c>
      <c r="N1796" s="622"/>
    </row>
    <row r="1797" spans="2:14">
      <c r="B1797" s="513" t="s">
        <v>698</v>
      </c>
      <c r="C1797" s="658">
        <v>2017</v>
      </c>
      <c r="D1797" s="513">
        <v>733214.49351965915</v>
      </c>
      <c r="E1797" s="513">
        <v>137370.45871350681</v>
      </c>
      <c r="F1797" s="513">
        <v>137370.45871350681</v>
      </c>
      <c r="G1797" s="513">
        <v>0</v>
      </c>
      <c r="H1797" s="513">
        <v>0</v>
      </c>
      <c r="I1797" s="659" t="s">
        <v>103</v>
      </c>
      <c r="J1797" s="513">
        <v>0</v>
      </c>
      <c r="K1797" s="513">
        <v>0</v>
      </c>
      <c r="L1797" s="513">
        <v>0</v>
      </c>
      <c r="M1797" s="513">
        <v>870584.95223316597</v>
      </c>
      <c r="N1797" s="622"/>
    </row>
    <row r="1798" spans="2:14">
      <c r="B1798" s="513" t="s">
        <v>698</v>
      </c>
      <c r="C1798" s="889">
        <v>2018</v>
      </c>
      <c r="D1798" s="513">
        <v>870584.95223316597</v>
      </c>
      <c r="E1798" s="513">
        <f>VLOOKUP(B1798,'[6]2018 allocation'!$A$11:$B$218,2, FALSE)</f>
        <v>150175.94693235628</v>
      </c>
      <c r="F1798" s="513">
        <f>E1798</f>
        <v>150175.94693235628</v>
      </c>
      <c r="G1798" s="513">
        <v>0</v>
      </c>
      <c r="H1798" s="513">
        <v>0</v>
      </c>
      <c r="I1798" s="622" t="s">
        <v>103</v>
      </c>
      <c r="J1798" s="513">
        <f>VLOOKUP(B1798,'[6]Annual Spending Worksheet '!$C$6:$AG$250,28,FALSE)</f>
        <v>0</v>
      </c>
      <c r="K1798" s="513">
        <f>VLOOKUP(B1798,'[6]Annual Spending Worksheet '!$C$6:$AG$250,29,FALSE)</f>
        <v>0</v>
      </c>
      <c r="L1798" s="513">
        <v>0</v>
      </c>
      <c r="M1798" s="513">
        <f>D1798+E1798+H1798-J1798</f>
        <v>1020760.8991655223</v>
      </c>
      <c r="N1798" s="513"/>
    </row>
    <row r="1799" spans="2:14">
      <c r="B1799" s="513" t="s">
        <v>698</v>
      </c>
      <c r="C1799" s="889">
        <v>2019</v>
      </c>
      <c r="D1799" s="513">
        <v>1020760.8991655223</v>
      </c>
      <c r="E1799" s="513">
        <v>163532.82559987358</v>
      </c>
      <c r="F1799" s="513">
        <v>163532.82559987358</v>
      </c>
      <c r="G1799" s="513">
        <v>0</v>
      </c>
      <c r="H1799" s="513">
        <v>0</v>
      </c>
      <c r="I1799" s="622" t="s">
        <v>103</v>
      </c>
      <c r="J1799" s="513">
        <v>0</v>
      </c>
      <c r="K1799" s="513">
        <v>0</v>
      </c>
      <c r="L1799" s="513">
        <v>0</v>
      </c>
      <c r="M1799" s="513">
        <v>1184293.724765396</v>
      </c>
      <c r="N1799" s="513"/>
    </row>
    <row r="1800" spans="2:14">
      <c r="B1800" s="513" t="s">
        <v>704</v>
      </c>
      <c r="C1800" s="658">
        <v>2008</v>
      </c>
      <c r="D1800" s="513">
        <v>533107.75099999993</v>
      </c>
      <c r="E1800" s="512">
        <v>68096.90816795564</v>
      </c>
      <c r="F1800" s="513">
        <v>68096.90816795564</v>
      </c>
      <c r="G1800" s="512">
        <v>0</v>
      </c>
      <c r="H1800" s="512">
        <v>0</v>
      </c>
      <c r="I1800" s="659" t="s">
        <v>103</v>
      </c>
      <c r="J1800" s="513">
        <v>0</v>
      </c>
      <c r="K1800" s="513">
        <v>0</v>
      </c>
      <c r="L1800" s="513">
        <v>0</v>
      </c>
      <c r="M1800" s="513">
        <v>601204.65916795563</v>
      </c>
      <c r="N1800" s="622"/>
    </row>
    <row r="1801" spans="2:14">
      <c r="B1801" s="513" t="s">
        <v>704</v>
      </c>
      <c r="C1801" s="658">
        <v>2009</v>
      </c>
      <c r="D1801" s="513">
        <v>601204.65916795563</v>
      </c>
      <c r="E1801" s="512">
        <v>35794.177683056667</v>
      </c>
      <c r="F1801" s="513">
        <v>35794.177683056667</v>
      </c>
      <c r="G1801" s="512">
        <v>0</v>
      </c>
      <c r="H1801" s="512">
        <v>0</v>
      </c>
      <c r="I1801" s="659" t="s">
        <v>103</v>
      </c>
      <c r="J1801" s="513">
        <v>0</v>
      </c>
      <c r="K1801" s="513">
        <v>0</v>
      </c>
      <c r="L1801" s="513">
        <v>0</v>
      </c>
      <c r="M1801" s="513">
        <v>636998.83685101231</v>
      </c>
      <c r="N1801" s="622"/>
    </row>
    <row r="1802" spans="2:14">
      <c r="B1802" s="513" t="s">
        <v>704</v>
      </c>
      <c r="C1802" s="658">
        <v>2010</v>
      </c>
      <c r="D1802" s="513">
        <v>636998.83685101219</v>
      </c>
      <c r="E1802" s="512">
        <v>35583</v>
      </c>
      <c r="F1802" s="513">
        <v>35583</v>
      </c>
      <c r="G1802" s="512">
        <v>0</v>
      </c>
      <c r="H1802" s="512">
        <v>0</v>
      </c>
      <c r="I1802" s="659" t="s">
        <v>103</v>
      </c>
      <c r="J1802" s="513">
        <v>0</v>
      </c>
      <c r="K1802" s="513">
        <v>0</v>
      </c>
      <c r="L1802" s="513">
        <v>0</v>
      </c>
      <c r="M1802" s="513">
        <v>672581.83685101219</v>
      </c>
      <c r="N1802" s="622"/>
    </row>
    <row r="1803" spans="2:14">
      <c r="B1803" s="513" t="s">
        <v>704</v>
      </c>
      <c r="C1803" s="658">
        <v>2011</v>
      </c>
      <c r="D1803" s="513">
        <v>672581.83478062437</v>
      </c>
      <c r="E1803" s="512">
        <v>37902.231701407487</v>
      </c>
      <c r="F1803" s="513">
        <v>37902.231701407487</v>
      </c>
      <c r="G1803" s="512">
        <v>0</v>
      </c>
      <c r="H1803" s="512">
        <v>0</v>
      </c>
      <c r="I1803" s="659" t="s">
        <v>103</v>
      </c>
      <c r="J1803" s="513">
        <v>0</v>
      </c>
      <c r="K1803" s="513">
        <v>0</v>
      </c>
      <c r="L1803" s="513">
        <v>0</v>
      </c>
      <c r="M1803" s="513">
        <v>710484.06648203183</v>
      </c>
      <c r="N1803" s="622"/>
    </row>
    <row r="1804" spans="2:14">
      <c r="B1804" s="513" t="s">
        <v>704</v>
      </c>
      <c r="C1804" s="658">
        <v>2012</v>
      </c>
      <c r="D1804" s="513">
        <v>710484.06648203195</v>
      </c>
      <c r="E1804" s="513">
        <v>0</v>
      </c>
      <c r="F1804" s="513">
        <v>0</v>
      </c>
      <c r="G1804" s="512">
        <v>0</v>
      </c>
      <c r="H1804" s="512">
        <v>0</v>
      </c>
      <c r="I1804" s="659" t="s">
        <v>103</v>
      </c>
      <c r="J1804" s="513">
        <v>0</v>
      </c>
      <c r="K1804" s="513">
        <v>0</v>
      </c>
      <c r="L1804" s="513">
        <v>0</v>
      </c>
      <c r="M1804" s="513">
        <v>710484.06648203195</v>
      </c>
      <c r="N1804" s="622"/>
    </row>
    <row r="1805" spans="2:14">
      <c r="B1805" s="513" t="s">
        <v>704</v>
      </c>
      <c r="C1805" s="658">
        <v>2013</v>
      </c>
      <c r="D1805" s="513">
        <v>710484.06648203195</v>
      </c>
      <c r="E1805" s="513">
        <v>52624.077441648296</v>
      </c>
      <c r="F1805" s="513">
        <v>52624.077441648296</v>
      </c>
      <c r="G1805" s="512">
        <v>0</v>
      </c>
      <c r="H1805" s="512">
        <v>0</v>
      </c>
      <c r="I1805" s="659" t="s">
        <v>103</v>
      </c>
      <c r="J1805" s="513">
        <v>0</v>
      </c>
      <c r="K1805" s="513">
        <v>0</v>
      </c>
      <c r="L1805" s="513">
        <v>0</v>
      </c>
      <c r="M1805" s="513">
        <v>763108.1439236803</v>
      </c>
      <c r="N1805" s="622"/>
    </row>
    <row r="1806" spans="2:14">
      <c r="B1806" s="513" t="s">
        <v>704</v>
      </c>
      <c r="C1806" s="658">
        <v>2014</v>
      </c>
      <c r="D1806" s="513">
        <v>763108.1439236803</v>
      </c>
      <c r="E1806" s="513">
        <v>58836.340751779426</v>
      </c>
      <c r="F1806" s="513">
        <v>58836.340751779426</v>
      </c>
      <c r="G1806" s="512">
        <v>0</v>
      </c>
      <c r="H1806" s="512">
        <v>0</v>
      </c>
      <c r="I1806" s="659" t="s">
        <v>103</v>
      </c>
      <c r="J1806" s="513">
        <v>7914.9700000000021</v>
      </c>
      <c r="K1806" s="513">
        <v>0</v>
      </c>
      <c r="L1806" s="513">
        <v>0</v>
      </c>
      <c r="M1806" s="513">
        <v>814029.51467545971</v>
      </c>
      <c r="N1806" s="622"/>
    </row>
    <row r="1807" spans="2:14">
      <c r="B1807" s="513" t="s">
        <v>704</v>
      </c>
      <c r="C1807" s="658">
        <v>2015</v>
      </c>
      <c r="D1807" s="513">
        <v>814029.51467545982</v>
      </c>
      <c r="E1807" s="513">
        <v>61333.967688179167</v>
      </c>
      <c r="F1807" s="513">
        <v>61333.967688179167</v>
      </c>
      <c r="G1807" s="660">
        <v>0</v>
      </c>
      <c r="H1807" s="660">
        <v>0</v>
      </c>
      <c r="I1807" s="659" t="s">
        <v>103</v>
      </c>
      <c r="J1807" s="513">
        <v>22326.670000000002</v>
      </c>
      <c r="K1807" s="513">
        <v>0</v>
      </c>
      <c r="L1807" s="513">
        <v>0</v>
      </c>
      <c r="M1807" s="513">
        <v>853036.81236363889</v>
      </c>
      <c r="N1807" s="622"/>
    </row>
    <row r="1808" spans="2:14">
      <c r="B1808" s="513" t="s">
        <v>704</v>
      </c>
      <c r="C1808" s="658">
        <v>2016</v>
      </c>
      <c r="D1808" s="513">
        <v>853036.81236363889</v>
      </c>
      <c r="E1808" s="513">
        <v>15205.139880244751</v>
      </c>
      <c r="F1808" s="513">
        <v>15205.139880244751</v>
      </c>
      <c r="G1808" s="660">
        <v>0</v>
      </c>
      <c r="H1808" s="660">
        <v>0</v>
      </c>
      <c r="I1808" s="659" t="s">
        <v>103</v>
      </c>
      <c r="J1808" s="513">
        <v>355375.88</v>
      </c>
      <c r="K1808" s="513">
        <v>0</v>
      </c>
      <c r="L1808" s="513">
        <v>0</v>
      </c>
      <c r="M1808" s="513">
        <v>512866.07224388362</v>
      </c>
      <c r="N1808" s="622"/>
    </row>
    <row r="1809" spans="2:14">
      <c r="B1809" s="513" t="s">
        <v>704</v>
      </c>
      <c r="C1809" s="658">
        <v>2017</v>
      </c>
      <c r="D1809" s="513">
        <v>512866.07224388374</v>
      </c>
      <c r="E1809" s="513">
        <v>5605.3071092607133</v>
      </c>
      <c r="F1809" s="513">
        <v>5605.3071092607133</v>
      </c>
      <c r="G1809" s="513">
        <v>0</v>
      </c>
      <c r="H1809" s="513">
        <v>0</v>
      </c>
      <c r="I1809" s="659" t="s">
        <v>103</v>
      </c>
      <c r="J1809" s="513">
        <v>481856.72000000003</v>
      </c>
      <c r="K1809" s="513">
        <v>867757</v>
      </c>
      <c r="L1809" s="513">
        <v>283</v>
      </c>
      <c r="M1809" s="513">
        <v>36331.659353144409</v>
      </c>
      <c r="N1809" s="622"/>
    </row>
    <row r="1810" spans="2:14">
      <c r="B1810" s="513" t="s">
        <v>704</v>
      </c>
      <c r="C1810" s="889">
        <v>2018</v>
      </c>
      <c r="D1810" s="513">
        <v>36331.659353144409</v>
      </c>
      <c r="E1810" s="513">
        <f>VLOOKUP(B1810,'[6]2018 allocation'!$A$11:$B$218,2, FALSE)</f>
        <v>13329.908361714261</v>
      </c>
      <c r="F1810" s="513">
        <f>E1810</f>
        <v>13329.908361714261</v>
      </c>
      <c r="G1810" s="513">
        <v>0</v>
      </c>
      <c r="H1810" s="513">
        <v>0</v>
      </c>
      <c r="I1810" s="622" t="s">
        <v>103</v>
      </c>
      <c r="J1810" s="513">
        <f>VLOOKUP(B1810,'[6]Annual Spending Worksheet '!$C$6:$AG$250,28,FALSE)</f>
        <v>3677.04</v>
      </c>
      <c r="K1810" s="513">
        <f>VLOOKUP(B1810,'[6]Annual Spending Worksheet '!$C$6:$AG$250,29,FALSE)</f>
        <v>0</v>
      </c>
      <c r="L1810" s="513">
        <v>0</v>
      </c>
      <c r="M1810" s="513">
        <f>D1810+E1810+H1810-J1810</f>
        <v>45984.527714858668</v>
      </c>
      <c r="N1810" s="513"/>
    </row>
    <row r="1811" spans="2:14">
      <c r="B1811" s="513" t="s">
        <v>704</v>
      </c>
      <c r="C1811" s="889">
        <v>2019</v>
      </c>
      <c r="D1811" s="513">
        <v>45984.527714858668</v>
      </c>
      <c r="E1811" s="513">
        <v>21534.512851397198</v>
      </c>
      <c r="F1811" s="513">
        <v>21534.512851397198</v>
      </c>
      <c r="G1811" s="513">
        <v>0</v>
      </c>
      <c r="H1811" s="513">
        <v>0</v>
      </c>
      <c r="I1811" s="622" t="s">
        <v>103</v>
      </c>
      <c r="J1811" s="513">
        <v>0</v>
      </c>
      <c r="K1811" s="513">
        <v>0</v>
      </c>
      <c r="L1811" s="513">
        <v>0</v>
      </c>
      <c r="M1811" s="513">
        <v>67519.040566255862</v>
      </c>
      <c r="N1811" s="513"/>
    </row>
    <row r="1812" spans="2:14">
      <c r="B1812" s="513" t="s">
        <v>708</v>
      </c>
      <c r="C1812" s="658">
        <v>2008</v>
      </c>
      <c r="D1812" s="513">
        <v>537022.38800000004</v>
      </c>
      <c r="E1812" s="512">
        <v>65437.367237047481</v>
      </c>
      <c r="F1812" s="513">
        <v>65437.367237047481</v>
      </c>
      <c r="G1812" s="512">
        <v>0</v>
      </c>
      <c r="H1812" s="512">
        <v>-54402</v>
      </c>
      <c r="I1812" s="659" t="s">
        <v>562</v>
      </c>
      <c r="J1812" s="513">
        <v>0</v>
      </c>
      <c r="K1812" s="513">
        <v>0</v>
      </c>
      <c r="L1812" s="513">
        <v>0</v>
      </c>
      <c r="M1812" s="513">
        <v>548057.75523704756</v>
      </c>
      <c r="N1812" s="622"/>
    </row>
    <row r="1813" spans="2:14">
      <c r="B1813" s="513" t="s">
        <v>708</v>
      </c>
      <c r="C1813" s="658">
        <v>2009</v>
      </c>
      <c r="D1813" s="513">
        <v>548057.75523704756</v>
      </c>
      <c r="E1813" s="512">
        <v>52215.856788517027</v>
      </c>
      <c r="F1813" s="513">
        <v>52215.856788517027</v>
      </c>
      <c r="G1813" s="512">
        <v>0</v>
      </c>
      <c r="H1813" s="512">
        <v>0</v>
      </c>
      <c r="I1813" s="659" t="s">
        <v>103</v>
      </c>
      <c r="J1813" s="513">
        <v>0</v>
      </c>
      <c r="K1813" s="513">
        <v>0</v>
      </c>
      <c r="L1813" s="513">
        <v>0</v>
      </c>
      <c r="M1813" s="513">
        <v>600273.61202556454</v>
      </c>
      <c r="N1813" s="622"/>
    </row>
    <row r="1814" spans="2:14">
      <c r="B1814" s="513" t="s">
        <v>708</v>
      </c>
      <c r="C1814" s="658">
        <v>2010</v>
      </c>
      <c r="D1814" s="513">
        <v>600273.61202556454</v>
      </c>
      <c r="E1814" s="512">
        <v>52128.800000000003</v>
      </c>
      <c r="F1814" s="513">
        <v>52128.800000000003</v>
      </c>
      <c r="G1814" s="512">
        <v>0</v>
      </c>
      <c r="H1814" s="512">
        <v>0</v>
      </c>
      <c r="I1814" s="659" t="s">
        <v>103</v>
      </c>
      <c r="J1814" s="513">
        <v>0</v>
      </c>
      <c r="K1814" s="513">
        <v>0</v>
      </c>
      <c r="L1814" s="513">
        <v>0</v>
      </c>
      <c r="M1814" s="513">
        <v>652402.41202556458</v>
      </c>
      <c r="N1814" s="622"/>
    </row>
    <row r="1815" spans="2:14">
      <c r="B1815" s="513" t="s">
        <v>708</v>
      </c>
      <c r="C1815" s="658">
        <v>2011</v>
      </c>
      <c r="D1815" s="513">
        <v>652402.41408082796</v>
      </c>
      <c r="E1815" s="512">
        <v>53097.104244859191</v>
      </c>
      <c r="F1815" s="513">
        <v>53097.104244859191</v>
      </c>
      <c r="G1815" s="512">
        <v>0</v>
      </c>
      <c r="H1815" s="512">
        <v>0</v>
      </c>
      <c r="I1815" s="659" t="s">
        <v>103</v>
      </c>
      <c r="J1815" s="513">
        <v>0</v>
      </c>
      <c r="K1815" s="513">
        <v>0</v>
      </c>
      <c r="L1815" s="513">
        <v>0</v>
      </c>
      <c r="M1815" s="513">
        <v>705499.51832568715</v>
      </c>
      <c r="N1815" s="622"/>
    </row>
    <row r="1816" spans="2:14">
      <c r="B1816" s="513" t="s">
        <v>708</v>
      </c>
      <c r="C1816" s="658">
        <v>2012</v>
      </c>
      <c r="D1816" s="513">
        <v>705499.51832568715</v>
      </c>
      <c r="E1816" s="513">
        <v>37306.869618787212</v>
      </c>
      <c r="F1816" s="513">
        <v>37306.869618787212</v>
      </c>
      <c r="G1816" s="512">
        <v>0</v>
      </c>
      <c r="H1816" s="512">
        <v>0</v>
      </c>
      <c r="I1816" s="659" t="s">
        <v>103</v>
      </c>
      <c r="J1816" s="513">
        <v>0</v>
      </c>
      <c r="K1816" s="513">
        <v>0</v>
      </c>
      <c r="L1816" s="513">
        <v>0</v>
      </c>
      <c r="M1816" s="513">
        <v>742806.38794447435</v>
      </c>
      <c r="N1816" s="622"/>
    </row>
    <row r="1817" spans="2:14">
      <c r="B1817" s="513" t="s">
        <v>708</v>
      </c>
      <c r="C1817" s="658">
        <v>2013</v>
      </c>
      <c r="D1817" s="513">
        <v>742806.38794447458</v>
      </c>
      <c r="E1817" s="513">
        <v>59133.851847870945</v>
      </c>
      <c r="F1817" s="513">
        <v>59133.851847870945</v>
      </c>
      <c r="G1817" s="512">
        <v>0</v>
      </c>
      <c r="H1817" s="512">
        <v>0</v>
      </c>
      <c r="I1817" s="659" t="s">
        <v>103</v>
      </c>
      <c r="J1817" s="513">
        <v>0</v>
      </c>
      <c r="K1817" s="513">
        <v>0</v>
      </c>
      <c r="L1817" s="513">
        <v>0</v>
      </c>
      <c r="M1817" s="513">
        <v>801940.23979234556</v>
      </c>
      <c r="N1817" s="622"/>
    </row>
    <row r="1818" spans="2:14">
      <c r="B1818" s="513" t="s">
        <v>708</v>
      </c>
      <c r="C1818" s="658">
        <v>2014</v>
      </c>
      <c r="D1818" s="513">
        <v>801940.23979234532</v>
      </c>
      <c r="E1818" s="513">
        <v>61686.785200745755</v>
      </c>
      <c r="F1818" s="513">
        <v>61686.785200745755</v>
      </c>
      <c r="G1818" s="512">
        <v>0</v>
      </c>
      <c r="H1818" s="512">
        <v>0</v>
      </c>
      <c r="I1818" s="659" t="s">
        <v>1788</v>
      </c>
      <c r="J1818" s="513">
        <v>0</v>
      </c>
      <c r="K1818" s="513">
        <v>0</v>
      </c>
      <c r="L1818" s="513">
        <v>0</v>
      </c>
      <c r="M1818" s="513">
        <v>863627.02499309112</v>
      </c>
      <c r="N1818" s="622"/>
    </row>
    <row r="1819" spans="2:14">
      <c r="B1819" s="513" t="s">
        <v>708</v>
      </c>
      <c r="C1819" s="658">
        <v>2015</v>
      </c>
      <c r="D1819" s="513">
        <v>863627.02499309112</v>
      </c>
      <c r="E1819" s="513">
        <v>62715.442999064282</v>
      </c>
      <c r="F1819" s="513">
        <v>62715.442999064282</v>
      </c>
      <c r="G1819" s="660">
        <v>0</v>
      </c>
      <c r="H1819" s="660">
        <v>0</v>
      </c>
      <c r="I1819" s="659" t="s">
        <v>103</v>
      </c>
      <c r="J1819" s="513">
        <v>0</v>
      </c>
      <c r="K1819" s="513">
        <v>0</v>
      </c>
      <c r="L1819" s="513">
        <v>0</v>
      </c>
      <c r="M1819" s="513">
        <v>926342.46799215535</v>
      </c>
      <c r="N1819" s="622"/>
    </row>
    <row r="1820" spans="2:14">
      <c r="B1820" s="513" t="s">
        <v>708</v>
      </c>
      <c r="C1820" s="658">
        <v>2016</v>
      </c>
      <c r="D1820" s="513">
        <v>926342.46799215558</v>
      </c>
      <c r="E1820" s="513">
        <v>43771.091050544623</v>
      </c>
      <c r="F1820" s="513">
        <v>43771.091050544623</v>
      </c>
      <c r="G1820" s="660">
        <v>0</v>
      </c>
      <c r="H1820" s="660">
        <v>0</v>
      </c>
      <c r="I1820" s="659" t="s">
        <v>103</v>
      </c>
      <c r="J1820" s="513">
        <v>0</v>
      </c>
      <c r="K1820" s="513">
        <v>0</v>
      </c>
      <c r="L1820" s="513">
        <v>0</v>
      </c>
      <c r="M1820" s="513">
        <v>970113.55904270022</v>
      </c>
      <c r="N1820" s="622"/>
    </row>
    <row r="1821" spans="2:14">
      <c r="B1821" s="513" t="s">
        <v>708</v>
      </c>
      <c r="C1821" s="658">
        <v>2017</v>
      </c>
      <c r="D1821" s="513">
        <v>970113.55904270033</v>
      </c>
      <c r="E1821" s="513">
        <v>40069.274903790283</v>
      </c>
      <c r="F1821" s="513">
        <v>40069.274903790283</v>
      </c>
      <c r="G1821" s="513">
        <v>0</v>
      </c>
      <c r="H1821" s="513">
        <v>0</v>
      </c>
      <c r="I1821" s="659" t="s">
        <v>103</v>
      </c>
      <c r="J1821" s="513">
        <v>0</v>
      </c>
      <c r="K1821" s="513">
        <v>0</v>
      </c>
      <c r="L1821" s="513">
        <v>0</v>
      </c>
      <c r="M1821" s="513">
        <v>1010182.8339464907</v>
      </c>
      <c r="N1821" s="622"/>
    </row>
    <row r="1822" spans="2:14">
      <c r="B1822" s="513" t="s">
        <v>708</v>
      </c>
      <c r="C1822" s="889">
        <v>2018</v>
      </c>
      <c r="D1822" s="513">
        <v>1010182.8339464907</v>
      </c>
      <c r="E1822" s="513">
        <f>VLOOKUP(B1822,'[6]2018 allocation'!$A$11:$B$218,2, FALSE)</f>
        <v>43242.187489388612</v>
      </c>
      <c r="F1822" s="513">
        <f>E1822</f>
        <v>43242.187489388612</v>
      </c>
      <c r="G1822" s="513">
        <v>0</v>
      </c>
      <c r="H1822" s="513">
        <v>0</v>
      </c>
      <c r="I1822" s="622" t="s">
        <v>103</v>
      </c>
      <c r="J1822" s="513">
        <f>VLOOKUP(B1822,'[6]Annual Spending Worksheet '!$C$6:$AG$250,28,FALSE)</f>
        <v>0</v>
      </c>
      <c r="K1822" s="513">
        <f>VLOOKUP(B1822,'[6]Annual Spending Worksheet '!$C$6:$AG$250,29,FALSE)</f>
        <v>0</v>
      </c>
      <c r="L1822" s="513">
        <v>0</v>
      </c>
      <c r="M1822" s="513">
        <f>D1822+E1822+H1822-J1822</f>
        <v>1053425.0214358792</v>
      </c>
      <c r="N1822" s="513"/>
    </row>
    <row r="1823" spans="2:14">
      <c r="B1823" s="513" t="s">
        <v>708</v>
      </c>
      <c r="C1823" s="889">
        <v>2019</v>
      </c>
      <c r="D1823" s="513">
        <v>1053425.0214358792</v>
      </c>
      <c r="E1823" s="513">
        <v>46575.112435282892</v>
      </c>
      <c r="F1823" s="513">
        <v>46575.112435282892</v>
      </c>
      <c r="G1823" s="513">
        <v>0</v>
      </c>
      <c r="H1823" s="513">
        <v>0</v>
      </c>
      <c r="I1823" s="622" t="s">
        <v>103</v>
      </c>
      <c r="J1823" s="513">
        <v>0</v>
      </c>
      <c r="K1823" s="513">
        <v>0</v>
      </c>
      <c r="L1823" s="513">
        <v>0</v>
      </c>
      <c r="M1823" s="513">
        <v>1100000.1338711621</v>
      </c>
      <c r="N1823" s="513"/>
    </row>
    <row r="1824" spans="2:14" ht="29.1">
      <c r="B1824" s="513" t="s">
        <v>709</v>
      </c>
      <c r="C1824" s="658">
        <v>2008</v>
      </c>
      <c r="D1824" s="513">
        <v>-386924.66399999987</v>
      </c>
      <c r="E1824" s="512">
        <v>147027.51775122812</v>
      </c>
      <c r="F1824" s="513">
        <v>147027.51775122812</v>
      </c>
      <c r="G1824" s="660">
        <v>-239897.14624877175</v>
      </c>
      <c r="H1824" s="512">
        <v>0</v>
      </c>
      <c r="I1824" s="659" t="s">
        <v>103</v>
      </c>
      <c r="J1824" s="513">
        <v>0</v>
      </c>
      <c r="K1824" s="513">
        <v>0</v>
      </c>
      <c r="L1824" s="513">
        <v>0</v>
      </c>
      <c r="M1824" s="513">
        <v>-239897.14624877175</v>
      </c>
      <c r="N1824" s="622" t="s">
        <v>1711</v>
      </c>
    </row>
    <row r="1825" spans="2:14" ht="29.1">
      <c r="B1825" s="513" t="s">
        <v>709</v>
      </c>
      <c r="C1825" s="658">
        <v>2009</v>
      </c>
      <c r="D1825" s="513">
        <v>-239897.14624877181</v>
      </c>
      <c r="E1825" s="512">
        <v>108358.74793293134</v>
      </c>
      <c r="F1825" s="513">
        <v>108358.74793293134</v>
      </c>
      <c r="G1825" s="660">
        <v>-131538.39831584046</v>
      </c>
      <c r="H1825" s="512">
        <v>0</v>
      </c>
      <c r="I1825" s="659" t="s">
        <v>103</v>
      </c>
      <c r="J1825" s="513">
        <v>0</v>
      </c>
      <c r="K1825" s="513">
        <v>0</v>
      </c>
      <c r="L1825" s="513">
        <v>0</v>
      </c>
      <c r="M1825" s="513">
        <v>-131538.39831584046</v>
      </c>
      <c r="N1825" s="622" t="s">
        <v>1711</v>
      </c>
    </row>
    <row r="1826" spans="2:14" ht="29.1">
      <c r="B1826" s="513" t="s">
        <v>709</v>
      </c>
      <c r="C1826" s="658">
        <v>2010</v>
      </c>
      <c r="D1826" s="513">
        <v>-131538.3983158404</v>
      </c>
      <c r="E1826" s="512">
        <v>108114.95</v>
      </c>
      <c r="F1826" s="513">
        <v>108114.95</v>
      </c>
      <c r="G1826" s="660">
        <v>-23423.448315840404</v>
      </c>
      <c r="H1826" s="512">
        <v>0</v>
      </c>
      <c r="I1826" s="659" t="s">
        <v>103</v>
      </c>
      <c r="J1826" s="513">
        <v>0</v>
      </c>
      <c r="K1826" s="513">
        <v>0</v>
      </c>
      <c r="L1826" s="513">
        <v>0</v>
      </c>
      <c r="M1826" s="513">
        <v>-23423.448315840404</v>
      </c>
      <c r="N1826" s="622" t="s">
        <v>1711</v>
      </c>
    </row>
    <row r="1827" spans="2:14">
      <c r="B1827" s="513" t="s">
        <v>709</v>
      </c>
      <c r="C1827" s="658">
        <v>2011</v>
      </c>
      <c r="D1827" s="513">
        <v>-23423.443834629375</v>
      </c>
      <c r="E1827" s="512">
        <v>110878.86073828404</v>
      </c>
      <c r="F1827" s="513">
        <v>110878.86073828404</v>
      </c>
      <c r="G1827" s="512">
        <v>0</v>
      </c>
      <c r="H1827" s="512">
        <v>0</v>
      </c>
      <c r="I1827" s="659" t="s">
        <v>103</v>
      </c>
      <c r="J1827" s="513">
        <v>0</v>
      </c>
      <c r="K1827" s="513">
        <v>0</v>
      </c>
      <c r="L1827" s="513">
        <v>0</v>
      </c>
      <c r="M1827" s="513">
        <v>87455.416903654666</v>
      </c>
      <c r="N1827" s="622"/>
    </row>
    <row r="1828" spans="2:14">
      <c r="B1828" s="513" t="s">
        <v>709</v>
      </c>
      <c r="C1828" s="658">
        <v>2012</v>
      </c>
      <c r="D1828" s="513">
        <v>87455.416903654579</v>
      </c>
      <c r="E1828" s="513">
        <v>64833.047062508733</v>
      </c>
      <c r="F1828" s="513">
        <v>64833.047062508733</v>
      </c>
      <c r="G1828" s="512">
        <v>0</v>
      </c>
      <c r="H1828" s="512">
        <v>0</v>
      </c>
      <c r="I1828" s="659" t="s">
        <v>103</v>
      </c>
      <c r="J1828" s="513">
        <v>0</v>
      </c>
      <c r="K1828" s="513">
        <v>0</v>
      </c>
      <c r="L1828" s="513">
        <v>0</v>
      </c>
      <c r="M1828" s="513">
        <v>152288.46396616331</v>
      </c>
      <c r="N1828" s="622"/>
    </row>
    <row r="1829" spans="2:14">
      <c r="B1829" s="513" t="s">
        <v>709</v>
      </c>
      <c r="C1829" s="658">
        <v>2013</v>
      </c>
      <c r="D1829" s="513">
        <v>152288.46396616334</v>
      </c>
      <c r="E1829" s="513">
        <v>128515.31949362931</v>
      </c>
      <c r="F1829" s="513">
        <v>128515.31949362931</v>
      </c>
      <c r="G1829" s="512">
        <v>0</v>
      </c>
      <c r="H1829" s="512">
        <v>0</v>
      </c>
      <c r="I1829" s="659" t="s">
        <v>103</v>
      </c>
      <c r="J1829" s="513">
        <v>0</v>
      </c>
      <c r="K1829" s="513">
        <v>0</v>
      </c>
      <c r="L1829" s="513">
        <v>0</v>
      </c>
      <c r="M1829" s="513">
        <v>280803.78345979267</v>
      </c>
      <c r="N1829" s="622"/>
    </row>
    <row r="1830" spans="2:14">
      <c r="B1830" s="513" t="s">
        <v>709</v>
      </c>
      <c r="C1830" s="658">
        <v>2014</v>
      </c>
      <c r="D1830" s="513">
        <v>280803.78345979284</v>
      </c>
      <c r="E1830" s="513">
        <v>135917.28783170064</v>
      </c>
      <c r="F1830" s="513">
        <v>135917.28783170064</v>
      </c>
      <c r="G1830" s="512">
        <v>0</v>
      </c>
      <c r="H1830" s="512">
        <v>0</v>
      </c>
      <c r="I1830" s="659" t="s">
        <v>103</v>
      </c>
      <c r="J1830" s="513">
        <v>0</v>
      </c>
      <c r="K1830" s="513">
        <v>0</v>
      </c>
      <c r="L1830" s="513">
        <v>0</v>
      </c>
      <c r="M1830" s="513">
        <v>416721.07129149348</v>
      </c>
      <c r="N1830" s="622"/>
    </row>
    <row r="1831" spans="2:14">
      <c r="B1831" s="513" t="s">
        <v>709</v>
      </c>
      <c r="C1831" s="658">
        <v>2015</v>
      </c>
      <c r="D1831" s="513">
        <v>416721.07129149325</v>
      </c>
      <c r="E1831" s="513">
        <v>138959.32249041987</v>
      </c>
      <c r="F1831" s="513">
        <v>138959.32249041987</v>
      </c>
      <c r="G1831" s="660">
        <v>0</v>
      </c>
      <c r="H1831" s="660">
        <v>0</v>
      </c>
      <c r="I1831" s="659" t="s">
        <v>103</v>
      </c>
      <c r="J1831" s="513">
        <v>0</v>
      </c>
      <c r="K1831" s="513">
        <v>0</v>
      </c>
      <c r="L1831" s="513">
        <v>0</v>
      </c>
      <c r="M1831" s="513">
        <v>555680.3937819131</v>
      </c>
      <c r="N1831" s="622"/>
    </row>
    <row r="1832" spans="2:14">
      <c r="B1832" s="513" t="s">
        <v>709</v>
      </c>
      <c r="C1832" s="658">
        <v>2016</v>
      </c>
      <c r="D1832" s="513">
        <v>555680.39378191344</v>
      </c>
      <c r="E1832" s="513">
        <v>83743.632102251067</v>
      </c>
      <c r="F1832" s="513">
        <v>83743.632102251067</v>
      </c>
      <c r="G1832" s="660">
        <v>0</v>
      </c>
      <c r="H1832" s="660">
        <v>0</v>
      </c>
      <c r="I1832" s="659" t="s">
        <v>103</v>
      </c>
      <c r="J1832" s="513">
        <v>0</v>
      </c>
      <c r="K1832" s="513">
        <v>0</v>
      </c>
      <c r="L1832" s="513">
        <v>0</v>
      </c>
      <c r="M1832" s="513">
        <v>639424.0258841645</v>
      </c>
      <c r="N1832" s="622"/>
    </row>
    <row r="1833" spans="2:14">
      <c r="B1833" s="513" t="s">
        <v>709</v>
      </c>
      <c r="C1833" s="658">
        <v>2017</v>
      </c>
      <c r="D1833" s="513">
        <v>639424.0258841645</v>
      </c>
      <c r="E1833" s="513">
        <v>72944.44265387929</v>
      </c>
      <c r="F1833" s="513">
        <v>72944.44265387929</v>
      </c>
      <c r="G1833" s="513">
        <v>0</v>
      </c>
      <c r="H1833" s="513">
        <v>0</v>
      </c>
      <c r="I1833" s="659" t="s">
        <v>103</v>
      </c>
      <c r="J1833" s="513">
        <v>0</v>
      </c>
      <c r="K1833" s="513">
        <v>0</v>
      </c>
      <c r="L1833" s="513">
        <v>0</v>
      </c>
      <c r="M1833" s="513">
        <v>712368.46853804379</v>
      </c>
      <c r="N1833" s="622"/>
    </row>
    <row r="1834" spans="2:14">
      <c r="B1834" s="513" t="s">
        <v>709</v>
      </c>
      <c r="C1834" s="889">
        <v>2018</v>
      </c>
      <c r="D1834" s="513">
        <v>712368.46853804379</v>
      </c>
      <c r="E1834" s="513">
        <f>VLOOKUP(B1834,'[6]2018 allocation'!$A$11:$B$218,2, FALSE)</f>
        <v>82197.778841827036</v>
      </c>
      <c r="F1834" s="513">
        <f>E1834</f>
        <v>82197.778841827036</v>
      </c>
      <c r="G1834" s="513">
        <v>0</v>
      </c>
      <c r="H1834" s="513">
        <v>0</v>
      </c>
      <c r="I1834" s="622" t="s">
        <v>103</v>
      </c>
      <c r="J1834" s="513">
        <f>VLOOKUP(B1834,'[6]Annual Spending Worksheet '!$C$6:$AG$250,28,FALSE)</f>
        <v>0</v>
      </c>
      <c r="K1834" s="513">
        <f>VLOOKUP(B1834,'[6]Annual Spending Worksheet '!$C$6:$AG$250,29,FALSE)</f>
        <v>0</v>
      </c>
      <c r="L1834" s="513">
        <v>0</v>
      </c>
      <c r="M1834" s="513">
        <f>D1834+E1834+H1834-J1834</f>
        <v>794566.24737987085</v>
      </c>
      <c r="N1834" s="513"/>
    </row>
    <row r="1835" spans="2:14">
      <c r="B1835" s="513" t="s">
        <v>709</v>
      </c>
      <c r="C1835" s="889">
        <v>2019</v>
      </c>
      <c r="D1835" s="513">
        <v>794566.24737987085</v>
      </c>
      <c r="E1835" s="513">
        <v>90852.00854445342</v>
      </c>
      <c r="F1835" s="513">
        <v>90852.00854445342</v>
      </c>
      <c r="G1835" s="513">
        <v>0</v>
      </c>
      <c r="H1835" s="513">
        <v>0</v>
      </c>
      <c r="I1835" s="622" t="s">
        <v>103</v>
      </c>
      <c r="J1835" s="513">
        <v>0</v>
      </c>
      <c r="K1835" s="513">
        <v>0</v>
      </c>
      <c r="L1835" s="513">
        <v>0</v>
      </c>
      <c r="M1835" s="513">
        <v>885418.25592432427</v>
      </c>
      <c r="N1835" s="513"/>
    </row>
    <row r="1836" spans="2:14" ht="29.1">
      <c r="B1836" s="513" t="s">
        <v>710</v>
      </c>
      <c r="C1836" s="658">
        <v>2008</v>
      </c>
      <c r="D1836" s="513">
        <v>945215.26</v>
      </c>
      <c r="E1836" s="512">
        <v>224708.20890237135</v>
      </c>
      <c r="F1836" s="513">
        <v>224708.20890237135</v>
      </c>
      <c r="G1836" s="512">
        <v>0</v>
      </c>
      <c r="H1836" s="512">
        <v>0</v>
      </c>
      <c r="I1836" s="659" t="s">
        <v>103</v>
      </c>
      <c r="J1836" s="513">
        <v>2166911.9899999998</v>
      </c>
      <c r="K1836" s="513">
        <v>2410299</v>
      </c>
      <c r="L1836" s="513">
        <v>0</v>
      </c>
      <c r="M1836" s="513">
        <v>-996988.5210976284</v>
      </c>
      <c r="N1836" s="622" t="s">
        <v>1784</v>
      </c>
    </row>
    <row r="1837" spans="2:14" ht="29.1">
      <c r="B1837" s="513" t="s">
        <v>710</v>
      </c>
      <c r="C1837" s="658">
        <v>2009</v>
      </c>
      <c r="D1837" s="513">
        <v>-996988.52109762933</v>
      </c>
      <c r="E1837" s="512">
        <v>183629.79686721813</v>
      </c>
      <c r="F1837" s="513">
        <v>183629.79686721813</v>
      </c>
      <c r="G1837" s="512">
        <v>-813358.72423041123</v>
      </c>
      <c r="H1837" s="512">
        <v>0</v>
      </c>
      <c r="I1837" s="659" t="s">
        <v>103</v>
      </c>
      <c r="J1837" s="513">
        <v>-48483.919999999991</v>
      </c>
      <c r="K1837" s="513">
        <v>0</v>
      </c>
      <c r="L1837" s="513">
        <v>0</v>
      </c>
      <c r="M1837" s="513">
        <v>-764874.80423041119</v>
      </c>
      <c r="N1837" s="622" t="s">
        <v>1784</v>
      </c>
    </row>
    <row r="1838" spans="2:14" ht="29.1">
      <c r="B1838" s="513" t="s">
        <v>710</v>
      </c>
      <c r="C1838" s="658">
        <v>2010</v>
      </c>
      <c r="D1838" s="513">
        <v>-764874.80423041154</v>
      </c>
      <c r="E1838" s="512">
        <v>183400.8</v>
      </c>
      <c r="F1838" s="513">
        <v>183400.8</v>
      </c>
      <c r="G1838" s="512">
        <v>-581474.00423041149</v>
      </c>
      <c r="H1838" s="512">
        <v>0</v>
      </c>
      <c r="I1838" s="659" t="s">
        <v>103</v>
      </c>
      <c r="J1838" s="513">
        <v>3710.6200000000072</v>
      </c>
      <c r="K1838" s="513">
        <v>0</v>
      </c>
      <c r="L1838" s="513">
        <v>785.69</v>
      </c>
      <c r="M1838" s="513">
        <v>-585970.31423041143</v>
      </c>
      <c r="N1838" s="622" t="s">
        <v>1784</v>
      </c>
    </row>
    <row r="1839" spans="2:14" ht="29.1">
      <c r="B1839" s="513" t="s">
        <v>710</v>
      </c>
      <c r="C1839" s="658">
        <v>2011</v>
      </c>
      <c r="D1839" s="513">
        <v>-585970.31202999316</v>
      </c>
      <c r="E1839" s="512">
        <v>186388.68642860497</v>
      </c>
      <c r="F1839" s="513">
        <v>186388.68642860497</v>
      </c>
      <c r="G1839" s="660">
        <v>-399581.62560138816</v>
      </c>
      <c r="H1839" s="512">
        <v>0</v>
      </c>
      <c r="I1839" s="659" t="s">
        <v>103</v>
      </c>
      <c r="J1839" s="513">
        <v>-811.2800000000002</v>
      </c>
      <c r="K1839" s="513">
        <v>0</v>
      </c>
      <c r="L1839" s="513">
        <v>2016.9</v>
      </c>
      <c r="M1839" s="513">
        <v>-400787.24560138816</v>
      </c>
      <c r="N1839" s="622" t="s">
        <v>1784</v>
      </c>
    </row>
    <row r="1840" spans="2:14" ht="29.1">
      <c r="B1840" s="513" t="s">
        <v>710</v>
      </c>
      <c r="C1840" s="658">
        <v>2012</v>
      </c>
      <c r="D1840" s="513">
        <v>-400787.24560138863</v>
      </c>
      <c r="E1840" s="513">
        <v>137818.24731003353</v>
      </c>
      <c r="F1840" s="513">
        <v>137818.24731003353</v>
      </c>
      <c r="G1840" s="660">
        <v>-262968.99829135509</v>
      </c>
      <c r="H1840" s="512">
        <v>0</v>
      </c>
      <c r="I1840" s="659" t="s">
        <v>103</v>
      </c>
      <c r="J1840" s="513">
        <v>5062.1500000000005</v>
      </c>
      <c r="K1840" s="513">
        <v>0</v>
      </c>
      <c r="L1840" s="513">
        <v>0</v>
      </c>
      <c r="M1840" s="513">
        <v>-268031.14829135512</v>
      </c>
      <c r="N1840" s="622" t="s">
        <v>1789</v>
      </c>
    </row>
    <row r="1841" spans="2:14" ht="29.1">
      <c r="B1841" s="513" t="s">
        <v>710</v>
      </c>
      <c r="C1841" s="658">
        <v>2013</v>
      </c>
      <c r="D1841" s="513">
        <v>-268031.14829135593</v>
      </c>
      <c r="E1841" s="513">
        <v>204946.89180412091</v>
      </c>
      <c r="F1841" s="513">
        <v>204946.89180412091</v>
      </c>
      <c r="G1841" s="660">
        <v>-63084.256487235019</v>
      </c>
      <c r="H1841" s="512">
        <v>0</v>
      </c>
      <c r="I1841" s="659" t="s">
        <v>103</v>
      </c>
      <c r="J1841" s="513">
        <v>14104.189999999995</v>
      </c>
      <c r="K1841" s="513">
        <v>0</v>
      </c>
      <c r="L1841" s="513">
        <v>0</v>
      </c>
      <c r="M1841" s="513">
        <v>-77188.446487235022</v>
      </c>
      <c r="N1841" s="622" t="s">
        <v>1789</v>
      </c>
    </row>
    <row r="1842" spans="2:14">
      <c r="B1842" s="513" t="s">
        <v>710</v>
      </c>
      <c r="C1842" s="658">
        <v>2014</v>
      </c>
      <c r="D1842" s="513">
        <v>-77188.446487235837</v>
      </c>
      <c r="E1842" s="513">
        <v>212770.02224390855</v>
      </c>
      <c r="F1842" s="513">
        <v>212770.02224390855</v>
      </c>
      <c r="G1842" s="660">
        <v>0</v>
      </c>
      <c r="H1842" s="512">
        <v>0</v>
      </c>
      <c r="I1842" s="659" t="s">
        <v>103</v>
      </c>
      <c r="J1842" s="513">
        <v>13664.280000000008</v>
      </c>
      <c r="K1842" s="513">
        <v>0</v>
      </c>
      <c r="L1842" s="513">
        <v>0</v>
      </c>
      <c r="M1842" s="513">
        <v>121917.2957566727</v>
      </c>
      <c r="N1842" s="622"/>
    </row>
    <row r="1843" spans="2:14">
      <c r="B1843" s="513" t="s">
        <v>710</v>
      </c>
      <c r="C1843" s="658">
        <v>2015</v>
      </c>
      <c r="D1843" s="513">
        <v>121917.29575667344</v>
      </c>
      <c r="E1843" s="513">
        <v>215971.14912183883</v>
      </c>
      <c r="F1843" s="513">
        <v>215971.14912183883</v>
      </c>
      <c r="G1843" s="660">
        <v>0</v>
      </c>
      <c r="H1843" s="660">
        <v>0</v>
      </c>
      <c r="I1843" s="659" t="s">
        <v>103</v>
      </c>
      <c r="J1843" s="513">
        <v>4761.3600000000006</v>
      </c>
      <c r="K1843" s="513">
        <v>0</v>
      </c>
      <c r="L1843" s="513">
        <v>0</v>
      </c>
      <c r="M1843" s="513">
        <v>333127.08487851231</v>
      </c>
      <c r="N1843" s="622"/>
    </row>
    <row r="1844" spans="2:14">
      <c r="B1844" s="513" t="s">
        <v>710</v>
      </c>
      <c r="C1844" s="658">
        <v>2016</v>
      </c>
      <c r="D1844" s="513">
        <v>333127.08487851173</v>
      </c>
      <c r="E1844" s="513">
        <v>157664.06555739912</v>
      </c>
      <c r="F1844" s="513">
        <v>157664.06555739912</v>
      </c>
      <c r="G1844" s="660">
        <v>0</v>
      </c>
      <c r="H1844" s="660">
        <v>0</v>
      </c>
      <c r="I1844" s="659" t="s">
        <v>103</v>
      </c>
      <c r="J1844" s="513">
        <v>6049.0599999999995</v>
      </c>
      <c r="K1844" s="513">
        <v>0</v>
      </c>
      <c r="L1844" s="513">
        <v>0</v>
      </c>
      <c r="M1844" s="513">
        <v>484742.09043591085</v>
      </c>
      <c r="N1844" s="622"/>
    </row>
    <row r="1845" spans="2:14">
      <c r="B1845" s="513" t="s">
        <v>710</v>
      </c>
      <c r="C1845" s="658">
        <v>2017</v>
      </c>
      <c r="D1845" s="513">
        <v>484742.09043591097</v>
      </c>
      <c r="E1845" s="513">
        <v>146243.75976092397</v>
      </c>
      <c r="F1845" s="513">
        <v>146243.75976092397</v>
      </c>
      <c r="G1845" s="513">
        <v>0</v>
      </c>
      <c r="H1845" s="513">
        <v>0</v>
      </c>
      <c r="I1845" s="659" t="s">
        <v>103</v>
      </c>
      <c r="J1845" s="513">
        <v>1038.58</v>
      </c>
      <c r="K1845" s="513">
        <v>0</v>
      </c>
      <c r="L1845" s="513">
        <v>0</v>
      </c>
      <c r="M1845" s="513">
        <v>629947.27019683493</v>
      </c>
      <c r="N1845" s="622"/>
    </row>
    <row r="1846" spans="2:14">
      <c r="B1846" s="513" t="s">
        <v>710</v>
      </c>
      <c r="C1846" s="889">
        <v>2018</v>
      </c>
      <c r="D1846" s="513">
        <v>629947.27019683493</v>
      </c>
      <c r="E1846" s="513">
        <f>VLOOKUP(B1846,'[6]2018 allocation'!$A$11:$B$218,2, FALSE)</f>
        <v>155937.97869528393</v>
      </c>
      <c r="F1846" s="513">
        <f>E1846</f>
        <v>155937.97869528393</v>
      </c>
      <c r="G1846" s="513">
        <v>0</v>
      </c>
      <c r="H1846" s="513">
        <v>0</v>
      </c>
      <c r="I1846" s="622" t="s">
        <v>103</v>
      </c>
      <c r="J1846" s="513">
        <f>VLOOKUP(B1846,'[6]Annual Spending Worksheet '!$C$6:$AG$250,28,FALSE)</f>
        <v>880.82999999999993</v>
      </c>
      <c r="K1846" s="513">
        <f>VLOOKUP(B1846,'[6]Annual Spending Worksheet '!$C$6:$AG$250,29,FALSE)</f>
        <v>0</v>
      </c>
      <c r="L1846" s="513">
        <v>0</v>
      </c>
      <c r="M1846" s="513">
        <f>D1846+E1846+H1846-J1846</f>
        <v>785004.41889211896</v>
      </c>
      <c r="N1846" s="513"/>
    </row>
    <row r="1847" spans="2:14">
      <c r="B1847" s="513" t="s">
        <v>710</v>
      </c>
      <c r="C1847" s="889">
        <v>2019</v>
      </c>
      <c r="D1847" s="513">
        <v>785004.41889211896</v>
      </c>
      <c r="E1847" s="513">
        <v>166247.93823472961</v>
      </c>
      <c r="F1847" s="513">
        <v>166247.93823472961</v>
      </c>
      <c r="G1847" s="513">
        <v>0</v>
      </c>
      <c r="H1847" s="513">
        <v>0</v>
      </c>
      <c r="I1847" s="622" t="s">
        <v>103</v>
      </c>
      <c r="J1847" s="513">
        <v>1024.2</v>
      </c>
      <c r="K1847" s="513">
        <v>0</v>
      </c>
      <c r="L1847" s="513">
        <v>0</v>
      </c>
      <c r="M1847" s="513">
        <v>950228.15712684859</v>
      </c>
      <c r="N1847" s="513"/>
    </row>
    <row r="1848" spans="2:14">
      <c r="B1848" s="513" t="s">
        <v>715</v>
      </c>
      <c r="C1848" s="658">
        <v>2008</v>
      </c>
      <c r="D1848" s="513">
        <v>980858.91099999996</v>
      </c>
      <c r="E1848" s="512">
        <v>65027.262922182003</v>
      </c>
      <c r="F1848" s="513">
        <v>65027.262922182003</v>
      </c>
      <c r="G1848" s="513">
        <v>0</v>
      </c>
      <c r="H1848" s="512">
        <v>0</v>
      </c>
      <c r="I1848" s="659" t="s">
        <v>103</v>
      </c>
      <c r="J1848" s="513">
        <v>55205.100000000013</v>
      </c>
      <c r="K1848" s="513">
        <v>0</v>
      </c>
      <c r="L1848" s="513">
        <v>0</v>
      </c>
      <c r="M1848" s="513">
        <v>990681.07392218197</v>
      </c>
      <c r="N1848" s="622"/>
    </row>
    <row r="1849" spans="2:14" ht="29.1">
      <c r="B1849" s="513" t="s">
        <v>715</v>
      </c>
      <c r="C1849" s="658">
        <v>2009</v>
      </c>
      <c r="D1849" s="513">
        <v>990681.07392218197</v>
      </c>
      <c r="E1849" s="512">
        <v>45049.825876682255</v>
      </c>
      <c r="F1849" s="513">
        <v>45049.825876682255</v>
      </c>
      <c r="G1849" s="512">
        <v>0</v>
      </c>
      <c r="H1849" s="512">
        <v>0</v>
      </c>
      <c r="I1849" s="659" t="s">
        <v>103</v>
      </c>
      <c r="J1849" s="513">
        <v>1442648.4100000001</v>
      </c>
      <c r="K1849" s="513">
        <v>1642029</v>
      </c>
      <c r="L1849" s="513">
        <v>0</v>
      </c>
      <c r="M1849" s="513">
        <v>-406917.51020113588</v>
      </c>
      <c r="N1849" s="622" t="s">
        <v>1711</v>
      </c>
    </row>
    <row r="1850" spans="2:14" ht="29.1">
      <c r="B1850" s="513" t="s">
        <v>715</v>
      </c>
      <c r="C1850" s="658">
        <v>2010</v>
      </c>
      <c r="D1850" s="513">
        <v>-406917.51020113565</v>
      </c>
      <c r="E1850" s="512">
        <v>44914.080000000002</v>
      </c>
      <c r="F1850" s="513">
        <v>44914.080000000002</v>
      </c>
      <c r="G1850" s="512">
        <v>-362003.43020113563</v>
      </c>
      <c r="H1850" s="512">
        <v>0</v>
      </c>
      <c r="I1850" s="659" t="s">
        <v>103</v>
      </c>
      <c r="J1850" s="513">
        <v>1238.21</v>
      </c>
      <c r="K1850" s="513">
        <v>0</v>
      </c>
      <c r="L1850" s="513">
        <v>0</v>
      </c>
      <c r="M1850" s="513">
        <v>-363241.64020113565</v>
      </c>
      <c r="N1850" s="622" t="s">
        <v>1711</v>
      </c>
    </row>
    <row r="1851" spans="2:14" ht="29.1">
      <c r="B1851" s="513" t="s">
        <v>715</v>
      </c>
      <c r="C1851" s="658">
        <v>2011</v>
      </c>
      <c r="D1851" s="513">
        <v>-363241.63648362295</v>
      </c>
      <c r="E1851" s="512">
        <v>46324.197300397849</v>
      </c>
      <c r="F1851" s="513">
        <v>46324.197300397849</v>
      </c>
      <c r="G1851" s="660">
        <v>-316917.4391832251</v>
      </c>
      <c r="H1851" s="512">
        <v>0</v>
      </c>
      <c r="I1851" s="659" t="s">
        <v>103</v>
      </c>
      <c r="J1851" s="513">
        <v>-998.09000000000015</v>
      </c>
      <c r="K1851" s="513">
        <v>0</v>
      </c>
      <c r="L1851" s="513">
        <v>17399.28</v>
      </c>
      <c r="M1851" s="513">
        <v>-333318.6291832251</v>
      </c>
      <c r="N1851" s="622" t="s">
        <v>1711</v>
      </c>
    </row>
    <row r="1852" spans="2:14" ht="29.1">
      <c r="B1852" s="513" t="s">
        <v>715</v>
      </c>
      <c r="C1852" s="658">
        <v>2012</v>
      </c>
      <c r="D1852" s="513">
        <v>-333318.62918322533</v>
      </c>
      <c r="E1852" s="513">
        <v>22042.744565885998</v>
      </c>
      <c r="F1852" s="513">
        <v>22042.744565885998</v>
      </c>
      <c r="G1852" s="660">
        <v>-311275.88461733935</v>
      </c>
      <c r="H1852" s="512">
        <v>0</v>
      </c>
      <c r="I1852" s="659" t="s">
        <v>103</v>
      </c>
      <c r="J1852" s="513">
        <v>-2.2737367544323206E-13</v>
      </c>
      <c r="K1852" s="513">
        <v>0</v>
      </c>
      <c r="L1852" s="513">
        <v>10847.33</v>
      </c>
      <c r="M1852" s="513">
        <v>-322123.21461733937</v>
      </c>
      <c r="N1852" s="622" t="s">
        <v>1711</v>
      </c>
    </row>
    <row r="1853" spans="2:14" ht="29.1">
      <c r="B1853" s="513" t="s">
        <v>715</v>
      </c>
      <c r="C1853" s="658">
        <v>2013</v>
      </c>
      <c r="D1853" s="513">
        <v>-322123.2146173392</v>
      </c>
      <c r="E1853" s="513">
        <v>55598.300802073252</v>
      </c>
      <c r="F1853" s="513">
        <v>55598.300802073252</v>
      </c>
      <c r="G1853" s="660">
        <v>-266524.91381526593</v>
      </c>
      <c r="H1853" s="512">
        <v>0</v>
      </c>
      <c r="I1853" s="659" t="s">
        <v>103</v>
      </c>
      <c r="J1853" s="513">
        <v>-925.22999999999956</v>
      </c>
      <c r="K1853" s="513">
        <v>0</v>
      </c>
      <c r="L1853" s="513">
        <v>0</v>
      </c>
      <c r="M1853" s="513">
        <v>-265599.68381526595</v>
      </c>
      <c r="N1853" s="622" t="s">
        <v>1711</v>
      </c>
    </row>
    <row r="1854" spans="2:14" ht="29.1">
      <c r="B1854" s="513" t="s">
        <v>715</v>
      </c>
      <c r="C1854" s="658">
        <v>2014</v>
      </c>
      <c r="D1854" s="513">
        <v>-265599.68381526601</v>
      </c>
      <c r="E1854" s="513">
        <v>59555.220731381924</v>
      </c>
      <c r="F1854" s="513">
        <v>59555.220731381924</v>
      </c>
      <c r="G1854" s="660">
        <v>-206044.4630838841</v>
      </c>
      <c r="H1854" s="512">
        <v>0</v>
      </c>
      <c r="I1854" s="659" t="s">
        <v>103</v>
      </c>
      <c r="J1854" s="513">
        <v>0</v>
      </c>
      <c r="K1854" s="513">
        <v>0</v>
      </c>
      <c r="L1854" s="513">
        <v>925.23</v>
      </c>
      <c r="M1854" s="513">
        <v>-206969.69308388411</v>
      </c>
      <c r="N1854" s="622" t="s">
        <v>1711</v>
      </c>
    </row>
    <row r="1855" spans="2:14" ht="29.1">
      <c r="B1855" s="513" t="s">
        <v>715</v>
      </c>
      <c r="C1855" s="658">
        <v>2015</v>
      </c>
      <c r="D1855" s="513">
        <v>-206969.69308388396</v>
      </c>
      <c r="E1855" s="513">
        <v>61259.600657759715</v>
      </c>
      <c r="F1855" s="513">
        <v>61259.600657759715</v>
      </c>
      <c r="G1855" s="660">
        <v>-145710.09242612426</v>
      </c>
      <c r="H1855" s="660">
        <v>0</v>
      </c>
      <c r="I1855" s="659" t="s">
        <v>103</v>
      </c>
      <c r="J1855" s="513">
        <v>0</v>
      </c>
      <c r="K1855" s="513">
        <v>0</v>
      </c>
      <c r="L1855" s="513">
        <v>0</v>
      </c>
      <c r="M1855" s="513">
        <v>-145710.09242612426</v>
      </c>
      <c r="N1855" s="622" t="s">
        <v>1711</v>
      </c>
    </row>
    <row r="1856" spans="2:14" ht="29.1">
      <c r="B1856" s="513" t="s">
        <v>715</v>
      </c>
      <c r="C1856" s="658">
        <v>2016</v>
      </c>
      <c r="D1856" s="513">
        <v>-145710.09242612426</v>
      </c>
      <c r="E1856" s="513">
        <v>31429.816691949491</v>
      </c>
      <c r="F1856" s="513">
        <v>31429.816691949491</v>
      </c>
      <c r="G1856" s="660">
        <v>-114280.27573417476</v>
      </c>
      <c r="H1856" s="660">
        <v>0</v>
      </c>
      <c r="I1856" s="659" t="s">
        <v>103</v>
      </c>
      <c r="J1856" s="513">
        <v>0</v>
      </c>
      <c r="K1856" s="513">
        <v>0</v>
      </c>
      <c r="L1856" s="513">
        <v>0</v>
      </c>
      <c r="M1856" s="513">
        <v>-114280.27573417476</v>
      </c>
      <c r="N1856" s="622" t="s">
        <v>1711</v>
      </c>
    </row>
    <row r="1857" spans="2:14" ht="29.1">
      <c r="B1857" s="513" t="s">
        <v>715</v>
      </c>
      <c r="C1857" s="658">
        <v>2017</v>
      </c>
      <c r="D1857" s="513">
        <v>-114280.27573417476</v>
      </c>
      <c r="E1857" s="513">
        <v>25406.414582923357</v>
      </c>
      <c r="F1857" s="513">
        <v>25406.414582923357</v>
      </c>
      <c r="G1857" s="513">
        <v>-88873.861151251403</v>
      </c>
      <c r="H1857" s="513">
        <v>0</v>
      </c>
      <c r="I1857" s="659" t="s">
        <v>103</v>
      </c>
      <c r="J1857" s="513">
        <v>0</v>
      </c>
      <c r="K1857" s="513">
        <v>0</v>
      </c>
      <c r="L1857" s="513">
        <v>0</v>
      </c>
      <c r="M1857" s="513">
        <v>-88873.861151251403</v>
      </c>
      <c r="N1857" s="622" t="s">
        <v>1711</v>
      </c>
    </row>
    <row r="1858" spans="2:14" ht="29.1">
      <c r="B1858" s="513" t="s">
        <v>715</v>
      </c>
      <c r="C1858" s="889">
        <v>2018</v>
      </c>
      <c r="D1858" s="513">
        <v>-88873.861151251403</v>
      </c>
      <c r="E1858" s="513">
        <f>VLOOKUP(B1858,'[6]2018 allocation'!$A$11:$B$218,2, FALSE)</f>
        <v>30349.316033935174</v>
      </c>
      <c r="F1858" s="513">
        <f>E1858</f>
        <v>30349.316033935174</v>
      </c>
      <c r="G1858" s="513">
        <f>D1858+E1858</f>
        <v>-58524.545117316229</v>
      </c>
      <c r="H1858" s="513">
        <v>0</v>
      </c>
      <c r="I1858" s="622" t="s">
        <v>103</v>
      </c>
      <c r="J1858" s="513">
        <f>VLOOKUP(B1858,'[6]Annual Spending Worksheet '!$C$6:$AG$250,28,FALSE)</f>
        <v>0</v>
      </c>
      <c r="K1858" s="513">
        <f>VLOOKUP(B1858,'[6]Annual Spending Worksheet '!$C$6:$AG$250,29,FALSE)</f>
        <v>0</v>
      </c>
      <c r="L1858" s="513">
        <v>0</v>
      </c>
      <c r="M1858" s="513">
        <f>D1858+E1858+H1858-J1858</f>
        <v>-58524.545117316229</v>
      </c>
      <c r="N1858" s="622" t="s">
        <v>1711</v>
      </c>
    </row>
    <row r="1859" spans="2:14" ht="29.1">
      <c r="B1859" s="513" t="s">
        <v>715</v>
      </c>
      <c r="C1859" s="889">
        <v>2019</v>
      </c>
      <c r="D1859" s="513">
        <v>-58524.545117316229</v>
      </c>
      <c r="E1859" s="513">
        <v>35592.269517010267</v>
      </c>
      <c r="F1859" s="513">
        <v>35592.269517010267</v>
      </c>
      <c r="G1859" s="513">
        <v>-22932.275600305962</v>
      </c>
      <c r="H1859" s="513">
        <v>0</v>
      </c>
      <c r="I1859" s="622" t="s">
        <v>103</v>
      </c>
      <c r="J1859" s="513">
        <v>0</v>
      </c>
      <c r="K1859" s="513">
        <v>0</v>
      </c>
      <c r="L1859" s="513">
        <v>0</v>
      </c>
      <c r="M1859" s="513">
        <v>-22932.275600305962</v>
      </c>
      <c r="N1859" s="622" t="s">
        <v>1711</v>
      </c>
    </row>
    <row r="1860" spans="2:14" ht="29.1">
      <c r="B1860" s="513" t="s">
        <v>719</v>
      </c>
      <c r="C1860" s="658">
        <v>2008</v>
      </c>
      <c r="D1860" s="513">
        <v>-697046.38</v>
      </c>
      <c r="E1860" s="512">
        <v>61089.479032052273</v>
      </c>
      <c r="F1860" s="513">
        <v>61089.479032052273</v>
      </c>
      <c r="G1860" s="512">
        <v>-635956.90096794767</v>
      </c>
      <c r="H1860" s="512">
        <v>0</v>
      </c>
      <c r="I1860" s="659" t="s">
        <v>103</v>
      </c>
      <c r="J1860" s="513">
        <v>0</v>
      </c>
      <c r="K1860" s="513">
        <v>0</v>
      </c>
      <c r="L1860" s="513">
        <v>0</v>
      </c>
      <c r="M1860" s="513">
        <v>-635956.90096794767</v>
      </c>
      <c r="N1860" s="622" t="s">
        <v>1711</v>
      </c>
    </row>
    <row r="1861" spans="2:14" ht="29.1">
      <c r="B1861" s="513" t="s">
        <v>719</v>
      </c>
      <c r="C1861" s="658">
        <v>2009</v>
      </c>
      <c r="D1861" s="513">
        <v>-635956.90096794791</v>
      </c>
      <c r="E1861" s="512">
        <v>47354.52515868951</v>
      </c>
      <c r="F1861" s="513">
        <v>47354.52515868951</v>
      </c>
      <c r="G1861" s="512">
        <v>-588602.37580925843</v>
      </c>
      <c r="H1861" s="512">
        <v>0</v>
      </c>
      <c r="I1861" s="659" t="s">
        <v>103</v>
      </c>
      <c r="J1861" s="513">
        <v>0</v>
      </c>
      <c r="K1861" s="513">
        <v>0</v>
      </c>
      <c r="L1861" s="513">
        <v>0</v>
      </c>
      <c r="M1861" s="513">
        <v>-588602.37580925843</v>
      </c>
      <c r="N1861" s="622" t="s">
        <v>1711</v>
      </c>
    </row>
    <row r="1862" spans="2:14" ht="29.1">
      <c r="B1862" s="513" t="s">
        <v>719</v>
      </c>
      <c r="C1862" s="658">
        <v>2010</v>
      </c>
      <c r="D1862" s="513">
        <v>-588602.37580925832</v>
      </c>
      <c r="E1862" s="512">
        <v>47290.87</v>
      </c>
      <c r="F1862" s="513">
        <v>47290.87</v>
      </c>
      <c r="G1862" s="512">
        <v>-541311.50580925832</v>
      </c>
      <c r="H1862" s="512">
        <v>0</v>
      </c>
      <c r="I1862" s="659" t="s">
        <v>103</v>
      </c>
      <c r="J1862" s="513">
        <v>0</v>
      </c>
      <c r="K1862" s="513">
        <v>0</v>
      </c>
      <c r="L1862" s="513">
        <v>0</v>
      </c>
      <c r="M1862" s="513">
        <v>-541311.50580925832</v>
      </c>
      <c r="N1862" s="622" t="s">
        <v>1711</v>
      </c>
    </row>
    <row r="1863" spans="2:14" ht="29.1">
      <c r="B1863" s="513" t="s">
        <v>719</v>
      </c>
      <c r="C1863" s="658">
        <v>2011</v>
      </c>
      <c r="D1863" s="513">
        <v>-541311.50545839313</v>
      </c>
      <c r="E1863" s="512">
        <v>48274.42037939938</v>
      </c>
      <c r="F1863" s="513">
        <v>48274.42037939938</v>
      </c>
      <c r="G1863" s="660">
        <v>-493037.08507899375</v>
      </c>
      <c r="H1863" s="512">
        <v>0</v>
      </c>
      <c r="I1863" s="659" t="s">
        <v>103</v>
      </c>
      <c r="J1863" s="513">
        <v>0</v>
      </c>
      <c r="K1863" s="513">
        <v>0</v>
      </c>
      <c r="L1863" s="513">
        <v>0</v>
      </c>
      <c r="M1863" s="513">
        <v>-493037.08507899375</v>
      </c>
      <c r="N1863" s="622" t="s">
        <v>1711</v>
      </c>
    </row>
    <row r="1864" spans="2:14" ht="29.1">
      <c r="B1864" s="513" t="s">
        <v>719</v>
      </c>
      <c r="C1864" s="658">
        <v>2012</v>
      </c>
      <c r="D1864" s="513">
        <v>-493037.08507899381</v>
      </c>
      <c r="E1864" s="513">
        <v>32796.717564651946</v>
      </c>
      <c r="F1864" s="513">
        <v>32796.717564651946</v>
      </c>
      <c r="G1864" s="660">
        <v>-460240.36751434184</v>
      </c>
      <c r="H1864" s="512">
        <v>0</v>
      </c>
      <c r="I1864" s="659" t="s">
        <v>103</v>
      </c>
      <c r="J1864" s="513">
        <v>0</v>
      </c>
      <c r="K1864" s="513">
        <v>0</v>
      </c>
      <c r="L1864" s="513">
        <v>0</v>
      </c>
      <c r="M1864" s="513">
        <v>-460240.36751434184</v>
      </c>
      <c r="N1864" s="622" t="s">
        <v>1711</v>
      </c>
    </row>
    <row r="1865" spans="2:14" ht="29.1">
      <c r="B1865" s="513" t="s">
        <v>719</v>
      </c>
      <c r="C1865" s="658">
        <v>2013</v>
      </c>
      <c r="D1865" s="513">
        <v>-460240.36751434184</v>
      </c>
      <c r="E1865" s="513">
        <v>54348.917830674283</v>
      </c>
      <c r="F1865" s="513">
        <v>54348.917830674283</v>
      </c>
      <c r="G1865" s="660">
        <v>-405891.44968366757</v>
      </c>
      <c r="H1865" s="512">
        <v>0</v>
      </c>
      <c r="I1865" s="659" t="s">
        <v>103</v>
      </c>
      <c r="J1865" s="513">
        <v>0</v>
      </c>
      <c r="K1865" s="513">
        <v>0</v>
      </c>
      <c r="L1865" s="513">
        <v>0</v>
      </c>
      <c r="M1865" s="513">
        <v>-405891.44968366757</v>
      </c>
      <c r="N1865" s="622" t="s">
        <v>1711</v>
      </c>
    </row>
    <row r="1866" spans="2:14" ht="29.1">
      <c r="B1866" s="513" t="s">
        <v>719</v>
      </c>
      <c r="C1866" s="658">
        <v>2014</v>
      </c>
      <c r="D1866" s="513">
        <v>-405891.44968366763</v>
      </c>
      <c r="E1866" s="513">
        <v>56826.559101904691</v>
      </c>
      <c r="F1866" s="513">
        <v>56826.559101904691</v>
      </c>
      <c r="G1866" s="660">
        <v>-349064.89058176294</v>
      </c>
      <c r="H1866" s="512">
        <v>0</v>
      </c>
      <c r="I1866" s="659" t="s">
        <v>103</v>
      </c>
      <c r="J1866" s="513">
        <v>0</v>
      </c>
      <c r="K1866" s="513">
        <v>0</v>
      </c>
      <c r="L1866" s="513">
        <v>0</v>
      </c>
      <c r="M1866" s="513">
        <v>-349064.89058176294</v>
      </c>
      <c r="N1866" s="622" t="s">
        <v>1711</v>
      </c>
    </row>
    <row r="1867" spans="2:14" ht="29.1">
      <c r="B1867" s="513" t="s">
        <v>719</v>
      </c>
      <c r="C1867" s="658">
        <v>2015</v>
      </c>
      <c r="D1867" s="513">
        <v>-349064.89058176288</v>
      </c>
      <c r="E1867" s="513">
        <v>57831.519074345357</v>
      </c>
      <c r="F1867" s="513">
        <v>57831.519074345357</v>
      </c>
      <c r="G1867" s="660">
        <v>-291233.37150741753</v>
      </c>
      <c r="H1867" s="660">
        <v>0</v>
      </c>
      <c r="I1867" s="659" t="s">
        <v>103</v>
      </c>
      <c r="J1867" s="513">
        <v>0</v>
      </c>
      <c r="K1867" s="513">
        <v>0</v>
      </c>
      <c r="L1867" s="513">
        <v>0</v>
      </c>
      <c r="M1867" s="513">
        <v>-291233.37150741753</v>
      </c>
      <c r="N1867" s="622" t="s">
        <v>1711</v>
      </c>
    </row>
    <row r="1868" spans="2:14" ht="29.1">
      <c r="B1868" s="513" t="s">
        <v>719</v>
      </c>
      <c r="C1868" s="658">
        <v>2016</v>
      </c>
      <c r="D1868" s="513">
        <v>-291233.37150741741</v>
      </c>
      <c r="E1868" s="513">
        <v>39382.531745946661</v>
      </c>
      <c r="F1868" s="513">
        <v>39382.531745946661</v>
      </c>
      <c r="G1868" s="660">
        <v>-251850.83976147074</v>
      </c>
      <c r="H1868" s="660">
        <v>0</v>
      </c>
      <c r="I1868" s="659" t="s">
        <v>103</v>
      </c>
      <c r="J1868" s="513">
        <v>0</v>
      </c>
      <c r="K1868" s="513">
        <v>0</v>
      </c>
      <c r="L1868" s="513">
        <v>0</v>
      </c>
      <c r="M1868" s="513">
        <v>-251850.83976147074</v>
      </c>
      <c r="N1868" s="622" t="s">
        <v>1711</v>
      </c>
    </row>
    <row r="1869" spans="2:14" ht="29.1">
      <c r="B1869" s="513" t="s">
        <v>719</v>
      </c>
      <c r="C1869" s="658">
        <v>2017</v>
      </c>
      <c r="D1869" s="513">
        <v>-251850.83976147068</v>
      </c>
      <c r="E1869" s="513">
        <v>35825.67510418297</v>
      </c>
      <c r="F1869" s="513">
        <v>35825.67510418297</v>
      </c>
      <c r="G1869" s="513">
        <v>-216025.16465728771</v>
      </c>
      <c r="H1869" s="513">
        <v>0</v>
      </c>
      <c r="I1869" s="659" t="s">
        <v>103</v>
      </c>
      <c r="J1869" s="513">
        <v>0</v>
      </c>
      <c r="K1869" s="513">
        <v>0</v>
      </c>
      <c r="L1869" s="513">
        <v>0</v>
      </c>
      <c r="M1869" s="513">
        <v>-216025.16465728771</v>
      </c>
      <c r="N1869" s="622" t="s">
        <v>1711</v>
      </c>
    </row>
    <row r="1870" spans="2:14" ht="29.1">
      <c r="B1870" s="513" t="s">
        <v>719</v>
      </c>
      <c r="C1870" s="889">
        <v>2018</v>
      </c>
      <c r="D1870" s="513">
        <v>-216025.16465728771</v>
      </c>
      <c r="E1870" s="513">
        <f>VLOOKUP(B1870,'[6]2018 allocation'!$A$11:$B$218,2, FALSE)</f>
        <v>38889.772134397004</v>
      </c>
      <c r="F1870" s="513">
        <f>E1870</f>
        <v>38889.772134397004</v>
      </c>
      <c r="G1870" s="513">
        <f>D1870+E1870</f>
        <v>-177135.3925228907</v>
      </c>
      <c r="H1870" s="513">
        <v>0</v>
      </c>
      <c r="I1870" s="622" t="s">
        <v>103</v>
      </c>
      <c r="J1870" s="513">
        <f>VLOOKUP(B1870,'[6]Annual Spending Worksheet '!$C$6:$AG$250,28,FALSE)</f>
        <v>0</v>
      </c>
      <c r="K1870" s="513">
        <f>VLOOKUP(B1870,'[6]Annual Spending Worksheet '!$C$6:$AG$250,29,FALSE)</f>
        <v>0</v>
      </c>
      <c r="L1870" s="513">
        <v>0</v>
      </c>
      <c r="M1870" s="513">
        <f>D1870+E1870+H1870-J1870</f>
        <v>-177135.3925228907</v>
      </c>
      <c r="N1870" s="622" t="s">
        <v>1711</v>
      </c>
    </row>
    <row r="1871" spans="2:14" ht="29.1">
      <c r="B1871" s="513" t="s">
        <v>719</v>
      </c>
      <c r="C1871" s="889">
        <v>2019</v>
      </c>
      <c r="D1871" s="513">
        <v>-177135.3925228907</v>
      </c>
      <c r="E1871" s="513">
        <v>42067.042768992171</v>
      </c>
      <c r="F1871" s="513">
        <v>42067.042768992171</v>
      </c>
      <c r="G1871" s="513">
        <v>-135068.34975389854</v>
      </c>
      <c r="H1871" s="513">
        <v>0</v>
      </c>
      <c r="I1871" s="622" t="s">
        <v>103</v>
      </c>
      <c r="J1871" s="513">
        <v>0</v>
      </c>
      <c r="K1871" s="513">
        <v>0</v>
      </c>
      <c r="L1871" s="513">
        <v>0</v>
      </c>
      <c r="M1871" s="513">
        <v>-135068.34975389854</v>
      </c>
      <c r="N1871" s="622" t="s">
        <v>1711</v>
      </c>
    </row>
    <row r="1872" spans="2:14">
      <c r="B1872" s="513" t="s">
        <v>720</v>
      </c>
      <c r="C1872" s="658">
        <v>2008</v>
      </c>
      <c r="D1872" s="513">
        <v>808.95899999999995</v>
      </c>
      <c r="E1872" s="512">
        <v>1041.1847470210332</v>
      </c>
      <c r="F1872" s="513">
        <v>1041.1847470210332</v>
      </c>
      <c r="G1872" s="512">
        <v>0</v>
      </c>
      <c r="H1872" s="512">
        <v>0</v>
      </c>
      <c r="I1872" s="659" t="s">
        <v>103</v>
      </c>
      <c r="J1872" s="513">
        <v>0</v>
      </c>
      <c r="K1872" s="513">
        <v>0</v>
      </c>
      <c r="L1872" s="513">
        <v>0</v>
      </c>
      <c r="M1872" s="513">
        <v>1850.1437470210331</v>
      </c>
      <c r="N1872" s="622"/>
    </row>
    <row r="1873" spans="2:14">
      <c r="B1873" s="513" t="s">
        <v>720</v>
      </c>
      <c r="C1873" s="658">
        <v>2009</v>
      </c>
      <c r="D1873" s="513">
        <v>1850.1437470210331</v>
      </c>
      <c r="E1873" s="512">
        <v>515.13204633583416</v>
      </c>
      <c r="F1873" s="513">
        <v>515.13204633583416</v>
      </c>
      <c r="G1873" s="512">
        <v>0</v>
      </c>
      <c r="H1873" s="512">
        <v>0</v>
      </c>
      <c r="I1873" s="659" t="s">
        <v>103</v>
      </c>
      <c r="J1873" s="513">
        <v>0</v>
      </c>
      <c r="K1873" s="513">
        <v>0</v>
      </c>
      <c r="L1873" s="513">
        <v>0</v>
      </c>
      <c r="M1873" s="513">
        <v>2365.2757933568673</v>
      </c>
      <c r="N1873" s="622"/>
    </row>
    <row r="1874" spans="2:14">
      <c r="B1874" s="513" t="s">
        <v>720</v>
      </c>
      <c r="C1874" s="658">
        <v>2010</v>
      </c>
      <c r="D1874" s="513">
        <v>2365.2757933568673</v>
      </c>
      <c r="E1874" s="512">
        <v>514.30999999999995</v>
      </c>
      <c r="F1874" s="513">
        <v>514.30999999999995</v>
      </c>
      <c r="G1874" s="512">
        <v>0</v>
      </c>
      <c r="H1874" s="512">
        <v>0</v>
      </c>
      <c r="I1874" s="659" t="s">
        <v>103</v>
      </c>
      <c r="J1874" s="513">
        <v>0</v>
      </c>
      <c r="K1874" s="513">
        <v>0</v>
      </c>
      <c r="L1874" s="513">
        <v>0</v>
      </c>
      <c r="M1874" s="513">
        <v>2879.5857933568673</v>
      </c>
      <c r="N1874" s="622"/>
    </row>
    <row r="1875" spans="2:14">
      <c r="B1875" s="513" t="s">
        <v>720</v>
      </c>
      <c r="C1875" s="658">
        <v>2011</v>
      </c>
      <c r="D1875" s="513">
        <v>2879.5808603220421</v>
      </c>
      <c r="E1875" s="512">
        <v>566.94590448174063</v>
      </c>
      <c r="F1875" s="513">
        <v>566.94590448174063</v>
      </c>
      <c r="G1875" s="512">
        <v>0</v>
      </c>
      <c r="H1875" s="512">
        <v>0</v>
      </c>
      <c r="I1875" s="659" t="s">
        <v>103</v>
      </c>
      <c r="J1875" s="513">
        <v>0</v>
      </c>
      <c r="K1875" s="513">
        <v>0</v>
      </c>
      <c r="L1875" s="513">
        <v>0</v>
      </c>
      <c r="M1875" s="513">
        <v>3446.5267648037825</v>
      </c>
      <c r="N1875" s="622"/>
    </row>
    <row r="1876" spans="2:14">
      <c r="B1876" s="513" t="s">
        <v>720</v>
      </c>
      <c r="C1876" s="658">
        <v>2012</v>
      </c>
      <c r="D1876" s="513">
        <v>3446.5267648037825</v>
      </c>
      <c r="E1876" s="513">
        <v>0</v>
      </c>
      <c r="F1876" s="513">
        <v>0</v>
      </c>
      <c r="G1876" s="512">
        <v>0</v>
      </c>
      <c r="H1876" s="512">
        <v>0</v>
      </c>
      <c r="I1876" s="659" t="s">
        <v>103</v>
      </c>
      <c r="J1876" s="513">
        <v>0</v>
      </c>
      <c r="K1876" s="513">
        <v>0</v>
      </c>
      <c r="L1876" s="513">
        <v>0</v>
      </c>
      <c r="M1876" s="513">
        <v>3446.5267648037825</v>
      </c>
      <c r="N1876" s="622"/>
    </row>
    <row r="1877" spans="2:14">
      <c r="B1877" s="513" t="s">
        <v>720</v>
      </c>
      <c r="C1877" s="658">
        <v>2013</v>
      </c>
      <c r="D1877" s="513">
        <v>3446.5267648037825</v>
      </c>
      <c r="E1877" s="513">
        <v>858.37009979019558</v>
      </c>
      <c r="F1877" s="513">
        <v>858.37009979019558</v>
      </c>
      <c r="G1877" s="512">
        <v>0</v>
      </c>
      <c r="H1877" s="512">
        <v>0</v>
      </c>
      <c r="I1877" s="659" t="s">
        <v>103</v>
      </c>
      <c r="J1877" s="513">
        <v>0</v>
      </c>
      <c r="K1877" s="513">
        <v>0</v>
      </c>
      <c r="L1877" s="513">
        <v>0</v>
      </c>
      <c r="M1877" s="513">
        <v>4304.8968645939785</v>
      </c>
      <c r="N1877" s="622"/>
    </row>
    <row r="1878" spans="2:14">
      <c r="B1878" s="513" t="s">
        <v>720</v>
      </c>
      <c r="C1878" s="658">
        <v>2014</v>
      </c>
      <c r="D1878" s="513">
        <v>4304.8968645939785</v>
      </c>
      <c r="E1878" s="513">
        <v>987.21554818344782</v>
      </c>
      <c r="F1878" s="513">
        <v>987.21554818344782</v>
      </c>
      <c r="G1878" s="512">
        <v>0</v>
      </c>
      <c r="H1878" s="512">
        <v>0</v>
      </c>
      <c r="I1878" s="659" t="s">
        <v>103</v>
      </c>
      <c r="J1878" s="513">
        <v>0</v>
      </c>
      <c r="K1878" s="513">
        <v>0</v>
      </c>
      <c r="L1878" s="513">
        <v>0</v>
      </c>
      <c r="M1878" s="513">
        <v>5292.1124127774265</v>
      </c>
      <c r="N1878" s="622"/>
    </row>
    <row r="1879" spans="2:14">
      <c r="B1879" s="513" t="s">
        <v>720</v>
      </c>
      <c r="C1879" s="658">
        <v>2015</v>
      </c>
      <c r="D1879" s="513">
        <v>5292.1124127774265</v>
      </c>
      <c r="E1879" s="513">
        <v>1041.9659961698203</v>
      </c>
      <c r="F1879" s="513">
        <v>1041.9659961698203</v>
      </c>
      <c r="G1879" s="660">
        <v>0</v>
      </c>
      <c r="H1879" s="660">
        <v>0</v>
      </c>
      <c r="I1879" s="659" t="s">
        <v>103</v>
      </c>
      <c r="J1879" s="513">
        <v>0</v>
      </c>
      <c r="K1879" s="513">
        <v>0</v>
      </c>
      <c r="L1879" s="513">
        <v>0</v>
      </c>
      <c r="M1879" s="513">
        <v>6334.0784089472472</v>
      </c>
      <c r="N1879" s="622"/>
    </row>
    <row r="1880" spans="2:14">
      <c r="B1880" s="513" t="s">
        <v>720</v>
      </c>
      <c r="C1880" s="658">
        <v>2016</v>
      </c>
      <c r="D1880" s="513">
        <v>6334.0784089472472</v>
      </c>
      <c r="E1880" s="513">
        <v>0</v>
      </c>
      <c r="F1880" s="513">
        <v>0</v>
      </c>
      <c r="G1880" s="660">
        <v>0</v>
      </c>
      <c r="H1880" s="660">
        <v>0</v>
      </c>
      <c r="I1880" s="659" t="s">
        <v>103</v>
      </c>
      <c r="J1880" s="513">
        <v>0</v>
      </c>
      <c r="K1880" s="513">
        <v>0</v>
      </c>
      <c r="L1880" s="513">
        <v>0</v>
      </c>
      <c r="M1880" s="513">
        <v>6334.0784089472472</v>
      </c>
      <c r="N1880" s="622"/>
    </row>
    <row r="1881" spans="2:14">
      <c r="B1881" s="513" t="s">
        <v>720</v>
      </c>
      <c r="C1881" s="658">
        <v>2017</v>
      </c>
      <c r="D1881" s="513">
        <v>6334.0784089472472</v>
      </c>
      <c r="E1881" s="513">
        <v>0</v>
      </c>
      <c r="F1881" s="513">
        <v>0</v>
      </c>
      <c r="G1881" s="513">
        <v>0</v>
      </c>
      <c r="H1881" s="513">
        <v>0</v>
      </c>
      <c r="I1881" s="659" t="s">
        <v>103</v>
      </c>
      <c r="J1881" s="513">
        <v>0</v>
      </c>
      <c r="K1881" s="513">
        <v>0</v>
      </c>
      <c r="L1881" s="513">
        <v>0</v>
      </c>
      <c r="M1881" s="513">
        <v>6334.0784089472472</v>
      </c>
      <c r="N1881" s="622"/>
    </row>
    <row r="1882" spans="2:14">
      <c r="B1882" s="513" t="s">
        <v>720</v>
      </c>
      <c r="C1882" s="889">
        <v>2018</v>
      </c>
      <c r="D1882" s="513">
        <v>6334.0784089472472</v>
      </c>
      <c r="E1882" s="513">
        <f>VLOOKUP(B1882,'[6]2018 allocation'!$A$11:$B$218,2, FALSE)</f>
        <v>0</v>
      </c>
      <c r="F1882" s="513">
        <f>E1882</f>
        <v>0</v>
      </c>
      <c r="G1882" s="513">
        <v>0</v>
      </c>
      <c r="H1882" s="513">
        <v>0</v>
      </c>
      <c r="I1882" s="622" t="s">
        <v>103</v>
      </c>
      <c r="J1882" s="513">
        <f>VLOOKUP(B1882,'[6]Annual Spending Worksheet '!$C$6:$AG$250,28,FALSE)</f>
        <v>0</v>
      </c>
      <c r="K1882" s="513">
        <f>VLOOKUP(B1882,'[6]Annual Spending Worksheet '!$C$6:$AG$250,29,FALSE)</f>
        <v>0</v>
      </c>
      <c r="L1882" s="513">
        <v>0</v>
      </c>
      <c r="M1882" s="513">
        <f>D1882+E1882+H1882-J1882</f>
        <v>6334.0784089472472</v>
      </c>
      <c r="N1882" s="513"/>
    </row>
    <row r="1883" spans="2:14">
      <c r="B1883" s="513" t="s">
        <v>720</v>
      </c>
      <c r="C1883" s="889">
        <v>2019</v>
      </c>
      <c r="D1883" s="513">
        <v>6334.0784089472472</v>
      </c>
      <c r="E1883" s="513">
        <v>55.590129564075937</v>
      </c>
      <c r="F1883" s="513">
        <v>55.590129564075937</v>
      </c>
      <c r="G1883" s="513">
        <v>0</v>
      </c>
      <c r="H1883" s="513">
        <v>0</v>
      </c>
      <c r="I1883" s="622" t="s">
        <v>103</v>
      </c>
      <c r="J1883" s="513">
        <v>0</v>
      </c>
      <c r="K1883" s="513">
        <v>0</v>
      </c>
      <c r="L1883" s="513">
        <v>0</v>
      </c>
      <c r="M1883" s="513">
        <v>6389.6685385113233</v>
      </c>
      <c r="N1883" s="513"/>
    </row>
    <row r="1884" spans="2:14">
      <c r="B1884" s="513" t="s">
        <v>721</v>
      </c>
      <c r="C1884" s="658">
        <v>2008</v>
      </c>
      <c r="D1884" s="513">
        <v>1063831.3429999999</v>
      </c>
      <c r="E1884" s="512">
        <v>50100.966009619027</v>
      </c>
      <c r="F1884" s="513">
        <v>50100.966009619027</v>
      </c>
      <c r="G1884" s="513">
        <v>0</v>
      </c>
      <c r="H1884" s="512">
        <v>0</v>
      </c>
      <c r="I1884" s="659" t="s">
        <v>103</v>
      </c>
      <c r="J1884" s="513">
        <v>0</v>
      </c>
      <c r="K1884" s="513">
        <v>0</v>
      </c>
      <c r="L1884" s="513">
        <v>0</v>
      </c>
      <c r="M1884" s="513">
        <v>1113932.3090096188</v>
      </c>
      <c r="N1884" s="622"/>
    </row>
    <row r="1885" spans="2:14">
      <c r="B1885" s="513" t="s">
        <v>721</v>
      </c>
      <c r="C1885" s="658">
        <v>2009</v>
      </c>
      <c r="D1885" s="513">
        <v>1113932.3090096188</v>
      </c>
      <c r="E1885" s="512">
        <v>33638.023687390792</v>
      </c>
      <c r="F1885" s="513">
        <v>33638.023687390792</v>
      </c>
      <c r="G1885" s="660">
        <v>0</v>
      </c>
      <c r="H1885" s="512">
        <v>0</v>
      </c>
      <c r="I1885" s="659" t="s">
        <v>103</v>
      </c>
      <c r="J1885" s="513">
        <v>256712.39</v>
      </c>
      <c r="K1885" s="513">
        <v>0</v>
      </c>
      <c r="L1885" s="513">
        <v>0</v>
      </c>
      <c r="M1885" s="513">
        <v>890857.94269700965</v>
      </c>
      <c r="N1885" s="622"/>
    </row>
    <row r="1886" spans="2:14">
      <c r="B1886" s="513" t="s">
        <v>721</v>
      </c>
      <c r="C1886" s="658">
        <v>2010</v>
      </c>
      <c r="D1886" s="513">
        <v>890857.94269700965</v>
      </c>
      <c r="E1886" s="512">
        <v>33548.97</v>
      </c>
      <c r="F1886" s="513">
        <v>33548.97</v>
      </c>
      <c r="G1886" s="660">
        <v>0</v>
      </c>
      <c r="H1886" s="512">
        <v>0</v>
      </c>
      <c r="I1886" s="659" t="s">
        <v>103</v>
      </c>
      <c r="J1886" s="513">
        <v>59267.94</v>
      </c>
      <c r="K1886" s="513">
        <v>0</v>
      </c>
      <c r="L1886" s="513">
        <v>0</v>
      </c>
      <c r="M1886" s="513">
        <v>865138.97269700957</v>
      </c>
      <c r="N1886" s="622"/>
    </row>
    <row r="1887" spans="2:14">
      <c r="B1887" s="513" t="s">
        <v>721</v>
      </c>
      <c r="C1887" s="658">
        <v>2011</v>
      </c>
      <c r="D1887" s="513">
        <v>865138.96984490985</v>
      </c>
      <c r="E1887" s="512">
        <v>34754.150546755736</v>
      </c>
      <c r="F1887" s="513">
        <v>34754.150546755736</v>
      </c>
      <c r="G1887" s="512">
        <v>0</v>
      </c>
      <c r="H1887" s="512">
        <v>0</v>
      </c>
      <c r="I1887" s="659" t="s">
        <v>103</v>
      </c>
      <c r="J1887" s="513">
        <v>77308</v>
      </c>
      <c r="K1887" s="513">
        <v>0</v>
      </c>
      <c r="L1887" s="513">
        <v>0</v>
      </c>
      <c r="M1887" s="513">
        <v>822585.12039166561</v>
      </c>
      <c r="N1887" s="622"/>
    </row>
    <row r="1888" spans="2:14">
      <c r="B1888" s="513" t="s">
        <v>721</v>
      </c>
      <c r="C1888" s="658">
        <v>2012</v>
      </c>
      <c r="D1888" s="513">
        <v>822585.12039166549</v>
      </c>
      <c r="E1888" s="513">
        <v>15208.666786539568</v>
      </c>
      <c r="F1888" s="513">
        <v>15208.666786539568</v>
      </c>
      <c r="G1888" s="512">
        <v>0</v>
      </c>
      <c r="H1888" s="512">
        <v>0</v>
      </c>
      <c r="I1888" s="659" t="s">
        <v>103</v>
      </c>
      <c r="J1888" s="513">
        <v>840617.14999999991</v>
      </c>
      <c r="K1888" s="513">
        <v>1237193</v>
      </c>
      <c r="L1888" s="513">
        <v>0</v>
      </c>
      <c r="M1888" s="513">
        <v>-2823.3628217948135</v>
      </c>
      <c r="N1888" s="622" t="s">
        <v>1790</v>
      </c>
    </row>
    <row r="1889" spans="2:14">
      <c r="B1889" s="513" t="s">
        <v>721</v>
      </c>
      <c r="C1889" s="658">
        <v>2013</v>
      </c>
      <c r="D1889" s="513">
        <v>-2823.3628217948135</v>
      </c>
      <c r="E1889" s="513">
        <v>42208.709031955681</v>
      </c>
      <c r="F1889" s="513">
        <v>42208.709031955681</v>
      </c>
      <c r="G1889" s="512">
        <v>0</v>
      </c>
      <c r="H1889" s="512">
        <v>0</v>
      </c>
      <c r="I1889" s="659" t="s">
        <v>103</v>
      </c>
      <c r="J1889" s="513">
        <v>9447.8300000000017</v>
      </c>
      <c r="K1889" s="513">
        <v>0</v>
      </c>
      <c r="L1889" s="513">
        <v>-6160.59</v>
      </c>
      <c r="M1889" s="513">
        <v>36098.10621016087</v>
      </c>
      <c r="N1889" s="622"/>
    </row>
    <row r="1890" spans="2:14">
      <c r="B1890" s="513" t="s">
        <v>721</v>
      </c>
      <c r="C1890" s="658">
        <v>2014</v>
      </c>
      <c r="D1890" s="513">
        <v>36098.106210160535</v>
      </c>
      <c r="E1890" s="513">
        <v>45366.004844584233</v>
      </c>
      <c r="F1890" s="513">
        <v>45366.004844584233</v>
      </c>
      <c r="G1890" s="512">
        <v>0</v>
      </c>
      <c r="H1890" s="512">
        <v>0</v>
      </c>
      <c r="I1890" s="659" t="s">
        <v>103</v>
      </c>
      <c r="J1890" s="513">
        <v>0</v>
      </c>
      <c r="K1890" s="513">
        <v>0</v>
      </c>
      <c r="L1890" s="513">
        <v>0</v>
      </c>
      <c r="M1890" s="513">
        <v>81464.111054744775</v>
      </c>
      <c r="N1890" s="622"/>
    </row>
    <row r="1891" spans="2:14">
      <c r="B1891" s="513" t="s">
        <v>721</v>
      </c>
      <c r="C1891" s="658">
        <v>2015</v>
      </c>
      <c r="D1891" s="513">
        <v>81464.111054744804</v>
      </c>
      <c r="E1891" s="513">
        <v>46642.209600740935</v>
      </c>
      <c r="F1891" s="513">
        <v>46642.209600740935</v>
      </c>
      <c r="G1891" s="660">
        <v>0</v>
      </c>
      <c r="H1891" s="660">
        <v>0</v>
      </c>
      <c r="I1891" s="659" t="s">
        <v>103</v>
      </c>
      <c r="J1891" s="513">
        <v>0</v>
      </c>
      <c r="K1891" s="513">
        <v>0</v>
      </c>
      <c r="L1891" s="513">
        <v>0</v>
      </c>
      <c r="M1891" s="513">
        <v>128106.32065548573</v>
      </c>
      <c r="N1891" s="622"/>
    </row>
    <row r="1892" spans="2:14">
      <c r="B1892" s="513" t="s">
        <v>721</v>
      </c>
      <c r="C1892" s="658">
        <v>2016</v>
      </c>
      <c r="D1892" s="513">
        <v>128106.32065548585</v>
      </c>
      <c r="E1892" s="513">
        <v>23133.885447498815</v>
      </c>
      <c r="F1892" s="513">
        <v>23133.885447498815</v>
      </c>
      <c r="G1892" s="660">
        <v>0</v>
      </c>
      <c r="H1892" s="660">
        <v>0</v>
      </c>
      <c r="I1892" s="659" t="s">
        <v>103</v>
      </c>
      <c r="J1892" s="513">
        <v>0</v>
      </c>
      <c r="K1892" s="513">
        <v>0</v>
      </c>
      <c r="L1892" s="513">
        <v>0</v>
      </c>
      <c r="M1892" s="513">
        <v>151240.20610298467</v>
      </c>
      <c r="N1892" s="622"/>
    </row>
    <row r="1893" spans="2:14">
      <c r="B1893" s="513" t="s">
        <v>721</v>
      </c>
      <c r="C1893" s="658">
        <v>2017</v>
      </c>
      <c r="D1893" s="513">
        <v>151240.20610298472</v>
      </c>
      <c r="E1893" s="513">
        <v>18473.602151083811</v>
      </c>
      <c r="F1893" s="513">
        <v>18473.602151083811</v>
      </c>
      <c r="G1893" s="513">
        <v>0</v>
      </c>
      <c r="H1893" s="513">
        <v>0</v>
      </c>
      <c r="I1893" s="659" t="s">
        <v>103</v>
      </c>
      <c r="J1893" s="513">
        <v>0</v>
      </c>
      <c r="K1893" s="513">
        <v>0</v>
      </c>
      <c r="L1893" s="513">
        <v>0</v>
      </c>
      <c r="M1893" s="513">
        <v>169713.80825406854</v>
      </c>
      <c r="N1893" s="622"/>
    </row>
    <row r="1894" spans="2:14">
      <c r="B1894" s="513" t="s">
        <v>721</v>
      </c>
      <c r="C1894" s="889">
        <v>2018</v>
      </c>
      <c r="D1894" s="513">
        <v>169713.80825406854</v>
      </c>
      <c r="E1894" s="513">
        <f>VLOOKUP(B1894,'[6]2018 allocation'!$A$11:$B$218,2, FALSE)</f>
        <v>22239.844626773647</v>
      </c>
      <c r="F1894" s="513">
        <f>E1894</f>
        <v>22239.844626773647</v>
      </c>
      <c r="G1894" s="513">
        <v>0</v>
      </c>
      <c r="H1894" s="513">
        <v>0</v>
      </c>
      <c r="I1894" s="622" t="s">
        <v>103</v>
      </c>
      <c r="J1894" s="513">
        <f>VLOOKUP(B1894,'[6]Annual Spending Worksheet '!$C$6:$AG$250,28,FALSE)</f>
        <v>0</v>
      </c>
      <c r="K1894" s="513">
        <f>VLOOKUP(B1894,'[6]Annual Spending Worksheet '!$C$6:$AG$250,29,FALSE)</f>
        <v>0</v>
      </c>
      <c r="L1894" s="513">
        <v>0</v>
      </c>
      <c r="M1894" s="513">
        <f>D1894+E1894+H1894-J1894</f>
        <v>191953.65288084219</v>
      </c>
      <c r="N1894" s="513"/>
    </row>
    <row r="1895" spans="2:14">
      <c r="B1895" s="513" t="s">
        <v>721</v>
      </c>
      <c r="C1895" s="889">
        <v>2019</v>
      </c>
      <c r="D1895" s="513">
        <v>191953.65288084219</v>
      </c>
      <c r="E1895" s="513">
        <v>26328.776768996486</v>
      </c>
      <c r="F1895" s="513">
        <v>26328.776768996486</v>
      </c>
      <c r="G1895" s="513">
        <v>0</v>
      </c>
      <c r="H1895" s="513">
        <v>0</v>
      </c>
      <c r="I1895" s="622" t="s">
        <v>103</v>
      </c>
      <c r="J1895" s="513">
        <v>0</v>
      </c>
      <c r="K1895" s="513">
        <v>0</v>
      </c>
      <c r="L1895" s="513">
        <v>0</v>
      </c>
      <c r="M1895" s="513">
        <v>218282.42964983868</v>
      </c>
      <c r="N1895" s="513"/>
    </row>
    <row r="1896" spans="2:14">
      <c r="B1896" s="513" t="s">
        <v>724</v>
      </c>
      <c r="C1896" s="658">
        <v>2008</v>
      </c>
      <c r="D1896" s="513">
        <v>955217.02699999989</v>
      </c>
      <c r="E1896" s="512">
        <v>76242.450509965274</v>
      </c>
      <c r="F1896" s="513">
        <v>76242.450509965274</v>
      </c>
      <c r="G1896" s="512">
        <v>0</v>
      </c>
      <c r="H1896" s="512">
        <v>0</v>
      </c>
      <c r="I1896" s="659" t="s">
        <v>103</v>
      </c>
      <c r="J1896" s="513">
        <v>1100504.8800000001</v>
      </c>
      <c r="K1896" s="513">
        <v>0</v>
      </c>
      <c r="L1896" s="513">
        <v>0</v>
      </c>
      <c r="M1896" s="513">
        <v>-69045.402490034932</v>
      </c>
      <c r="N1896" s="622" t="s">
        <v>1715</v>
      </c>
    </row>
    <row r="1897" spans="2:14">
      <c r="B1897" s="513" t="s">
        <v>724</v>
      </c>
      <c r="C1897" s="658">
        <v>2009</v>
      </c>
      <c r="D1897" s="513">
        <v>-69045.402490035165</v>
      </c>
      <c r="E1897" s="512">
        <v>47027.296303537645</v>
      </c>
      <c r="F1897" s="513">
        <v>47027.296303537645</v>
      </c>
      <c r="G1897" s="512">
        <v>-22018.10618649752</v>
      </c>
      <c r="H1897" s="512">
        <v>0</v>
      </c>
      <c r="I1897" s="659" t="s">
        <v>103</v>
      </c>
      <c r="J1897" s="513">
        <v>15478.51</v>
      </c>
      <c r="K1897" s="513">
        <v>0</v>
      </c>
      <c r="L1897" s="513">
        <v>0</v>
      </c>
      <c r="M1897" s="513">
        <v>-37496.616186497522</v>
      </c>
      <c r="N1897" s="622" t="s">
        <v>1715</v>
      </c>
    </row>
    <row r="1898" spans="2:14">
      <c r="B1898" s="513" t="s">
        <v>724</v>
      </c>
      <c r="C1898" s="658">
        <v>2010</v>
      </c>
      <c r="D1898" s="513">
        <v>-37496.616186497267</v>
      </c>
      <c r="E1898" s="512">
        <v>46801.58</v>
      </c>
      <c r="F1898" s="513">
        <v>46801.58</v>
      </c>
      <c r="G1898" s="512">
        <v>0</v>
      </c>
      <c r="H1898" s="512">
        <v>0</v>
      </c>
      <c r="I1898" s="659" t="s">
        <v>103</v>
      </c>
      <c r="J1898" s="513">
        <v>-5634.7</v>
      </c>
      <c r="K1898" s="513">
        <v>0</v>
      </c>
      <c r="L1898" s="513">
        <v>-5288</v>
      </c>
      <c r="M1898" s="513">
        <v>20227.663813502735</v>
      </c>
      <c r="N1898" s="622"/>
    </row>
    <row r="1899" spans="2:14">
      <c r="B1899" s="513" t="s">
        <v>724</v>
      </c>
      <c r="C1899" s="658">
        <v>2011</v>
      </c>
      <c r="D1899" s="513">
        <v>20227.179417127976</v>
      </c>
      <c r="E1899" s="512">
        <v>48845.51529352893</v>
      </c>
      <c r="F1899" s="513">
        <v>48845.51529352893</v>
      </c>
      <c r="G1899" s="512">
        <v>0</v>
      </c>
      <c r="H1899" s="512">
        <v>0</v>
      </c>
      <c r="I1899" s="659" t="s">
        <v>103</v>
      </c>
      <c r="J1899" s="513">
        <v>0</v>
      </c>
      <c r="K1899" s="513">
        <v>0</v>
      </c>
      <c r="L1899" s="513">
        <v>0</v>
      </c>
      <c r="M1899" s="513">
        <v>69072.694710656913</v>
      </c>
      <c r="N1899" s="622"/>
    </row>
    <row r="1900" spans="2:14">
      <c r="B1900" s="513" t="s">
        <v>724</v>
      </c>
      <c r="C1900" s="658">
        <v>2012</v>
      </c>
      <c r="D1900" s="513">
        <v>69072.694710657001</v>
      </c>
      <c r="E1900" s="513">
        <v>12639.534888239519</v>
      </c>
      <c r="F1900" s="513">
        <v>12639.534888239519</v>
      </c>
      <c r="G1900" s="512">
        <v>0</v>
      </c>
      <c r="H1900" s="512">
        <v>0</v>
      </c>
      <c r="I1900" s="659" t="s">
        <v>103</v>
      </c>
      <c r="J1900" s="513">
        <v>0</v>
      </c>
      <c r="K1900" s="513">
        <v>0</v>
      </c>
      <c r="L1900" s="513">
        <v>0</v>
      </c>
      <c r="M1900" s="513">
        <v>81712.22959889652</v>
      </c>
      <c r="N1900" s="622"/>
    </row>
    <row r="1901" spans="2:14">
      <c r="B1901" s="513" t="s">
        <v>724</v>
      </c>
      <c r="C1901" s="658">
        <v>2013</v>
      </c>
      <c r="D1901" s="513">
        <v>81712.229598896578</v>
      </c>
      <c r="E1901" s="513">
        <v>62604.251171265598</v>
      </c>
      <c r="F1901" s="513">
        <v>62604.251171265598</v>
      </c>
      <c r="G1901" s="512">
        <v>0</v>
      </c>
      <c r="H1901" s="512">
        <v>0</v>
      </c>
      <c r="I1901" s="659" t="s">
        <v>103</v>
      </c>
      <c r="J1901" s="513">
        <v>0</v>
      </c>
      <c r="K1901" s="513">
        <v>0</v>
      </c>
      <c r="L1901" s="513">
        <v>0</v>
      </c>
      <c r="M1901" s="513">
        <v>144316.48077016219</v>
      </c>
      <c r="N1901" s="622"/>
    </row>
    <row r="1902" spans="2:14">
      <c r="B1902" s="513" t="s">
        <v>724</v>
      </c>
      <c r="C1902" s="658">
        <v>2014</v>
      </c>
      <c r="D1902" s="513">
        <v>144316.48077016207</v>
      </c>
      <c r="E1902" s="513">
        <v>68535.961451421361</v>
      </c>
      <c r="F1902" s="513">
        <v>68535.961451421361</v>
      </c>
      <c r="G1902" s="512">
        <v>0</v>
      </c>
      <c r="H1902" s="512">
        <v>0</v>
      </c>
      <c r="I1902" s="659" t="s">
        <v>103</v>
      </c>
      <c r="J1902" s="513">
        <v>0</v>
      </c>
      <c r="K1902" s="513">
        <v>0</v>
      </c>
      <c r="L1902" s="513">
        <v>0</v>
      </c>
      <c r="M1902" s="513">
        <v>212852.44222158345</v>
      </c>
      <c r="N1902" s="622"/>
    </row>
    <row r="1903" spans="2:14">
      <c r="B1903" s="513" t="s">
        <v>724</v>
      </c>
      <c r="C1903" s="658">
        <v>2015</v>
      </c>
      <c r="D1903" s="513">
        <v>212852.44222158333</v>
      </c>
      <c r="E1903" s="513">
        <v>71214.829890638459</v>
      </c>
      <c r="F1903" s="513">
        <v>71214.829890638459</v>
      </c>
      <c r="G1903" s="660">
        <v>0</v>
      </c>
      <c r="H1903" s="660">
        <v>0</v>
      </c>
      <c r="I1903" s="659" t="s">
        <v>103</v>
      </c>
      <c r="J1903" s="513">
        <v>0</v>
      </c>
      <c r="K1903" s="513">
        <v>0</v>
      </c>
      <c r="L1903" s="513">
        <v>0</v>
      </c>
      <c r="M1903" s="513">
        <v>284067.27211222181</v>
      </c>
      <c r="N1903" s="622"/>
    </row>
    <row r="1904" spans="2:14">
      <c r="B1904" s="513" t="s">
        <v>724</v>
      </c>
      <c r="C1904" s="658">
        <v>2016</v>
      </c>
      <c r="D1904" s="513">
        <v>284067.27211222169</v>
      </c>
      <c r="E1904" s="513">
        <v>26423.73114979672</v>
      </c>
      <c r="F1904" s="513">
        <v>26423.73114979672</v>
      </c>
      <c r="G1904" s="660">
        <v>0</v>
      </c>
      <c r="H1904" s="660">
        <v>0</v>
      </c>
      <c r="I1904" s="659" t="s">
        <v>103</v>
      </c>
      <c r="J1904" s="513">
        <v>0</v>
      </c>
      <c r="K1904" s="513">
        <v>0</v>
      </c>
      <c r="L1904" s="513">
        <v>0</v>
      </c>
      <c r="M1904" s="513">
        <v>310491.00326201844</v>
      </c>
      <c r="N1904" s="622"/>
    </row>
    <row r="1905" spans="2:14">
      <c r="B1905" s="513" t="s">
        <v>724</v>
      </c>
      <c r="C1905" s="658">
        <v>2017</v>
      </c>
      <c r="D1905" s="513">
        <v>310491.00326201832</v>
      </c>
      <c r="E1905" s="513">
        <v>17560.380952942447</v>
      </c>
      <c r="F1905" s="513">
        <v>17560.380952942447</v>
      </c>
      <c r="G1905" s="513">
        <v>0</v>
      </c>
      <c r="H1905" s="513">
        <v>0</v>
      </c>
      <c r="I1905" s="659" t="s">
        <v>103</v>
      </c>
      <c r="J1905" s="513">
        <v>0</v>
      </c>
      <c r="K1905" s="513">
        <v>0</v>
      </c>
      <c r="L1905" s="513">
        <v>0</v>
      </c>
      <c r="M1905" s="513">
        <v>328051.38421496074</v>
      </c>
      <c r="N1905" s="622"/>
    </row>
    <row r="1906" spans="2:14">
      <c r="B1906" s="513" t="s">
        <v>724</v>
      </c>
      <c r="C1906" s="889">
        <v>2018</v>
      </c>
      <c r="D1906" s="513">
        <v>328051.38421496074</v>
      </c>
      <c r="E1906" s="513">
        <f>VLOOKUP(B1906,'[6]2018 allocation'!$A$11:$B$218,2, FALSE)</f>
        <v>24957.629619046285</v>
      </c>
      <c r="F1906" s="513">
        <f>E1906</f>
        <v>24957.629619046285</v>
      </c>
      <c r="G1906" s="513">
        <v>0</v>
      </c>
      <c r="H1906" s="513">
        <v>0</v>
      </c>
      <c r="I1906" s="622" t="s">
        <v>103</v>
      </c>
      <c r="J1906" s="513">
        <f>VLOOKUP(B1906,'[6]Annual Spending Worksheet '!$C$6:$AG$250,28,FALSE)</f>
        <v>0</v>
      </c>
      <c r="K1906" s="513">
        <f>VLOOKUP(B1906,'[6]Annual Spending Worksheet '!$C$6:$AG$250,29,FALSE)</f>
        <v>0</v>
      </c>
      <c r="L1906" s="513">
        <v>0</v>
      </c>
      <c r="M1906" s="513">
        <f>D1906+E1906+H1906-J1906</f>
        <v>353009.01383400703</v>
      </c>
      <c r="N1906" s="513"/>
    </row>
    <row r="1907" spans="2:14">
      <c r="B1907" s="513" t="s">
        <v>724</v>
      </c>
      <c r="C1907" s="889">
        <v>2019</v>
      </c>
      <c r="D1907" s="513">
        <v>353009.01383400703</v>
      </c>
      <c r="E1907" s="513">
        <v>32931.172254480196</v>
      </c>
      <c r="F1907" s="513">
        <v>32931.172254480196</v>
      </c>
      <c r="G1907" s="513">
        <v>0</v>
      </c>
      <c r="H1907" s="513">
        <v>0</v>
      </c>
      <c r="I1907" s="622" t="s">
        <v>103</v>
      </c>
      <c r="J1907" s="513">
        <v>0</v>
      </c>
      <c r="K1907" s="513">
        <v>0</v>
      </c>
      <c r="L1907" s="513">
        <v>0</v>
      </c>
      <c r="M1907" s="513">
        <v>385940.18608848721</v>
      </c>
      <c r="N1907" s="513"/>
    </row>
    <row r="1908" spans="2:14">
      <c r="B1908" s="513" t="s">
        <v>728</v>
      </c>
      <c r="C1908" s="658">
        <v>2008</v>
      </c>
      <c r="D1908" s="513">
        <v>0</v>
      </c>
      <c r="E1908" s="512">
        <v>0</v>
      </c>
      <c r="F1908" s="513">
        <v>0</v>
      </c>
      <c r="G1908" s="512">
        <v>0</v>
      </c>
      <c r="H1908" s="512">
        <v>0</v>
      </c>
      <c r="I1908" s="659" t="s">
        <v>103</v>
      </c>
      <c r="J1908" s="513">
        <v>0</v>
      </c>
      <c r="K1908" s="513">
        <v>0</v>
      </c>
      <c r="L1908" s="513">
        <v>0</v>
      </c>
      <c r="M1908" s="513">
        <v>0</v>
      </c>
      <c r="N1908" s="622"/>
    </row>
    <row r="1909" spans="2:14">
      <c r="B1909" s="513" t="s">
        <v>728</v>
      </c>
      <c r="C1909" s="658">
        <v>2009</v>
      </c>
      <c r="D1909" s="513">
        <v>0</v>
      </c>
      <c r="E1909" s="512">
        <v>32754.520320957512</v>
      </c>
      <c r="F1909" s="513">
        <v>32754.520320957512</v>
      </c>
      <c r="G1909" s="512">
        <v>0</v>
      </c>
      <c r="H1909" s="512">
        <v>0</v>
      </c>
      <c r="I1909" s="659" t="s">
        <v>103</v>
      </c>
      <c r="J1909" s="513">
        <v>0</v>
      </c>
      <c r="K1909" s="513">
        <v>0</v>
      </c>
      <c r="L1909" s="513">
        <v>0</v>
      </c>
      <c r="M1909" s="513">
        <v>32754.520320957512</v>
      </c>
      <c r="N1909" s="622"/>
    </row>
    <row r="1910" spans="2:14">
      <c r="B1910" s="513" t="s">
        <v>728</v>
      </c>
      <c r="C1910" s="658">
        <v>2010</v>
      </c>
      <c r="D1910" s="513">
        <v>32754.520320957512</v>
      </c>
      <c r="E1910" s="512">
        <v>32652.53</v>
      </c>
      <c r="F1910" s="513">
        <v>32652.53</v>
      </c>
      <c r="G1910" s="512">
        <v>0</v>
      </c>
      <c r="H1910" s="512">
        <v>0</v>
      </c>
      <c r="I1910" s="659" t="s">
        <v>103</v>
      </c>
      <c r="J1910" s="513">
        <v>0</v>
      </c>
      <c r="K1910" s="513">
        <v>0</v>
      </c>
      <c r="L1910" s="513">
        <v>0</v>
      </c>
      <c r="M1910" s="513">
        <v>65407.050320957511</v>
      </c>
      <c r="N1910" s="622"/>
    </row>
    <row r="1911" spans="2:14">
      <c r="B1911" s="513" t="s">
        <v>728</v>
      </c>
      <c r="C1911" s="658">
        <v>2011</v>
      </c>
      <c r="D1911" s="513">
        <v>65407.0459784431</v>
      </c>
      <c r="E1911" s="512">
        <v>33471.074496156376</v>
      </c>
      <c r="F1911" s="513">
        <v>33471.074496156376</v>
      </c>
      <c r="G1911" s="512">
        <v>0</v>
      </c>
      <c r="H1911" s="512">
        <v>0</v>
      </c>
      <c r="I1911" s="659" t="s">
        <v>103</v>
      </c>
      <c r="J1911" s="513">
        <v>0</v>
      </c>
      <c r="K1911" s="513">
        <v>0</v>
      </c>
      <c r="L1911" s="513">
        <v>0</v>
      </c>
      <c r="M1911" s="513">
        <v>98878.120474599476</v>
      </c>
      <c r="N1911" s="622"/>
    </row>
    <row r="1912" spans="2:14">
      <c r="B1912" s="513" t="s">
        <v>728</v>
      </c>
      <c r="C1912" s="658">
        <v>2012</v>
      </c>
      <c r="D1912" s="513">
        <v>98878.120474599476</v>
      </c>
      <c r="E1912" s="513">
        <v>19844.055037950646</v>
      </c>
      <c r="F1912" s="513">
        <v>19844.055037950646</v>
      </c>
      <c r="G1912" s="512">
        <v>0</v>
      </c>
      <c r="H1912" s="512">
        <v>0</v>
      </c>
      <c r="I1912" s="659" t="s">
        <v>103</v>
      </c>
      <c r="J1912" s="513">
        <v>0</v>
      </c>
      <c r="K1912" s="513">
        <v>0</v>
      </c>
      <c r="L1912" s="513">
        <v>0</v>
      </c>
      <c r="M1912" s="513">
        <v>118722.17551255012</v>
      </c>
      <c r="N1912" s="622"/>
    </row>
    <row r="1913" spans="2:14">
      <c r="B1913" s="513" t="s">
        <v>728</v>
      </c>
      <c r="C1913" s="658">
        <v>2013</v>
      </c>
      <c r="D1913" s="513">
        <v>118722.17551255012</v>
      </c>
      <c r="E1913" s="513">
        <v>38666.12973542438</v>
      </c>
      <c r="F1913" s="513">
        <v>38666.12973542438</v>
      </c>
      <c r="G1913" s="512">
        <v>0</v>
      </c>
      <c r="H1913" s="512">
        <v>0</v>
      </c>
      <c r="I1913" s="659" t="s">
        <v>103</v>
      </c>
      <c r="J1913" s="513">
        <v>0</v>
      </c>
      <c r="K1913" s="513">
        <v>0</v>
      </c>
      <c r="L1913" s="513">
        <v>0</v>
      </c>
      <c r="M1913" s="513">
        <v>157388.30524797449</v>
      </c>
      <c r="N1913" s="622"/>
    </row>
    <row r="1914" spans="2:14">
      <c r="B1914" s="513" t="s">
        <v>728</v>
      </c>
      <c r="C1914" s="658">
        <v>2014</v>
      </c>
      <c r="D1914" s="513">
        <v>157388.30524797449</v>
      </c>
      <c r="E1914" s="513">
        <v>40884.262818840434</v>
      </c>
      <c r="F1914" s="513">
        <v>40884.262818840434</v>
      </c>
      <c r="G1914" s="512">
        <v>0</v>
      </c>
      <c r="H1914" s="512">
        <v>0</v>
      </c>
      <c r="I1914" s="659" t="s">
        <v>103</v>
      </c>
      <c r="J1914" s="513">
        <v>0</v>
      </c>
      <c r="K1914" s="513">
        <v>0</v>
      </c>
      <c r="L1914" s="513">
        <v>0</v>
      </c>
      <c r="M1914" s="513">
        <v>198272.56806681491</v>
      </c>
      <c r="N1914" s="622"/>
    </row>
    <row r="1915" spans="2:14">
      <c r="B1915" s="513" t="s">
        <v>728</v>
      </c>
      <c r="C1915" s="658">
        <v>2015</v>
      </c>
      <c r="D1915" s="513">
        <v>198272.56806681491</v>
      </c>
      <c r="E1915" s="513">
        <v>41919.145726313094</v>
      </c>
      <c r="F1915" s="513">
        <v>41919.145726313094</v>
      </c>
      <c r="G1915" s="660">
        <v>0</v>
      </c>
      <c r="H1915" s="660">
        <v>0</v>
      </c>
      <c r="I1915" s="659" t="s">
        <v>103</v>
      </c>
      <c r="J1915" s="513">
        <v>0</v>
      </c>
      <c r="K1915" s="513">
        <v>0</v>
      </c>
      <c r="L1915" s="513">
        <v>0</v>
      </c>
      <c r="M1915" s="513">
        <v>240191.713793128</v>
      </c>
      <c r="N1915" s="622"/>
    </row>
    <row r="1916" spans="2:14">
      <c r="B1916" s="513" t="s">
        <v>728</v>
      </c>
      <c r="C1916" s="658">
        <v>2016</v>
      </c>
      <c r="D1916" s="513">
        <v>240191.713793128</v>
      </c>
      <c r="E1916" s="513">
        <v>25096.606249331351</v>
      </c>
      <c r="F1916" s="513">
        <v>25096.606249331351</v>
      </c>
      <c r="G1916" s="660">
        <v>0</v>
      </c>
      <c r="H1916" s="660">
        <v>0</v>
      </c>
      <c r="I1916" s="659" t="s">
        <v>103</v>
      </c>
      <c r="J1916" s="513">
        <v>0</v>
      </c>
      <c r="K1916" s="513">
        <v>0</v>
      </c>
      <c r="L1916" s="513">
        <v>0</v>
      </c>
      <c r="M1916" s="513">
        <v>265288.32004245935</v>
      </c>
      <c r="N1916" s="622"/>
    </row>
    <row r="1917" spans="2:14">
      <c r="B1917" s="513" t="s">
        <v>728</v>
      </c>
      <c r="C1917" s="658">
        <v>2017</v>
      </c>
      <c r="D1917" s="513">
        <v>265288.32004245935</v>
      </c>
      <c r="E1917" s="513">
        <v>21675.976234120371</v>
      </c>
      <c r="F1917" s="513">
        <v>21675.976234120371</v>
      </c>
      <c r="G1917" s="513">
        <v>0</v>
      </c>
      <c r="H1917" s="513">
        <v>0</v>
      </c>
      <c r="I1917" s="659" t="s">
        <v>103</v>
      </c>
      <c r="J1917" s="513">
        <v>0</v>
      </c>
      <c r="K1917" s="513">
        <v>0</v>
      </c>
      <c r="L1917" s="513">
        <v>0</v>
      </c>
      <c r="M1917" s="513">
        <v>286964.29627657973</v>
      </c>
      <c r="N1917" s="622"/>
    </row>
    <row r="1918" spans="2:14">
      <c r="B1918" s="513" t="s">
        <v>728</v>
      </c>
      <c r="C1918" s="889">
        <v>2018</v>
      </c>
      <c r="D1918" s="513">
        <v>286964.29627657973</v>
      </c>
      <c r="E1918" s="513">
        <f>VLOOKUP(B1918,'[6]2018 allocation'!$A$11:$B$218,2, FALSE)</f>
        <v>24416.35093904745</v>
      </c>
      <c r="F1918" s="513">
        <f>E1918</f>
        <v>24416.35093904745</v>
      </c>
      <c r="G1918" s="513">
        <v>0</v>
      </c>
      <c r="H1918" s="513">
        <v>0</v>
      </c>
      <c r="I1918" s="622" t="s">
        <v>103</v>
      </c>
      <c r="J1918" s="513">
        <f>VLOOKUP(B1918,'[6]Annual Spending Worksheet '!$C$6:$AG$250,28,FALSE)</f>
        <v>0</v>
      </c>
      <c r="K1918" s="513">
        <f>VLOOKUP(B1918,'[6]Annual Spending Worksheet '!$C$6:$AG$250,29,FALSE)</f>
        <v>0</v>
      </c>
      <c r="L1918" s="513">
        <v>0</v>
      </c>
      <c r="M1918" s="513">
        <f>D1918+E1918+H1918-J1918</f>
        <v>311380.64721562719</v>
      </c>
      <c r="N1918" s="513"/>
    </row>
    <row r="1919" spans="2:14">
      <c r="B1919" s="513" t="s">
        <v>728</v>
      </c>
      <c r="C1919" s="889">
        <v>2019</v>
      </c>
      <c r="D1919" s="513">
        <v>311380.64721562719</v>
      </c>
      <c r="E1919" s="513">
        <v>27392.989280499052</v>
      </c>
      <c r="F1919" s="513">
        <v>27392.989280499052</v>
      </c>
      <c r="G1919" s="513">
        <v>0</v>
      </c>
      <c r="H1919" s="513">
        <v>0</v>
      </c>
      <c r="I1919" s="622" t="s">
        <v>103</v>
      </c>
      <c r="J1919" s="513">
        <v>0</v>
      </c>
      <c r="K1919" s="513">
        <v>0</v>
      </c>
      <c r="L1919" s="513">
        <v>0</v>
      </c>
      <c r="M1919" s="513">
        <v>338773.63649612624</v>
      </c>
      <c r="N1919" s="513"/>
    </row>
    <row r="1920" spans="2:14">
      <c r="B1920" s="513" t="s">
        <v>729</v>
      </c>
      <c r="C1920" s="658">
        <v>2008</v>
      </c>
      <c r="D1920" s="513">
        <v>11553281.430000003</v>
      </c>
      <c r="E1920" s="512">
        <v>1102301.6780768959</v>
      </c>
      <c r="F1920" s="513">
        <v>1102301.6780768959</v>
      </c>
      <c r="G1920" s="512">
        <v>0</v>
      </c>
      <c r="H1920" s="512">
        <v>0</v>
      </c>
      <c r="I1920" s="659" t="s">
        <v>103</v>
      </c>
      <c r="J1920" s="513">
        <v>925657.0399999998</v>
      </c>
      <c r="K1920" s="513">
        <v>1100691</v>
      </c>
      <c r="L1920" s="513">
        <v>0</v>
      </c>
      <c r="M1920" s="513">
        <v>11729926.068076901</v>
      </c>
      <c r="N1920" s="622"/>
    </row>
    <row r="1921" spans="2:14">
      <c r="B1921" s="513" t="s">
        <v>729</v>
      </c>
      <c r="C1921" s="658">
        <v>2009</v>
      </c>
      <c r="D1921" s="513">
        <v>11729926.068076901</v>
      </c>
      <c r="E1921" s="512">
        <v>738380.16247165587</v>
      </c>
      <c r="F1921" s="513">
        <v>738380.16247165587</v>
      </c>
      <c r="G1921" s="512">
        <v>0</v>
      </c>
      <c r="H1921" s="512">
        <v>0</v>
      </c>
      <c r="I1921" s="659" t="s">
        <v>103</v>
      </c>
      <c r="J1921" s="513">
        <v>1404192.47</v>
      </c>
      <c r="K1921" s="513">
        <v>1100691</v>
      </c>
      <c r="L1921" s="513">
        <v>0</v>
      </c>
      <c r="M1921" s="513">
        <v>11064113.760548556</v>
      </c>
      <c r="N1921" s="622"/>
    </row>
    <row r="1922" spans="2:14">
      <c r="B1922" s="513" t="s">
        <v>729</v>
      </c>
      <c r="C1922" s="658">
        <v>2010</v>
      </c>
      <c r="D1922" s="513">
        <v>11064113.760548554</v>
      </c>
      <c r="E1922" s="512">
        <v>737007.86</v>
      </c>
      <c r="F1922" s="513">
        <v>737007.86</v>
      </c>
      <c r="G1922" s="512">
        <v>0</v>
      </c>
      <c r="H1922" s="512">
        <v>0</v>
      </c>
      <c r="I1922" s="659" t="s">
        <v>103</v>
      </c>
      <c r="J1922" s="513">
        <v>75352.650000000081</v>
      </c>
      <c r="K1922" s="513">
        <v>0</v>
      </c>
      <c r="L1922" s="513">
        <v>0</v>
      </c>
      <c r="M1922" s="513">
        <v>11725768.970548553</v>
      </c>
      <c r="N1922" s="622"/>
    </row>
    <row r="1923" spans="2:14">
      <c r="B1923" s="513" t="s">
        <v>729</v>
      </c>
      <c r="C1923" s="658">
        <v>2011</v>
      </c>
      <c r="D1923" s="513">
        <v>11725768.974510662</v>
      </c>
      <c r="E1923" s="512">
        <v>724405.08634703071</v>
      </c>
      <c r="F1923" s="513">
        <v>724405.08634703071</v>
      </c>
      <c r="G1923" s="512">
        <v>0</v>
      </c>
      <c r="H1923" s="512">
        <v>0</v>
      </c>
      <c r="I1923" s="659" t="s">
        <v>103</v>
      </c>
      <c r="J1923" s="513">
        <v>372780.14999999997</v>
      </c>
      <c r="K1923" s="513">
        <v>0</v>
      </c>
      <c r="L1923" s="513">
        <v>26367.41</v>
      </c>
      <c r="M1923" s="513">
        <v>12051026.500857692</v>
      </c>
      <c r="N1923" s="622"/>
    </row>
    <row r="1924" spans="2:14">
      <c r="B1924" s="513" t="s">
        <v>729</v>
      </c>
      <c r="C1924" s="658">
        <v>2012</v>
      </c>
      <c r="D1924" s="513">
        <v>12051026.500857692</v>
      </c>
      <c r="E1924" s="513">
        <v>480129.27772391558</v>
      </c>
      <c r="F1924" s="513">
        <v>480129.27772391558</v>
      </c>
      <c r="G1924" s="512">
        <v>0</v>
      </c>
      <c r="H1924" s="512">
        <v>0</v>
      </c>
      <c r="I1924" s="659" t="s">
        <v>103</v>
      </c>
      <c r="J1924" s="513">
        <v>2904119.4599999981</v>
      </c>
      <c r="K1924" s="513">
        <v>0</v>
      </c>
      <c r="L1924" s="513">
        <v>0</v>
      </c>
      <c r="M1924" s="513">
        <v>9627036.3185816109</v>
      </c>
      <c r="N1924" s="622"/>
    </row>
    <row r="1925" spans="2:14">
      <c r="B1925" s="513" t="s">
        <v>729</v>
      </c>
      <c r="C1925" s="658">
        <v>2013</v>
      </c>
      <c r="D1925" s="513">
        <v>9627036.3185816109</v>
      </c>
      <c r="E1925" s="513">
        <v>756719.58039417875</v>
      </c>
      <c r="F1925" s="513">
        <v>756719.58039417875</v>
      </c>
      <c r="G1925" s="512">
        <v>0</v>
      </c>
      <c r="H1925" s="512">
        <v>0</v>
      </c>
      <c r="I1925" s="659" t="s">
        <v>103</v>
      </c>
      <c r="J1925" s="513">
        <v>2768685.7999999984</v>
      </c>
      <c r="K1925" s="513">
        <v>6177222</v>
      </c>
      <c r="L1925" s="513">
        <v>57959.93</v>
      </c>
      <c r="M1925" s="513">
        <v>7557110.168975791</v>
      </c>
      <c r="N1925" s="622"/>
    </row>
    <row r="1926" spans="2:14">
      <c r="B1926" s="513" t="s">
        <v>729</v>
      </c>
      <c r="C1926" s="658">
        <v>2014</v>
      </c>
      <c r="D1926" s="513">
        <v>7557110.1689757928</v>
      </c>
      <c r="E1926" s="513">
        <v>789014.06136619789</v>
      </c>
      <c r="F1926" s="513">
        <v>789014.06136619789</v>
      </c>
      <c r="G1926" s="512">
        <v>0</v>
      </c>
      <c r="H1926" s="512">
        <v>0</v>
      </c>
      <c r="I1926" s="659" t="s">
        <v>103</v>
      </c>
      <c r="J1926" s="513">
        <v>504136.75000000052</v>
      </c>
      <c r="K1926" s="513">
        <v>1309414.82</v>
      </c>
      <c r="L1926" s="513">
        <v>3807.54</v>
      </c>
      <c r="M1926" s="513">
        <v>7838179.9403419895</v>
      </c>
      <c r="N1926" s="622"/>
    </row>
    <row r="1927" spans="2:14">
      <c r="B1927" s="513" t="s">
        <v>729</v>
      </c>
      <c r="C1927" s="658">
        <v>2015</v>
      </c>
      <c r="D1927" s="513">
        <v>7838179.9403419904</v>
      </c>
      <c r="E1927" s="513">
        <v>802407.02874131885</v>
      </c>
      <c r="F1927" s="513">
        <v>802407.02874131885</v>
      </c>
      <c r="G1927" s="660">
        <v>0</v>
      </c>
      <c r="H1927" s="660">
        <v>0</v>
      </c>
      <c r="I1927" s="659" t="s">
        <v>103</v>
      </c>
      <c r="J1927" s="513">
        <v>11197.16</v>
      </c>
      <c r="K1927" s="513">
        <v>0</v>
      </c>
      <c r="L1927" s="513">
        <v>0</v>
      </c>
      <c r="M1927" s="513">
        <v>8629389.809083309</v>
      </c>
      <c r="N1927" s="622"/>
    </row>
    <row r="1928" spans="2:14">
      <c r="B1928" s="513" t="s">
        <v>729</v>
      </c>
      <c r="C1928" s="658">
        <v>2016</v>
      </c>
      <c r="D1928" s="513">
        <v>8629389.8090833127</v>
      </c>
      <c r="E1928" s="513">
        <v>561444.38332953164</v>
      </c>
      <c r="F1928" s="513">
        <v>561444.38332953164</v>
      </c>
      <c r="G1928" s="660">
        <v>0</v>
      </c>
      <c r="H1928" s="660">
        <v>0</v>
      </c>
      <c r="I1928" s="659" t="s">
        <v>103</v>
      </c>
      <c r="J1928" s="513">
        <v>336.07</v>
      </c>
      <c r="K1928" s="513">
        <v>0</v>
      </c>
      <c r="L1928" s="513">
        <v>-16738.29</v>
      </c>
      <c r="M1928" s="513">
        <v>9207236.4124128427</v>
      </c>
      <c r="N1928" s="622"/>
    </row>
    <row r="1929" spans="2:14">
      <c r="B1929" s="513" t="s">
        <v>729</v>
      </c>
      <c r="C1929" s="658">
        <v>2017</v>
      </c>
      <c r="D1929" s="513">
        <v>9207236.4124128446</v>
      </c>
      <c r="E1929" s="513">
        <v>513382.35847907292</v>
      </c>
      <c r="F1929" s="513">
        <v>513382.35847907292</v>
      </c>
      <c r="G1929" s="513">
        <v>0</v>
      </c>
      <c r="H1929" s="513">
        <v>0</v>
      </c>
      <c r="I1929" s="659" t="s">
        <v>103</v>
      </c>
      <c r="J1929" s="513">
        <v>-397.29</v>
      </c>
      <c r="K1929" s="513">
        <v>0</v>
      </c>
      <c r="L1929" s="513">
        <v>-109122.95</v>
      </c>
      <c r="M1929" s="513">
        <v>9830139.0108919162</v>
      </c>
      <c r="N1929" s="622"/>
    </row>
    <row r="1930" spans="2:14">
      <c r="B1930" s="513" t="s">
        <v>729</v>
      </c>
      <c r="C1930" s="889">
        <v>2018</v>
      </c>
      <c r="D1930" s="513">
        <v>9830139.0108919162</v>
      </c>
      <c r="E1930" s="513">
        <f>VLOOKUP(B1930,'[6]2018 allocation'!$A$11:$B$218,2, FALSE)</f>
        <v>552553.57735020632</v>
      </c>
      <c r="F1930" s="513">
        <f>E1930</f>
        <v>552553.57735020632</v>
      </c>
      <c r="G1930" s="513">
        <v>0</v>
      </c>
      <c r="H1930" s="513">
        <v>0</v>
      </c>
      <c r="I1930" s="622" t="s">
        <v>103</v>
      </c>
      <c r="J1930" s="513">
        <f>VLOOKUP(B1930,'[6]Annual Spending Worksheet '!$C$6:$AG$250,28,FALSE)</f>
        <v>0</v>
      </c>
      <c r="K1930" s="513">
        <f>VLOOKUP(B1930,'[6]Annual Spending Worksheet '!$C$6:$AG$250,29,FALSE)</f>
        <v>0</v>
      </c>
      <c r="L1930" s="513">
        <v>0</v>
      </c>
      <c r="M1930" s="513">
        <f>D1930+E1930+H1930-J1930</f>
        <v>10382692.588242123</v>
      </c>
      <c r="N1930" s="513"/>
    </row>
    <row r="1931" spans="2:14">
      <c r="B1931" s="513" t="s">
        <v>729</v>
      </c>
      <c r="C1931" s="889">
        <v>2019</v>
      </c>
      <c r="D1931" s="513">
        <v>10382692.588242123</v>
      </c>
      <c r="E1931" s="513">
        <v>595702.85199162806</v>
      </c>
      <c r="F1931" s="513">
        <v>595702.85199162806</v>
      </c>
      <c r="G1931" s="513">
        <v>0</v>
      </c>
      <c r="H1931" s="513">
        <v>0</v>
      </c>
      <c r="I1931" s="622" t="s">
        <v>103</v>
      </c>
      <c r="J1931" s="513">
        <v>0</v>
      </c>
      <c r="K1931" s="513">
        <v>0</v>
      </c>
      <c r="L1931" s="513">
        <v>0</v>
      </c>
      <c r="M1931" s="513">
        <v>10978395.44023375</v>
      </c>
      <c r="N1931" s="513"/>
    </row>
    <row r="1932" spans="2:14">
      <c r="B1932" s="905" t="s">
        <v>1377</v>
      </c>
      <c r="C1932" s="894"/>
      <c r="D1932" s="895">
        <f>SUM(D1632:D1931)</f>
        <v>193281829.84993029</v>
      </c>
      <c r="E1932" s="895">
        <f>SUM(E1632:E1931)</f>
        <v>25334884.453854956</v>
      </c>
      <c r="F1932" s="895">
        <f t="shared" ref="F1932:H1932" si="23">SUM(F1632:F1931)</f>
        <v>25334884.453854956</v>
      </c>
      <c r="G1932" s="895">
        <f t="shared" si="23"/>
        <v>-17554759.228613179</v>
      </c>
      <c r="H1932" s="895">
        <f t="shared" si="23"/>
        <v>1622786</v>
      </c>
      <c r="I1932" s="896">
        <f t="shared" ref="I1932" si="24">SUM(I1632:I1929)</f>
        <v>0</v>
      </c>
      <c r="J1932" s="895">
        <f>SUM(J1632:J1931)</f>
        <v>23349284.709999997</v>
      </c>
      <c r="K1932" s="895">
        <f t="shared" ref="K1932:M1932" si="25">SUM(K1632:K1931)</f>
        <v>23325535.600000001</v>
      </c>
      <c r="L1932" s="895">
        <f t="shared" si="25"/>
        <v>-104229.20000000001</v>
      </c>
      <c r="M1932" s="895">
        <f t="shared" si="25"/>
        <v>196994560.79378518</v>
      </c>
      <c r="N1932" s="897"/>
    </row>
    <row r="1933" spans="2:14">
      <c r="B1933" s="887" t="s">
        <v>746</v>
      </c>
      <c r="C1933" s="655"/>
      <c r="D1933" s="513"/>
      <c r="E1933" s="513"/>
      <c r="F1933" s="513"/>
      <c r="G1933" s="513"/>
      <c r="H1933" s="513"/>
      <c r="I1933" s="659"/>
      <c r="J1933" s="513"/>
      <c r="K1933" s="513"/>
      <c r="L1933" s="513"/>
      <c r="M1933" s="513"/>
      <c r="N1933" s="622"/>
    </row>
    <row r="1934" spans="2:14">
      <c r="B1934" s="513" t="s">
        <v>747</v>
      </c>
      <c r="C1934" s="658">
        <v>2008</v>
      </c>
      <c r="D1934" s="513">
        <v>348418.15899999999</v>
      </c>
      <c r="E1934" s="512">
        <v>27072.679024982899</v>
      </c>
      <c r="F1934" s="513">
        <v>27072.679024982899</v>
      </c>
      <c r="G1934" s="513">
        <v>0</v>
      </c>
      <c r="H1934" s="512">
        <v>0</v>
      </c>
      <c r="I1934" s="659" t="s">
        <v>103</v>
      </c>
      <c r="J1934" s="513">
        <v>0</v>
      </c>
      <c r="K1934" s="513">
        <v>0</v>
      </c>
      <c r="L1934" s="513">
        <v>0</v>
      </c>
      <c r="M1934" s="513">
        <v>375490.83802498289</v>
      </c>
      <c r="N1934" s="622"/>
    </row>
    <row r="1935" spans="2:14">
      <c r="B1935" s="513" t="s">
        <v>747</v>
      </c>
      <c r="C1935" s="658">
        <v>2009</v>
      </c>
      <c r="D1935" s="513">
        <v>375490.83802498283</v>
      </c>
      <c r="E1935" s="512">
        <v>17201.428500003294</v>
      </c>
      <c r="F1935" s="513">
        <v>17201.428500003294</v>
      </c>
      <c r="G1935" s="513">
        <v>0</v>
      </c>
      <c r="H1935" s="512">
        <v>0</v>
      </c>
      <c r="I1935" s="659" t="s">
        <v>103</v>
      </c>
      <c r="J1935" s="513">
        <v>28972.65</v>
      </c>
      <c r="K1935" s="513">
        <v>0</v>
      </c>
      <c r="L1935" s="513">
        <v>0</v>
      </c>
      <c r="M1935" s="513">
        <v>363719.61652498611</v>
      </c>
      <c r="N1935" s="622"/>
    </row>
    <row r="1936" spans="2:14">
      <c r="B1936" s="513" t="s">
        <v>747</v>
      </c>
      <c r="C1936" s="658">
        <v>2010</v>
      </c>
      <c r="D1936" s="513">
        <v>363719.61652498611</v>
      </c>
      <c r="E1936" s="512">
        <v>17129.099999999999</v>
      </c>
      <c r="F1936" s="513">
        <v>17129.099999999999</v>
      </c>
      <c r="G1936" s="513">
        <v>0</v>
      </c>
      <c r="H1936" s="512">
        <v>0</v>
      </c>
      <c r="I1936" s="659" t="s">
        <v>103</v>
      </c>
      <c r="J1936" s="513">
        <v>12713.57</v>
      </c>
      <c r="K1936" s="513">
        <v>0</v>
      </c>
      <c r="L1936" s="513">
        <v>0</v>
      </c>
      <c r="M1936" s="513">
        <v>368135.14652498608</v>
      </c>
      <c r="N1936" s="622"/>
    </row>
    <row r="1937" spans="2:14">
      <c r="B1937" s="513" t="s">
        <v>747</v>
      </c>
      <c r="C1937" s="658">
        <v>2011</v>
      </c>
      <c r="D1937" s="513">
        <v>368135.1447880331</v>
      </c>
      <c r="E1937" s="512">
        <v>17843.361869690434</v>
      </c>
      <c r="F1937" s="513">
        <v>17843.361869690434</v>
      </c>
      <c r="G1937" s="513">
        <v>0</v>
      </c>
      <c r="H1937" s="512">
        <v>0</v>
      </c>
      <c r="I1937" s="659" t="s">
        <v>103</v>
      </c>
      <c r="J1937" s="513">
        <v>508096.54000000132</v>
      </c>
      <c r="K1937" s="513">
        <v>575354</v>
      </c>
      <c r="L1937" s="513">
        <v>0</v>
      </c>
      <c r="M1937" s="513">
        <v>-122118.03334227781</v>
      </c>
      <c r="N1937" s="622" t="s">
        <v>1715</v>
      </c>
    </row>
    <row r="1938" spans="2:14">
      <c r="B1938" s="513" t="s">
        <v>747</v>
      </c>
      <c r="C1938" s="658">
        <v>2012</v>
      </c>
      <c r="D1938" s="513">
        <v>-122118.03334227775</v>
      </c>
      <c r="E1938" s="513">
        <v>6009.5611159608015</v>
      </c>
      <c r="F1938" s="513">
        <v>6009.5611159608015</v>
      </c>
      <c r="G1938" s="513">
        <v>-116108.47222631695</v>
      </c>
      <c r="H1938" s="512">
        <v>0</v>
      </c>
      <c r="I1938" s="659" t="s">
        <v>103</v>
      </c>
      <c r="J1938" s="513">
        <v>25161.379999999994</v>
      </c>
      <c r="K1938" s="513">
        <v>0</v>
      </c>
      <c r="L1938" s="513">
        <v>0</v>
      </c>
      <c r="M1938" s="513">
        <v>-141269.85222631696</v>
      </c>
      <c r="N1938" s="622" t="s">
        <v>1715</v>
      </c>
    </row>
    <row r="1939" spans="2:14">
      <c r="B1939" s="513" t="s">
        <v>747</v>
      </c>
      <c r="C1939" s="658">
        <v>2013</v>
      </c>
      <c r="D1939" s="513">
        <v>-141269.85222631693</v>
      </c>
      <c r="E1939" s="513">
        <v>22354.874056635497</v>
      </c>
      <c r="F1939" s="513">
        <v>22354.874056635497</v>
      </c>
      <c r="G1939" s="513">
        <v>-118914.97816968143</v>
      </c>
      <c r="H1939" s="512">
        <v>0</v>
      </c>
      <c r="I1939" s="659" t="s">
        <v>103</v>
      </c>
      <c r="J1939" s="513">
        <v>-5840.54</v>
      </c>
      <c r="K1939" s="513">
        <v>0</v>
      </c>
      <c r="L1939" s="513">
        <v>0</v>
      </c>
      <c r="M1939" s="513">
        <v>-113074.43816968144</v>
      </c>
      <c r="N1939" s="622" t="s">
        <v>1715</v>
      </c>
    </row>
    <row r="1940" spans="2:14">
      <c r="B1940" s="513" t="s">
        <v>747</v>
      </c>
      <c r="C1940" s="658">
        <v>2014</v>
      </c>
      <c r="D1940" s="513">
        <v>-113074.43816968135</v>
      </c>
      <c r="E1940" s="513">
        <v>24249.829335732495</v>
      </c>
      <c r="F1940" s="513">
        <v>24249.829335732495</v>
      </c>
      <c r="G1940" s="513">
        <v>-88824.608833948849</v>
      </c>
      <c r="H1940" s="512">
        <v>0</v>
      </c>
      <c r="I1940" s="659" t="s">
        <v>103</v>
      </c>
      <c r="J1940" s="513">
        <v>0</v>
      </c>
      <c r="K1940" s="513">
        <v>0</v>
      </c>
      <c r="L1940" s="513">
        <v>0</v>
      </c>
      <c r="M1940" s="513">
        <v>-88824.608833948849</v>
      </c>
      <c r="N1940" s="622" t="s">
        <v>1715</v>
      </c>
    </row>
    <row r="1941" spans="2:14">
      <c r="B1941" s="513" t="s">
        <v>747</v>
      </c>
      <c r="C1941" s="658">
        <v>2015</v>
      </c>
      <c r="D1941" s="513">
        <v>-88824.608833948849</v>
      </c>
      <c r="E1941" s="513">
        <v>25034.275973631258</v>
      </c>
      <c r="F1941" s="513">
        <v>25034.275973631258</v>
      </c>
      <c r="G1941" s="513">
        <v>-63790.332860317591</v>
      </c>
      <c r="H1941" s="660">
        <v>0</v>
      </c>
      <c r="I1941" s="659" t="s">
        <v>103</v>
      </c>
      <c r="J1941" s="513">
        <v>0</v>
      </c>
      <c r="K1941" s="513">
        <v>0</v>
      </c>
      <c r="L1941" s="513">
        <v>6250.51</v>
      </c>
      <c r="M1941" s="513">
        <v>-70040.842860317585</v>
      </c>
      <c r="N1941" s="622" t="s">
        <v>1715</v>
      </c>
    </row>
    <row r="1942" spans="2:14">
      <c r="B1942" s="513" t="s">
        <v>747</v>
      </c>
      <c r="C1942" s="658">
        <v>2016</v>
      </c>
      <c r="D1942" s="513">
        <v>-70040.842860316276</v>
      </c>
      <c r="E1942" s="513">
        <v>10818.962153424864</v>
      </c>
      <c r="F1942" s="513">
        <v>10818.962153424864</v>
      </c>
      <c r="G1942" s="513">
        <v>-59221.88070689141</v>
      </c>
      <c r="H1942" s="660">
        <v>0</v>
      </c>
      <c r="I1942" s="659" t="s">
        <v>103</v>
      </c>
      <c r="J1942" s="513">
        <v>0</v>
      </c>
      <c r="K1942" s="513">
        <v>0</v>
      </c>
      <c r="L1942" s="513">
        <v>0</v>
      </c>
      <c r="M1942" s="513">
        <v>-59221.88070689141</v>
      </c>
      <c r="N1942" s="622" t="s">
        <v>1715</v>
      </c>
    </row>
    <row r="1943" spans="2:14">
      <c r="B1943" s="513" t="s">
        <v>747</v>
      </c>
      <c r="C1943" s="658">
        <v>2017</v>
      </c>
      <c r="D1943" s="513">
        <v>-59221.880706891418</v>
      </c>
      <c r="E1943" s="513">
        <v>8007.8837250338493</v>
      </c>
      <c r="F1943" s="513">
        <v>8007.8837250338493</v>
      </c>
      <c r="G1943" s="513">
        <v>-51213.99698185757</v>
      </c>
      <c r="H1943" s="513">
        <v>0</v>
      </c>
      <c r="I1943" s="659" t="s">
        <v>103</v>
      </c>
      <c r="J1943" s="513">
        <v>0</v>
      </c>
      <c r="K1943" s="513">
        <v>0</v>
      </c>
      <c r="L1943" s="513">
        <v>0</v>
      </c>
      <c r="M1943" s="513">
        <v>-51213.99698185757</v>
      </c>
      <c r="N1943" s="622" t="s">
        <v>1715</v>
      </c>
    </row>
    <row r="1944" spans="2:14">
      <c r="B1944" s="513" t="s">
        <v>747</v>
      </c>
      <c r="C1944" s="889">
        <v>2018</v>
      </c>
      <c r="D1944" s="513">
        <v>-51213.99698185757</v>
      </c>
      <c r="E1944" s="513">
        <f>VLOOKUP(B1944,'[6]2018 allocation'!$A$11:$B$218,2, FALSE)</f>
        <v>10369.742793545125</v>
      </c>
      <c r="F1944" s="513">
        <f>E1944</f>
        <v>10369.742793545125</v>
      </c>
      <c r="G1944" s="513">
        <f>D1944+E1944</f>
        <v>-40844.254188312443</v>
      </c>
      <c r="H1944" s="513">
        <v>0</v>
      </c>
      <c r="I1944" s="622" t="s">
        <v>103</v>
      </c>
      <c r="J1944" s="513">
        <f>VLOOKUP(B1944,'[6]Annual Spending Worksheet '!$C$6:$AG$250,28,FALSE)</f>
        <v>0</v>
      </c>
      <c r="K1944" s="513">
        <f>VLOOKUP(B1944,'[6]Annual Spending Worksheet '!$C$6:$AG$250,29,FALSE)</f>
        <v>0</v>
      </c>
      <c r="L1944" s="513">
        <v>0</v>
      </c>
      <c r="M1944" s="513">
        <f>D1944+E1944+H1944-J1944</f>
        <v>-40844.254188312443</v>
      </c>
      <c r="N1944" s="622" t="s">
        <v>1715</v>
      </c>
    </row>
    <row r="1945" spans="2:14">
      <c r="B1945" s="513" t="s">
        <v>747</v>
      </c>
      <c r="C1945" s="889">
        <v>2019</v>
      </c>
      <c r="D1945" s="513">
        <v>-40844.254188312443</v>
      </c>
      <c r="E1945" s="513">
        <v>12868.608449029889</v>
      </c>
      <c r="F1945" s="513">
        <v>12868.608449029889</v>
      </c>
      <c r="G1945" s="513">
        <v>-27975.645739282554</v>
      </c>
      <c r="H1945" s="513">
        <v>0</v>
      </c>
      <c r="I1945" s="622" t="s">
        <v>103</v>
      </c>
      <c r="J1945" s="513">
        <v>0</v>
      </c>
      <c r="K1945" s="513">
        <v>0</v>
      </c>
      <c r="L1945" s="513">
        <v>0</v>
      </c>
      <c r="M1945" s="513">
        <v>-27975.645739282554</v>
      </c>
      <c r="N1945" s="622" t="s">
        <v>1715</v>
      </c>
    </row>
    <row r="1946" spans="2:14">
      <c r="B1946" s="513" t="s">
        <v>752</v>
      </c>
      <c r="C1946" s="658">
        <v>2008</v>
      </c>
      <c r="D1946" s="513">
        <v>1299672.0449999999</v>
      </c>
      <c r="E1946" s="512">
        <v>207774.84166751266</v>
      </c>
      <c r="F1946" s="513">
        <v>207774.84166751266</v>
      </c>
      <c r="G1946" s="512">
        <v>0</v>
      </c>
      <c r="H1946" s="512">
        <v>0</v>
      </c>
      <c r="I1946" s="659" t="s">
        <v>103</v>
      </c>
      <c r="J1946" s="513">
        <v>0</v>
      </c>
      <c r="K1946" s="513">
        <v>0</v>
      </c>
      <c r="L1946" s="513">
        <v>0</v>
      </c>
      <c r="M1946" s="513">
        <v>1507446.8866675126</v>
      </c>
      <c r="N1946" s="622"/>
    </row>
    <row r="1947" spans="2:14">
      <c r="B1947" s="513" t="s">
        <v>752</v>
      </c>
      <c r="C1947" s="658">
        <v>2009</v>
      </c>
      <c r="D1947" s="513">
        <v>1507446.8866675124</v>
      </c>
      <c r="E1947" s="512">
        <v>161889.25619761192</v>
      </c>
      <c r="F1947" s="513">
        <v>161889.25619761192</v>
      </c>
      <c r="G1947" s="512">
        <v>0</v>
      </c>
      <c r="H1947" s="512">
        <v>0</v>
      </c>
      <c r="I1947" s="659" t="s">
        <v>103</v>
      </c>
      <c r="J1947" s="513">
        <v>0</v>
      </c>
      <c r="K1947" s="513">
        <v>0</v>
      </c>
      <c r="L1947" s="513">
        <v>0</v>
      </c>
      <c r="M1947" s="513">
        <v>1669336.1428651242</v>
      </c>
      <c r="N1947" s="622"/>
    </row>
    <row r="1948" spans="2:14">
      <c r="B1948" s="513" t="s">
        <v>752</v>
      </c>
      <c r="C1948" s="658">
        <v>2010</v>
      </c>
      <c r="D1948" s="513">
        <v>1669336.1428651242</v>
      </c>
      <c r="E1948" s="512">
        <v>161577.37</v>
      </c>
      <c r="F1948" s="513">
        <v>161577.37</v>
      </c>
      <c r="G1948" s="512">
        <v>0</v>
      </c>
      <c r="H1948" s="512">
        <v>0</v>
      </c>
      <c r="I1948" s="659" t="s">
        <v>103</v>
      </c>
      <c r="J1948" s="513">
        <v>0</v>
      </c>
      <c r="K1948" s="513">
        <v>0</v>
      </c>
      <c r="L1948" s="513">
        <v>0</v>
      </c>
      <c r="M1948" s="513">
        <v>1830913.5128651243</v>
      </c>
      <c r="N1948" s="622"/>
    </row>
    <row r="1949" spans="2:14">
      <c r="B1949" s="513" t="s">
        <v>752</v>
      </c>
      <c r="C1949" s="658">
        <v>2011</v>
      </c>
      <c r="D1949" s="513">
        <v>1830913.5136688929</v>
      </c>
      <c r="E1949" s="512">
        <v>164850.90812769148</v>
      </c>
      <c r="F1949" s="513">
        <v>164850.90812769148</v>
      </c>
      <c r="G1949" s="512">
        <v>0</v>
      </c>
      <c r="H1949" s="512">
        <v>0</v>
      </c>
      <c r="I1949" s="659" t="s">
        <v>103</v>
      </c>
      <c r="J1949" s="513">
        <v>28649.89</v>
      </c>
      <c r="K1949" s="513">
        <v>0</v>
      </c>
      <c r="L1949" s="513">
        <v>0</v>
      </c>
      <c r="M1949" s="513">
        <v>1967114.5317965846</v>
      </c>
      <c r="N1949" s="622"/>
    </row>
    <row r="1950" spans="2:14">
      <c r="B1950" s="513" t="s">
        <v>752</v>
      </c>
      <c r="C1950" s="658">
        <v>2012</v>
      </c>
      <c r="D1950" s="513">
        <v>1967114.5317965844</v>
      </c>
      <c r="E1950" s="513">
        <v>109866.13701406904</v>
      </c>
      <c r="F1950" s="513">
        <v>109866.13701406904</v>
      </c>
      <c r="G1950" s="512">
        <v>0</v>
      </c>
      <c r="H1950" s="512">
        <v>0</v>
      </c>
      <c r="I1950" s="659" t="s">
        <v>103</v>
      </c>
      <c r="J1950" s="513">
        <v>83708.600000000006</v>
      </c>
      <c r="K1950" s="513">
        <v>0</v>
      </c>
      <c r="L1950" s="513">
        <v>0</v>
      </c>
      <c r="M1950" s="513">
        <v>1993272.0688106534</v>
      </c>
      <c r="N1950" s="622"/>
    </row>
    <row r="1951" spans="2:14">
      <c r="B1951" s="513" t="s">
        <v>752</v>
      </c>
      <c r="C1951" s="658">
        <v>2013</v>
      </c>
      <c r="D1951" s="513">
        <v>1993272.0688106529</v>
      </c>
      <c r="E1951" s="513">
        <v>185860.31980125408</v>
      </c>
      <c r="F1951" s="513">
        <v>185860.31980125408</v>
      </c>
      <c r="G1951" s="660">
        <v>0</v>
      </c>
      <c r="H1951" s="512">
        <v>0</v>
      </c>
      <c r="I1951" s="659" t="s">
        <v>103</v>
      </c>
      <c r="J1951" s="513">
        <v>1846100.2100000035</v>
      </c>
      <c r="K1951" s="513">
        <v>1937644.46</v>
      </c>
      <c r="L1951" s="513">
        <v>0</v>
      </c>
      <c r="M1951" s="513">
        <v>333032.17861190368</v>
      </c>
      <c r="N1951" s="622"/>
    </row>
    <row r="1952" spans="2:14">
      <c r="B1952" s="513" t="s">
        <v>752</v>
      </c>
      <c r="C1952" s="658">
        <v>2014</v>
      </c>
      <c r="D1952" s="513">
        <v>333032.17861190438</v>
      </c>
      <c r="E1952" s="513">
        <v>194734.95983455994</v>
      </c>
      <c r="F1952" s="513">
        <v>194734.95983455994</v>
      </c>
      <c r="G1952" s="660">
        <v>0</v>
      </c>
      <c r="H1952" s="512">
        <v>0</v>
      </c>
      <c r="I1952" s="659" t="s">
        <v>103</v>
      </c>
      <c r="J1952" s="513">
        <v>476657.39000000025</v>
      </c>
      <c r="K1952" s="513">
        <v>614563.76000000024</v>
      </c>
      <c r="L1952" s="513">
        <v>0</v>
      </c>
      <c r="M1952" s="513">
        <v>51109.748446464073</v>
      </c>
      <c r="N1952" s="622"/>
    </row>
    <row r="1953" spans="2:14">
      <c r="B1953" s="513" t="s">
        <v>752</v>
      </c>
      <c r="C1953" s="658">
        <v>2015</v>
      </c>
      <c r="D1953" s="513">
        <v>51109.748446463607</v>
      </c>
      <c r="E1953" s="513">
        <v>198377.89298282942</v>
      </c>
      <c r="F1953" s="513">
        <v>198377.89298282942</v>
      </c>
      <c r="G1953" s="660">
        <v>0</v>
      </c>
      <c r="H1953" s="660">
        <v>0</v>
      </c>
      <c r="I1953" s="659" t="s">
        <v>103</v>
      </c>
      <c r="J1953" s="513">
        <v>44918.86</v>
      </c>
      <c r="K1953" s="513">
        <v>0</v>
      </c>
      <c r="L1953" s="513">
        <v>0</v>
      </c>
      <c r="M1953" s="513">
        <v>204568.78142929304</v>
      </c>
      <c r="N1953" s="622"/>
    </row>
    <row r="1954" spans="2:14">
      <c r="B1954" s="513" t="s">
        <v>752</v>
      </c>
      <c r="C1954" s="658">
        <v>2016</v>
      </c>
      <c r="D1954" s="513">
        <v>204568.78142929263</v>
      </c>
      <c r="E1954" s="513">
        <v>132266.53204386262</v>
      </c>
      <c r="F1954" s="513">
        <v>132266.53204386262</v>
      </c>
      <c r="G1954" s="513">
        <v>0</v>
      </c>
      <c r="H1954" s="660">
        <v>0</v>
      </c>
      <c r="I1954" s="659" t="s">
        <v>103</v>
      </c>
      <c r="J1954" s="513">
        <v>9300.17</v>
      </c>
      <c r="K1954" s="513">
        <v>0</v>
      </c>
      <c r="L1954" s="513">
        <v>0</v>
      </c>
      <c r="M1954" s="513">
        <v>327535.14347315527</v>
      </c>
      <c r="N1954" s="622"/>
    </row>
    <row r="1955" spans="2:14">
      <c r="B1955" s="513" t="s">
        <v>752</v>
      </c>
      <c r="C1955" s="658">
        <v>2017</v>
      </c>
      <c r="D1955" s="513">
        <v>327535.14347315487</v>
      </c>
      <c r="E1955" s="513">
        <v>119224.46137806162</v>
      </c>
      <c r="F1955" s="513">
        <v>119224.46137806162</v>
      </c>
      <c r="G1955" s="513">
        <v>0</v>
      </c>
      <c r="H1955" s="513">
        <v>0</v>
      </c>
      <c r="I1955" s="659" t="s">
        <v>103</v>
      </c>
      <c r="J1955" s="513">
        <v>66100.789999999994</v>
      </c>
      <c r="K1955" s="513">
        <v>0</v>
      </c>
      <c r="L1955" s="513">
        <v>-3227.69</v>
      </c>
      <c r="M1955" s="513">
        <v>383886.50485121651</v>
      </c>
      <c r="N1955" s="622"/>
    </row>
    <row r="1956" spans="2:14">
      <c r="B1956" s="513" t="s">
        <v>752</v>
      </c>
      <c r="C1956" s="889">
        <v>2018</v>
      </c>
      <c r="D1956" s="513">
        <v>383886.50485121651</v>
      </c>
      <c r="E1956" s="513">
        <f>VLOOKUP(B1956,'[6]2018 allocation'!$A$11:$B$218,2, FALSE)</f>
        <v>130997.19222144573</v>
      </c>
      <c r="F1956" s="513">
        <f>E1956</f>
        <v>130997.19222144573</v>
      </c>
      <c r="G1956" s="513">
        <v>0</v>
      </c>
      <c r="H1956" s="513">
        <v>0</v>
      </c>
      <c r="I1956" s="622" t="s">
        <v>103</v>
      </c>
      <c r="J1956" s="513">
        <f>VLOOKUP(B1956,'[6]Annual Spending Worksheet '!$C$6:$AG$250,28,FALSE)</f>
        <v>444.94</v>
      </c>
      <c r="K1956" s="513">
        <f>VLOOKUP(B1956,'[6]Annual Spending Worksheet '!$C$6:$AG$250,29,FALSE)</f>
        <v>0</v>
      </c>
      <c r="L1956" s="513">
        <v>0</v>
      </c>
      <c r="M1956" s="513">
        <f>D1956+E1956+H1956-J1956</f>
        <v>514438.75707266224</v>
      </c>
      <c r="N1956" s="513"/>
    </row>
    <row r="1957" spans="2:14">
      <c r="B1957" s="513" t="s">
        <v>752</v>
      </c>
      <c r="C1957" s="889">
        <v>2019</v>
      </c>
      <c r="D1957" s="513">
        <v>514438.75707266224</v>
      </c>
      <c r="E1957" s="513">
        <v>142383.73168475076</v>
      </c>
      <c r="F1957" s="513">
        <v>142383.73168475076</v>
      </c>
      <c r="G1957" s="513">
        <v>0</v>
      </c>
      <c r="H1957" s="513">
        <v>0</v>
      </c>
      <c r="I1957" s="622" t="s">
        <v>103</v>
      </c>
      <c r="J1957" s="513">
        <v>0</v>
      </c>
      <c r="K1957" s="513">
        <v>0</v>
      </c>
      <c r="L1957" s="513">
        <v>0</v>
      </c>
      <c r="M1957" s="513">
        <v>656822.488757413</v>
      </c>
      <c r="N1957" s="513"/>
    </row>
    <row r="1958" spans="2:14">
      <c r="B1958" s="513" t="s">
        <v>759</v>
      </c>
      <c r="C1958" s="658">
        <v>2008</v>
      </c>
      <c r="D1958" s="513">
        <v>522.35</v>
      </c>
      <c r="E1958" s="512">
        <v>532.62311190167077</v>
      </c>
      <c r="F1958" s="513">
        <v>532.62311190167077</v>
      </c>
      <c r="G1958" s="512">
        <v>0</v>
      </c>
      <c r="H1958" s="512">
        <v>0</v>
      </c>
      <c r="I1958" s="659" t="s">
        <v>103</v>
      </c>
      <c r="J1958" s="513">
        <v>0</v>
      </c>
      <c r="K1958" s="513">
        <v>0</v>
      </c>
      <c r="L1958" s="513">
        <v>0</v>
      </c>
      <c r="M1958" s="513">
        <v>1054.9731119016708</v>
      </c>
      <c r="N1958" s="622"/>
    </row>
    <row r="1959" spans="2:14">
      <c r="B1959" s="513" t="s">
        <v>759</v>
      </c>
      <c r="C1959" s="658">
        <v>2009</v>
      </c>
      <c r="D1959" s="513">
        <v>1054.9731119016708</v>
      </c>
      <c r="E1959" s="512">
        <v>416.26624661211713</v>
      </c>
      <c r="F1959" s="513">
        <v>416.26624661211713</v>
      </c>
      <c r="G1959" s="512">
        <v>0</v>
      </c>
      <c r="H1959" s="512">
        <v>0</v>
      </c>
      <c r="I1959" s="659" t="s">
        <v>103</v>
      </c>
      <c r="J1959" s="513">
        <v>0</v>
      </c>
      <c r="K1959" s="513">
        <v>0</v>
      </c>
      <c r="L1959" s="513">
        <v>0</v>
      </c>
      <c r="M1959" s="513">
        <v>1471.2393585137879</v>
      </c>
      <c r="N1959" s="622"/>
    </row>
    <row r="1960" spans="2:14">
      <c r="B1960" s="513" t="s">
        <v>759</v>
      </c>
      <c r="C1960" s="658">
        <v>2010</v>
      </c>
      <c r="D1960" s="513">
        <v>1471.2393585137879</v>
      </c>
      <c r="E1960" s="512">
        <v>414.3</v>
      </c>
      <c r="F1960" s="513">
        <v>414.3</v>
      </c>
      <c r="G1960" s="512">
        <v>0</v>
      </c>
      <c r="H1960" s="512">
        <v>0</v>
      </c>
      <c r="I1960" s="659" t="s">
        <v>103</v>
      </c>
      <c r="J1960" s="513">
        <v>0</v>
      </c>
      <c r="K1960" s="513">
        <v>0</v>
      </c>
      <c r="L1960" s="513">
        <v>0</v>
      </c>
      <c r="M1960" s="513">
        <v>1885.5393585137879</v>
      </c>
      <c r="N1960" s="622"/>
    </row>
    <row r="1961" spans="2:14">
      <c r="B1961" s="513" t="s">
        <v>759</v>
      </c>
      <c r="C1961" s="658">
        <v>2011</v>
      </c>
      <c r="D1961" s="513">
        <v>1885.5371285402875</v>
      </c>
      <c r="E1961" s="512">
        <v>424.65558632889883</v>
      </c>
      <c r="F1961" s="513">
        <v>424.65558632889883</v>
      </c>
      <c r="G1961" s="512">
        <v>0</v>
      </c>
      <c r="H1961" s="512">
        <v>0</v>
      </c>
      <c r="I1961" s="659" t="s">
        <v>103</v>
      </c>
      <c r="J1961" s="513">
        <v>0</v>
      </c>
      <c r="K1961" s="513">
        <v>0</v>
      </c>
      <c r="L1961" s="513">
        <v>0</v>
      </c>
      <c r="M1961" s="513">
        <v>2310.1927148691866</v>
      </c>
      <c r="N1961" s="622"/>
    </row>
    <row r="1962" spans="2:14">
      <c r="B1962" s="513" t="s">
        <v>759</v>
      </c>
      <c r="C1962" s="658">
        <v>2012</v>
      </c>
      <c r="D1962" s="513">
        <v>2310.1927148691866</v>
      </c>
      <c r="E1962" s="513">
        <v>292.77232271894582</v>
      </c>
      <c r="F1962" s="513">
        <v>292.77232271894582</v>
      </c>
      <c r="G1962" s="512">
        <v>0</v>
      </c>
      <c r="H1962" s="512">
        <v>0</v>
      </c>
      <c r="I1962" s="659" t="s">
        <v>103</v>
      </c>
      <c r="J1962" s="513">
        <v>0</v>
      </c>
      <c r="K1962" s="513">
        <v>0</v>
      </c>
      <c r="L1962" s="513">
        <v>0</v>
      </c>
      <c r="M1962" s="513">
        <v>2602.9650375881324</v>
      </c>
      <c r="N1962" s="622"/>
    </row>
    <row r="1963" spans="2:14">
      <c r="B1963" s="513" t="s">
        <v>759</v>
      </c>
      <c r="C1963" s="658">
        <v>2013</v>
      </c>
      <c r="D1963" s="513">
        <v>2602.9650375881324</v>
      </c>
      <c r="E1963" s="513">
        <v>475.03987340181789</v>
      </c>
      <c r="F1963" s="513">
        <v>475.03987340181789</v>
      </c>
      <c r="G1963" s="512">
        <v>0</v>
      </c>
      <c r="H1963" s="512">
        <v>0</v>
      </c>
      <c r="I1963" s="659" t="s">
        <v>103</v>
      </c>
      <c r="J1963" s="513">
        <v>0</v>
      </c>
      <c r="K1963" s="513">
        <v>0</v>
      </c>
      <c r="L1963" s="513">
        <v>0</v>
      </c>
      <c r="M1963" s="513">
        <v>3078.0049109899501</v>
      </c>
      <c r="N1963" s="622"/>
    </row>
    <row r="1964" spans="2:14">
      <c r="B1964" s="513" t="s">
        <v>759</v>
      </c>
      <c r="C1964" s="658">
        <v>2014</v>
      </c>
      <c r="D1964" s="513">
        <v>3078.0049109899501</v>
      </c>
      <c r="E1964" s="513">
        <v>496.49739547368131</v>
      </c>
      <c r="F1964" s="513">
        <v>496.49739547368131</v>
      </c>
      <c r="G1964" s="512">
        <v>0</v>
      </c>
      <c r="H1964" s="512">
        <v>0</v>
      </c>
      <c r="I1964" s="659" t="s">
        <v>103</v>
      </c>
      <c r="J1964" s="513">
        <v>0</v>
      </c>
      <c r="K1964" s="513">
        <v>0</v>
      </c>
      <c r="L1964" s="513">
        <v>0</v>
      </c>
      <c r="M1964" s="513">
        <v>3574.5023064636316</v>
      </c>
      <c r="N1964" s="622"/>
    </row>
    <row r="1965" spans="2:14">
      <c r="B1965" s="513" t="s">
        <v>759</v>
      </c>
      <c r="C1965" s="658">
        <v>2015</v>
      </c>
      <c r="D1965" s="513">
        <v>3574.5023064636316</v>
      </c>
      <c r="E1965" s="513">
        <v>506.44737660439193</v>
      </c>
      <c r="F1965" s="513">
        <v>506.44737660439193</v>
      </c>
      <c r="G1965" s="512">
        <v>0</v>
      </c>
      <c r="H1965" s="660">
        <v>0</v>
      </c>
      <c r="I1965" s="659" t="s">
        <v>103</v>
      </c>
      <c r="J1965" s="513">
        <v>0</v>
      </c>
      <c r="K1965" s="513">
        <v>0</v>
      </c>
      <c r="L1965" s="513">
        <v>0</v>
      </c>
      <c r="M1965" s="513">
        <v>4080.9496830680237</v>
      </c>
      <c r="N1965" s="622"/>
    </row>
    <row r="1966" spans="2:14">
      <c r="B1966" s="513" t="s">
        <v>759</v>
      </c>
      <c r="C1966" s="658">
        <v>2016</v>
      </c>
      <c r="D1966" s="513">
        <v>4080.9496830680237</v>
      </c>
      <c r="E1966" s="513">
        <v>337.113793369517</v>
      </c>
      <c r="F1966" s="513">
        <v>337.113793369517</v>
      </c>
      <c r="G1966" s="660">
        <v>0</v>
      </c>
      <c r="H1966" s="660">
        <v>0</v>
      </c>
      <c r="I1966" s="659" t="s">
        <v>103</v>
      </c>
      <c r="J1966" s="513">
        <v>0</v>
      </c>
      <c r="K1966" s="513">
        <v>0</v>
      </c>
      <c r="L1966" s="513">
        <v>0</v>
      </c>
      <c r="M1966" s="513">
        <v>4418.0634764375409</v>
      </c>
      <c r="N1966" s="622"/>
    </row>
    <row r="1967" spans="2:14">
      <c r="B1967" s="513" t="s">
        <v>759</v>
      </c>
      <c r="C1967" s="658">
        <v>2017</v>
      </c>
      <c r="D1967" s="513">
        <v>4418.0634764375409</v>
      </c>
      <c r="E1967" s="513">
        <v>309.6868398201895</v>
      </c>
      <c r="F1967" s="513">
        <v>309.6868398201895</v>
      </c>
      <c r="G1967" s="513">
        <v>0</v>
      </c>
      <c r="H1967" s="513">
        <v>0</v>
      </c>
      <c r="I1967" s="659" t="s">
        <v>103</v>
      </c>
      <c r="J1967" s="513">
        <v>0</v>
      </c>
      <c r="K1967" s="513">
        <v>0</v>
      </c>
      <c r="L1967" s="513">
        <v>0</v>
      </c>
      <c r="M1967" s="513">
        <v>4727.7503162577304</v>
      </c>
      <c r="N1967" s="622"/>
    </row>
    <row r="1968" spans="2:14">
      <c r="B1968" s="513" t="s">
        <v>759</v>
      </c>
      <c r="C1968" s="889">
        <v>2018</v>
      </c>
      <c r="D1968" s="513">
        <v>4727.7503162577304</v>
      </c>
      <c r="E1968" s="513">
        <f>VLOOKUP(B1968,'[6]2018 allocation'!$A$11:$B$218,2, FALSE)</f>
        <v>336.60978422556627</v>
      </c>
      <c r="F1968" s="513">
        <f>E1968</f>
        <v>336.60978422556627</v>
      </c>
      <c r="G1968" s="513">
        <v>0</v>
      </c>
      <c r="H1968" s="513">
        <v>0</v>
      </c>
      <c r="I1968" s="622" t="s">
        <v>103</v>
      </c>
      <c r="J1968" s="513">
        <f>VLOOKUP(B1968,'[6]Annual Spending Worksheet '!$C$6:$AG$250,28,FALSE)</f>
        <v>0</v>
      </c>
      <c r="K1968" s="513">
        <f>VLOOKUP(B1968,'[6]Annual Spending Worksheet '!$C$6:$AG$250,29,FALSE)</f>
        <v>0</v>
      </c>
      <c r="L1968" s="513">
        <v>0</v>
      </c>
      <c r="M1968" s="513">
        <f>D1968+E1968+H1968-J1968</f>
        <v>5064.3601004832963</v>
      </c>
      <c r="N1968" s="513"/>
    </row>
    <row r="1969" spans="2:14">
      <c r="B1969" s="513" t="s">
        <v>759</v>
      </c>
      <c r="C1969" s="889">
        <v>2019</v>
      </c>
      <c r="D1969" s="513">
        <v>5064.3601004832963</v>
      </c>
      <c r="E1969" s="513">
        <v>365.39568816937606</v>
      </c>
      <c r="F1969" s="513">
        <v>365.39568816937606</v>
      </c>
      <c r="G1969" s="513">
        <v>0</v>
      </c>
      <c r="H1969" s="513">
        <v>0</v>
      </c>
      <c r="I1969" s="622" t="s">
        <v>103</v>
      </c>
      <c r="J1969" s="513">
        <v>0</v>
      </c>
      <c r="K1969" s="513">
        <v>0</v>
      </c>
      <c r="L1969" s="513">
        <v>0</v>
      </c>
      <c r="M1969" s="513">
        <v>5429.755788652672</v>
      </c>
      <c r="N1969" s="513"/>
    </row>
    <row r="1970" spans="2:14">
      <c r="B1970" s="513" t="s">
        <v>760</v>
      </c>
      <c r="C1970" s="658">
        <v>2008</v>
      </c>
      <c r="D1970" s="513">
        <v>940991.50900000008</v>
      </c>
      <c r="E1970" s="512">
        <v>91247.433187181901</v>
      </c>
      <c r="F1970" s="513">
        <v>91247.433187181901</v>
      </c>
      <c r="G1970" s="512">
        <v>0</v>
      </c>
      <c r="H1970" s="512">
        <v>0</v>
      </c>
      <c r="I1970" s="659" t="s">
        <v>103</v>
      </c>
      <c r="J1970" s="513">
        <v>0</v>
      </c>
      <c r="K1970" s="513">
        <v>0</v>
      </c>
      <c r="L1970" s="513">
        <v>0</v>
      </c>
      <c r="M1970" s="513">
        <v>1032238.942187182</v>
      </c>
      <c r="N1970" s="622"/>
    </row>
    <row r="1971" spans="2:14">
      <c r="B1971" s="513" t="s">
        <v>760</v>
      </c>
      <c r="C1971" s="658">
        <v>2009</v>
      </c>
      <c r="D1971" s="513">
        <v>1032238.9421871821</v>
      </c>
      <c r="E1971" s="512">
        <v>72208.617440898262</v>
      </c>
      <c r="F1971" s="513">
        <v>72208.617440898262</v>
      </c>
      <c r="G1971" s="512">
        <v>0</v>
      </c>
      <c r="H1971" s="512">
        <v>0</v>
      </c>
      <c r="I1971" s="659" t="s">
        <v>103</v>
      </c>
      <c r="J1971" s="513">
        <v>0</v>
      </c>
      <c r="K1971" s="513">
        <v>0</v>
      </c>
      <c r="L1971" s="513">
        <v>0</v>
      </c>
      <c r="M1971" s="513">
        <v>1104447.5596280803</v>
      </c>
      <c r="N1971" s="622"/>
    </row>
    <row r="1972" spans="2:14">
      <c r="B1972" s="513" t="s">
        <v>760</v>
      </c>
      <c r="C1972" s="658">
        <v>2010</v>
      </c>
      <c r="D1972" s="513">
        <v>1104447.5596280806</v>
      </c>
      <c r="E1972" s="512">
        <v>72081.240000000005</v>
      </c>
      <c r="F1972" s="513">
        <v>72081.240000000005</v>
      </c>
      <c r="G1972" s="512">
        <v>0</v>
      </c>
      <c r="H1972" s="512">
        <v>0</v>
      </c>
      <c r="I1972" s="659" t="s">
        <v>103</v>
      </c>
      <c r="J1972" s="513">
        <v>0</v>
      </c>
      <c r="K1972" s="513">
        <v>0</v>
      </c>
      <c r="L1972" s="513">
        <v>0</v>
      </c>
      <c r="M1972" s="513">
        <v>1176528.7996280806</v>
      </c>
      <c r="N1972" s="622"/>
    </row>
    <row r="1973" spans="2:14">
      <c r="B1973" s="513" t="s">
        <v>760</v>
      </c>
      <c r="C1973" s="658">
        <v>2011</v>
      </c>
      <c r="D1973" s="513">
        <v>1176528.7970135161</v>
      </c>
      <c r="E1973" s="512">
        <v>73443.561489803469</v>
      </c>
      <c r="F1973" s="513">
        <v>73443.561489803469</v>
      </c>
      <c r="G1973" s="512">
        <v>0</v>
      </c>
      <c r="H1973" s="512">
        <v>0</v>
      </c>
      <c r="I1973" s="659" t="s">
        <v>103</v>
      </c>
      <c r="J1973" s="513">
        <v>0</v>
      </c>
      <c r="K1973" s="513">
        <v>0</v>
      </c>
      <c r="L1973" s="513">
        <v>0</v>
      </c>
      <c r="M1973" s="513">
        <v>1249972.3585033196</v>
      </c>
      <c r="N1973" s="622"/>
    </row>
    <row r="1974" spans="2:14">
      <c r="B1974" s="513" t="s">
        <v>760</v>
      </c>
      <c r="C1974" s="658">
        <v>2012</v>
      </c>
      <c r="D1974" s="513">
        <v>1249972.3585033193</v>
      </c>
      <c r="E1974" s="513">
        <v>50703.335675422619</v>
      </c>
      <c r="F1974" s="513">
        <v>50703.335675422619</v>
      </c>
      <c r="G1974" s="512">
        <v>0</v>
      </c>
      <c r="H1974" s="512">
        <v>0</v>
      </c>
      <c r="I1974" s="659" t="s">
        <v>103</v>
      </c>
      <c r="J1974" s="513">
        <v>0</v>
      </c>
      <c r="K1974" s="513">
        <v>0</v>
      </c>
      <c r="L1974" s="513">
        <v>0</v>
      </c>
      <c r="M1974" s="513">
        <v>1300675.6941787419</v>
      </c>
      <c r="N1974" s="622"/>
    </row>
    <row r="1975" spans="2:14">
      <c r="B1975" s="513" t="s">
        <v>760</v>
      </c>
      <c r="C1975" s="658">
        <v>2013</v>
      </c>
      <c r="D1975" s="513">
        <v>1300675.6941787419</v>
      </c>
      <c r="E1975" s="513">
        <v>82205.689131156221</v>
      </c>
      <c r="F1975" s="513">
        <v>82205.689131156221</v>
      </c>
      <c r="G1975" s="512">
        <v>0</v>
      </c>
      <c r="H1975" s="512">
        <v>0</v>
      </c>
      <c r="I1975" s="659" t="s">
        <v>103</v>
      </c>
      <c r="J1975" s="513">
        <v>0</v>
      </c>
      <c r="K1975" s="513">
        <v>0</v>
      </c>
      <c r="L1975" s="513">
        <v>0</v>
      </c>
      <c r="M1975" s="513">
        <v>1382881.3833098982</v>
      </c>
      <c r="N1975" s="622"/>
    </row>
    <row r="1976" spans="2:14">
      <c r="B1976" s="513" t="s">
        <v>760</v>
      </c>
      <c r="C1976" s="658">
        <v>2014</v>
      </c>
      <c r="D1976" s="513">
        <v>1382881.383309898</v>
      </c>
      <c r="E1976" s="513">
        <v>85843.228705414644</v>
      </c>
      <c r="F1976" s="513">
        <v>85843.228705414644</v>
      </c>
      <c r="G1976" s="512">
        <v>0</v>
      </c>
      <c r="H1976" s="512">
        <v>0</v>
      </c>
      <c r="I1976" s="659" t="s">
        <v>103</v>
      </c>
      <c r="J1976" s="513">
        <v>38648.380000000012</v>
      </c>
      <c r="K1976" s="513">
        <v>0</v>
      </c>
      <c r="L1976" s="513">
        <v>0</v>
      </c>
      <c r="M1976" s="513">
        <v>1430076.2320153124</v>
      </c>
      <c r="N1976" s="622"/>
    </row>
    <row r="1977" spans="2:14">
      <c r="B1977" s="513" t="s">
        <v>760</v>
      </c>
      <c r="C1977" s="658">
        <v>2015</v>
      </c>
      <c r="D1977" s="513">
        <v>1430076.2320153124</v>
      </c>
      <c r="E1977" s="513">
        <v>87331.557586778741</v>
      </c>
      <c r="F1977" s="513">
        <v>87331.557586778741</v>
      </c>
      <c r="G1977" s="660">
        <v>0</v>
      </c>
      <c r="H1977" s="660">
        <v>0</v>
      </c>
      <c r="I1977" s="659" t="s">
        <v>103</v>
      </c>
      <c r="J1977" s="513">
        <v>24514.77</v>
      </c>
      <c r="K1977" s="513">
        <v>0</v>
      </c>
      <c r="L1977" s="513">
        <v>0</v>
      </c>
      <c r="M1977" s="513">
        <v>1492893.0196020911</v>
      </c>
      <c r="N1977" s="622"/>
    </row>
    <row r="1978" spans="2:14">
      <c r="B1978" s="513" t="s">
        <v>760</v>
      </c>
      <c r="C1978" s="658">
        <v>2016</v>
      </c>
      <c r="D1978" s="513">
        <v>1492893.0196020915</v>
      </c>
      <c r="E1978" s="513">
        <v>60025.601650557313</v>
      </c>
      <c r="F1978" s="513">
        <v>60025.601650557313</v>
      </c>
      <c r="G1978" s="660">
        <v>0</v>
      </c>
      <c r="H1978" s="660">
        <v>0</v>
      </c>
      <c r="I1978" s="659" t="s">
        <v>103</v>
      </c>
      <c r="J1978" s="513">
        <v>4071.12</v>
      </c>
      <c r="K1978" s="513">
        <v>0</v>
      </c>
      <c r="L1978" s="513">
        <v>0</v>
      </c>
      <c r="M1978" s="513">
        <v>1548847.5012526487</v>
      </c>
      <c r="N1978" s="622"/>
    </row>
    <row r="1979" spans="2:14">
      <c r="B1979" s="513" t="s">
        <v>760</v>
      </c>
      <c r="C1979" s="658">
        <v>2017</v>
      </c>
      <c r="D1979" s="513">
        <v>1548847.5012526489</v>
      </c>
      <c r="E1979" s="513">
        <v>54779.22021110553</v>
      </c>
      <c r="F1979" s="513">
        <v>54779.22021110553</v>
      </c>
      <c r="G1979" s="513">
        <v>0</v>
      </c>
      <c r="H1979" s="513">
        <v>0</v>
      </c>
      <c r="I1979" s="659" t="s">
        <v>103</v>
      </c>
      <c r="J1979" s="513">
        <v>-9185.4300000000112</v>
      </c>
      <c r="K1979" s="513">
        <v>0</v>
      </c>
      <c r="L1979" s="513">
        <v>0</v>
      </c>
      <c r="M1979" s="513">
        <v>1612812.1514637542</v>
      </c>
      <c r="N1979" s="622"/>
    </row>
    <row r="1980" spans="2:14">
      <c r="B1980" s="513" t="s">
        <v>760</v>
      </c>
      <c r="C1980" s="889">
        <v>2018</v>
      </c>
      <c r="D1980" s="513">
        <v>1612812.1514637542</v>
      </c>
      <c r="E1980" s="513">
        <f>VLOOKUP(B1980,'[6]2018 allocation'!$A$11:$B$218,2, FALSE)</f>
        <v>59325.933856681033</v>
      </c>
      <c r="F1980" s="513">
        <f>E1980</f>
        <v>59325.933856681033</v>
      </c>
      <c r="G1980" s="513">
        <v>0</v>
      </c>
      <c r="H1980" s="513">
        <v>0</v>
      </c>
      <c r="I1980" s="622" t="s">
        <v>103</v>
      </c>
      <c r="J1980" s="513">
        <f>VLOOKUP(B1980,'[6]Annual Spending Worksheet '!$C$6:$AG$250,28,FALSE)</f>
        <v>189728.21</v>
      </c>
      <c r="K1980" s="513">
        <f>VLOOKUP(B1980,'[6]Annual Spending Worksheet '!$C$6:$AG$250,29,FALSE)</f>
        <v>0</v>
      </c>
      <c r="L1980" s="513">
        <v>0</v>
      </c>
      <c r="M1980" s="513">
        <f>D1980+E1980+H1980-J1980</f>
        <v>1482409.8753204353</v>
      </c>
      <c r="N1980" s="513"/>
    </row>
    <row r="1981" spans="2:14">
      <c r="B1981" s="513" t="s">
        <v>760</v>
      </c>
      <c r="C1981" s="889">
        <v>2019</v>
      </c>
      <c r="D1981" s="513">
        <v>1482409.8753204353</v>
      </c>
      <c r="E1981" s="513">
        <v>64081.407694446265</v>
      </c>
      <c r="F1981" s="513">
        <v>64081.407694446265</v>
      </c>
      <c r="G1981" s="513">
        <v>0</v>
      </c>
      <c r="H1981" s="513">
        <v>0</v>
      </c>
      <c r="I1981" s="622" t="s">
        <v>103</v>
      </c>
      <c r="J1981" s="513">
        <v>13486.050000000001</v>
      </c>
      <c r="K1981" s="513">
        <v>0</v>
      </c>
      <c r="L1981" s="513">
        <v>0</v>
      </c>
      <c r="M1981" s="513">
        <v>1533005.2330148814</v>
      </c>
      <c r="N1981" s="513"/>
    </row>
    <row r="1982" spans="2:14">
      <c r="B1982" s="513" t="s">
        <v>764</v>
      </c>
      <c r="C1982" s="658">
        <v>2008</v>
      </c>
      <c r="D1982" s="513">
        <v>911455.1259999997</v>
      </c>
      <c r="E1982" s="512">
        <v>140228.38951017021</v>
      </c>
      <c r="F1982" s="513">
        <v>140228.38951017021</v>
      </c>
      <c r="G1982" s="512">
        <v>0</v>
      </c>
      <c r="H1982" s="512">
        <v>0</v>
      </c>
      <c r="I1982" s="659" t="s">
        <v>103</v>
      </c>
      <c r="J1982" s="513">
        <v>140209.98000000001</v>
      </c>
      <c r="K1982" s="513">
        <v>0</v>
      </c>
      <c r="L1982" s="513">
        <v>0</v>
      </c>
      <c r="M1982" s="513">
        <v>911473.53551016981</v>
      </c>
      <c r="N1982" s="622"/>
    </row>
    <row r="1983" spans="2:14">
      <c r="B1983" s="513" t="s">
        <v>764</v>
      </c>
      <c r="C1983" s="658">
        <v>2009</v>
      </c>
      <c r="D1983" s="513">
        <v>911473.53551016981</v>
      </c>
      <c r="E1983" s="512">
        <v>108602.71563614135</v>
      </c>
      <c r="F1983" s="513">
        <v>108602.71563614135</v>
      </c>
      <c r="G1983" s="512">
        <v>0</v>
      </c>
      <c r="H1983" s="512">
        <v>0</v>
      </c>
      <c r="I1983" s="659" t="s">
        <v>103</v>
      </c>
      <c r="J1983" s="513">
        <v>16035.28</v>
      </c>
      <c r="K1983" s="513">
        <v>0</v>
      </c>
      <c r="L1983" s="513">
        <v>0</v>
      </c>
      <c r="M1983" s="513">
        <v>1004040.9711463111</v>
      </c>
      <c r="N1983" s="622"/>
    </row>
    <row r="1984" spans="2:14">
      <c r="B1984" s="513" t="s">
        <v>764</v>
      </c>
      <c r="C1984" s="658">
        <v>2010</v>
      </c>
      <c r="D1984" s="513">
        <v>1004040.9711463111</v>
      </c>
      <c r="E1984" s="512">
        <v>108376.05</v>
      </c>
      <c r="F1984" s="513">
        <v>108376.05</v>
      </c>
      <c r="G1984" s="512">
        <v>0</v>
      </c>
      <c r="H1984" s="512">
        <v>0</v>
      </c>
      <c r="I1984" s="659" t="s">
        <v>103</v>
      </c>
      <c r="J1984" s="513">
        <v>4638.4799999999814</v>
      </c>
      <c r="K1984" s="513">
        <v>0</v>
      </c>
      <c r="L1984" s="513">
        <v>0</v>
      </c>
      <c r="M1984" s="513">
        <v>1107778.5411463112</v>
      </c>
      <c r="N1984" s="622"/>
    </row>
    <row r="1985" spans="2:14">
      <c r="B1985" s="513" t="s">
        <v>764</v>
      </c>
      <c r="C1985" s="658">
        <v>2011</v>
      </c>
      <c r="D1985" s="513">
        <v>1107778.5383773353</v>
      </c>
      <c r="E1985" s="512">
        <v>110669.75510397871</v>
      </c>
      <c r="F1985" s="513">
        <v>110669.75510397871</v>
      </c>
      <c r="G1985" s="512">
        <v>0</v>
      </c>
      <c r="H1985" s="512">
        <v>0</v>
      </c>
      <c r="I1985" s="659" t="s">
        <v>103</v>
      </c>
      <c r="J1985" s="513">
        <v>782370.94000000064</v>
      </c>
      <c r="K1985" s="513">
        <v>690676</v>
      </c>
      <c r="L1985" s="513">
        <v>0</v>
      </c>
      <c r="M1985" s="513">
        <v>436077.35348131345</v>
      </c>
      <c r="N1985" s="622"/>
    </row>
    <row r="1986" spans="2:14">
      <c r="B1986" s="513" t="s">
        <v>764</v>
      </c>
      <c r="C1986" s="658">
        <v>2012</v>
      </c>
      <c r="D1986" s="513">
        <v>436077.35348131368</v>
      </c>
      <c r="E1986" s="513">
        <v>72228.368560966963</v>
      </c>
      <c r="F1986" s="513">
        <v>72228.368560966963</v>
      </c>
      <c r="G1986" s="512">
        <v>0</v>
      </c>
      <c r="H1986" s="512">
        <v>0</v>
      </c>
      <c r="I1986" s="659" t="s">
        <v>103</v>
      </c>
      <c r="J1986" s="513">
        <v>157801.21999999997</v>
      </c>
      <c r="K1986" s="513">
        <v>474455</v>
      </c>
      <c r="L1986" s="513">
        <v>0</v>
      </c>
      <c r="M1986" s="513">
        <v>350504.50204228068</v>
      </c>
      <c r="N1986" s="622"/>
    </row>
    <row r="1987" spans="2:14">
      <c r="B1987" s="513" t="s">
        <v>764</v>
      </c>
      <c r="C1987" s="658">
        <v>2013</v>
      </c>
      <c r="D1987" s="513">
        <v>350504.50204228098</v>
      </c>
      <c r="E1987" s="513">
        <v>125372.43364977249</v>
      </c>
      <c r="F1987" s="513">
        <v>125372.43364977249</v>
      </c>
      <c r="G1987" s="512">
        <v>0</v>
      </c>
      <c r="H1987" s="512">
        <v>0</v>
      </c>
      <c r="I1987" s="659" t="s">
        <v>103</v>
      </c>
      <c r="J1987" s="513">
        <v>0</v>
      </c>
      <c r="K1987" s="513">
        <v>0</v>
      </c>
      <c r="L1987" s="513">
        <v>0</v>
      </c>
      <c r="M1987" s="513">
        <v>475876.93569205346</v>
      </c>
      <c r="N1987" s="622"/>
    </row>
    <row r="1988" spans="2:14">
      <c r="B1988" s="513" t="s">
        <v>764</v>
      </c>
      <c r="C1988" s="658">
        <v>2014</v>
      </c>
      <c r="D1988" s="513">
        <v>475876.93569205329</v>
      </c>
      <c r="E1988" s="513">
        <v>131665.06912480749</v>
      </c>
      <c r="F1988" s="513">
        <v>131665.06912480749</v>
      </c>
      <c r="G1988" s="512">
        <v>0</v>
      </c>
      <c r="H1988" s="512">
        <v>0</v>
      </c>
      <c r="I1988" s="659" t="s">
        <v>103</v>
      </c>
      <c r="J1988" s="513">
        <v>-719.56999999999994</v>
      </c>
      <c r="K1988" s="513">
        <v>0</v>
      </c>
      <c r="L1988" s="513">
        <v>1174.1400000000001</v>
      </c>
      <c r="M1988" s="513">
        <v>607087.43481686071</v>
      </c>
      <c r="N1988" s="622"/>
    </row>
    <row r="1989" spans="2:14">
      <c r="B1989" s="513" t="s">
        <v>764</v>
      </c>
      <c r="C1989" s="658">
        <v>2015</v>
      </c>
      <c r="D1989" s="513">
        <v>607087.43481686059</v>
      </c>
      <c r="E1989" s="513">
        <v>134608.2287783651</v>
      </c>
      <c r="F1989" s="513">
        <v>134608.2287783651</v>
      </c>
      <c r="G1989" s="512">
        <v>0</v>
      </c>
      <c r="H1989" s="660">
        <v>0</v>
      </c>
      <c r="I1989" s="659" t="s">
        <v>103</v>
      </c>
      <c r="J1989" s="513">
        <v>0</v>
      </c>
      <c r="K1989" s="513">
        <v>0</v>
      </c>
      <c r="L1989" s="513">
        <v>55.8</v>
      </c>
      <c r="M1989" s="513">
        <v>741639.86359522562</v>
      </c>
      <c r="N1989" s="622"/>
    </row>
    <row r="1990" spans="2:14">
      <c r="B1990" s="513" t="s">
        <v>764</v>
      </c>
      <c r="C1990" s="658">
        <v>2016</v>
      </c>
      <c r="D1990" s="513">
        <v>741639.86359522631</v>
      </c>
      <c r="E1990" s="513">
        <v>86748.06581749201</v>
      </c>
      <c r="F1990" s="513">
        <v>86748.06581749201</v>
      </c>
      <c r="G1990" s="660">
        <v>0</v>
      </c>
      <c r="H1990" s="660">
        <v>0</v>
      </c>
      <c r="I1990" s="659" t="s">
        <v>103</v>
      </c>
      <c r="J1990" s="513">
        <v>0</v>
      </c>
      <c r="K1990" s="513">
        <v>0</v>
      </c>
      <c r="L1990" s="513">
        <v>0</v>
      </c>
      <c r="M1990" s="513">
        <v>828387.92941271828</v>
      </c>
      <c r="N1990" s="622"/>
    </row>
    <row r="1991" spans="2:14">
      <c r="B1991" s="513" t="s">
        <v>764</v>
      </c>
      <c r="C1991" s="658">
        <v>2017</v>
      </c>
      <c r="D1991" s="513">
        <v>828387.9294127184</v>
      </c>
      <c r="E1991" s="513">
        <v>76637.87597697234</v>
      </c>
      <c r="F1991" s="513">
        <v>76637.87597697234</v>
      </c>
      <c r="G1991" s="513">
        <v>0</v>
      </c>
      <c r="H1991" s="513">
        <v>0</v>
      </c>
      <c r="I1991" s="659" t="s">
        <v>103</v>
      </c>
      <c r="J1991" s="513">
        <v>0</v>
      </c>
      <c r="K1991" s="513">
        <v>0</v>
      </c>
      <c r="L1991" s="513">
        <v>0</v>
      </c>
      <c r="M1991" s="513">
        <v>905025.80538969068</v>
      </c>
      <c r="N1991" s="622"/>
    </row>
    <row r="1992" spans="2:14">
      <c r="B1992" s="513" t="s">
        <v>764</v>
      </c>
      <c r="C1992" s="889">
        <v>2018</v>
      </c>
      <c r="D1992" s="513">
        <v>905025.80538969068</v>
      </c>
      <c r="E1992" s="513">
        <f>VLOOKUP(B1992,'[6]2018 allocation'!$A$11:$B$218,2, FALSE)</f>
        <v>84411.413904478221</v>
      </c>
      <c r="F1992" s="513">
        <f>E1992</f>
        <v>84411.413904478221</v>
      </c>
      <c r="G1992" s="513">
        <v>0</v>
      </c>
      <c r="H1992" s="513">
        <v>0</v>
      </c>
      <c r="I1992" s="622" t="s">
        <v>103</v>
      </c>
      <c r="J1992" s="513">
        <f>VLOOKUP(B1992,'[6]Annual Spending Worksheet '!$C$6:$AG$250,28,FALSE)</f>
        <v>2937.15</v>
      </c>
      <c r="K1992" s="513">
        <f>VLOOKUP(B1992,'[6]Annual Spending Worksheet '!$C$6:$AG$250,29,FALSE)</f>
        <v>0</v>
      </c>
      <c r="L1992" s="513">
        <v>0</v>
      </c>
      <c r="M1992" s="513">
        <f>D1992+E1992+H1992-J1992</f>
        <v>986500.06929416885</v>
      </c>
      <c r="N1992" s="513"/>
    </row>
    <row r="1993" spans="2:14">
      <c r="B1993" s="513" t="s">
        <v>764</v>
      </c>
      <c r="C1993" s="889">
        <v>2019</v>
      </c>
      <c r="D1993" s="513">
        <v>986500.06929416885</v>
      </c>
      <c r="E1993" s="513">
        <v>92814.539232521638</v>
      </c>
      <c r="F1993" s="513">
        <v>92814.539232521638</v>
      </c>
      <c r="G1993" s="513">
        <v>0</v>
      </c>
      <c r="H1993" s="513">
        <v>0</v>
      </c>
      <c r="I1993" s="622" t="s">
        <v>103</v>
      </c>
      <c r="J1993" s="513">
        <v>0</v>
      </c>
      <c r="K1993" s="513">
        <v>0</v>
      </c>
      <c r="L1993" s="513">
        <v>0</v>
      </c>
      <c r="M1993" s="513">
        <v>1079314.6085266904</v>
      </c>
      <c r="N1993" s="513"/>
    </row>
    <row r="1994" spans="2:14" ht="29.1">
      <c r="B1994" s="513" t="s">
        <v>772</v>
      </c>
      <c r="C1994" s="658">
        <v>2008</v>
      </c>
      <c r="D1994" s="513">
        <v>-1095091.6889999998</v>
      </c>
      <c r="E1994" s="512">
        <v>45622.790951784606</v>
      </c>
      <c r="F1994" s="513">
        <v>45622.790951784606</v>
      </c>
      <c r="G1994" s="660">
        <v>-1049468.8980482151</v>
      </c>
      <c r="H1994" s="512">
        <v>0</v>
      </c>
      <c r="I1994" s="659" t="s">
        <v>103</v>
      </c>
      <c r="J1994" s="513">
        <v>44292</v>
      </c>
      <c r="K1994" s="513">
        <v>0</v>
      </c>
      <c r="L1994" s="513">
        <v>0</v>
      </c>
      <c r="M1994" s="513">
        <v>-1093760.8980482151</v>
      </c>
      <c r="N1994" s="622" t="s">
        <v>1712</v>
      </c>
    </row>
    <row r="1995" spans="2:14" ht="29.1">
      <c r="B1995" s="513" t="s">
        <v>772</v>
      </c>
      <c r="C1995" s="658">
        <v>2009</v>
      </c>
      <c r="D1995" s="513">
        <v>-1093760.7480482152</v>
      </c>
      <c r="E1995" s="512">
        <v>21414.802752806223</v>
      </c>
      <c r="F1995" s="513">
        <v>21414.802752806223</v>
      </c>
      <c r="G1995" s="660">
        <v>-1072345.9452954088</v>
      </c>
      <c r="H1995" s="512">
        <v>0</v>
      </c>
      <c r="I1995" s="659" t="s">
        <v>103</v>
      </c>
      <c r="J1995" s="513">
        <v>0</v>
      </c>
      <c r="K1995" s="513">
        <v>0</v>
      </c>
      <c r="L1995" s="513">
        <v>0</v>
      </c>
      <c r="M1995" s="513">
        <v>-1072345.9452954088</v>
      </c>
      <c r="N1995" s="622" t="s">
        <v>1711</v>
      </c>
    </row>
    <row r="1996" spans="2:14" ht="29.1">
      <c r="B1996" s="513" t="s">
        <v>772</v>
      </c>
      <c r="C1996" s="658">
        <v>2010</v>
      </c>
      <c r="D1996" s="513">
        <v>-1072345.9452954088</v>
      </c>
      <c r="E1996" s="512">
        <v>21269.95</v>
      </c>
      <c r="F1996" s="513">
        <v>21269.95</v>
      </c>
      <c r="G1996" s="660">
        <v>-1051075.9952954089</v>
      </c>
      <c r="H1996" s="512">
        <v>0</v>
      </c>
      <c r="I1996" s="659" t="s">
        <v>103</v>
      </c>
      <c r="J1996" s="513">
        <v>0</v>
      </c>
      <c r="K1996" s="513">
        <v>0</v>
      </c>
      <c r="L1996" s="513">
        <v>0</v>
      </c>
      <c r="M1996" s="513">
        <v>-1051075.9952954089</v>
      </c>
      <c r="N1996" s="622" t="s">
        <v>1712</v>
      </c>
    </row>
    <row r="1997" spans="2:14" ht="29.1">
      <c r="B1997" s="513" t="s">
        <v>772</v>
      </c>
      <c r="C1997" s="658">
        <v>2011</v>
      </c>
      <c r="D1997" s="513">
        <v>-1051075.993216957</v>
      </c>
      <c r="E1997" s="512">
        <v>23020.622827340369</v>
      </c>
      <c r="F1997" s="513">
        <v>23020.622827340369</v>
      </c>
      <c r="G1997" s="660">
        <v>-1028055.3703896166</v>
      </c>
      <c r="H1997" s="512">
        <v>0</v>
      </c>
      <c r="I1997" s="659" t="s">
        <v>103</v>
      </c>
      <c r="J1997" s="513">
        <v>0</v>
      </c>
      <c r="K1997" s="513">
        <v>0</v>
      </c>
      <c r="L1997" s="513">
        <v>-434.06</v>
      </c>
      <c r="M1997" s="513">
        <v>-1027621.3103896165</v>
      </c>
      <c r="N1997" s="622" t="s">
        <v>1711</v>
      </c>
    </row>
    <row r="1998" spans="2:14" ht="29.1">
      <c r="B1998" s="513" t="s">
        <v>772</v>
      </c>
      <c r="C1998" s="658">
        <v>2012</v>
      </c>
      <c r="D1998" s="513">
        <v>-1027621.3103896165</v>
      </c>
      <c r="E1998" s="512">
        <v>0</v>
      </c>
      <c r="F1998" s="513">
        <v>0</v>
      </c>
      <c r="G1998" s="660">
        <v>-1027621.3103896165</v>
      </c>
      <c r="H1998" s="512">
        <v>0</v>
      </c>
      <c r="I1998" s="659" t="s">
        <v>103</v>
      </c>
      <c r="J1998" s="513">
        <v>0</v>
      </c>
      <c r="K1998" s="513">
        <v>0</v>
      </c>
      <c r="L1998" s="513">
        <v>0</v>
      </c>
      <c r="M1998" s="513">
        <v>-1027621.3103896165</v>
      </c>
      <c r="N1998" s="622" t="s">
        <v>1711</v>
      </c>
    </row>
    <row r="1999" spans="2:14" ht="29.1">
      <c r="B1999" s="513" t="s">
        <v>772</v>
      </c>
      <c r="C1999" s="658">
        <v>2013</v>
      </c>
      <c r="D1999" s="513">
        <v>-1027621.3103896165</v>
      </c>
      <c r="E1999" s="513">
        <v>34059.018575367365</v>
      </c>
      <c r="F1999" s="513">
        <v>34059.018575367365</v>
      </c>
      <c r="G1999" s="660">
        <v>-993562.29181424913</v>
      </c>
      <c r="H1999" s="512">
        <v>0</v>
      </c>
      <c r="I1999" s="659" t="s">
        <v>103</v>
      </c>
      <c r="J1999" s="513">
        <v>0</v>
      </c>
      <c r="K1999" s="513">
        <v>0</v>
      </c>
      <c r="L1999" s="513">
        <v>0</v>
      </c>
      <c r="M1999" s="513">
        <v>-993562.29181424913</v>
      </c>
      <c r="N1999" s="622" t="s">
        <v>1711</v>
      </c>
    </row>
    <row r="2000" spans="2:14" ht="29.1">
      <c r="B2000" s="513" t="s">
        <v>772</v>
      </c>
      <c r="C2000" s="658">
        <v>2014</v>
      </c>
      <c r="D2000" s="513">
        <v>-993562.29181424924</v>
      </c>
      <c r="E2000" s="513">
        <v>38713.119935864452</v>
      </c>
      <c r="F2000" s="513">
        <v>38713.119935864452</v>
      </c>
      <c r="G2000" s="660">
        <v>-954849.17187838478</v>
      </c>
      <c r="H2000" s="512">
        <v>0</v>
      </c>
      <c r="I2000" s="659" t="s">
        <v>103</v>
      </c>
      <c r="J2000" s="513">
        <v>0</v>
      </c>
      <c r="K2000" s="513">
        <v>0</v>
      </c>
      <c r="L2000" s="513">
        <v>0</v>
      </c>
      <c r="M2000" s="513">
        <v>-954849.17187838478</v>
      </c>
      <c r="N2000" s="622" t="s">
        <v>1711</v>
      </c>
    </row>
    <row r="2001" spans="2:14" ht="29.1">
      <c r="B2001" s="513" t="s">
        <v>772</v>
      </c>
      <c r="C2001" s="658">
        <v>2015</v>
      </c>
      <c r="D2001" s="513">
        <v>-954849.17187838489</v>
      </c>
      <c r="E2001" s="513">
        <v>40599.583767865632</v>
      </c>
      <c r="F2001" s="513">
        <v>40599.583767865632</v>
      </c>
      <c r="G2001" s="660">
        <v>-914249.58811051922</v>
      </c>
      <c r="H2001" s="512">
        <v>0</v>
      </c>
      <c r="I2001" s="659" t="s">
        <v>103</v>
      </c>
      <c r="J2001" s="513">
        <v>0</v>
      </c>
      <c r="K2001" s="513">
        <v>0</v>
      </c>
      <c r="L2001" s="513">
        <v>0</v>
      </c>
      <c r="M2001" s="513">
        <v>-914249.58811051922</v>
      </c>
      <c r="N2001" s="622" t="s">
        <v>1711</v>
      </c>
    </row>
    <row r="2002" spans="2:14" ht="29.1">
      <c r="B2002" s="513" t="s">
        <v>772</v>
      </c>
      <c r="C2002" s="658">
        <v>2016</v>
      </c>
      <c r="D2002" s="513">
        <v>-914249.58811051934</v>
      </c>
      <c r="E2002" s="513">
        <v>5770.1708120086296</v>
      </c>
      <c r="F2002" s="513">
        <v>5770.1708120086296</v>
      </c>
      <c r="G2002" s="660">
        <v>-908479.41729851067</v>
      </c>
      <c r="H2002" s="660">
        <v>0</v>
      </c>
      <c r="I2002" s="659" t="s">
        <v>103</v>
      </c>
      <c r="J2002" s="513">
        <v>0</v>
      </c>
      <c r="K2002" s="513">
        <v>0</v>
      </c>
      <c r="L2002" s="513">
        <v>0</v>
      </c>
      <c r="M2002" s="513">
        <v>-908479.41729851067</v>
      </c>
      <c r="N2002" s="622" t="s">
        <v>1711</v>
      </c>
    </row>
    <row r="2003" spans="2:14" ht="29.1">
      <c r="B2003" s="513" t="s">
        <v>772</v>
      </c>
      <c r="C2003" s="658">
        <v>2017</v>
      </c>
      <c r="D2003" s="513">
        <v>-908479.41729851067</v>
      </c>
      <c r="E2003" s="513">
        <v>0</v>
      </c>
      <c r="F2003" s="513">
        <v>0</v>
      </c>
      <c r="G2003" s="660">
        <v>-908479.41729851067</v>
      </c>
      <c r="H2003" s="660">
        <v>0</v>
      </c>
      <c r="I2003" s="659" t="s">
        <v>103</v>
      </c>
      <c r="J2003" s="513">
        <v>0</v>
      </c>
      <c r="K2003" s="513">
        <v>0</v>
      </c>
      <c r="L2003" s="513">
        <v>0</v>
      </c>
      <c r="M2003" s="513">
        <v>-908479.41729851067</v>
      </c>
      <c r="N2003" s="622" t="s">
        <v>1711</v>
      </c>
    </row>
    <row r="2004" spans="2:14" ht="29.1">
      <c r="B2004" s="513" t="s">
        <v>772</v>
      </c>
      <c r="C2004" s="889">
        <v>2018</v>
      </c>
      <c r="D2004" s="513">
        <v>-908479.41729851067</v>
      </c>
      <c r="E2004" s="513">
        <f>VLOOKUP(B2004,'[6]2018 allocation'!$A$11:$B$218,2, FALSE)</f>
        <v>4367.1659187268015</v>
      </c>
      <c r="F2004" s="513">
        <f>E2004</f>
        <v>4367.1659187268015</v>
      </c>
      <c r="G2004" s="513">
        <f>D2004+E2004</f>
        <v>-904112.25137978385</v>
      </c>
      <c r="H2004" s="513">
        <v>0</v>
      </c>
      <c r="I2004" s="622" t="s">
        <v>103</v>
      </c>
      <c r="J2004" s="513">
        <f>VLOOKUP(B2004,'[6]Annual Spending Worksheet '!$C$6:$AG$250,28,FALSE)</f>
        <v>0</v>
      </c>
      <c r="K2004" s="513">
        <f>VLOOKUP(B2004,'[6]Annual Spending Worksheet '!$C$6:$AG$250,29,FALSE)</f>
        <v>0</v>
      </c>
      <c r="L2004" s="513">
        <v>0</v>
      </c>
      <c r="M2004" s="513">
        <f>D2004+E2004+H2004-J2004</f>
        <v>-904112.25137978385</v>
      </c>
      <c r="N2004" s="622" t="s">
        <v>1711</v>
      </c>
    </row>
    <row r="2005" spans="2:14" ht="29.1">
      <c r="B2005" s="513" t="s">
        <v>772</v>
      </c>
      <c r="C2005" s="889">
        <v>2019</v>
      </c>
      <c r="D2005" s="513">
        <v>-904112.25137978385</v>
      </c>
      <c r="E2005" s="513">
        <v>10203.56646088199</v>
      </c>
      <c r="F2005" s="513">
        <v>10203.56646088199</v>
      </c>
      <c r="G2005" s="513">
        <v>-893908.68491890188</v>
      </c>
      <c r="H2005" s="513">
        <v>0</v>
      </c>
      <c r="I2005" s="622" t="s">
        <v>103</v>
      </c>
      <c r="J2005" s="513">
        <v>0</v>
      </c>
      <c r="K2005" s="513">
        <v>0</v>
      </c>
      <c r="L2005" s="513">
        <v>0</v>
      </c>
      <c r="M2005" s="513">
        <v>-893908.68491890188</v>
      </c>
      <c r="N2005" s="622" t="s">
        <v>1711</v>
      </c>
    </row>
    <row r="2006" spans="2:14">
      <c r="B2006" s="513" t="s">
        <v>777</v>
      </c>
      <c r="C2006" s="658">
        <v>2008</v>
      </c>
      <c r="D2006" s="513">
        <v>2254.8069999999998</v>
      </c>
      <c r="E2006" s="512">
        <v>2310.0414223438083</v>
      </c>
      <c r="F2006" s="513">
        <v>2310.0414223438083</v>
      </c>
      <c r="G2006" s="512">
        <v>0</v>
      </c>
      <c r="H2006" s="512">
        <v>0</v>
      </c>
      <c r="I2006" s="659" t="s">
        <v>103</v>
      </c>
      <c r="J2006" s="513">
        <v>0</v>
      </c>
      <c r="K2006" s="513">
        <v>0</v>
      </c>
      <c r="L2006" s="513">
        <v>0</v>
      </c>
      <c r="M2006" s="513">
        <v>4564.8484223438081</v>
      </c>
      <c r="N2006" s="622"/>
    </row>
    <row r="2007" spans="2:14">
      <c r="B2007" s="513" t="s">
        <v>777</v>
      </c>
      <c r="C2007" s="658">
        <v>2009</v>
      </c>
      <c r="D2007" s="513">
        <v>4564.8484223438081</v>
      </c>
      <c r="E2007" s="512">
        <v>1598.6152029621385</v>
      </c>
      <c r="F2007" s="513">
        <v>1598.6152029621385</v>
      </c>
      <c r="G2007" s="512">
        <v>0</v>
      </c>
      <c r="H2007" s="512">
        <v>0</v>
      </c>
      <c r="I2007" s="659" t="s">
        <v>103</v>
      </c>
      <c r="J2007" s="513">
        <v>0</v>
      </c>
      <c r="K2007" s="513">
        <v>0</v>
      </c>
      <c r="L2007" s="513">
        <v>0</v>
      </c>
      <c r="M2007" s="513">
        <v>6163.4636253059471</v>
      </c>
      <c r="N2007" s="622"/>
    </row>
    <row r="2008" spans="2:14">
      <c r="B2008" s="513" t="s">
        <v>777</v>
      </c>
      <c r="C2008" s="658">
        <v>2010</v>
      </c>
      <c r="D2008" s="513">
        <v>6163.4636253059471</v>
      </c>
      <c r="E2008" s="512">
        <v>1591.32</v>
      </c>
      <c r="F2008" s="513">
        <v>1591.32</v>
      </c>
      <c r="G2008" s="512">
        <v>0</v>
      </c>
      <c r="H2008" s="512">
        <v>0</v>
      </c>
      <c r="I2008" s="659" t="s">
        <v>103</v>
      </c>
      <c r="J2008" s="513">
        <v>0</v>
      </c>
      <c r="K2008" s="513">
        <v>0</v>
      </c>
      <c r="L2008" s="513">
        <v>0</v>
      </c>
      <c r="M2008" s="513">
        <v>7754.7836253059468</v>
      </c>
      <c r="N2008" s="622"/>
    </row>
    <row r="2009" spans="2:14">
      <c r="B2009" s="513" t="s">
        <v>777</v>
      </c>
      <c r="C2009" s="658">
        <v>2011</v>
      </c>
      <c r="D2009" s="513">
        <v>7754.7791407902505</v>
      </c>
      <c r="E2009" s="512">
        <v>1641.2492146912195</v>
      </c>
      <c r="F2009" s="513">
        <v>1641.2492146912195</v>
      </c>
      <c r="G2009" s="512">
        <v>0</v>
      </c>
      <c r="H2009" s="512">
        <v>0</v>
      </c>
      <c r="I2009" s="659" t="s">
        <v>103</v>
      </c>
      <c r="J2009" s="513">
        <v>0</v>
      </c>
      <c r="K2009" s="513">
        <v>0</v>
      </c>
      <c r="L2009" s="513">
        <v>0</v>
      </c>
      <c r="M2009" s="513">
        <v>9396.0283554814705</v>
      </c>
      <c r="N2009" s="622"/>
    </row>
    <row r="2010" spans="2:14">
      <c r="B2010" s="513" t="s">
        <v>777</v>
      </c>
      <c r="C2010" s="658">
        <v>2012</v>
      </c>
      <c r="D2010" s="513">
        <v>9396.0283554814705</v>
      </c>
      <c r="E2010" s="513">
        <v>755.80895887923634</v>
      </c>
      <c r="F2010" s="513">
        <v>755.80895887923634</v>
      </c>
      <c r="G2010" s="512">
        <v>0</v>
      </c>
      <c r="H2010" s="512">
        <v>0</v>
      </c>
      <c r="I2010" s="659" t="s">
        <v>103</v>
      </c>
      <c r="J2010" s="513">
        <v>0</v>
      </c>
      <c r="K2010" s="513">
        <v>0</v>
      </c>
      <c r="L2010" s="513">
        <v>0</v>
      </c>
      <c r="M2010" s="513">
        <v>10151.837314360706</v>
      </c>
      <c r="N2010" s="622"/>
    </row>
    <row r="2011" spans="2:14">
      <c r="B2011" s="513" t="s">
        <v>777</v>
      </c>
      <c r="C2011" s="658">
        <v>2013</v>
      </c>
      <c r="D2011" s="513">
        <v>10151.837314360706</v>
      </c>
      <c r="E2011" s="513">
        <v>1975.8080673309423</v>
      </c>
      <c r="F2011" s="513">
        <v>1975.8080673309423</v>
      </c>
      <c r="G2011" s="512">
        <v>0</v>
      </c>
      <c r="H2011" s="512">
        <v>0</v>
      </c>
      <c r="I2011" s="659" t="s">
        <v>103</v>
      </c>
      <c r="J2011" s="513">
        <v>0</v>
      </c>
      <c r="K2011" s="513">
        <v>0</v>
      </c>
      <c r="L2011" s="513">
        <v>0</v>
      </c>
      <c r="M2011" s="513">
        <v>12127.645381691647</v>
      </c>
      <c r="N2011" s="622"/>
    </row>
    <row r="2012" spans="2:14">
      <c r="B2012" s="513" t="s">
        <v>777</v>
      </c>
      <c r="C2012" s="658">
        <v>2014</v>
      </c>
      <c r="D2012" s="513">
        <v>12127.645381691647</v>
      </c>
      <c r="E2012" s="513">
        <v>2123.8648188415268</v>
      </c>
      <c r="F2012" s="513">
        <v>2123.8648188415268</v>
      </c>
      <c r="G2012" s="512">
        <v>0</v>
      </c>
      <c r="H2012" s="512">
        <v>0</v>
      </c>
      <c r="I2012" s="659" t="s">
        <v>103</v>
      </c>
      <c r="J2012" s="513">
        <v>0</v>
      </c>
      <c r="K2012" s="513">
        <v>0</v>
      </c>
      <c r="L2012" s="513">
        <v>0</v>
      </c>
      <c r="M2012" s="513">
        <v>14251.510200533174</v>
      </c>
      <c r="N2012" s="622"/>
    </row>
    <row r="2013" spans="2:14">
      <c r="B2013" s="513" t="s">
        <v>777</v>
      </c>
      <c r="C2013" s="658">
        <v>2015</v>
      </c>
      <c r="D2013" s="513">
        <v>14251.510200533174</v>
      </c>
      <c r="E2013" s="513">
        <v>2175.8221523838411</v>
      </c>
      <c r="F2013" s="513">
        <v>2175.8221523838411</v>
      </c>
      <c r="G2013" s="512">
        <v>0</v>
      </c>
      <c r="H2013" s="660">
        <v>0</v>
      </c>
      <c r="I2013" s="659" t="s">
        <v>103</v>
      </c>
      <c r="J2013" s="513">
        <v>0</v>
      </c>
      <c r="K2013" s="513">
        <v>0</v>
      </c>
      <c r="L2013" s="513">
        <v>0</v>
      </c>
      <c r="M2013" s="513">
        <v>16427.332352917016</v>
      </c>
      <c r="N2013" s="622"/>
    </row>
    <row r="2014" spans="2:14">
      <c r="B2014" s="513" t="s">
        <v>777</v>
      </c>
      <c r="C2014" s="658">
        <v>2016</v>
      </c>
      <c r="D2014" s="513">
        <v>16427.332352917016</v>
      </c>
      <c r="E2014" s="513">
        <v>1124.5307950958468</v>
      </c>
      <c r="F2014" s="513">
        <v>1124.5307950958468</v>
      </c>
      <c r="G2014" s="660">
        <v>0</v>
      </c>
      <c r="H2014" s="660">
        <v>0</v>
      </c>
      <c r="I2014" s="659" t="s">
        <v>103</v>
      </c>
      <c r="J2014" s="513">
        <v>0</v>
      </c>
      <c r="K2014" s="513">
        <v>0</v>
      </c>
      <c r="L2014" s="513">
        <v>0</v>
      </c>
      <c r="M2014" s="513">
        <v>17551.863148012861</v>
      </c>
      <c r="N2014" s="622"/>
    </row>
    <row r="2015" spans="2:14">
      <c r="B2015" s="513" t="s">
        <v>777</v>
      </c>
      <c r="C2015" s="658">
        <v>2017</v>
      </c>
      <c r="D2015" s="513">
        <v>17551.863148012861</v>
      </c>
      <c r="E2015" s="513">
        <v>924.69018355031164</v>
      </c>
      <c r="F2015" s="513">
        <v>924.69018355031164</v>
      </c>
      <c r="G2015" s="513">
        <v>0</v>
      </c>
      <c r="H2015" s="513">
        <v>0</v>
      </c>
      <c r="I2015" s="659" t="s">
        <v>103</v>
      </c>
      <c r="J2015" s="513">
        <v>0</v>
      </c>
      <c r="K2015" s="513">
        <v>0</v>
      </c>
      <c r="L2015" s="513">
        <v>0</v>
      </c>
      <c r="M2015" s="513">
        <v>18476.553331563173</v>
      </c>
      <c r="N2015" s="622"/>
    </row>
    <row r="2016" spans="2:14">
      <c r="B2016" s="513" t="s">
        <v>777</v>
      </c>
      <c r="C2016" s="889">
        <v>2018</v>
      </c>
      <c r="D2016" s="513">
        <v>18476.553331563173</v>
      </c>
      <c r="E2016" s="513">
        <f>VLOOKUP(B2016,'[6]2018 allocation'!$A$11:$B$218,2, FALSE)</f>
        <v>1105.7116738196876</v>
      </c>
      <c r="F2016" s="513">
        <f>E2016</f>
        <v>1105.7116738196876</v>
      </c>
      <c r="G2016" s="513">
        <v>0</v>
      </c>
      <c r="H2016" s="513">
        <v>0</v>
      </c>
      <c r="I2016" s="622" t="s">
        <v>103</v>
      </c>
      <c r="J2016" s="513">
        <f>VLOOKUP(B2016,'[6]Annual Spending Worksheet '!$C$6:$AG$250,28,FALSE)</f>
        <v>0</v>
      </c>
      <c r="K2016" s="513">
        <f>VLOOKUP(B2016,'[6]Annual Spending Worksheet '!$C$6:$AG$250,29,FALSE)</f>
        <v>0</v>
      </c>
      <c r="L2016" s="513">
        <v>0</v>
      </c>
      <c r="M2016" s="513">
        <f>D2016+E2016+H2016-J2016</f>
        <v>19582.265005382862</v>
      </c>
      <c r="N2016" s="513"/>
    </row>
    <row r="2017" spans="2:14">
      <c r="B2017" s="513" t="s">
        <v>777</v>
      </c>
      <c r="C2017" s="889">
        <v>2019</v>
      </c>
      <c r="D2017" s="513">
        <v>19582.265005382862</v>
      </c>
      <c r="E2017" s="513">
        <v>1287.9050348831984</v>
      </c>
      <c r="F2017" s="513">
        <v>1287.9050348831984</v>
      </c>
      <c r="G2017" s="513">
        <v>0</v>
      </c>
      <c r="H2017" s="513">
        <v>0</v>
      </c>
      <c r="I2017" s="622" t="s">
        <v>103</v>
      </c>
      <c r="J2017" s="513">
        <v>0</v>
      </c>
      <c r="K2017" s="513">
        <v>0</v>
      </c>
      <c r="L2017" s="513">
        <v>0</v>
      </c>
      <c r="M2017" s="513">
        <v>20870.170040266061</v>
      </c>
      <c r="N2017" s="513"/>
    </row>
    <row r="2018" spans="2:14">
      <c r="B2018" s="513" t="s">
        <v>778</v>
      </c>
      <c r="C2018" s="658">
        <v>2008</v>
      </c>
      <c r="D2018" s="513">
        <v>2613186.85</v>
      </c>
      <c r="E2018" s="512">
        <v>241943.81291530264</v>
      </c>
      <c r="F2018" s="513">
        <v>241943.81291530264</v>
      </c>
      <c r="G2018" s="512">
        <v>0</v>
      </c>
      <c r="H2018" s="512">
        <v>0</v>
      </c>
      <c r="I2018" s="659" t="s">
        <v>103</v>
      </c>
      <c r="J2018" s="513">
        <v>110740</v>
      </c>
      <c r="K2018" s="513">
        <v>0</v>
      </c>
      <c r="L2018" s="513">
        <v>0</v>
      </c>
      <c r="M2018" s="513">
        <v>2744390.6629153029</v>
      </c>
      <c r="N2018" s="622"/>
    </row>
    <row r="2019" spans="2:14">
      <c r="B2019" s="513" t="s">
        <v>778</v>
      </c>
      <c r="C2019" s="658">
        <v>2009</v>
      </c>
      <c r="D2019" s="513">
        <v>2744390.6629153029</v>
      </c>
      <c r="E2019" s="512">
        <v>176507.18857704205</v>
      </c>
      <c r="F2019" s="513">
        <v>176507.18857704205</v>
      </c>
      <c r="G2019" s="512">
        <v>0</v>
      </c>
      <c r="H2019" s="512">
        <v>0</v>
      </c>
      <c r="I2019" s="659" t="s">
        <v>103</v>
      </c>
      <c r="J2019" s="513">
        <v>93569.87999999999</v>
      </c>
      <c r="K2019" s="513">
        <v>0</v>
      </c>
      <c r="L2019" s="513">
        <v>0</v>
      </c>
      <c r="M2019" s="513">
        <v>2827327.971492345</v>
      </c>
      <c r="N2019" s="622"/>
    </row>
    <row r="2020" spans="2:14">
      <c r="B2020" s="513" t="s">
        <v>778</v>
      </c>
      <c r="C2020" s="658">
        <v>2010</v>
      </c>
      <c r="D2020" s="513">
        <v>2827327.9714923445</v>
      </c>
      <c r="E2020" s="512">
        <v>176020.3</v>
      </c>
      <c r="F2020" s="513">
        <v>176020.3</v>
      </c>
      <c r="G2020" s="512">
        <v>0</v>
      </c>
      <c r="H2020" s="512">
        <v>0</v>
      </c>
      <c r="I2020" s="659" t="s">
        <v>103</v>
      </c>
      <c r="J2020" s="513">
        <v>1060328.1000000001</v>
      </c>
      <c r="K2020" s="513">
        <v>0</v>
      </c>
      <c r="L2020" s="513">
        <v>246.29</v>
      </c>
      <c r="M2020" s="513">
        <v>1942773.8814923442</v>
      </c>
      <c r="N2020" s="622"/>
    </row>
    <row r="2021" spans="2:14">
      <c r="B2021" s="513" t="s">
        <v>778</v>
      </c>
      <c r="C2021" s="658">
        <v>2011</v>
      </c>
      <c r="D2021" s="513">
        <v>1942773.885763282</v>
      </c>
      <c r="E2021" s="512">
        <v>176020.30427093667</v>
      </c>
      <c r="F2021" s="513">
        <v>176020.30427093667</v>
      </c>
      <c r="G2021" s="512">
        <v>0</v>
      </c>
      <c r="H2021" s="512">
        <v>0</v>
      </c>
      <c r="I2021" s="659" t="s">
        <v>103</v>
      </c>
      <c r="J2021" s="513">
        <v>387047.10000000044</v>
      </c>
      <c r="K2021" s="513">
        <v>1652316</v>
      </c>
      <c r="L2021" s="513">
        <v>0</v>
      </c>
      <c r="M2021" s="513">
        <v>1731747.090034218</v>
      </c>
      <c r="N2021" s="622"/>
    </row>
    <row r="2022" spans="2:14">
      <c r="B2022" s="513" t="s">
        <v>778</v>
      </c>
      <c r="C2022" s="658">
        <v>2012</v>
      </c>
      <c r="D2022" s="513">
        <v>1736517.7822019085</v>
      </c>
      <c r="E2022" s="513">
        <v>101420.99026471333</v>
      </c>
      <c r="F2022" s="513">
        <v>101420.99026471333</v>
      </c>
      <c r="G2022" s="512">
        <v>0</v>
      </c>
      <c r="H2022" s="512">
        <v>0</v>
      </c>
      <c r="I2022" s="659" t="s">
        <v>103</v>
      </c>
      <c r="J2022" s="513">
        <v>12.559999999999995</v>
      </c>
      <c r="K2022" s="513">
        <v>0</v>
      </c>
      <c r="L2022" s="513">
        <v>0</v>
      </c>
      <c r="M2022" s="513">
        <v>1837926.2124666218</v>
      </c>
      <c r="N2022" s="622"/>
    </row>
    <row r="2023" spans="2:14">
      <c r="B2023" s="513" t="s">
        <v>778</v>
      </c>
      <c r="C2023" s="658">
        <v>2013</v>
      </c>
      <c r="D2023" s="513">
        <v>1837926.2124666227</v>
      </c>
      <c r="E2023" s="513">
        <v>211056.73043764505</v>
      </c>
      <c r="F2023" s="513">
        <v>211056.73043764505</v>
      </c>
      <c r="G2023" s="512">
        <v>0</v>
      </c>
      <c r="H2023" s="512">
        <v>0</v>
      </c>
      <c r="I2023" s="659" t="s">
        <v>103</v>
      </c>
      <c r="J2023" s="513">
        <v>0</v>
      </c>
      <c r="K2023" s="513">
        <v>0</v>
      </c>
      <c r="L2023" s="513">
        <v>0</v>
      </c>
      <c r="M2023" s="513">
        <v>2048982.9429042677</v>
      </c>
      <c r="N2023" s="622"/>
    </row>
    <row r="2024" spans="2:14">
      <c r="B2024" s="513" t="s">
        <v>778</v>
      </c>
      <c r="C2024" s="658">
        <v>2014</v>
      </c>
      <c r="D2024" s="513">
        <v>2048982.9429042675</v>
      </c>
      <c r="E2024" s="513">
        <v>223921.01547556344</v>
      </c>
      <c r="F2024" s="513">
        <v>223921.01547556344</v>
      </c>
      <c r="G2024" s="512">
        <v>0</v>
      </c>
      <c r="H2024" s="512">
        <v>0</v>
      </c>
      <c r="I2024" s="659" t="s">
        <v>103</v>
      </c>
      <c r="J2024" s="513">
        <v>-3207.92</v>
      </c>
      <c r="K2024" s="513">
        <v>0</v>
      </c>
      <c r="L2024" s="513">
        <v>3579.5</v>
      </c>
      <c r="M2024" s="513">
        <v>2272532.3783798306</v>
      </c>
      <c r="N2024" s="622"/>
    </row>
    <row r="2025" spans="2:14">
      <c r="B2025" s="513" t="s">
        <v>778</v>
      </c>
      <c r="C2025" s="658">
        <v>2015</v>
      </c>
      <c r="D2025" s="513">
        <v>2272532.3783798311</v>
      </c>
      <c r="E2025" s="513">
        <v>229158.06182261708</v>
      </c>
      <c r="F2025" s="513">
        <v>229158.06182261708</v>
      </c>
      <c r="G2025" s="512">
        <v>0</v>
      </c>
      <c r="H2025" s="660">
        <v>0</v>
      </c>
      <c r="I2025" s="659" t="s">
        <v>103</v>
      </c>
      <c r="J2025" s="513">
        <v>0</v>
      </c>
      <c r="K2025" s="513">
        <v>0</v>
      </c>
      <c r="L2025" s="513">
        <v>0</v>
      </c>
      <c r="M2025" s="513">
        <v>2501690.4402024481</v>
      </c>
      <c r="N2025" s="622"/>
    </row>
    <row r="2026" spans="2:14">
      <c r="B2026" s="513" t="s">
        <v>778</v>
      </c>
      <c r="C2026" s="658">
        <v>2016</v>
      </c>
      <c r="D2026" s="513">
        <v>2501690.4402024485</v>
      </c>
      <c r="E2026" s="513">
        <v>133577.55263093641</v>
      </c>
      <c r="F2026" s="513">
        <v>133577.55263093641</v>
      </c>
      <c r="G2026" s="660">
        <v>0</v>
      </c>
      <c r="H2026" s="660">
        <v>0</v>
      </c>
      <c r="I2026" s="659" t="s">
        <v>103</v>
      </c>
      <c r="J2026" s="513">
        <v>0</v>
      </c>
      <c r="K2026" s="513">
        <v>0</v>
      </c>
      <c r="L2026" s="513">
        <v>0</v>
      </c>
      <c r="M2026" s="513">
        <v>2635267.9928333848</v>
      </c>
      <c r="N2026" s="622"/>
    </row>
    <row r="2027" spans="2:14">
      <c r="B2027" s="513" t="s">
        <v>778</v>
      </c>
      <c r="C2027" s="658">
        <v>2017</v>
      </c>
      <c r="D2027" s="513">
        <v>2635267.9928333852</v>
      </c>
      <c r="E2027" s="513">
        <v>114058.39043589399</v>
      </c>
      <c r="F2027" s="513">
        <v>114058.39043589399</v>
      </c>
      <c r="G2027" s="513">
        <v>0</v>
      </c>
      <c r="H2027" s="513">
        <v>0</v>
      </c>
      <c r="I2027" s="659" t="s">
        <v>103</v>
      </c>
      <c r="J2027" s="513">
        <v>0</v>
      </c>
      <c r="K2027" s="513">
        <v>0</v>
      </c>
      <c r="L2027" s="513">
        <v>0</v>
      </c>
      <c r="M2027" s="513">
        <v>2749326.3832692793</v>
      </c>
      <c r="N2027" s="622"/>
    </row>
    <row r="2028" spans="2:14">
      <c r="B2028" s="513" t="s">
        <v>778</v>
      </c>
      <c r="C2028" s="889">
        <v>2018</v>
      </c>
      <c r="D2028" s="513">
        <v>2749326.3832692793</v>
      </c>
      <c r="E2028" s="513">
        <f>VLOOKUP(B2028,'[6]2018 allocation'!$A$11:$B$218,2, FALSE)</f>
        <v>130000.49271671441</v>
      </c>
      <c r="F2028" s="513">
        <f>E2028</f>
        <v>130000.49271671441</v>
      </c>
      <c r="G2028" s="513">
        <v>0</v>
      </c>
      <c r="H2028" s="513">
        <v>0</v>
      </c>
      <c r="I2028" s="622" t="s">
        <v>103</v>
      </c>
      <c r="J2028" s="513">
        <f>VLOOKUP(B2028,'[6]Annual Spending Worksheet '!$C$6:$AG$250,28,FALSE)</f>
        <v>0</v>
      </c>
      <c r="K2028" s="513">
        <f>VLOOKUP(B2028,'[6]Annual Spending Worksheet '!$C$6:$AG$250,29,FALSE)</f>
        <v>0</v>
      </c>
      <c r="L2028" s="513">
        <v>0</v>
      </c>
      <c r="M2028" s="513">
        <f>D2028+E2028+H2028-J2028</f>
        <v>2879326.8759859935</v>
      </c>
      <c r="N2028" s="513"/>
    </row>
    <row r="2029" spans="2:14">
      <c r="B2029" s="513" t="s">
        <v>778</v>
      </c>
      <c r="C2029" s="889">
        <v>2019</v>
      </c>
      <c r="D2029" s="513">
        <v>2879326.8759859935</v>
      </c>
      <c r="E2029" s="513">
        <v>146804.59253654582</v>
      </c>
      <c r="F2029" s="513">
        <v>146804.59253654582</v>
      </c>
      <c r="G2029" s="513">
        <v>0</v>
      </c>
      <c r="H2029" s="513">
        <v>0</v>
      </c>
      <c r="I2029" s="622" t="s">
        <v>103</v>
      </c>
      <c r="J2029" s="513">
        <v>4838.04</v>
      </c>
      <c r="K2029" s="513">
        <v>0</v>
      </c>
      <c r="L2029" s="513">
        <v>0</v>
      </c>
      <c r="M2029" s="513">
        <v>3021293.4285225393</v>
      </c>
      <c r="N2029" s="513"/>
    </row>
    <row r="2030" spans="2:14">
      <c r="B2030" s="513" t="s">
        <v>794</v>
      </c>
      <c r="C2030" s="658">
        <v>2008</v>
      </c>
      <c r="D2030" s="513">
        <v>704231.16399999999</v>
      </c>
      <c r="E2030" s="512">
        <v>27291.871790455163</v>
      </c>
      <c r="F2030" s="513">
        <v>27291.871790455163</v>
      </c>
      <c r="G2030" s="512">
        <v>0</v>
      </c>
      <c r="H2030" s="512">
        <v>0</v>
      </c>
      <c r="I2030" s="659" t="s">
        <v>103</v>
      </c>
      <c r="J2030" s="513">
        <v>0</v>
      </c>
      <c r="K2030" s="513">
        <v>0</v>
      </c>
      <c r="L2030" s="513">
        <v>0</v>
      </c>
      <c r="M2030" s="513">
        <v>731523.03579045518</v>
      </c>
      <c r="N2030" s="622"/>
    </row>
    <row r="2031" spans="2:14">
      <c r="B2031" s="513" t="s">
        <v>794</v>
      </c>
      <c r="C2031" s="658">
        <v>2009</v>
      </c>
      <c r="D2031" s="513">
        <v>731523.03579045518</v>
      </c>
      <c r="E2031" s="512">
        <v>20428.659728038445</v>
      </c>
      <c r="F2031" s="513">
        <v>20428.659728038445</v>
      </c>
      <c r="G2031" s="512">
        <v>0</v>
      </c>
      <c r="H2031" s="512">
        <v>0</v>
      </c>
      <c r="I2031" s="659" t="s">
        <v>103</v>
      </c>
      <c r="J2031" s="513">
        <v>0</v>
      </c>
      <c r="K2031" s="513">
        <v>0</v>
      </c>
      <c r="L2031" s="513">
        <v>0</v>
      </c>
      <c r="M2031" s="513">
        <v>751951.69551849365</v>
      </c>
      <c r="N2031" s="622"/>
    </row>
    <row r="2032" spans="2:14">
      <c r="B2032" s="513" t="s">
        <v>794</v>
      </c>
      <c r="C2032" s="658">
        <v>2010</v>
      </c>
      <c r="D2032" s="513">
        <v>751951.69551849365</v>
      </c>
      <c r="E2032" s="512">
        <v>20371.72</v>
      </c>
      <c r="F2032" s="513">
        <v>20371.72</v>
      </c>
      <c r="G2032" s="512">
        <v>0</v>
      </c>
      <c r="H2032" s="512">
        <v>0</v>
      </c>
      <c r="I2032" s="659" t="s">
        <v>103</v>
      </c>
      <c r="J2032" s="513">
        <v>0</v>
      </c>
      <c r="K2032" s="513">
        <v>0</v>
      </c>
      <c r="L2032" s="513">
        <v>0</v>
      </c>
      <c r="M2032" s="513">
        <v>772323.41551849362</v>
      </c>
      <c r="N2032" s="622"/>
    </row>
    <row r="2033" spans="2:14">
      <c r="B2033" s="513" t="s">
        <v>794</v>
      </c>
      <c r="C2033" s="658">
        <v>2011</v>
      </c>
      <c r="D2033" s="513">
        <v>772323.41716510756</v>
      </c>
      <c r="E2033" s="512">
        <v>20868.924080944606</v>
      </c>
      <c r="F2033" s="513">
        <v>20868.924080944606</v>
      </c>
      <c r="G2033" s="512">
        <v>0</v>
      </c>
      <c r="H2033" s="512">
        <v>0</v>
      </c>
      <c r="I2033" s="659" t="s">
        <v>103</v>
      </c>
      <c r="J2033" s="513">
        <v>0</v>
      </c>
      <c r="K2033" s="513">
        <v>0</v>
      </c>
      <c r="L2033" s="513">
        <v>0</v>
      </c>
      <c r="M2033" s="513">
        <v>793192.34124605218</v>
      </c>
      <c r="N2033" s="622"/>
    </row>
    <row r="2034" spans="2:14">
      <c r="B2034" s="513" t="s">
        <v>794</v>
      </c>
      <c r="C2034" s="658">
        <v>2012</v>
      </c>
      <c r="D2034" s="513">
        <v>793192.34124605218</v>
      </c>
      <c r="E2034" s="513">
        <v>12623.091206854646</v>
      </c>
      <c r="F2034" s="513">
        <v>12623.091206854646</v>
      </c>
      <c r="G2034" s="512">
        <v>0</v>
      </c>
      <c r="H2034" s="512">
        <v>0</v>
      </c>
      <c r="I2034" s="659" t="s">
        <v>103</v>
      </c>
      <c r="J2034" s="513">
        <v>0</v>
      </c>
      <c r="K2034" s="513">
        <v>0</v>
      </c>
      <c r="L2034" s="513">
        <v>0</v>
      </c>
      <c r="M2034" s="513">
        <v>805815.43245290685</v>
      </c>
      <c r="N2034" s="622"/>
    </row>
    <row r="2035" spans="2:14">
      <c r="B2035" s="513" t="s">
        <v>794</v>
      </c>
      <c r="C2035" s="658">
        <v>2013</v>
      </c>
      <c r="D2035" s="513">
        <v>805815.43245290685</v>
      </c>
      <c r="E2035" s="513">
        <v>24013.30579774599</v>
      </c>
      <c r="F2035" s="513">
        <v>24013.30579774599</v>
      </c>
      <c r="G2035" s="512">
        <v>0</v>
      </c>
      <c r="H2035" s="512">
        <v>0</v>
      </c>
      <c r="I2035" s="659" t="s">
        <v>103</v>
      </c>
      <c r="J2035" s="513">
        <v>0</v>
      </c>
      <c r="K2035" s="513">
        <v>0</v>
      </c>
      <c r="L2035" s="513">
        <v>0</v>
      </c>
      <c r="M2035" s="513">
        <v>829828.73825065279</v>
      </c>
      <c r="N2035" s="622"/>
    </row>
    <row r="2036" spans="2:14">
      <c r="B2036" s="513" t="s">
        <v>794</v>
      </c>
      <c r="C2036" s="658">
        <v>2014</v>
      </c>
      <c r="D2036" s="513">
        <v>829828.73825065279</v>
      </c>
      <c r="E2036" s="513">
        <v>25341.522824056039</v>
      </c>
      <c r="F2036" s="513">
        <v>25341.522824056039</v>
      </c>
      <c r="G2036" s="512">
        <v>0</v>
      </c>
      <c r="H2036" s="512">
        <v>0</v>
      </c>
      <c r="I2036" s="659" t="s">
        <v>103</v>
      </c>
      <c r="J2036" s="513">
        <v>0</v>
      </c>
      <c r="K2036" s="513">
        <v>0</v>
      </c>
      <c r="L2036" s="513">
        <v>0</v>
      </c>
      <c r="M2036" s="513">
        <v>855170.26107470877</v>
      </c>
      <c r="N2036" s="622"/>
    </row>
    <row r="2037" spans="2:14">
      <c r="B2037" s="513" t="s">
        <v>794</v>
      </c>
      <c r="C2037" s="658">
        <v>2015</v>
      </c>
      <c r="D2037" s="513">
        <v>855170.26107470877</v>
      </c>
      <c r="E2037" s="513">
        <v>25880.043367757404</v>
      </c>
      <c r="F2037" s="513">
        <v>25880.043367757404</v>
      </c>
      <c r="G2037" s="512">
        <v>0</v>
      </c>
      <c r="H2037" s="660">
        <v>0</v>
      </c>
      <c r="I2037" s="659" t="s">
        <v>103</v>
      </c>
      <c r="J2037" s="513">
        <v>0</v>
      </c>
      <c r="K2037" s="513">
        <v>0</v>
      </c>
      <c r="L2037" s="513">
        <v>0</v>
      </c>
      <c r="M2037" s="513">
        <v>881050.30444246624</v>
      </c>
      <c r="N2037" s="622"/>
    </row>
    <row r="2038" spans="2:14">
      <c r="B2038" s="513" t="s">
        <v>794</v>
      </c>
      <c r="C2038" s="658">
        <v>2016</v>
      </c>
      <c r="D2038" s="513">
        <v>881050.30444246624</v>
      </c>
      <c r="E2038" s="513">
        <v>16010.077221714702</v>
      </c>
      <c r="F2038" s="513">
        <v>16010.077221714702</v>
      </c>
      <c r="G2038" s="660">
        <v>0</v>
      </c>
      <c r="H2038" s="660">
        <v>0</v>
      </c>
      <c r="I2038" s="659" t="s">
        <v>103</v>
      </c>
      <c r="J2038" s="513">
        <v>0</v>
      </c>
      <c r="K2038" s="513">
        <v>0</v>
      </c>
      <c r="L2038" s="513">
        <v>0</v>
      </c>
      <c r="M2038" s="513">
        <v>897060.3816641809</v>
      </c>
      <c r="N2038" s="622"/>
    </row>
    <row r="2039" spans="2:14" customFormat="1" ht="14.45" customHeight="1">
      <c r="B2039" s="1" t="s">
        <v>794</v>
      </c>
      <c r="C2039" s="658">
        <v>2017</v>
      </c>
      <c r="D2039" s="513">
        <v>897060.3816641809</v>
      </c>
      <c r="E2039" s="513">
        <v>14096.677347902738</v>
      </c>
      <c r="F2039" s="513">
        <v>14096.677347902738</v>
      </c>
      <c r="G2039" s="513">
        <v>0</v>
      </c>
      <c r="H2039" s="512">
        <v>0</v>
      </c>
      <c r="I2039" s="2" t="s">
        <v>103</v>
      </c>
      <c r="J2039" s="513">
        <v>0</v>
      </c>
      <c r="K2039" s="513">
        <v>0</v>
      </c>
      <c r="L2039" s="513">
        <v>0</v>
      </c>
      <c r="M2039" s="513">
        <v>911157.05901208369</v>
      </c>
      <c r="N2039" s="904"/>
    </row>
    <row r="2040" spans="2:14">
      <c r="B2040" s="513" t="s">
        <v>794</v>
      </c>
      <c r="C2040" s="889">
        <v>2018</v>
      </c>
      <c r="D2040" s="513">
        <v>911157.05901208369</v>
      </c>
      <c r="E2040" s="513">
        <f>VLOOKUP(B2040,'[6]2018 allocation'!$A$11:$B$218,2, FALSE)</f>
        <v>15773.806882061268</v>
      </c>
      <c r="F2040" s="513">
        <f>E2040</f>
        <v>15773.806882061268</v>
      </c>
      <c r="G2040" s="513">
        <v>0</v>
      </c>
      <c r="H2040" s="513">
        <v>0</v>
      </c>
      <c r="I2040" s="622" t="s">
        <v>103</v>
      </c>
      <c r="J2040" s="513">
        <f>VLOOKUP(B2040,'[6]Annual Spending Worksheet '!$C$6:$AG$250,28,FALSE)</f>
        <v>0</v>
      </c>
      <c r="K2040" s="513">
        <f>VLOOKUP(B2040,'[6]Annual Spending Worksheet '!$C$6:$AG$250,29,FALSE)</f>
        <v>0</v>
      </c>
      <c r="L2040" s="513">
        <v>0</v>
      </c>
      <c r="M2040" s="513">
        <f>D2040+E2040+H2040-J2040</f>
        <v>926930.86589414498</v>
      </c>
      <c r="N2040" s="513"/>
    </row>
    <row r="2041" spans="2:14">
      <c r="B2041" s="513" t="s">
        <v>794</v>
      </c>
      <c r="C2041" s="889">
        <v>2019</v>
      </c>
      <c r="D2041" s="513">
        <v>926930.86589414498</v>
      </c>
      <c r="E2041" s="513">
        <v>17484.591710285589</v>
      </c>
      <c r="F2041" s="513">
        <v>17484.591710285589</v>
      </c>
      <c r="G2041" s="513">
        <v>0</v>
      </c>
      <c r="H2041" s="513">
        <v>0</v>
      </c>
      <c r="I2041" s="622" t="s">
        <v>103</v>
      </c>
      <c r="J2041" s="513">
        <v>0</v>
      </c>
      <c r="K2041" s="513">
        <v>0</v>
      </c>
      <c r="L2041" s="513">
        <v>0</v>
      </c>
      <c r="M2041" s="513">
        <v>944415.45760443062</v>
      </c>
      <c r="N2041" s="513"/>
    </row>
    <row r="2042" spans="2:14">
      <c r="B2042" s="513" t="s">
        <v>795</v>
      </c>
      <c r="C2042" s="658">
        <v>2008</v>
      </c>
      <c r="D2042" s="513">
        <v>2403599.5940000005</v>
      </c>
      <c r="E2042" s="513">
        <v>243226.25669973355</v>
      </c>
      <c r="F2042" s="513">
        <v>243226.25669973355</v>
      </c>
      <c r="G2042" s="513">
        <v>0</v>
      </c>
      <c r="H2042" s="513">
        <v>0</v>
      </c>
      <c r="I2042" s="659" t="s">
        <v>103</v>
      </c>
      <c r="J2042" s="513">
        <v>1583720.68</v>
      </c>
      <c r="K2042" s="513">
        <v>1887247.5999999996</v>
      </c>
      <c r="L2042" s="513">
        <v>-4142</v>
      </c>
      <c r="M2042" s="513">
        <v>1067247.170699734</v>
      </c>
      <c r="N2042" s="622"/>
    </row>
    <row r="2043" spans="2:14">
      <c r="B2043" s="513" t="s">
        <v>795</v>
      </c>
      <c r="C2043" s="658">
        <v>2009</v>
      </c>
      <c r="D2043" s="513">
        <v>1067246.7906997344</v>
      </c>
      <c r="E2043" s="512">
        <v>184008.83095895546</v>
      </c>
      <c r="F2043" s="513">
        <v>184008.83095895546</v>
      </c>
      <c r="G2043" s="512">
        <v>0</v>
      </c>
      <c r="H2043" s="512">
        <v>0</v>
      </c>
      <c r="I2043" s="659" t="s">
        <v>103</v>
      </c>
      <c r="J2043" s="513">
        <v>-41788.190000000541</v>
      </c>
      <c r="K2043" s="513">
        <v>0</v>
      </c>
      <c r="L2043" s="513">
        <v>0</v>
      </c>
      <c r="M2043" s="513">
        <v>1293043.8116586905</v>
      </c>
      <c r="N2043" s="622"/>
    </row>
    <row r="2044" spans="2:14">
      <c r="B2044" s="513" t="s">
        <v>795</v>
      </c>
      <c r="C2044" s="658">
        <v>2010</v>
      </c>
      <c r="D2044" s="513">
        <v>1293043.8116586898</v>
      </c>
      <c r="E2044" s="512">
        <v>183579.94</v>
      </c>
      <c r="F2044" s="513">
        <v>183579.94</v>
      </c>
      <c r="G2044" s="512">
        <v>0</v>
      </c>
      <c r="H2044" s="512">
        <v>0</v>
      </c>
      <c r="I2044" s="659" t="s">
        <v>103</v>
      </c>
      <c r="J2044" s="513">
        <v>26606.75</v>
      </c>
      <c r="K2044" s="513">
        <v>0</v>
      </c>
      <c r="L2044" s="513">
        <v>0</v>
      </c>
      <c r="M2044" s="513">
        <v>1450017.0016586897</v>
      </c>
      <c r="N2044" s="622"/>
    </row>
    <row r="2045" spans="2:14">
      <c r="B2045" s="513" t="s">
        <v>795</v>
      </c>
      <c r="C2045" s="658">
        <v>2011</v>
      </c>
      <c r="D2045" s="513">
        <v>1450017.0043190774</v>
      </c>
      <c r="E2045" s="512">
        <v>187820.24185183321</v>
      </c>
      <c r="F2045" s="513">
        <v>187820.24185183321</v>
      </c>
      <c r="G2045" s="512">
        <v>0</v>
      </c>
      <c r="H2045" s="512">
        <v>0</v>
      </c>
      <c r="I2045" s="659" t="s">
        <v>103</v>
      </c>
      <c r="J2045" s="513">
        <v>959429.79999999935</v>
      </c>
      <c r="K2045" s="513">
        <v>0</v>
      </c>
      <c r="L2045" s="513">
        <v>0</v>
      </c>
      <c r="M2045" s="513">
        <v>678407.44617091119</v>
      </c>
      <c r="N2045" s="622"/>
    </row>
    <row r="2046" spans="2:14">
      <c r="B2046" s="513" t="s">
        <v>795</v>
      </c>
      <c r="C2046" s="658">
        <v>2012</v>
      </c>
      <c r="D2046" s="513">
        <v>678407.44617091212</v>
      </c>
      <c r="E2046" s="512">
        <v>116368.48101461132</v>
      </c>
      <c r="F2046" s="513">
        <v>116368.48101461132</v>
      </c>
      <c r="G2046" s="512">
        <v>0</v>
      </c>
      <c r="H2046" s="512">
        <v>0</v>
      </c>
      <c r="I2046" s="659" t="s">
        <v>103</v>
      </c>
      <c r="J2046" s="513">
        <v>331986.5900000002</v>
      </c>
      <c r="K2046" s="513">
        <v>1334145</v>
      </c>
      <c r="L2046" s="513">
        <v>0</v>
      </c>
      <c r="M2046" s="513">
        <v>462789.33718552324</v>
      </c>
      <c r="N2046" s="622"/>
    </row>
    <row r="2047" spans="2:14">
      <c r="B2047" s="513" t="s">
        <v>795</v>
      </c>
      <c r="C2047" s="658">
        <v>2013</v>
      </c>
      <c r="D2047" s="513">
        <v>462789.33718552254</v>
      </c>
      <c r="E2047" s="513">
        <v>215102.7880450084</v>
      </c>
      <c r="F2047" s="513">
        <v>215102.7880450084</v>
      </c>
      <c r="G2047" s="512">
        <v>0</v>
      </c>
      <c r="H2047" s="512">
        <v>0</v>
      </c>
      <c r="I2047" s="659" t="s">
        <v>103</v>
      </c>
      <c r="J2047" s="513">
        <v>5446.510000000002</v>
      </c>
      <c r="K2047" s="513">
        <v>0</v>
      </c>
      <c r="L2047" s="513">
        <v>0</v>
      </c>
      <c r="M2047" s="513">
        <v>672445.61523053097</v>
      </c>
      <c r="N2047" s="622"/>
    </row>
    <row r="2048" spans="2:14">
      <c r="B2048" s="513" t="s">
        <v>795</v>
      </c>
      <c r="C2048" s="658">
        <v>2014</v>
      </c>
      <c r="D2048" s="513">
        <v>672445.61523053143</v>
      </c>
      <c r="E2048" s="513">
        <v>226622.55450291606</v>
      </c>
      <c r="F2048" s="513">
        <v>226622.55450291606</v>
      </c>
      <c r="G2048" s="512">
        <v>0</v>
      </c>
      <c r="H2048" s="512">
        <v>0</v>
      </c>
      <c r="I2048" s="659" t="s">
        <v>103</v>
      </c>
      <c r="J2048" s="513">
        <v>-1741.29</v>
      </c>
      <c r="K2048" s="513">
        <v>0</v>
      </c>
      <c r="L2048" s="513">
        <v>0</v>
      </c>
      <c r="M2048" s="513">
        <v>900809.45973344753</v>
      </c>
      <c r="N2048" s="622"/>
    </row>
    <row r="2049" spans="2:14">
      <c r="B2049" s="513" t="s">
        <v>795</v>
      </c>
      <c r="C2049" s="658">
        <v>2015</v>
      </c>
      <c r="D2049" s="513">
        <v>900809.45973344706</v>
      </c>
      <c r="E2049" s="513">
        <v>231364.643038354</v>
      </c>
      <c r="F2049" s="513">
        <v>231364.643038354</v>
      </c>
      <c r="G2049" s="512">
        <v>0</v>
      </c>
      <c r="H2049" s="512">
        <v>0</v>
      </c>
      <c r="I2049" s="659" t="s">
        <v>103</v>
      </c>
      <c r="J2049" s="513">
        <v>0</v>
      </c>
      <c r="K2049" s="513">
        <v>0</v>
      </c>
      <c r="L2049" s="513">
        <v>13507.43</v>
      </c>
      <c r="M2049" s="513">
        <v>1118666.672771801</v>
      </c>
      <c r="N2049" s="622"/>
    </row>
    <row r="2050" spans="2:14">
      <c r="B2050" s="513" t="s">
        <v>795</v>
      </c>
      <c r="C2050" s="658">
        <v>2016</v>
      </c>
      <c r="D2050" s="513">
        <v>1118666.6727718003</v>
      </c>
      <c r="E2050" s="513">
        <v>145407.6634032572</v>
      </c>
      <c r="F2050" s="513">
        <v>145407.6634032572</v>
      </c>
      <c r="G2050" s="512">
        <v>0</v>
      </c>
      <c r="H2050" s="660">
        <v>0</v>
      </c>
      <c r="I2050" s="659" t="s">
        <v>103</v>
      </c>
      <c r="J2050" s="513">
        <v>0</v>
      </c>
      <c r="K2050" s="513">
        <v>0</v>
      </c>
      <c r="L2050" s="513">
        <v>9638.3799999999992</v>
      </c>
      <c r="M2050" s="513">
        <v>1254435.9561750577</v>
      </c>
      <c r="N2050" s="622"/>
    </row>
    <row r="2051" spans="2:14">
      <c r="B2051" s="513" t="s">
        <v>795</v>
      </c>
      <c r="C2051" s="658">
        <v>2017</v>
      </c>
      <c r="D2051" s="513">
        <v>1254435.9561750572</v>
      </c>
      <c r="E2051" s="513">
        <v>128330.46579496894</v>
      </c>
      <c r="F2051" s="513">
        <v>128330.46579496894</v>
      </c>
      <c r="G2051" s="660">
        <v>0</v>
      </c>
      <c r="H2051" s="660">
        <v>0</v>
      </c>
      <c r="I2051" s="659" t="s">
        <v>103</v>
      </c>
      <c r="J2051" s="513">
        <v>0</v>
      </c>
      <c r="K2051" s="513">
        <v>0</v>
      </c>
      <c r="L2051" s="513">
        <v>0</v>
      </c>
      <c r="M2051" s="513">
        <v>1382766.4219700261</v>
      </c>
      <c r="N2051" s="622"/>
    </row>
    <row r="2052" spans="2:14">
      <c r="B2052" s="513" t="s">
        <v>795</v>
      </c>
      <c r="C2052" s="889">
        <v>2018</v>
      </c>
      <c r="D2052" s="513">
        <v>1382766.4219700261</v>
      </c>
      <c r="E2052" s="513">
        <f>VLOOKUP(B2052,'[6]2018 allocation'!$A$11:$B$218,2, FALSE)</f>
        <v>142289.76190259872</v>
      </c>
      <c r="F2052" s="513">
        <f>E2052</f>
        <v>142289.76190259872</v>
      </c>
      <c r="G2052" s="513">
        <v>0</v>
      </c>
      <c r="H2052" s="513">
        <v>0</v>
      </c>
      <c r="I2052" s="622" t="s">
        <v>103</v>
      </c>
      <c r="J2052" s="513">
        <f>VLOOKUP(B2052,'[6]Annual Spending Worksheet '!$C$6:$AG$250,28,FALSE)</f>
        <v>0</v>
      </c>
      <c r="K2052" s="513">
        <f>VLOOKUP(B2052,'[6]Annual Spending Worksheet '!$C$6:$AG$250,29,FALSE)</f>
        <v>0</v>
      </c>
      <c r="L2052" s="513">
        <v>0</v>
      </c>
      <c r="M2052" s="513">
        <f>D2052+E2052+H2052-J2052</f>
        <v>1525056.1838726248</v>
      </c>
      <c r="N2052" s="513"/>
    </row>
    <row r="2053" spans="2:14">
      <c r="B2053" s="513" t="s">
        <v>795</v>
      </c>
      <c r="C2053" s="889">
        <v>2019</v>
      </c>
      <c r="D2053" s="513">
        <v>1525056.1838726248</v>
      </c>
      <c r="E2053" s="513">
        <v>157227.7539772141</v>
      </c>
      <c r="F2053" s="513">
        <v>157227.7539772141</v>
      </c>
      <c r="G2053" s="513">
        <v>0</v>
      </c>
      <c r="H2053" s="513">
        <v>0</v>
      </c>
      <c r="I2053" s="622" t="s">
        <v>103</v>
      </c>
      <c r="J2053" s="513">
        <v>0</v>
      </c>
      <c r="K2053" s="513">
        <v>0</v>
      </c>
      <c r="L2053" s="513">
        <v>0</v>
      </c>
      <c r="M2053" s="513">
        <v>1682283.9378498388</v>
      </c>
      <c r="N2053" s="513"/>
    </row>
    <row r="2054" spans="2:14" ht="29.1">
      <c r="B2054" s="513" t="s">
        <v>802</v>
      </c>
      <c r="C2054" s="658">
        <v>2008</v>
      </c>
      <c r="D2054" s="513">
        <v>-1066242.5040000002</v>
      </c>
      <c r="E2054" s="512">
        <v>117229.8810901242</v>
      </c>
      <c r="F2054" s="513">
        <v>117229.8810901242</v>
      </c>
      <c r="G2054" s="660">
        <v>-949012.62290987605</v>
      </c>
      <c r="H2054" s="512">
        <v>0</v>
      </c>
      <c r="I2054" s="659" t="s">
        <v>103</v>
      </c>
      <c r="J2054" s="513">
        <v>77700.59</v>
      </c>
      <c r="K2054" s="513">
        <v>1034793</v>
      </c>
      <c r="L2054" s="513">
        <v>-2093</v>
      </c>
      <c r="M2054" s="513">
        <v>-1024620.212909876</v>
      </c>
      <c r="N2054" s="622" t="s">
        <v>1711</v>
      </c>
    </row>
    <row r="2055" spans="2:14" ht="29.1">
      <c r="B2055" s="513" t="s">
        <v>802</v>
      </c>
      <c r="C2055" s="658">
        <v>2009</v>
      </c>
      <c r="D2055" s="513">
        <v>-1024619.852909876</v>
      </c>
      <c r="E2055" s="512">
        <v>90506.0598159168</v>
      </c>
      <c r="F2055" s="513">
        <v>90506.0598159168</v>
      </c>
      <c r="G2055" s="660">
        <v>-934113.79309395922</v>
      </c>
      <c r="H2055" s="512">
        <v>0</v>
      </c>
      <c r="I2055" s="659" t="s">
        <v>103</v>
      </c>
      <c r="J2055" s="513">
        <v>-13428.63</v>
      </c>
      <c r="K2055" s="513">
        <v>0</v>
      </c>
      <c r="L2055" s="513">
        <v>0</v>
      </c>
      <c r="M2055" s="513">
        <v>-920685.16309395921</v>
      </c>
      <c r="N2055" s="622" t="s">
        <v>1711</v>
      </c>
    </row>
    <row r="2056" spans="2:14" ht="29.1">
      <c r="B2056" s="513" t="s">
        <v>802</v>
      </c>
      <c r="C2056" s="658">
        <v>2010</v>
      </c>
      <c r="D2056" s="513">
        <v>-920685.16309395898</v>
      </c>
      <c r="E2056" s="512">
        <v>90373.54</v>
      </c>
      <c r="F2056" s="513">
        <v>90373.54</v>
      </c>
      <c r="G2056" s="660">
        <v>-830311.62309395894</v>
      </c>
      <c r="H2056" s="512">
        <v>0</v>
      </c>
      <c r="I2056" s="659" t="s">
        <v>103</v>
      </c>
      <c r="J2056" s="513">
        <v>0</v>
      </c>
      <c r="K2056" s="513">
        <v>0</v>
      </c>
      <c r="L2056" s="513">
        <v>0</v>
      </c>
      <c r="M2056" s="513">
        <v>-830311.62309395894</v>
      </c>
      <c r="N2056" s="622" t="s">
        <v>1711</v>
      </c>
    </row>
    <row r="2057" spans="2:14" ht="29.1">
      <c r="B2057" s="513" t="s">
        <v>802</v>
      </c>
      <c r="C2057" s="658">
        <v>2011</v>
      </c>
      <c r="D2057" s="513">
        <v>-830311.48371497216</v>
      </c>
      <c r="E2057" s="512">
        <v>92264.631177706993</v>
      </c>
      <c r="F2057" s="513">
        <v>92264.631177706993</v>
      </c>
      <c r="G2057" s="660">
        <v>-738046.85253726516</v>
      </c>
      <c r="H2057" s="512">
        <v>0</v>
      </c>
      <c r="I2057" s="659" t="s">
        <v>103</v>
      </c>
      <c r="J2057" s="513">
        <v>0</v>
      </c>
      <c r="K2057" s="513">
        <v>0</v>
      </c>
      <c r="L2057" s="513">
        <v>0</v>
      </c>
      <c r="M2057" s="513">
        <v>-738046.85253726516</v>
      </c>
      <c r="N2057" s="622" t="s">
        <v>1711</v>
      </c>
    </row>
    <row r="2058" spans="2:14" ht="29.1">
      <c r="B2058" s="513" t="s">
        <v>802</v>
      </c>
      <c r="C2058" s="658">
        <v>2012</v>
      </c>
      <c r="D2058" s="513">
        <v>-738046.85253726505</v>
      </c>
      <c r="E2058" s="512">
        <v>60628.409684374055</v>
      </c>
      <c r="F2058" s="513">
        <v>60628.409684374055</v>
      </c>
      <c r="G2058" s="660">
        <v>-677418.44285289105</v>
      </c>
      <c r="H2058" s="512">
        <v>0</v>
      </c>
      <c r="I2058" s="659" t="s">
        <v>103</v>
      </c>
      <c r="J2058" s="513">
        <v>0</v>
      </c>
      <c r="K2058" s="513">
        <v>0</v>
      </c>
      <c r="L2058" s="513">
        <v>0</v>
      </c>
      <c r="M2058" s="513">
        <v>-677418.44285289105</v>
      </c>
      <c r="N2058" s="622" t="s">
        <v>1711</v>
      </c>
    </row>
    <row r="2059" spans="2:14" ht="29.1">
      <c r="B2059" s="513" t="s">
        <v>802</v>
      </c>
      <c r="C2059" s="658">
        <v>2013</v>
      </c>
      <c r="D2059" s="513">
        <v>-677418.44285289105</v>
      </c>
      <c r="E2059" s="513">
        <v>104347.40315572791</v>
      </c>
      <c r="F2059" s="513">
        <v>104347.40315572791</v>
      </c>
      <c r="G2059" s="660">
        <v>-573071.03969716316</v>
      </c>
      <c r="H2059" s="512">
        <v>0</v>
      </c>
      <c r="I2059" s="659" t="s">
        <v>103</v>
      </c>
      <c r="J2059" s="513">
        <v>0</v>
      </c>
      <c r="K2059" s="513">
        <v>0</v>
      </c>
      <c r="L2059" s="513">
        <v>0</v>
      </c>
      <c r="M2059" s="513">
        <v>-573071.03969716316</v>
      </c>
      <c r="N2059" s="622" t="s">
        <v>1711</v>
      </c>
    </row>
    <row r="2060" spans="2:14" ht="29.1">
      <c r="B2060" s="513" t="s">
        <v>802</v>
      </c>
      <c r="C2060" s="658">
        <v>2014</v>
      </c>
      <c r="D2060" s="513">
        <v>-573071.03969716327</v>
      </c>
      <c r="E2060" s="513">
        <v>109419.08577726748</v>
      </c>
      <c r="F2060" s="513">
        <v>109419.08577726748</v>
      </c>
      <c r="G2060" s="660">
        <v>-463651.95391989581</v>
      </c>
      <c r="H2060" s="512">
        <v>0</v>
      </c>
      <c r="I2060" s="659" t="s">
        <v>103</v>
      </c>
      <c r="J2060" s="513">
        <v>0</v>
      </c>
      <c r="K2060" s="513">
        <v>0</v>
      </c>
      <c r="L2060" s="513">
        <v>0</v>
      </c>
      <c r="M2060" s="513">
        <v>-463651.95391989581</v>
      </c>
      <c r="N2060" s="622" t="s">
        <v>1711</v>
      </c>
    </row>
    <row r="2061" spans="2:14" ht="29.1">
      <c r="B2061" s="513" t="s">
        <v>802</v>
      </c>
      <c r="C2061" s="658">
        <v>2015</v>
      </c>
      <c r="D2061" s="513">
        <v>-463651.95391989592</v>
      </c>
      <c r="E2061" s="513">
        <v>111472.21399670136</v>
      </c>
      <c r="F2061" s="513">
        <v>111472.21399670136</v>
      </c>
      <c r="G2061" s="660">
        <v>-352179.73992319457</v>
      </c>
      <c r="H2061" s="512">
        <v>0</v>
      </c>
      <c r="I2061" s="659" t="s">
        <v>103</v>
      </c>
      <c r="J2061" s="513">
        <v>0</v>
      </c>
      <c r="K2061" s="513">
        <v>0</v>
      </c>
      <c r="L2061" s="513">
        <v>0</v>
      </c>
      <c r="M2061" s="513">
        <v>-352179.73992319457</v>
      </c>
      <c r="N2061" s="622" t="s">
        <v>1711</v>
      </c>
    </row>
    <row r="2062" spans="2:14" ht="29.1">
      <c r="B2062" s="513" t="s">
        <v>802</v>
      </c>
      <c r="C2062" s="658">
        <v>2016</v>
      </c>
      <c r="D2062" s="513">
        <v>-352179.73992319452</v>
      </c>
      <c r="E2062" s="513">
        <v>73676.04339850854</v>
      </c>
      <c r="F2062" s="513">
        <v>73676.04339850854</v>
      </c>
      <c r="G2062" s="660">
        <v>-278503.69652468595</v>
      </c>
      <c r="H2062" s="660">
        <v>0</v>
      </c>
      <c r="I2062" s="659" t="s">
        <v>103</v>
      </c>
      <c r="J2062" s="513">
        <v>0</v>
      </c>
      <c r="K2062" s="513">
        <v>0</v>
      </c>
      <c r="L2062" s="513">
        <v>0</v>
      </c>
      <c r="M2062" s="513">
        <v>-278503.69652468595</v>
      </c>
      <c r="N2062" s="622" t="s">
        <v>1711</v>
      </c>
    </row>
    <row r="2063" spans="2:14" ht="29.1">
      <c r="B2063" s="513" t="s">
        <v>802</v>
      </c>
      <c r="C2063" s="658">
        <v>2017</v>
      </c>
      <c r="D2063" s="513">
        <v>-278503.69652468618</v>
      </c>
      <c r="E2063" s="513">
        <v>66165.43889583803</v>
      </c>
      <c r="F2063" s="513">
        <v>66165.43889583803</v>
      </c>
      <c r="G2063" s="660">
        <v>-212338.25762884814</v>
      </c>
      <c r="H2063" s="660">
        <v>0</v>
      </c>
      <c r="I2063" s="659" t="s">
        <v>103</v>
      </c>
      <c r="J2063" s="513">
        <v>0</v>
      </c>
      <c r="K2063" s="513">
        <v>0</v>
      </c>
      <c r="L2063" s="513">
        <v>0</v>
      </c>
      <c r="M2063" s="513">
        <v>-212338.25762884814</v>
      </c>
      <c r="N2063" s="622" t="s">
        <v>1711</v>
      </c>
    </row>
    <row r="2064" spans="2:14" ht="29.1">
      <c r="B2064" s="513" t="s">
        <v>802</v>
      </c>
      <c r="C2064" s="889">
        <v>2018</v>
      </c>
      <c r="D2064" s="513">
        <v>-212338.25762884814</v>
      </c>
      <c r="E2064" s="513">
        <f>VLOOKUP(B2064,'[6]2018 allocation'!$A$11:$B$218,2, FALSE)</f>
        <v>72430.645728856107</v>
      </c>
      <c r="F2064" s="513">
        <f>E2064</f>
        <v>72430.645728856107</v>
      </c>
      <c r="G2064" s="513">
        <f>D2064+E2064</f>
        <v>-139907.61189999204</v>
      </c>
      <c r="H2064" s="513">
        <v>0</v>
      </c>
      <c r="I2064" s="622" t="s">
        <v>103</v>
      </c>
      <c r="J2064" s="513">
        <f>VLOOKUP(B2064,'[6]Annual Spending Worksheet '!$C$6:$AG$250,28,FALSE)</f>
        <v>0</v>
      </c>
      <c r="K2064" s="513">
        <f>VLOOKUP(B2064,'[6]Annual Spending Worksheet '!$C$6:$AG$250,29,FALSE)</f>
        <v>0</v>
      </c>
      <c r="L2064" s="513">
        <v>0</v>
      </c>
      <c r="M2064" s="513">
        <f>D2064+E2064+H2064-J2064</f>
        <v>-139907.61189999204</v>
      </c>
      <c r="N2064" s="622" t="s">
        <v>1711</v>
      </c>
    </row>
    <row r="2065" spans="2:14" ht="29.1">
      <c r="B2065" s="513" t="s">
        <v>802</v>
      </c>
      <c r="C2065" s="889">
        <v>2019</v>
      </c>
      <c r="D2065" s="513">
        <v>-139907.61189999204</v>
      </c>
      <c r="E2065" s="513">
        <v>79073.824727570231</v>
      </c>
      <c r="F2065" s="513">
        <v>79073.824727570231</v>
      </c>
      <c r="G2065" s="513">
        <v>-60833.787172421813</v>
      </c>
      <c r="H2065" s="513">
        <v>0</v>
      </c>
      <c r="I2065" s="622" t="s">
        <v>103</v>
      </c>
      <c r="J2065" s="513">
        <v>0</v>
      </c>
      <c r="K2065" s="513">
        <v>0</v>
      </c>
      <c r="L2065" s="513">
        <v>0</v>
      </c>
      <c r="M2065" s="513">
        <v>-60833.787172421813</v>
      </c>
      <c r="N2065" s="622" t="s">
        <v>1711</v>
      </c>
    </row>
    <row r="2066" spans="2:14" ht="29.1">
      <c r="B2066" s="513" t="s">
        <v>806</v>
      </c>
      <c r="C2066" s="658">
        <v>2008</v>
      </c>
      <c r="D2066" s="513">
        <v>565079.10200000007</v>
      </c>
      <c r="E2066" s="512">
        <v>57249.158372324484</v>
      </c>
      <c r="F2066" s="513">
        <v>57249.158372324484</v>
      </c>
      <c r="G2066" s="513">
        <v>0</v>
      </c>
      <c r="H2066" s="512">
        <v>0</v>
      </c>
      <c r="I2066" s="659" t="s">
        <v>103</v>
      </c>
      <c r="J2066" s="513">
        <v>783081.01</v>
      </c>
      <c r="K2066" s="513">
        <v>962235</v>
      </c>
      <c r="L2066" s="513">
        <v>0</v>
      </c>
      <c r="M2066" s="513">
        <v>-160752.7496276754</v>
      </c>
      <c r="N2066" s="622" t="s">
        <v>1711</v>
      </c>
    </row>
    <row r="2067" spans="2:14" ht="29.1">
      <c r="B2067" s="513" t="s">
        <v>806</v>
      </c>
      <c r="C2067" s="658">
        <v>2009</v>
      </c>
      <c r="D2067" s="513">
        <v>-160752.74962767563</v>
      </c>
      <c r="E2067" s="512">
        <v>43388.450843814935</v>
      </c>
      <c r="F2067" s="513">
        <v>43388.450843814935</v>
      </c>
      <c r="G2067" s="513">
        <v>-117364.29878386069</v>
      </c>
      <c r="H2067" s="512">
        <v>0</v>
      </c>
      <c r="I2067" s="659" t="s">
        <v>103</v>
      </c>
      <c r="J2067" s="513">
        <v>142199.29</v>
      </c>
      <c r="K2067" s="513">
        <v>0</v>
      </c>
      <c r="L2067" s="513">
        <v>0</v>
      </c>
      <c r="M2067" s="513">
        <v>-259563.5887838607</v>
      </c>
      <c r="N2067" s="622" t="s">
        <v>1711</v>
      </c>
    </row>
    <row r="2068" spans="2:14" ht="29.1">
      <c r="B2068" s="513" t="s">
        <v>806</v>
      </c>
      <c r="C2068" s="658">
        <v>2010</v>
      </c>
      <c r="D2068" s="513">
        <v>-259563.58878386044</v>
      </c>
      <c r="E2068" s="512">
        <v>43301.57</v>
      </c>
      <c r="F2068" s="513">
        <v>43301.57</v>
      </c>
      <c r="G2068" s="660">
        <v>-216262.01878386043</v>
      </c>
      <c r="H2068" s="512">
        <v>0</v>
      </c>
      <c r="I2068" s="659" t="s">
        <v>103</v>
      </c>
      <c r="J2068" s="513">
        <v>462.61</v>
      </c>
      <c r="K2068" s="513">
        <v>0</v>
      </c>
      <c r="L2068" s="513">
        <v>0</v>
      </c>
      <c r="M2068" s="513">
        <v>-216724.62878386042</v>
      </c>
      <c r="N2068" s="622" t="s">
        <v>1711</v>
      </c>
    </row>
    <row r="2069" spans="2:14" ht="29.1">
      <c r="B2069" s="513" t="s">
        <v>806</v>
      </c>
      <c r="C2069" s="658">
        <v>2011</v>
      </c>
      <c r="D2069" s="513">
        <v>-216724.63346111402</v>
      </c>
      <c r="E2069" s="512">
        <v>44290.331306497057</v>
      </c>
      <c r="F2069" s="513">
        <v>44290.331306497057</v>
      </c>
      <c r="G2069" s="660">
        <v>-172434.30215461698</v>
      </c>
      <c r="H2069" s="512">
        <v>0</v>
      </c>
      <c r="I2069" s="659" t="s">
        <v>103</v>
      </c>
      <c r="J2069" s="513">
        <v>-139671.33000000002</v>
      </c>
      <c r="K2069" s="513">
        <v>0</v>
      </c>
      <c r="L2069" s="513">
        <v>0</v>
      </c>
      <c r="M2069" s="513">
        <v>-32762.97215461696</v>
      </c>
      <c r="N2069" s="622" t="s">
        <v>1711</v>
      </c>
    </row>
    <row r="2070" spans="2:14">
      <c r="B2070" s="513" t="s">
        <v>806</v>
      </c>
      <c r="C2070" s="658">
        <v>2012</v>
      </c>
      <c r="D2070" s="513">
        <v>-32762.972154616844</v>
      </c>
      <c r="E2070" s="512">
        <v>27791.558210187221</v>
      </c>
      <c r="F2070" s="513">
        <v>27791.558210187221</v>
      </c>
      <c r="G2070" s="512">
        <v>-4971.4139444296234</v>
      </c>
      <c r="H2070" s="512">
        <v>0</v>
      </c>
      <c r="I2070" s="659" t="s">
        <v>103</v>
      </c>
      <c r="J2070" s="513">
        <v>0</v>
      </c>
      <c r="K2070" s="513">
        <v>0</v>
      </c>
      <c r="L2070" s="513">
        <v>-7776.34</v>
      </c>
      <c r="M2070" s="513">
        <v>2804.9260555703768</v>
      </c>
      <c r="N2070" s="622"/>
    </row>
    <row r="2071" spans="2:14">
      <c r="B2071" s="513" t="s">
        <v>806</v>
      </c>
      <c r="C2071" s="658">
        <v>2013</v>
      </c>
      <c r="D2071" s="513">
        <v>2804.926155570196</v>
      </c>
      <c r="E2071" s="513">
        <v>50603.149704456002</v>
      </c>
      <c r="F2071" s="513">
        <v>50603.149704456002</v>
      </c>
      <c r="G2071" s="512">
        <v>0</v>
      </c>
      <c r="H2071" s="512">
        <v>0</v>
      </c>
      <c r="I2071" s="659" t="s">
        <v>103</v>
      </c>
      <c r="J2071" s="513">
        <v>0</v>
      </c>
      <c r="K2071" s="513">
        <v>0</v>
      </c>
      <c r="L2071" s="513">
        <v>0</v>
      </c>
      <c r="M2071" s="513">
        <v>53408.075860026198</v>
      </c>
      <c r="N2071" s="622"/>
    </row>
    <row r="2072" spans="2:14">
      <c r="B2072" s="513" t="s">
        <v>806</v>
      </c>
      <c r="C2072" s="658">
        <v>2014</v>
      </c>
      <c r="D2072" s="513">
        <v>53408.075860026293</v>
      </c>
      <c r="E2072" s="513">
        <v>53274.147290078152</v>
      </c>
      <c r="F2072" s="513">
        <v>53274.147290078152</v>
      </c>
      <c r="G2072" s="512">
        <v>0</v>
      </c>
      <c r="H2072" s="512">
        <v>0</v>
      </c>
      <c r="I2072" s="659" t="s">
        <v>103</v>
      </c>
      <c r="J2072" s="513">
        <v>0</v>
      </c>
      <c r="K2072" s="513">
        <v>0</v>
      </c>
      <c r="L2072" s="513">
        <v>0</v>
      </c>
      <c r="M2072" s="513">
        <v>106682.22315010444</v>
      </c>
      <c r="N2072" s="622"/>
    </row>
    <row r="2073" spans="2:14">
      <c r="B2073" s="513" t="s">
        <v>806</v>
      </c>
      <c r="C2073" s="658">
        <v>2015</v>
      </c>
      <c r="D2073" s="513">
        <v>106682.22315010452</v>
      </c>
      <c r="E2073" s="513">
        <v>54346.397385116543</v>
      </c>
      <c r="F2073" s="513">
        <v>54346.397385116543</v>
      </c>
      <c r="G2073" s="512">
        <v>0</v>
      </c>
      <c r="H2073" s="512">
        <v>0</v>
      </c>
      <c r="I2073" s="659" t="s">
        <v>103</v>
      </c>
      <c r="J2073" s="513">
        <v>0</v>
      </c>
      <c r="K2073" s="513">
        <v>0</v>
      </c>
      <c r="L2073" s="513">
        <v>0</v>
      </c>
      <c r="M2073" s="513">
        <v>161028.62053522107</v>
      </c>
      <c r="N2073" s="622"/>
    </row>
    <row r="2074" spans="2:14">
      <c r="B2074" s="513" t="s">
        <v>806</v>
      </c>
      <c r="C2074" s="658">
        <v>2016</v>
      </c>
      <c r="D2074" s="513">
        <v>161028.62053522095</v>
      </c>
      <c r="E2074" s="513">
        <v>34632.81272897101</v>
      </c>
      <c r="F2074" s="513">
        <v>34632.81272897101</v>
      </c>
      <c r="G2074" s="660">
        <v>0</v>
      </c>
      <c r="H2074" s="660">
        <v>0</v>
      </c>
      <c r="I2074" s="659" t="s">
        <v>103</v>
      </c>
      <c r="J2074" s="513">
        <v>0</v>
      </c>
      <c r="K2074" s="513">
        <v>0</v>
      </c>
      <c r="L2074" s="513">
        <v>0</v>
      </c>
      <c r="M2074" s="513">
        <v>195661.43326419196</v>
      </c>
      <c r="N2074" s="622"/>
    </row>
    <row r="2075" spans="2:14">
      <c r="B2075" s="513" t="s">
        <v>806</v>
      </c>
      <c r="C2075" s="658">
        <v>2017</v>
      </c>
      <c r="D2075" s="513">
        <v>195661.43326419196</v>
      </c>
      <c r="E2075" s="513">
        <v>30796.159858409839</v>
      </c>
      <c r="F2075" s="513">
        <v>30796.159858409839</v>
      </c>
      <c r="G2075" s="660">
        <v>0</v>
      </c>
      <c r="H2075" s="660">
        <v>0</v>
      </c>
      <c r="I2075" s="659" t="s">
        <v>103</v>
      </c>
      <c r="J2075" s="513">
        <v>0</v>
      </c>
      <c r="K2075" s="513">
        <v>0</v>
      </c>
      <c r="L2075" s="513">
        <v>0</v>
      </c>
      <c r="M2075" s="513">
        <v>226457.5931226018</v>
      </c>
      <c r="N2075" s="622"/>
    </row>
    <row r="2076" spans="2:14">
      <c r="B2076" s="513" t="s">
        <v>806</v>
      </c>
      <c r="C2076" s="889">
        <v>2018</v>
      </c>
      <c r="D2076" s="513">
        <v>226457.5931226018</v>
      </c>
      <c r="E2076" s="513">
        <f>VLOOKUP(B2076,'[6]2018 allocation'!$A$11:$B$218,2, FALSE)</f>
        <v>34076.393129251846</v>
      </c>
      <c r="F2076" s="513">
        <f>E2076</f>
        <v>34076.393129251846</v>
      </c>
      <c r="G2076" s="513">
        <v>0</v>
      </c>
      <c r="H2076" s="513">
        <v>0</v>
      </c>
      <c r="I2076" s="622" t="s">
        <v>103</v>
      </c>
      <c r="J2076" s="513">
        <f>VLOOKUP(B2076,'[6]Annual Spending Worksheet '!$C$6:$AG$250,28,FALSE)</f>
        <v>0</v>
      </c>
      <c r="K2076" s="513">
        <f>VLOOKUP(B2076,'[6]Annual Spending Worksheet '!$C$6:$AG$250,29,FALSE)</f>
        <v>0</v>
      </c>
      <c r="L2076" s="513">
        <v>0</v>
      </c>
      <c r="M2076" s="513">
        <f>D2076+E2076+H2076-J2076</f>
        <v>260533.98625185364</v>
      </c>
      <c r="N2076" s="513"/>
    </row>
    <row r="2077" spans="2:14">
      <c r="B2077" s="513" t="s">
        <v>806</v>
      </c>
      <c r="C2077" s="889">
        <v>2019</v>
      </c>
      <c r="D2077" s="513">
        <v>260533.98625185364</v>
      </c>
      <c r="E2077" s="513">
        <v>37514.033585019701</v>
      </c>
      <c r="F2077" s="513">
        <v>37514.033585019701</v>
      </c>
      <c r="G2077" s="513">
        <v>0</v>
      </c>
      <c r="H2077" s="513">
        <v>0</v>
      </c>
      <c r="I2077" s="622" t="s">
        <v>103</v>
      </c>
      <c r="J2077" s="513">
        <v>0</v>
      </c>
      <c r="K2077" s="513">
        <v>0</v>
      </c>
      <c r="L2077" s="513">
        <v>0</v>
      </c>
      <c r="M2077" s="513">
        <v>298048.01983687334</v>
      </c>
      <c r="N2077" s="513"/>
    </row>
    <row r="2078" spans="2:14">
      <c r="B2078" s="513" t="s">
        <v>809</v>
      </c>
      <c r="C2078" s="658">
        <v>2008</v>
      </c>
      <c r="D2078" s="513">
        <v>1527905.1709999996</v>
      </c>
      <c r="E2078" s="512">
        <v>113370.10211544152</v>
      </c>
      <c r="F2078" s="513">
        <v>113370.10211544152</v>
      </c>
      <c r="G2078" s="513">
        <v>0</v>
      </c>
      <c r="H2078" s="512">
        <v>0</v>
      </c>
      <c r="I2078" s="659" t="s">
        <v>103</v>
      </c>
      <c r="J2078" s="513">
        <v>422448</v>
      </c>
      <c r="K2078" s="513">
        <v>0</v>
      </c>
      <c r="L2078" s="513">
        <v>0</v>
      </c>
      <c r="M2078" s="513">
        <v>1218827.2731154412</v>
      </c>
      <c r="N2078" s="622"/>
    </row>
    <row r="2079" spans="2:14">
      <c r="B2079" s="513" t="s">
        <v>809</v>
      </c>
      <c r="C2079" s="658">
        <v>2009</v>
      </c>
      <c r="D2079" s="513">
        <v>1218827.7031154414</v>
      </c>
      <c r="E2079" s="512">
        <v>92031.356460824289</v>
      </c>
      <c r="F2079" s="513">
        <v>92031.356460824289</v>
      </c>
      <c r="G2079" s="512">
        <v>0</v>
      </c>
      <c r="H2079" s="512">
        <v>0</v>
      </c>
      <c r="I2079" s="659" t="s">
        <v>103</v>
      </c>
      <c r="J2079" s="513">
        <v>728303.08</v>
      </c>
      <c r="K2079" s="513">
        <v>970870</v>
      </c>
      <c r="L2079" s="513">
        <v>0</v>
      </c>
      <c r="M2079" s="513">
        <v>582555.97957626579</v>
      </c>
      <c r="N2079" s="622"/>
    </row>
    <row r="2080" spans="2:14">
      <c r="B2080" s="513" t="s">
        <v>809</v>
      </c>
      <c r="C2080" s="658">
        <v>2010</v>
      </c>
      <c r="D2080" s="513">
        <v>582555.97957626544</v>
      </c>
      <c r="E2080" s="512">
        <v>91891.83</v>
      </c>
      <c r="F2080" s="513">
        <v>91891.83</v>
      </c>
      <c r="G2080" s="512">
        <v>0</v>
      </c>
      <c r="H2080" s="512">
        <v>0</v>
      </c>
      <c r="I2080" s="659" t="s">
        <v>103</v>
      </c>
      <c r="J2080" s="513">
        <v>731126.39000000013</v>
      </c>
      <c r="K2080" s="513">
        <v>1018040</v>
      </c>
      <c r="L2080" s="513">
        <v>0</v>
      </c>
      <c r="M2080" s="513">
        <v>-56678.580423734733</v>
      </c>
      <c r="N2080" s="622" t="s">
        <v>1715</v>
      </c>
    </row>
    <row r="2081" spans="2:14">
      <c r="B2081" s="513" t="s">
        <v>809</v>
      </c>
      <c r="C2081" s="658">
        <v>2011</v>
      </c>
      <c r="D2081" s="513">
        <v>-56678.576723777689</v>
      </c>
      <c r="E2081" s="512">
        <v>93407.725654225447</v>
      </c>
      <c r="F2081" s="513">
        <v>93407.725654225447</v>
      </c>
      <c r="G2081" s="512">
        <v>0</v>
      </c>
      <c r="H2081" s="512">
        <v>0</v>
      </c>
      <c r="I2081" s="659" t="s">
        <v>103</v>
      </c>
      <c r="J2081" s="513">
        <v>-19625.28</v>
      </c>
      <c r="K2081" s="513">
        <v>0</v>
      </c>
      <c r="L2081" s="513">
        <v>-9524.08</v>
      </c>
      <c r="M2081" s="513">
        <v>65878.508930447759</v>
      </c>
      <c r="N2081" s="622"/>
    </row>
    <row r="2082" spans="2:14">
      <c r="B2082" s="513" t="s">
        <v>809</v>
      </c>
      <c r="C2082" s="658">
        <v>2012</v>
      </c>
      <c r="D2082" s="513">
        <v>65878.508930447511</v>
      </c>
      <c r="E2082" s="513">
        <v>67700.379918182603</v>
      </c>
      <c r="F2082" s="513">
        <v>67700.379918182603</v>
      </c>
      <c r="G2082" s="512">
        <v>0</v>
      </c>
      <c r="H2082" s="512">
        <v>0</v>
      </c>
      <c r="I2082" s="659" t="s">
        <v>103</v>
      </c>
      <c r="J2082" s="513">
        <v>-711.54000000000087</v>
      </c>
      <c r="K2082" s="513">
        <v>0</v>
      </c>
      <c r="L2082" s="513">
        <v>0</v>
      </c>
      <c r="M2082" s="513">
        <v>134290.42884863014</v>
      </c>
      <c r="N2082" s="622"/>
    </row>
    <row r="2083" spans="2:14">
      <c r="B2083" s="513" t="s">
        <v>809</v>
      </c>
      <c r="C2083" s="658">
        <v>2013</v>
      </c>
      <c r="D2083" s="513">
        <v>134290.42884863028</v>
      </c>
      <c r="E2083" s="513">
        <v>103211.68260609747</v>
      </c>
      <c r="F2083" s="513">
        <v>103211.68260609747</v>
      </c>
      <c r="G2083" s="512">
        <v>0</v>
      </c>
      <c r="H2083" s="512">
        <v>0</v>
      </c>
      <c r="I2083" s="659" t="s">
        <v>103</v>
      </c>
      <c r="J2083" s="513">
        <v>-2180.9499999999998</v>
      </c>
      <c r="K2083" s="513">
        <v>0</v>
      </c>
      <c r="L2083" s="513">
        <v>0</v>
      </c>
      <c r="M2083" s="513">
        <v>239683.06145472778</v>
      </c>
      <c r="N2083" s="622"/>
    </row>
    <row r="2084" spans="2:14">
      <c r="B2084" s="513" t="s">
        <v>809</v>
      </c>
      <c r="C2084" s="658">
        <v>2014</v>
      </c>
      <c r="D2084" s="513">
        <v>239683.06145472778</v>
      </c>
      <c r="E2084" s="513">
        <v>107348.93617593824</v>
      </c>
      <c r="F2084" s="513">
        <v>107348.93617593824</v>
      </c>
      <c r="G2084" s="512">
        <v>0</v>
      </c>
      <c r="H2084" s="512">
        <v>0</v>
      </c>
      <c r="I2084" s="659" t="s">
        <v>103</v>
      </c>
      <c r="J2084" s="513">
        <v>0</v>
      </c>
      <c r="K2084" s="513">
        <v>0</v>
      </c>
      <c r="L2084" s="513">
        <v>18132.810000000001</v>
      </c>
      <c r="M2084" s="513">
        <v>328899.18763066601</v>
      </c>
      <c r="N2084" s="622"/>
    </row>
    <row r="2085" spans="2:14">
      <c r="B2085" s="513" t="s">
        <v>809</v>
      </c>
      <c r="C2085" s="658">
        <v>2015</v>
      </c>
      <c r="D2085" s="513">
        <v>328899.18763066595</v>
      </c>
      <c r="E2085" s="513">
        <v>109193.0847139336</v>
      </c>
      <c r="F2085" s="513">
        <v>109193.0847139336</v>
      </c>
      <c r="G2085" s="660">
        <v>0</v>
      </c>
      <c r="H2085" s="660">
        <v>0</v>
      </c>
      <c r="I2085" s="659" t="s">
        <v>103</v>
      </c>
      <c r="J2085" s="513">
        <v>3063.85</v>
      </c>
      <c r="K2085" s="513">
        <v>0</v>
      </c>
      <c r="L2085" s="513">
        <v>0</v>
      </c>
      <c r="M2085" s="513">
        <v>435028.42234459956</v>
      </c>
      <c r="N2085" s="622"/>
    </row>
    <row r="2086" spans="2:14">
      <c r="B2086" s="513" t="s">
        <v>809</v>
      </c>
      <c r="C2086" s="658">
        <v>2016</v>
      </c>
      <c r="D2086" s="513">
        <v>435028.42234459938</v>
      </c>
      <c r="E2086" s="513">
        <v>77935.956299974321</v>
      </c>
      <c r="F2086" s="513">
        <v>77935.956299974321</v>
      </c>
      <c r="G2086" s="660">
        <v>0</v>
      </c>
      <c r="H2086" s="660">
        <v>0</v>
      </c>
      <c r="I2086" s="659" t="s">
        <v>103</v>
      </c>
      <c r="J2086" s="513">
        <v>55133.259999999995</v>
      </c>
      <c r="K2086" s="513">
        <v>0</v>
      </c>
      <c r="L2086" s="513">
        <v>-13825.16</v>
      </c>
      <c r="M2086" s="513">
        <v>471656.2786445737</v>
      </c>
      <c r="N2086" s="622"/>
    </row>
    <row r="2087" spans="2:14">
      <c r="B2087" s="513" t="s">
        <v>809</v>
      </c>
      <c r="C2087" s="658">
        <v>2017</v>
      </c>
      <c r="D2087" s="513">
        <v>471656.27864457341</v>
      </c>
      <c r="E2087" s="513">
        <v>71776.872530902154</v>
      </c>
      <c r="F2087" s="513">
        <v>71776.872530902154</v>
      </c>
      <c r="G2087" s="513">
        <v>0</v>
      </c>
      <c r="H2087" s="513">
        <v>0</v>
      </c>
      <c r="I2087" s="659" t="s">
        <v>103</v>
      </c>
      <c r="J2087" s="513">
        <v>-1490.7500000000018</v>
      </c>
      <c r="K2087" s="513">
        <v>0</v>
      </c>
      <c r="L2087" s="513">
        <v>0</v>
      </c>
      <c r="M2087" s="513">
        <v>544923.90117547556</v>
      </c>
      <c r="N2087" s="622"/>
    </row>
    <row r="2088" spans="2:14">
      <c r="B2088" s="513" t="s">
        <v>809</v>
      </c>
      <c r="C2088" s="889">
        <v>2018</v>
      </c>
      <c r="D2088" s="513">
        <v>544923.90117547556</v>
      </c>
      <c r="E2088" s="513">
        <f>VLOOKUP(B2088,'[6]2018 allocation'!$A$11:$B$218,2, FALSE)</f>
        <v>76880.293790904208</v>
      </c>
      <c r="F2088" s="513">
        <f>E2088</f>
        <v>76880.293790904208</v>
      </c>
      <c r="G2088" s="513">
        <v>0</v>
      </c>
      <c r="H2088" s="513">
        <v>0</v>
      </c>
      <c r="I2088" s="622" t="s">
        <v>103</v>
      </c>
      <c r="J2088" s="513">
        <f>VLOOKUP(B2088,'[6]Annual Spending Worksheet '!$C$6:$AG$250,28,FALSE)</f>
        <v>467185.3</v>
      </c>
      <c r="K2088" s="513">
        <f>VLOOKUP(B2088,'[6]Annual Spending Worksheet '!$C$6:$AG$250,29,FALSE)</f>
        <v>0</v>
      </c>
      <c r="L2088" s="513">
        <v>0</v>
      </c>
      <c r="M2088" s="513">
        <f>D2088+E2088+H2088-J2088</f>
        <v>154618.8949663798</v>
      </c>
      <c r="N2088" s="513"/>
    </row>
    <row r="2089" spans="2:14">
      <c r="B2089" s="513" t="s">
        <v>809</v>
      </c>
      <c r="C2089" s="889">
        <v>2019</v>
      </c>
      <c r="D2089" s="513">
        <v>154618.8949663798</v>
      </c>
      <c r="E2089" s="513">
        <v>82333.443480908274</v>
      </c>
      <c r="F2089" s="513">
        <v>82333.443480908274</v>
      </c>
      <c r="G2089" s="513">
        <v>0</v>
      </c>
      <c r="H2089" s="513">
        <v>0</v>
      </c>
      <c r="I2089" s="622" t="s">
        <v>103</v>
      </c>
      <c r="J2089" s="513">
        <v>222993.17000000004</v>
      </c>
      <c r="K2089" s="513">
        <v>0</v>
      </c>
      <c r="L2089" s="513">
        <v>0</v>
      </c>
      <c r="M2089" s="513">
        <v>13959.168447288044</v>
      </c>
      <c r="N2089" s="513"/>
    </row>
    <row r="2090" spans="2:14">
      <c r="B2090" s="513" t="s">
        <v>818</v>
      </c>
      <c r="C2090" s="658">
        <v>2008</v>
      </c>
      <c r="D2090" s="513">
        <v>2456518.436999999</v>
      </c>
      <c r="E2090" s="512">
        <v>401131.50051587383</v>
      </c>
      <c r="F2090" s="513">
        <v>401131.50051587383</v>
      </c>
      <c r="G2090" s="512">
        <v>0</v>
      </c>
      <c r="H2090" s="512">
        <v>0</v>
      </c>
      <c r="I2090" s="659" t="s">
        <v>103</v>
      </c>
      <c r="J2090" s="513">
        <v>89626.089999999982</v>
      </c>
      <c r="K2090" s="513">
        <v>0</v>
      </c>
      <c r="L2090" s="513">
        <v>0</v>
      </c>
      <c r="M2090" s="513">
        <v>2768023.8475158731</v>
      </c>
      <c r="N2090" s="622"/>
    </row>
    <row r="2091" spans="2:14">
      <c r="B2091" s="513" t="s">
        <v>818</v>
      </c>
      <c r="C2091" s="658">
        <v>2009</v>
      </c>
      <c r="D2091" s="513">
        <v>2768023.8475158736</v>
      </c>
      <c r="E2091" s="512">
        <v>320280.43261506711</v>
      </c>
      <c r="F2091" s="513">
        <v>320280.43261506711</v>
      </c>
      <c r="G2091" s="512">
        <v>0</v>
      </c>
      <c r="H2091" s="512">
        <v>0</v>
      </c>
      <c r="I2091" s="659" t="s">
        <v>103</v>
      </c>
      <c r="J2091" s="513">
        <v>570640.20000000007</v>
      </c>
      <c r="K2091" s="513">
        <v>0</v>
      </c>
      <c r="L2091" s="513">
        <v>0</v>
      </c>
      <c r="M2091" s="513">
        <v>2517664.0801309403</v>
      </c>
      <c r="N2091" s="622"/>
    </row>
    <row r="2092" spans="2:14">
      <c r="B2092" s="513" t="s">
        <v>818</v>
      </c>
      <c r="C2092" s="658">
        <v>2010</v>
      </c>
      <c r="D2092" s="513">
        <v>2517664.0801309422</v>
      </c>
      <c r="E2092" s="512">
        <v>319658.36</v>
      </c>
      <c r="F2092" s="513">
        <v>319658.36</v>
      </c>
      <c r="G2092" s="512">
        <v>0</v>
      </c>
      <c r="H2092" s="512">
        <v>0</v>
      </c>
      <c r="I2092" s="659" t="s">
        <v>103</v>
      </c>
      <c r="J2092" s="513">
        <v>1099955.72</v>
      </c>
      <c r="K2092" s="513">
        <v>0</v>
      </c>
      <c r="L2092" s="513">
        <v>0</v>
      </c>
      <c r="M2092" s="513">
        <v>1737366.7201309421</v>
      </c>
      <c r="N2092" s="622"/>
    </row>
    <row r="2093" spans="2:14">
      <c r="B2093" s="513" t="s">
        <v>818</v>
      </c>
      <c r="C2093" s="658">
        <v>2011</v>
      </c>
      <c r="D2093" s="513">
        <v>1737366.7216852289</v>
      </c>
      <c r="E2093" s="512">
        <v>325533.60476119263</v>
      </c>
      <c r="F2093" s="513">
        <v>325533.60476119263</v>
      </c>
      <c r="G2093" s="512">
        <v>0</v>
      </c>
      <c r="H2093" s="512">
        <v>0</v>
      </c>
      <c r="I2093" s="659" t="s">
        <v>103</v>
      </c>
      <c r="J2093" s="513">
        <v>1479190.46</v>
      </c>
      <c r="K2093" s="513">
        <v>0</v>
      </c>
      <c r="L2093" s="513">
        <v>0</v>
      </c>
      <c r="M2093" s="513">
        <v>583709.86644642148</v>
      </c>
      <c r="N2093" s="622"/>
    </row>
    <row r="2094" spans="2:14">
      <c r="B2094" s="513" t="s">
        <v>818</v>
      </c>
      <c r="C2094" s="658">
        <v>2012</v>
      </c>
      <c r="D2094" s="513">
        <v>583709.86644642241</v>
      </c>
      <c r="E2094" s="513">
        <v>228632.71907808937</v>
      </c>
      <c r="F2094" s="513">
        <v>228632.71907808937</v>
      </c>
      <c r="G2094" s="512">
        <v>0</v>
      </c>
      <c r="H2094" s="512">
        <v>0</v>
      </c>
      <c r="I2094" s="659" t="s">
        <v>103</v>
      </c>
      <c r="J2094" s="513">
        <v>1124316.1800000006</v>
      </c>
      <c r="K2094" s="513">
        <v>3460992.91</v>
      </c>
      <c r="L2094" s="513">
        <v>-30445.72</v>
      </c>
      <c r="M2094" s="513">
        <v>-281527.8744754889</v>
      </c>
      <c r="N2094" s="622" t="s">
        <v>1715</v>
      </c>
    </row>
    <row r="2095" spans="2:14">
      <c r="B2095" s="513" t="s">
        <v>818</v>
      </c>
      <c r="C2095" s="658">
        <v>2013</v>
      </c>
      <c r="D2095" s="513">
        <v>-281527.87447548844</v>
      </c>
      <c r="E2095" s="513">
        <v>362529.90065140382</v>
      </c>
      <c r="F2095" s="513">
        <v>362529.90065140382</v>
      </c>
      <c r="G2095" s="512">
        <v>0</v>
      </c>
      <c r="H2095" s="512">
        <v>0</v>
      </c>
      <c r="I2095" s="659" t="s">
        <v>103</v>
      </c>
      <c r="J2095" s="513">
        <v>-104.00000000000007</v>
      </c>
      <c r="K2095" s="513">
        <v>0</v>
      </c>
      <c r="L2095" s="513">
        <v>-24879.16</v>
      </c>
      <c r="M2095" s="513">
        <v>105985.18617591538</v>
      </c>
      <c r="N2095" s="622"/>
    </row>
    <row r="2096" spans="2:14">
      <c r="B2096" s="513" t="s">
        <v>818</v>
      </c>
      <c r="C2096" s="658">
        <v>2014</v>
      </c>
      <c r="D2096" s="513">
        <v>105985.18617591634</v>
      </c>
      <c r="E2096" s="513">
        <v>378168.06328167155</v>
      </c>
      <c r="F2096" s="513">
        <v>378168.06328167155</v>
      </c>
      <c r="G2096" s="512">
        <v>0</v>
      </c>
      <c r="H2096" s="512">
        <v>0</v>
      </c>
      <c r="I2096" s="659" t="s">
        <v>103</v>
      </c>
      <c r="J2096" s="513">
        <v>0</v>
      </c>
      <c r="K2096" s="513">
        <v>0</v>
      </c>
      <c r="L2096" s="513">
        <v>24629.42</v>
      </c>
      <c r="M2096" s="513">
        <v>459523.82945758791</v>
      </c>
      <c r="N2096" s="622"/>
    </row>
    <row r="2097" spans="2:14">
      <c r="B2097" s="513" t="s">
        <v>818</v>
      </c>
      <c r="C2097" s="658">
        <v>2015</v>
      </c>
      <c r="D2097" s="513">
        <v>459523.82945758849</v>
      </c>
      <c r="E2097" s="513">
        <v>384534.59230278264</v>
      </c>
      <c r="F2097" s="513">
        <v>384534.59230278264</v>
      </c>
      <c r="G2097" s="660">
        <v>0</v>
      </c>
      <c r="H2097" s="660">
        <v>0</v>
      </c>
      <c r="I2097" s="659" t="s">
        <v>103</v>
      </c>
      <c r="J2097" s="513">
        <v>-1463.09</v>
      </c>
      <c r="K2097" s="513">
        <v>0</v>
      </c>
      <c r="L2097" s="513">
        <v>0</v>
      </c>
      <c r="M2097" s="513">
        <v>845521.51176037116</v>
      </c>
      <c r="N2097" s="622"/>
    </row>
    <row r="2098" spans="2:14">
      <c r="B2098" s="513" t="s">
        <v>818</v>
      </c>
      <c r="C2098" s="658">
        <v>2016</v>
      </c>
      <c r="D2098" s="513">
        <v>845521.51176037081</v>
      </c>
      <c r="E2098" s="513">
        <v>268150.77431472752</v>
      </c>
      <c r="F2098" s="513">
        <v>268150.77431472752</v>
      </c>
      <c r="G2098" s="660">
        <v>0</v>
      </c>
      <c r="H2098" s="660">
        <v>0</v>
      </c>
      <c r="I2098" s="659" t="s">
        <v>103</v>
      </c>
      <c r="J2098" s="513">
        <v>0</v>
      </c>
      <c r="K2098" s="513">
        <v>0</v>
      </c>
      <c r="L2098" s="513">
        <v>0</v>
      </c>
      <c r="M2098" s="513">
        <v>1113672.2860750984</v>
      </c>
      <c r="N2098" s="622"/>
    </row>
    <row r="2099" spans="2:14">
      <c r="B2099" s="513" t="s">
        <v>818</v>
      </c>
      <c r="C2099" s="658">
        <v>2017</v>
      </c>
      <c r="D2099" s="513">
        <v>1113672.2860750984</v>
      </c>
      <c r="E2099" s="513">
        <v>244455.19827713782</v>
      </c>
      <c r="F2099" s="513">
        <v>244455.19827713782</v>
      </c>
      <c r="G2099" s="513">
        <v>0</v>
      </c>
      <c r="H2099" s="513">
        <v>0</v>
      </c>
      <c r="I2099" s="659" t="s">
        <v>103</v>
      </c>
      <c r="J2099" s="513">
        <v>0</v>
      </c>
      <c r="K2099" s="513">
        <v>0</v>
      </c>
      <c r="L2099" s="513">
        <v>0</v>
      </c>
      <c r="M2099" s="513">
        <v>1358127.4843522361</v>
      </c>
      <c r="N2099" s="622"/>
    </row>
    <row r="2100" spans="2:14">
      <c r="B2100" s="513" t="s">
        <v>818</v>
      </c>
      <c r="C2100" s="889">
        <v>2018</v>
      </c>
      <c r="D2100" s="513">
        <v>1358127.4843522361</v>
      </c>
      <c r="E2100" s="513">
        <f>VLOOKUP(B2100,'[6]2018 allocation'!$A$11:$B$218,2, FALSE)</f>
        <v>263511.15982714773</v>
      </c>
      <c r="F2100" s="513">
        <f>E2100</f>
        <v>263511.15982714773</v>
      </c>
      <c r="G2100" s="513">
        <v>0</v>
      </c>
      <c r="H2100" s="513">
        <v>0</v>
      </c>
      <c r="I2100" s="622" t="s">
        <v>103</v>
      </c>
      <c r="J2100" s="513">
        <f>VLOOKUP(B2100,'[6]Annual Spending Worksheet '!$C$6:$AG$250,28,FALSE)</f>
        <v>0</v>
      </c>
      <c r="K2100" s="513">
        <f>VLOOKUP(B2100,'[6]Annual Spending Worksheet '!$C$6:$AG$250,29,FALSE)</f>
        <v>0</v>
      </c>
      <c r="L2100" s="513">
        <v>0</v>
      </c>
      <c r="M2100" s="513">
        <f>D2100+E2100+H2100-J2100</f>
        <v>1621638.6441793838</v>
      </c>
      <c r="N2100" s="513"/>
    </row>
    <row r="2101" spans="2:14">
      <c r="B2101" s="513" t="s">
        <v>818</v>
      </c>
      <c r="C2101" s="889">
        <v>2019</v>
      </c>
      <c r="D2101" s="513">
        <v>1621638.6441793838</v>
      </c>
      <c r="E2101" s="513">
        <v>283739.98255640623</v>
      </c>
      <c r="F2101" s="513">
        <v>283739.98255640623</v>
      </c>
      <c r="G2101" s="513">
        <v>0</v>
      </c>
      <c r="H2101" s="513">
        <v>0</v>
      </c>
      <c r="I2101" s="622" t="s">
        <v>103</v>
      </c>
      <c r="J2101" s="513">
        <v>0</v>
      </c>
      <c r="K2101" s="513">
        <v>0</v>
      </c>
      <c r="L2101" s="513">
        <v>0</v>
      </c>
      <c r="M2101" s="513">
        <v>1905378.6267357899</v>
      </c>
      <c r="N2101" s="513"/>
    </row>
    <row r="2102" spans="2:14">
      <c r="B2102" s="513" t="s">
        <v>826</v>
      </c>
      <c r="C2102" s="658">
        <v>2008</v>
      </c>
      <c r="D2102" s="513">
        <v>1729770.7770000002</v>
      </c>
      <c r="E2102" s="512">
        <v>249574.73935716299</v>
      </c>
      <c r="F2102" s="513">
        <v>249574.73935716299</v>
      </c>
      <c r="G2102" s="512">
        <v>0</v>
      </c>
      <c r="H2102" s="512">
        <v>0</v>
      </c>
      <c r="I2102" s="659" t="s">
        <v>103</v>
      </c>
      <c r="J2102" s="513">
        <v>0</v>
      </c>
      <c r="K2102" s="513">
        <v>0</v>
      </c>
      <c r="L2102" s="513">
        <v>0</v>
      </c>
      <c r="M2102" s="513">
        <v>1979345.5163571632</v>
      </c>
      <c r="N2102" s="622"/>
    </row>
    <row r="2103" spans="2:14">
      <c r="B2103" s="513" t="s">
        <v>826</v>
      </c>
      <c r="C2103" s="658">
        <v>2009</v>
      </c>
      <c r="D2103" s="513">
        <v>1979345.5163571634</v>
      </c>
      <c r="E2103" s="512">
        <v>187180.22109665346</v>
      </c>
      <c r="F2103" s="513">
        <v>187180.22109665346</v>
      </c>
      <c r="G2103" s="512">
        <v>0</v>
      </c>
      <c r="H2103" s="512">
        <v>0</v>
      </c>
      <c r="I2103" s="659" t="s">
        <v>103</v>
      </c>
      <c r="J2103" s="513">
        <v>0</v>
      </c>
      <c r="K2103" s="513">
        <v>0</v>
      </c>
      <c r="L2103" s="513">
        <v>0</v>
      </c>
      <c r="M2103" s="513">
        <v>2166525.7374538169</v>
      </c>
      <c r="N2103" s="622"/>
    </row>
    <row r="2104" spans="2:14">
      <c r="B2104" s="513" t="s">
        <v>826</v>
      </c>
      <c r="C2104" s="658">
        <v>2010</v>
      </c>
      <c r="D2104" s="513">
        <v>2166525.7374538169</v>
      </c>
      <c r="E2104" s="512">
        <v>186727.55</v>
      </c>
      <c r="F2104" s="513">
        <v>186727.55</v>
      </c>
      <c r="G2104" s="512">
        <v>0</v>
      </c>
      <c r="H2104" s="512">
        <v>0</v>
      </c>
      <c r="I2104" s="659" t="s">
        <v>103</v>
      </c>
      <c r="J2104" s="513">
        <v>0</v>
      </c>
      <c r="K2104" s="513">
        <v>0</v>
      </c>
      <c r="L2104" s="513">
        <v>0</v>
      </c>
      <c r="M2104" s="513">
        <v>2353253.2874538167</v>
      </c>
      <c r="N2104" s="622"/>
    </row>
    <row r="2105" spans="2:14">
      <c r="B2105" s="513" t="s">
        <v>826</v>
      </c>
      <c r="C2105" s="658">
        <v>2011</v>
      </c>
      <c r="D2105" s="513">
        <v>2353253.2879338753</v>
      </c>
      <c r="E2105" s="512">
        <v>191176.32573675911</v>
      </c>
      <c r="F2105" s="513">
        <v>191176.32573675911</v>
      </c>
      <c r="G2105" s="512">
        <v>0</v>
      </c>
      <c r="H2105" s="512">
        <v>0</v>
      </c>
      <c r="I2105" s="659" t="s">
        <v>103</v>
      </c>
      <c r="J2105" s="513">
        <v>0</v>
      </c>
      <c r="K2105" s="513">
        <v>0</v>
      </c>
      <c r="L2105" s="513">
        <v>0</v>
      </c>
      <c r="M2105" s="513">
        <v>2544429.6136706346</v>
      </c>
      <c r="N2105" s="622"/>
    </row>
    <row r="2106" spans="2:14">
      <c r="B2106" s="513" t="s">
        <v>826</v>
      </c>
      <c r="C2106" s="658">
        <v>2012</v>
      </c>
      <c r="D2106" s="513">
        <v>2544429.6136706346</v>
      </c>
      <c r="E2106" s="513">
        <v>116080.60903845848</v>
      </c>
      <c r="F2106" s="513">
        <v>116080.60903845848</v>
      </c>
      <c r="G2106" s="512">
        <v>0</v>
      </c>
      <c r="H2106" s="512">
        <v>0</v>
      </c>
      <c r="I2106" s="659" t="s">
        <v>103</v>
      </c>
      <c r="J2106" s="513">
        <v>0</v>
      </c>
      <c r="K2106" s="513">
        <v>0</v>
      </c>
      <c r="L2106" s="513">
        <v>0</v>
      </c>
      <c r="M2106" s="513">
        <v>2660510.2227090932</v>
      </c>
      <c r="N2106" s="622"/>
    </row>
    <row r="2107" spans="2:14">
      <c r="B2107" s="513" t="s">
        <v>826</v>
      </c>
      <c r="C2107" s="658">
        <v>2013</v>
      </c>
      <c r="D2107" s="513">
        <v>2660510.2227090928</v>
      </c>
      <c r="E2107" s="513">
        <v>219882.21148621209</v>
      </c>
      <c r="F2107" s="513">
        <v>219882.21148621209</v>
      </c>
      <c r="G2107" s="512">
        <v>0</v>
      </c>
      <c r="H2107" s="512">
        <v>0</v>
      </c>
      <c r="I2107" s="659" t="s">
        <v>103</v>
      </c>
      <c r="J2107" s="513">
        <v>0</v>
      </c>
      <c r="K2107" s="513">
        <v>0</v>
      </c>
      <c r="L2107" s="513">
        <v>0</v>
      </c>
      <c r="M2107" s="513">
        <v>2880392.4341953048</v>
      </c>
      <c r="N2107" s="622"/>
    </row>
    <row r="2108" spans="2:14">
      <c r="B2108" s="513" t="s">
        <v>826</v>
      </c>
      <c r="C2108" s="658">
        <v>2014</v>
      </c>
      <c r="D2108" s="513">
        <v>2880392.4341953048</v>
      </c>
      <c r="E2108" s="513">
        <v>232069.60365211417</v>
      </c>
      <c r="F2108" s="513">
        <v>232069.60365211417</v>
      </c>
      <c r="G2108" s="512">
        <v>0</v>
      </c>
      <c r="H2108" s="512">
        <v>0</v>
      </c>
      <c r="I2108" s="659" t="s">
        <v>103</v>
      </c>
      <c r="J2108" s="513">
        <v>0</v>
      </c>
      <c r="K2108" s="513">
        <v>0</v>
      </c>
      <c r="L2108" s="513">
        <v>0</v>
      </c>
      <c r="M2108" s="513">
        <v>3112462.0378474188</v>
      </c>
      <c r="N2108" s="622"/>
    </row>
    <row r="2109" spans="2:14">
      <c r="B2109" s="513" t="s">
        <v>826</v>
      </c>
      <c r="C2109" s="658">
        <v>2015</v>
      </c>
      <c r="D2109" s="513">
        <v>3112462.0378474188</v>
      </c>
      <c r="E2109" s="513">
        <v>237028.06448226765</v>
      </c>
      <c r="F2109" s="513">
        <v>237028.06448226765</v>
      </c>
      <c r="G2109" s="660">
        <v>0</v>
      </c>
      <c r="H2109" s="660">
        <v>0</v>
      </c>
      <c r="I2109" s="659" t="s">
        <v>103</v>
      </c>
      <c r="J2109" s="513">
        <v>87751.51</v>
      </c>
      <c r="K2109" s="513">
        <v>0</v>
      </c>
      <c r="L2109" s="513">
        <v>0</v>
      </c>
      <c r="M2109" s="513">
        <v>3261738.5923296865</v>
      </c>
      <c r="N2109" s="622"/>
    </row>
    <row r="2110" spans="2:14">
      <c r="B2110" s="513" t="s">
        <v>826</v>
      </c>
      <c r="C2110" s="658">
        <v>2016</v>
      </c>
      <c r="D2110" s="513">
        <v>3261738.592329687</v>
      </c>
      <c r="E2110" s="513">
        <v>146453.24022710288</v>
      </c>
      <c r="F2110" s="513">
        <v>146453.24022710288</v>
      </c>
      <c r="G2110" s="660">
        <v>0</v>
      </c>
      <c r="H2110" s="660">
        <v>0</v>
      </c>
      <c r="I2110" s="659" t="s">
        <v>103</v>
      </c>
      <c r="J2110" s="513">
        <v>138987.29999999999</v>
      </c>
      <c r="K2110" s="513">
        <v>0</v>
      </c>
      <c r="L2110" s="513">
        <v>0</v>
      </c>
      <c r="M2110" s="513">
        <v>3269204.5325567899</v>
      </c>
      <c r="N2110" s="622"/>
    </row>
    <row r="2111" spans="2:14">
      <c r="B2111" s="513" t="s">
        <v>826</v>
      </c>
      <c r="C2111" s="658">
        <v>2017</v>
      </c>
      <c r="D2111" s="513">
        <v>3269204.5325567899</v>
      </c>
      <c r="E2111" s="513">
        <v>128711.36875415211</v>
      </c>
      <c r="F2111" s="513">
        <v>128711.36875415211</v>
      </c>
      <c r="G2111" s="513">
        <v>0</v>
      </c>
      <c r="H2111" s="513">
        <v>0</v>
      </c>
      <c r="I2111" s="659" t="s">
        <v>103</v>
      </c>
      <c r="J2111" s="513">
        <v>21850.010000000002</v>
      </c>
      <c r="K2111" s="513">
        <v>0</v>
      </c>
      <c r="L2111" s="513">
        <v>0</v>
      </c>
      <c r="M2111" s="513">
        <v>3376065.8913109424</v>
      </c>
      <c r="N2111" s="622"/>
    </row>
    <row r="2112" spans="2:14">
      <c r="B2112" s="513" t="s">
        <v>826</v>
      </c>
      <c r="C2112" s="889">
        <v>2018</v>
      </c>
      <c r="D2112" s="513">
        <v>3376065.8913109424</v>
      </c>
      <c r="E2112" s="513">
        <f>VLOOKUP(B2112,'[6]2018 allocation'!$A$11:$B$218,2, FALSE)</f>
        <v>143950.92881079233</v>
      </c>
      <c r="F2112" s="513">
        <f>E2112</f>
        <v>143950.92881079233</v>
      </c>
      <c r="G2112" s="513">
        <v>0</v>
      </c>
      <c r="H2112" s="513">
        <v>0</v>
      </c>
      <c r="I2112" s="622" t="s">
        <v>103</v>
      </c>
      <c r="J2112" s="513">
        <f>VLOOKUP(B2112,'[6]Annual Spending Worksheet '!$C$6:$AG$250,28,FALSE)</f>
        <v>35798.839999999997</v>
      </c>
      <c r="K2112" s="513">
        <f>VLOOKUP(B2112,'[6]Annual Spending Worksheet '!$C$6:$AG$250,29,FALSE)</f>
        <v>0</v>
      </c>
      <c r="L2112" s="513">
        <v>0</v>
      </c>
      <c r="M2112" s="513">
        <f>D2112+E2112+H2112-J2112</f>
        <v>3484217.980121735</v>
      </c>
      <c r="N2112" s="513"/>
    </row>
    <row r="2113" spans="2:14">
      <c r="B2113" s="513" t="s">
        <v>826</v>
      </c>
      <c r="C2113" s="889">
        <v>2019</v>
      </c>
      <c r="D2113" s="513">
        <v>3484217.980121735</v>
      </c>
      <c r="E2113" s="513">
        <v>159958.77947225378</v>
      </c>
      <c r="F2113" s="513">
        <v>159958.77947225378</v>
      </c>
      <c r="G2113" s="513">
        <v>0</v>
      </c>
      <c r="H2113" s="513">
        <v>0</v>
      </c>
      <c r="I2113" s="622" t="s">
        <v>103</v>
      </c>
      <c r="J2113" s="513">
        <v>1744555.5</v>
      </c>
      <c r="K2113" s="513">
        <v>0</v>
      </c>
      <c r="L2113" s="513">
        <v>0</v>
      </c>
      <c r="M2113" s="513">
        <v>1899621.2595939888</v>
      </c>
      <c r="N2113" s="513"/>
    </row>
    <row r="2114" spans="2:14">
      <c r="B2114" s="513" t="s">
        <v>833</v>
      </c>
      <c r="C2114" s="658">
        <v>2008</v>
      </c>
      <c r="D2114" s="513">
        <v>967733.39399999939</v>
      </c>
      <c r="E2114" s="512">
        <v>212968.99493372528</v>
      </c>
      <c r="F2114" s="513">
        <v>212968.99493372528</v>
      </c>
      <c r="G2114" s="512">
        <v>0</v>
      </c>
      <c r="H2114" s="512">
        <v>0</v>
      </c>
      <c r="I2114" s="659" t="s">
        <v>103</v>
      </c>
      <c r="J2114" s="513">
        <v>3150.8800000000047</v>
      </c>
      <c r="K2114" s="513">
        <v>0</v>
      </c>
      <c r="L2114" s="513">
        <v>-90</v>
      </c>
      <c r="M2114" s="513">
        <v>1177641.5089337248</v>
      </c>
      <c r="N2114" s="622"/>
    </row>
    <row r="2115" spans="2:14">
      <c r="B2115" s="513" t="s">
        <v>833</v>
      </c>
      <c r="C2115" s="658">
        <v>2009</v>
      </c>
      <c r="D2115" s="513">
        <v>1177641.9889337253</v>
      </c>
      <c r="E2115" s="512">
        <v>167612.30987589568</v>
      </c>
      <c r="F2115" s="513">
        <v>167612.30987589568</v>
      </c>
      <c r="G2115" s="512">
        <v>0</v>
      </c>
      <c r="H2115" s="512">
        <v>0</v>
      </c>
      <c r="I2115" s="659" t="s">
        <v>103</v>
      </c>
      <c r="J2115" s="513">
        <v>663208.23999999987</v>
      </c>
      <c r="K2115" s="513">
        <v>747296</v>
      </c>
      <c r="L2115" s="513">
        <v>0</v>
      </c>
      <c r="M2115" s="513">
        <v>682046.05880962114</v>
      </c>
      <c r="N2115" s="622"/>
    </row>
    <row r="2116" spans="2:14">
      <c r="B2116" s="513" t="s">
        <v>833</v>
      </c>
      <c r="C2116" s="658">
        <v>2010</v>
      </c>
      <c r="D2116" s="513">
        <v>682046.05880962126</v>
      </c>
      <c r="E2116" s="512">
        <v>167331.04999999999</v>
      </c>
      <c r="F2116" s="513">
        <v>167331.04999999999</v>
      </c>
      <c r="G2116" s="512">
        <v>0</v>
      </c>
      <c r="H2116" s="512">
        <v>0</v>
      </c>
      <c r="I2116" s="659" t="s">
        <v>103</v>
      </c>
      <c r="J2116" s="513">
        <v>-27669.969999999994</v>
      </c>
      <c r="K2116" s="513">
        <v>0</v>
      </c>
      <c r="L2116" s="513">
        <v>0</v>
      </c>
      <c r="M2116" s="513">
        <v>877047.07880962128</v>
      </c>
      <c r="N2116" s="622"/>
    </row>
    <row r="2117" spans="2:14">
      <c r="B2117" s="513" t="s">
        <v>833</v>
      </c>
      <c r="C2117" s="658">
        <v>2011</v>
      </c>
      <c r="D2117" s="513">
        <v>877047.08087504376</v>
      </c>
      <c r="E2117" s="512">
        <v>170537.31597260796</v>
      </c>
      <c r="F2117" s="513">
        <v>170537.31597260796</v>
      </c>
      <c r="G2117" s="512">
        <v>0</v>
      </c>
      <c r="H2117" s="512">
        <v>0</v>
      </c>
      <c r="I2117" s="659" t="s">
        <v>103</v>
      </c>
      <c r="J2117" s="513">
        <v>30.650000000000034</v>
      </c>
      <c r="K2117" s="513">
        <v>0</v>
      </c>
      <c r="L2117" s="513">
        <v>-5584.68</v>
      </c>
      <c r="M2117" s="513">
        <v>1053138.4268476516</v>
      </c>
      <c r="N2117" s="622"/>
    </row>
    <row r="2118" spans="2:14">
      <c r="B2118" s="513" t="s">
        <v>833</v>
      </c>
      <c r="C2118" s="658">
        <v>2012</v>
      </c>
      <c r="D2118" s="513">
        <v>1053138.4268476516</v>
      </c>
      <c r="E2118" s="512">
        <v>116360.06991328865</v>
      </c>
      <c r="F2118" s="513">
        <v>116360.06991328865</v>
      </c>
      <c r="G2118" s="512">
        <v>0</v>
      </c>
      <c r="H2118" s="512">
        <v>0</v>
      </c>
      <c r="I2118" s="659" t="s">
        <v>103</v>
      </c>
      <c r="J2118" s="513">
        <v>0</v>
      </c>
      <c r="K2118" s="513">
        <v>0</v>
      </c>
      <c r="L2118" s="513">
        <v>0</v>
      </c>
      <c r="M2118" s="513">
        <v>1169498.4967609402</v>
      </c>
      <c r="N2118" s="622"/>
    </row>
    <row r="2119" spans="2:14">
      <c r="B2119" s="513" t="s">
        <v>833</v>
      </c>
      <c r="C2119" s="658">
        <v>2013</v>
      </c>
      <c r="D2119" s="513">
        <v>1169498.4967609402</v>
      </c>
      <c r="E2119" s="513">
        <v>191243.12289664545</v>
      </c>
      <c r="F2119" s="513">
        <v>191243.12289664545</v>
      </c>
      <c r="G2119" s="660">
        <v>0</v>
      </c>
      <c r="H2119" s="512">
        <v>0</v>
      </c>
      <c r="I2119" s="659" t="s">
        <v>103</v>
      </c>
      <c r="J2119" s="513">
        <v>0</v>
      </c>
      <c r="K2119" s="513">
        <v>0</v>
      </c>
      <c r="L2119" s="513">
        <v>0</v>
      </c>
      <c r="M2119" s="513">
        <v>1360741.6196575856</v>
      </c>
      <c r="N2119" s="622"/>
    </row>
    <row r="2120" spans="2:14">
      <c r="B2120" s="513" t="s">
        <v>833</v>
      </c>
      <c r="C2120" s="658">
        <v>2014</v>
      </c>
      <c r="D2120" s="513">
        <v>1360741.6196575854</v>
      </c>
      <c r="E2120" s="513">
        <v>199931.07156772216</v>
      </c>
      <c r="F2120" s="513">
        <v>199931.07156772216</v>
      </c>
      <c r="G2120" s="660">
        <v>0</v>
      </c>
      <c r="H2120" s="512">
        <v>0</v>
      </c>
      <c r="I2120" s="659" t="s">
        <v>103</v>
      </c>
      <c r="J2120" s="513">
        <v>0</v>
      </c>
      <c r="K2120" s="513">
        <v>0</v>
      </c>
      <c r="L2120" s="513">
        <v>0</v>
      </c>
      <c r="M2120" s="513">
        <v>1560672.6912253075</v>
      </c>
      <c r="N2120" s="622"/>
    </row>
    <row r="2121" spans="2:14">
      <c r="B2121" s="513" t="s">
        <v>833</v>
      </c>
      <c r="C2121" s="658">
        <v>2015</v>
      </c>
      <c r="D2121" s="513">
        <v>1560672.691225308</v>
      </c>
      <c r="E2121" s="513">
        <v>203477.18214596377</v>
      </c>
      <c r="F2121" s="513">
        <v>203477.18214596377</v>
      </c>
      <c r="G2121" s="660">
        <v>0</v>
      </c>
      <c r="H2121" s="512">
        <v>0</v>
      </c>
      <c r="I2121" s="659" t="s">
        <v>103</v>
      </c>
      <c r="J2121" s="513">
        <v>0</v>
      </c>
      <c r="K2121" s="513">
        <v>0</v>
      </c>
      <c r="L2121" s="513">
        <v>1411</v>
      </c>
      <c r="M2121" s="513">
        <v>1762738.8733712719</v>
      </c>
      <c r="N2121" s="622"/>
    </row>
    <row r="2122" spans="2:14">
      <c r="B2122" s="513" t="s">
        <v>833</v>
      </c>
      <c r="C2122" s="658">
        <v>2016</v>
      </c>
      <c r="D2122" s="513">
        <v>1762738.8733712714</v>
      </c>
      <c r="E2122" s="513">
        <v>138741.97691574515</v>
      </c>
      <c r="F2122" s="513">
        <v>138741.97691574515</v>
      </c>
      <c r="G2122" s="660">
        <v>0</v>
      </c>
      <c r="H2122" s="660">
        <v>0</v>
      </c>
      <c r="I2122" s="659" t="s">
        <v>103</v>
      </c>
      <c r="J2122" s="513">
        <v>0</v>
      </c>
      <c r="K2122" s="513">
        <v>0</v>
      </c>
      <c r="L2122" s="513">
        <v>0</v>
      </c>
      <c r="M2122" s="513">
        <v>1901480.8502870165</v>
      </c>
      <c r="N2122" s="622"/>
    </row>
    <row r="2123" spans="2:14">
      <c r="B2123" s="513" t="s">
        <v>833</v>
      </c>
      <c r="C2123" s="658">
        <v>2017</v>
      </c>
      <c r="D2123" s="513">
        <v>1901480.8502870165</v>
      </c>
      <c r="E2123" s="513">
        <v>125997.22534293</v>
      </c>
      <c r="F2123" s="513">
        <v>125997.22534293</v>
      </c>
      <c r="G2123" s="660">
        <v>0</v>
      </c>
      <c r="H2123" s="660">
        <v>0</v>
      </c>
      <c r="I2123" s="659" t="s">
        <v>103</v>
      </c>
      <c r="J2123" s="513">
        <v>0</v>
      </c>
      <c r="K2123" s="513">
        <v>0</v>
      </c>
      <c r="L2123" s="513">
        <v>0</v>
      </c>
      <c r="M2123" s="513">
        <v>2027478.0756299465</v>
      </c>
      <c r="N2123" s="622"/>
    </row>
    <row r="2124" spans="2:14">
      <c r="B2124" s="513" t="s">
        <v>833</v>
      </c>
      <c r="C2124" s="889">
        <v>2018</v>
      </c>
      <c r="D2124" s="513">
        <v>2027478.0756299465</v>
      </c>
      <c r="E2124" s="513">
        <f>VLOOKUP(B2124,'[6]2018 allocation'!$A$11:$B$218,2, FALSE)</f>
        <v>136890.0822893554</v>
      </c>
      <c r="F2124" s="513">
        <f>E2124</f>
        <v>136890.0822893554</v>
      </c>
      <c r="G2124" s="513">
        <v>0</v>
      </c>
      <c r="H2124" s="513">
        <v>0</v>
      </c>
      <c r="I2124" s="622" t="s">
        <v>103</v>
      </c>
      <c r="J2124" s="513">
        <f>VLOOKUP(B2124,'[6]Annual Spending Worksheet '!$C$6:$AG$250,28,FALSE)</f>
        <v>0</v>
      </c>
      <c r="K2124" s="513">
        <f>VLOOKUP(B2124,'[6]Annual Spending Worksheet '!$C$6:$AG$250,29,FALSE)</f>
        <v>0</v>
      </c>
      <c r="L2124" s="513">
        <v>0</v>
      </c>
      <c r="M2124" s="513">
        <f>D2124+E2124+H2124-J2124</f>
        <v>2164368.1579193021</v>
      </c>
      <c r="N2124" s="513"/>
    </row>
    <row r="2125" spans="2:14">
      <c r="B2125" s="513" t="s">
        <v>833</v>
      </c>
      <c r="C2125" s="889">
        <v>2019</v>
      </c>
      <c r="D2125" s="513">
        <v>2164368.1579193021</v>
      </c>
      <c r="E2125" s="513">
        <v>148267.62751894898</v>
      </c>
      <c r="F2125" s="513">
        <v>148267.62751894898</v>
      </c>
      <c r="G2125" s="513">
        <v>0</v>
      </c>
      <c r="H2125" s="513">
        <v>0</v>
      </c>
      <c r="I2125" s="622" t="s">
        <v>103</v>
      </c>
      <c r="J2125" s="513">
        <v>64308.520000000004</v>
      </c>
      <c r="K2125" s="513">
        <v>0</v>
      </c>
      <c r="L2125" s="513">
        <v>0</v>
      </c>
      <c r="M2125" s="513">
        <v>2248327.2654382512</v>
      </c>
      <c r="N2125" s="513"/>
    </row>
    <row r="2126" spans="2:14">
      <c r="B2126" s="513" t="s">
        <v>838</v>
      </c>
      <c r="C2126" s="658">
        <v>2008</v>
      </c>
      <c r="D2126" s="513">
        <v>903573.65899999999</v>
      </c>
      <c r="E2126" s="512">
        <v>190537.04513491687</v>
      </c>
      <c r="F2126" s="513">
        <v>190537.04513491687</v>
      </c>
      <c r="G2126" s="513">
        <v>0</v>
      </c>
      <c r="H2126" s="512">
        <v>0</v>
      </c>
      <c r="I2126" s="659" t="s">
        <v>103</v>
      </c>
      <c r="J2126" s="513">
        <v>0</v>
      </c>
      <c r="K2126" s="513">
        <v>0</v>
      </c>
      <c r="L2126" s="513">
        <v>0</v>
      </c>
      <c r="M2126" s="513">
        <v>1094110.7041349169</v>
      </c>
      <c r="N2126" s="622"/>
    </row>
    <row r="2127" spans="2:14">
      <c r="B2127" s="513" t="s">
        <v>838</v>
      </c>
      <c r="C2127" s="658">
        <v>2009</v>
      </c>
      <c r="D2127" s="513">
        <v>1094110.7041349169</v>
      </c>
      <c r="E2127" s="512">
        <v>150355.76944918052</v>
      </c>
      <c r="F2127" s="513">
        <v>150355.76944918052</v>
      </c>
      <c r="G2127" s="660">
        <v>0</v>
      </c>
      <c r="H2127" s="512">
        <v>0</v>
      </c>
      <c r="I2127" s="659" t="s">
        <v>103</v>
      </c>
      <c r="J2127" s="513">
        <v>179862.43</v>
      </c>
      <c r="K2127" s="513">
        <v>0</v>
      </c>
      <c r="L2127" s="513">
        <v>0</v>
      </c>
      <c r="M2127" s="513">
        <v>1064604.0435840974</v>
      </c>
      <c r="N2127" s="622"/>
    </row>
    <row r="2128" spans="2:14">
      <c r="B2128" s="513" t="s">
        <v>838</v>
      </c>
      <c r="C2128" s="658">
        <v>2010</v>
      </c>
      <c r="D2128" s="513">
        <v>1064604.0435840981</v>
      </c>
      <c r="E2128" s="512">
        <v>150114.99</v>
      </c>
      <c r="F2128" s="513">
        <v>150114.99</v>
      </c>
      <c r="G2128" s="660">
        <v>0</v>
      </c>
      <c r="H2128" s="512">
        <v>0</v>
      </c>
      <c r="I2128" s="659" t="s">
        <v>103</v>
      </c>
      <c r="J2128" s="513">
        <v>1533814.57</v>
      </c>
      <c r="K2128" s="513">
        <v>0</v>
      </c>
      <c r="L2128" s="513">
        <v>0</v>
      </c>
      <c r="M2128" s="513">
        <v>-319095.53641590197</v>
      </c>
      <c r="N2128" s="622" t="s">
        <v>1715</v>
      </c>
    </row>
    <row r="2129" spans="2:14">
      <c r="B2129" s="513" t="s">
        <v>838</v>
      </c>
      <c r="C2129" s="658">
        <v>2011</v>
      </c>
      <c r="D2129" s="513">
        <v>-319095.54130848311</v>
      </c>
      <c r="E2129" s="512">
        <v>153063.16079266457</v>
      </c>
      <c r="F2129" s="513">
        <v>153063.16079266457</v>
      </c>
      <c r="G2129" s="512">
        <v>-166032.38051581854</v>
      </c>
      <c r="H2129" s="512">
        <v>0</v>
      </c>
      <c r="I2129" s="659" t="s">
        <v>103</v>
      </c>
      <c r="J2129" s="513">
        <v>206174.72999999998</v>
      </c>
      <c r="K2129" s="513">
        <v>1732160</v>
      </c>
      <c r="L2129" s="513">
        <v>0</v>
      </c>
      <c r="M2129" s="513">
        <v>-372207.11051581852</v>
      </c>
      <c r="N2129" s="622" t="s">
        <v>1715</v>
      </c>
    </row>
    <row r="2130" spans="2:14">
      <c r="B2130" s="513" t="s">
        <v>838</v>
      </c>
      <c r="C2130" s="658">
        <v>2012</v>
      </c>
      <c r="D2130" s="513">
        <v>-372207.110515818</v>
      </c>
      <c r="E2130" s="513">
        <v>104851.65475932784</v>
      </c>
      <c r="F2130" s="513">
        <v>104851.65475932784</v>
      </c>
      <c r="G2130" s="512">
        <v>-267355.45575649018</v>
      </c>
      <c r="H2130" s="512">
        <v>0</v>
      </c>
      <c r="I2130" s="659" t="s">
        <v>103</v>
      </c>
      <c r="J2130" s="513">
        <v>-216951.18</v>
      </c>
      <c r="K2130" s="513">
        <v>0</v>
      </c>
      <c r="L2130" s="513">
        <v>0</v>
      </c>
      <c r="M2130" s="513">
        <v>-50404.275756490184</v>
      </c>
      <c r="N2130" s="622" t="s">
        <v>1715</v>
      </c>
    </row>
    <row r="2131" spans="2:14">
      <c r="B2131" s="513" t="s">
        <v>838</v>
      </c>
      <c r="C2131" s="658">
        <v>2013</v>
      </c>
      <c r="D2131" s="513">
        <v>-50404.275756490417</v>
      </c>
      <c r="E2131" s="513">
        <v>171398.82555274238</v>
      </c>
      <c r="F2131" s="513">
        <v>171398.82555274238</v>
      </c>
      <c r="G2131" s="512">
        <v>0</v>
      </c>
      <c r="H2131" s="512">
        <v>0</v>
      </c>
      <c r="I2131" s="659" t="s">
        <v>103</v>
      </c>
      <c r="J2131" s="513">
        <v>2044.73</v>
      </c>
      <c r="K2131" s="513">
        <v>0</v>
      </c>
      <c r="L2131" s="513">
        <v>0</v>
      </c>
      <c r="M2131" s="513">
        <v>118949.81979625196</v>
      </c>
      <c r="N2131" s="622"/>
    </row>
    <row r="2132" spans="2:14">
      <c r="B2132" s="513" t="s">
        <v>838</v>
      </c>
      <c r="C2132" s="658">
        <v>2014</v>
      </c>
      <c r="D2132" s="513">
        <v>118949.81979625113</v>
      </c>
      <c r="E2132" s="513">
        <v>179147.82807570341</v>
      </c>
      <c r="F2132" s="513">
        <v>179147.82807570341</v>
      </c>
      <c r="G2132" s="512">
        <v>0</v>
      </c>
      <c r="H2132" s="512">
        <v>0</v>
      </c>
      <c r="I2132" s="659" t="s">
        <v>103</v>
      </c>
      <c r="J2132" s="513">
        <v>1716.08</v>
      </c>
      <c r="K2132" s="513">
        <v>0</v>
      </c>
      <c r="L2132" s="513">
        <v>0</v>
      </c>
      <c r="M2132" s="513">
        <v>296381.56787195452</v>
      </c>
      <c r="N2132" s="622"/>
    </row>
    <row r="2133" spans="2:14">
      <c r="B2133" s="513" t="s">
        <v>838</v>
      </c>
      <c r="C2133" s="658">
        <v>2015</v>
      </c>
      <c r="D2133" s="513">
        <v>296381.56787195429</v>
      </c>
      <c r="E2133" s="513">
        <v>182306.51833220769</v>
      </c>
      <c r="F2133" s="513">
        <v>182306.51833220769</v>
      </c>
      <c r="G2133" s="660">
        <v>0</v>
      </c>
      <c r="H2133" s="660">
        <v>0</v>
      </c>
      <c r="I2133" s="659" t="s">
        <v>103</v>
      </c>
      <c r="J2133" s="513">
        <v>34517.090000000004</v>
      </c>
      <c r="K2133" s="513">
        <v>0</v>
      </c>
      <c r="L2133" s="513">
        <v>25678.3</v>
      </c>
      <c r="M2133" s="513">
        <v>418492.69620416197</v>
      </c>
      <c r="N2133" s="622"/>
    </row>
    <row r="2134" spans="2:14">
      <c r="B2134" s="513" t="s">
        <v>838</v>
      </c>
      <c r="C2134" s="658">
        <v>2016</v>
      </c>
      <c r="D2134" s="513">
        <v>418492.6962041622</v>
      </c>
      <c r="E2134" s="513">
        <v>124647.73256125028</v>
      </c>
      <c r="F2134" s="513">
        <v>124647.73256125028</v>
      </c>
      <c r="G2134" s="660">
        <v>0</v>
      </c>
      <c r="H2134" s="660">
        <v>0</v>
      </c>
      <c r="I2134" s="659" t="s">
        <v>103</v>
      </c>
      <c r="J2134" s="513">
        <v>7951.84</v>
      </c>
      <c r="K2134" s="513">
        <v>0</v>
      </c>
      <c r="L2134" s="513">
        <v>0</v>
      </c>
      <c r="M2134" s="513">
        <v>535188.58876541245</v>
      </c>
      <c r="N2134" s="622"/>
    </row>
    <row r="2135" spans="2:14">
      <c r="B2135" s="513" t="s">
        <v>838</v>
      </c>
      <c r="C2135" s="658">
        <v>2017</v>
      </c>
      <c r="D2135" s="513">
        <v>535188.58876541257</v>
      </c>
      <c r="E2135" s="513">
        <v>113343.12943712718</v>
      </c>
      <c r="F2135" s="513">
        <v>113343.12943712718</v>
      </c>
      <c r="G2135" s="513">
        <v>0</v>
      </c>
      <c r="H2135" s="513">
        <v>0</v>
      </c>
      <c r="I2135" s="659" t="s">
        <v>103</v>
      </c>
      <c r="J2135" s="513">
        <v>29409.71</v>
      </c>
      <c r="K2135" s="513">
        <v>0</v>
      </c>
      <c r="L2135" s="513">
        <v>0</v>
      </c>
      <c r="M2135" s="513">
        <v>619122.00820253976</v>
      </c>
      <c r="N2135" s="622"/>
    </row>
    <row r="2136" spans="2:14">
      <c r="B2136" s="513" t="s">
        <v>838</v>
      </c>
      <c r="C2136" s="889">
        <v>2018</v>
      </c>
      <c r="D2136" s="513">
        <v>619122.00820253976</v>
      </c>
      <c r="E2136" s="513">
        <f>VLOOKUP(B2136,'[6]2018 allocation'!$A$11:$B$218,2, FALSE)</f>
        <v>122929.88654234793</v>
      </c>
      <c r="F2136" s="513">
        <f>E2136</f>
        <v>122929.88654234793</v>
      </c>
      <c r="G2136" s="513">
        <v>0</v>
      </c>
      <c r="H2136" s="513">
        <v>0</v>
      </c>
      <c r="I2136" s="622" t="s">
        <v>103</v>
      </c>
      <c r="J2136" s="513">
        <f>VLOOKUP(B2136,'[6]Annual Spending Worksheet '!$C$6:$AG$250,28,FALSE)</f>
        <v>2358.3599999999997</v>
      </c>
      <c r="K2136" s="513">
        <f>VLOOKUP(B2136,'[6]Annual Spending Worksheet '!$C$6:$AG$250,29,FALSE)</f>
        <v>0</v>
      </c>
      <c r="L2136" s="513">
        <v>0</v>
      </c>
      <c r="M2136" s="513">
        <f>D2136+E2136+H2136-J2136</f>
        <v>739693.53474488773</v>
      </c>
      <c r="N2136" s="513"/>
    </row>
    <row r="2137" spans="2:14">
      <c r="B2137" s="513" t="s">
        <v>838</v>
      </c>
      <c r="C2137" s="889">
        <v>2019</v>
      </c>
      <c r="D2137" s="513">
        <v>739693.53474488773</v>
      </c>
      <c r="E2137" s="513">
        <v>132944.21057750558</v>
      </c>
      <c r="F2137" s="513">
        <v>132944.21057750558</v>
      </c>
      <c r="G2137" s="513">
        <v>0</v>
      </c>
      <c r="H2137" s="513">
        <v>0</v>
      </c>
      <c r="I2137" s="622" t="s">
        <v>103</v>
      </c>
      <c r="J2137" s="513">
        <v>578.94000000000005</v>
      </c>
      <c r="K2137" s="513">
        <v>0</v>
      </c>
      <c r="L2137" s="513">
        <v>0</v>
      </c>
      <c r="M2137" s="513">
        <v>872058.80532239331</v>
      </c>
      <c r="N2137" s="513"/>
    </row>
    <row r="2138" spans="2:14" ht="29.1">
      <c r="B2138" s="513" t="s">
        <v>841</v>
      </c>
      <c r="C2138" s="658">
        <v>2008</v>
      </c>
      <c r="D2138" s="513">
        <v>-911202.51500000432</v>
      </c>
      <c r="E2138" s="512">
        <v>664579.37825423607</v>
      </c>
      <c r="F2138" s="513">
        <v>664579.37825423607</v>
      </c>
      <c r="G2138" s="512">
        <v>-246623.13674576825</v>
      </c>
      <c r="H2138" s="512">
        <v>0</v>
      </c>
      <c r="I2138" s="659" t="s">
        <v>103</v>
      </c>
      <c r="J2138" s="513">
        <v>312385.86</v>
      </c>
      <c r="K2138" s="513">
        <v>1274526</v>
      </c>
      <c r="L2138" s="513">
        <v>-265</v>
      </c>
      <c r="M2138" s="513">
        <v>-558743.99674576824</v>
      </c>
      <c r="N2138" s="622" t="s">
        <v>1706</v>
      </c>
    </row>
    <row r="2139" spans="2:14">
      <c r="B2139" s="513" t="s">
        <v>841</v>
      </c>
      <c r="C2139" s="658">
        <v>2009</v>
      </c>
      <c r="D2139" s="513">
        <v>-558744.04674576968</v>
      </c>
      <c r="E2139" s="512">
        <v>532624.31106505776</v>
      </c>
      <c r="F2139" s="513">
        <v>532624.31106505776</v>
      </c>
      <c r="G2139" s="512">
        <v>-26119.735680711921</v>
      </c>
      <c r="H2139" s="512">
        <v>0</v>
      </c>
      <c r="I2139" s="659" t="s">
        <v>103</v>
      </c>
      <c r="J2139" s="513">
        <v>928790.82000000007</v>
      </c>
      <c r="K2139" s="513">
        <v>1274526</v>
      </c>
      <c r="L2139" s="513">
        <v>0</v>
      </c>
      <c r="M2139" s="513">
        <v>-954910.55568071199</v>
      </c>
      <c r="N2139" s="622" t="s">
        <v>1715</v>
      </c>
    </row>
    <row r="2140" spans="2:14">
      <c r="B2140" s="513" t="s">
        <v>841</v>
      </c>
      <c r="C2140" s="658">
        <v>2010</v>
      </c>
      <c r="D2140" s="513">
        <v>-954910.55568071082</v>
      </c>
      <c r="E2140" s="512">
        <v>532036.57999999996</v>
      </c>
      <c r="F2140" s="513">
        <v>532036.57999999996</v>
      </c>
      <c r="G2140" s="512">
        <v>-422873.97568071086</v>
      </c>
      <c r="H2140" s="512">
        <v>0</v>
      </c>
      <c r="I2140" s="659" t="s">
        <v>103</v>
      </c>
      <c r="J2140" s="513">
        <v>20493</v>
      </c>
      <c r="K2140" s="513">
        <v>0</v>
      </c>
      <c r="L2140" s="513">
        <v>3301.0243192891357</v>
      </c>
      <c r="M2140" s="513">
        <v>-446668</v>
      </c>
      <c r="N2140" s="622" t="s">
        <v>1715</v>
      </c>
    </row>
    <row r="2141" spans="2:14">
      <c r="B2141" s="513" t="s">
        <v>841</v>
      </c>
      <c r="C2141" s="658">
        <v>2011</v>
      </c>
      <c r="D2141" s="513">
        <v>-446667.95509497449</v>
      </c>
      <c r="E2141" s="512">
        <v>541525.58150968922</v>
      </c>
      <c r="F2141" s="513">
        <v>541525.58150968922</v>
      </c>
      <c r="G2141" s="512">
        <v>0</v>
      </c>
      <c r="H2141" s="512">
        <v>0</v>
      </c>
      <c r="I2141" s="659" t="s">
        <v>103</v>
      </c>
      <c r="J2141" s="513">
        <v>120225.86999999998</v>
      </c>
      <c r="K2141" s="513">
        <v>0</v>
      </c>
      <c r="L2141" s="513">
        <v>4796.71</v>
      </c>
      <c r="M2141" s="513">
        <v>-30164.95358528525</v>
      </c>
      <c r="N2141" s="622" t="s">
        <v>1715</v>
      </c>
    </row>
    <row r="2142" spans="2:14">
      <c r="B2142" s="513" t="s">
        <v>841</v>
      </c>
      <c r="C2142" s="658">
        <v>2012</v>
      </c>
      <c r="D2142" s="513">
        <v>-30164.953585281968</v>
      </c>
      <c r="E2142" s="512">
        <v>386203.57071398397</v>
      </c>
      <c r="F2142" s="513">
        <v>386203.57071398397</v>
      </c>
      <c r="G2142" s="660">
        <v>0</v>
      </c>
      <c r="H2142" s="512">
        <v>0</v>
      </c>
      <c r="I2142" s="659" t="s">
        <v>103</v>
      </c>
      <c r="J2142" s="513">
        <v>1010213.4999999994</v>
      </c>
      <c r="K2142" s="513">
        <v>1198257</v>
      </c>
      <c r="L2142" s="513">
        <v>0</v>
      </c>
      <c r="M2142" s="513">
        <v>-654174.88287129742</v>
      </c>
      <c r="N2142" s="622" t="s">
        <v>1715</v>
      </c>
    </row>
    <row r="2143" spans="2:14">
      <c r="B2143" s="513" t="s">
        <v>841</v>
      </c>
      <c r="C2143" s="658">
        <v>2013</v>
      </c>
      <c r="D2143" s="513">
        <v>-657792.66287129745</v>
      </c>
      <c r="E2143" s="513">
        <v>600885.41970934288</v>
      </c>
      <c r="F2143" s="513">
        <v>600885.41970934288</v>
      </c>
      <c r="G2143" s="660">
        <v>-56907.243161954568</v>
      </c>
      <c r="H2143" s="512">
        <v>0</v>
      </c>
      <c r="I2143" s="659" t="s">
        <v>103</v>
      </c>
      <c r="J2143" s="513">
        <v>124376.51000000015</v>
      </c>
      <c r="K2143" s="513">
        <v>0</v>
      </c>
      <c r="L2143" s="513">
        <v>19811.009999999998</v>
      </c>
      <c r="M2143" s="513">
        <v>-201094.76316195473</v>
      </c>
      <c r="N2143" s="622" t="s">
        <v>1715</v>
      </c>
    </row>
    <row r="2144" spans="2:14">
      <c r="B2144" s="513" t="s">
        <v>841</v>
      </c>
      <c r="C2144" s="658">
        <v>2014</v>
      </c>
      <c r="D2144" s="513">
        <v>-201094.76316195354</v>
      </c>
      <c r="E2144" s="513">
        <v>625874.59351368458</v>
      </c>
      <c r="F2144" s="513">
        <v>625874.59351368458</v>
      </c>
      <c r="G2144" s="660">
        <v>0</v>
      </c>
      <c r="H2144" s="512">
        <v>0</v>
      </c>
      <c r="I2144" s="659" t="s">
        <v>103</v>
      </c>
      <c r="J2144" s="513">
        <v>0</v>
      </c>
      <c r="K2144" s="513">
        <v>0</v>
      </c>
      <c r="L2144" s="513">
        <v>0</v>
      </c>
      <c r="M2144" s="513">
        <v>424779.83035173104</v>
      </c>
      <c r="N2144" s="622"/>
    </row>
    <row r="2145" spans="2:14">
      <c r="B2145" s="513" t="s">
        <v>841</v>
      </c>
      <c r="C2145" s="658">
        <v>2015</v>
      </c>
      <c r="D2145" s="513">
        <v>424779.83035173267</v>
      </c>
      <c r="E2145" s="513">
        <v>636075.52193553874</v>
      </c>
      <c r="F2145" s="513">
        <v>636075.52193553874</v>
      </c>
      <c r="G2145" s="660">
        <v>0</v>
      </c>
      <c r="H2145" s="512">
        <v>0</v>
      </c>
      <c r="I2145" s="659" t="s">
        <v>103</v>
      </c>
      <c r="J2145" s="513">
        <v>0</v>
      </c>
      <c r="K2145" s="513">
        <v>0</v>
      </c>
      <c r="L2145" s="513">
        <v>470.71</v>
      </c>
      <c r="M2145" s="513">
        <v>1060384.6422872716</v>
      </c>
      <c r="N2145" s="622"/>
    </row>
    <row r="2146" spans="2:14">
      <c r="B2146" s="513" t="s">
        <v>841</v>
      </c>
      <c r="C2146" s="658">
        <v>2016</v>
      </c>
      <c r="D2146" s="513">
        <v>1060384.6422872692</v>
      </c>
      <c r="E2146" s="513">
        <v>450003.79763984855</v>
      </c>
      <c r="F2146" s="513">
        <v>450003.79763984855</v>
      </c>
      <c r="G2146" s="660">
        <v>0</v>
      </c>
      <c r="H2146" s="660">
        <v>0</v>
      </c>
      <c r="I2146" s="659" t="s">
        <v>103</v>
      </c>
      <c r="J2146" s="513">
        <v>0</v>
      </c>
      <c r="K2146" s="513">
        <v>0</v>
      </c>
      <c r="L2146" s="513">
        <v>0</v>
      </c>
      <c r="M2146" s="513">
        <v>1510388.4399271179</v>
      </c>
      <c r="N2146" s="622"/>
    </row>
    <row r="2147" spans="2:14">
      <c r="B2147" s="513" t="s">
        <v>841</v>
      </c>
      <c r="C2147" s="658">
        <v>2017</v>
      </c>
      <c r="D2147" s="513">
        <v>1510388.439927116</v>
      </c>
      <c r="E2147" s="513">
        <v>413485.22181414964</v>
      </c>
      <c r="F2147" s="513">
        <v>413485.22181414964</v>
      </c>
      <c r="G2147" s="660">
        <v>0</v>
      </c>
      <c r="H2147" s="660">
        <v>0</v>
      </c>
      <c r="I2147" s="659" t="s">
        <v>103</v>
      </c>
      <c r="J2147" s="513">
        <v>0</v>
      </c>
      <c r="K2147" s="513">
        <v>0</v>
      </c>
      <c r="L2147" s="513">
        <v>0</v>
      </c>
      <c r="M2147" s="513">
        <v>1923873.6617412656</v>
      </c>
      <c r="N2147" s="622"/>
    </row>
    <row r="2148" spans="2:14">
      <c r="B2148" s="513" t="s">
        <v>841</v>
      </c>
      <c r="C2148" s="889">
        <v>2018</v>
      </c>
      <c r="D2148" s="513">
        <v>1923873.6617412656</v>
      </c>
      <c r="E2148" s="513">
        <f>VLOOKUP(B2148,'[6]2018 allocation'!$A$11:$B$218,2, FALSE)</f>
        <v>444473.81865494448</v>
      </c>
      <c r="F2148" s="513">
        <f>E2148</f>
        <v>444473.81865494448</v>
      </c>
      <c r="G2148" s="513">
        <v>0</v>
      </c>
      <c r="H2148" s="513">
        <v>0</v>
      </c>
      <c r="I2148" s="622" t="s">
        <v>103</v>
      </c>
      <c r="J2148" s="513">
        <f>VLOOKUP(B2148,'[6]Annual Spending Worksheet '!$C$6:$AG$250,28,FALSE)</f>
        <v>0</v>
      </c>
      <c r="K2148" s="513">
        <f>VLOOKUP(B2148,'[6]Annual Spending Worksheet '!$C$6:$AG$250,29,FALSE)</f>
        <v>0</v>
      </c>
      <c r="L2148" s="513">
        <v>0</v>
      </c>
      <c r="M2148" s="513">
        <f>D2148+E2148+H2148-J2148</f>
        <v>2368347.4803962102</v>
      </c>
      <c r="N2148" s="513"/>
    </row>
    <row r="2149" spans="2:14">
      <c r="B2149" s="513" t="s">
        <v>841</v>
      </c>
      <c r="C2149" s="889">
        <v>2019</v>
      </c>
      <c r="D2149" s="513">
        <v>2368347.4803962102</v>
      </c>
      <c r="E2149" s="513">
        <v>477635.25694311241</v>
      </c>
      <c r="F2149" s="513">
        <v>477635.25694311241</v>
      </c>
      <c r="G2149" s="513">
        <v>0</v>
      </c>
      <c r="H2149" s="513">
        <v>0</v>
      </c>
      <c r="I2149" s="622" t="s">
        <v>103</v>
      </c>
      <c r="J2149" s="513">
        <v>54812.68</v>
      </c>
      <c r="K2149" s="513">
        <v>0</v>
      </c>
      <c r="L2149" s="513">
        <v>0</v>
      </c>
      <c r="M2149" s="513">
        <v>2791170.0573393223</v>
      </c>
      <c r="N2149" s="513"/>
    </row>
    <row r="2150" spans="2:14">
      <c r="B2150" s="513" t="s">
        <v>853</v>
      </c>
      <c r="C2150" s="658">
        <v>2008</v>
      </c>
      <c r="D2150" s="513">
        <v>573825.59400000004</v>
      </c>
      <c r="E2150" s="512">
        <v>84682.444508735047</v>
      </c>
      <c r="F2150" s="513">
        <v>84682.444508735047</v>
      </c>
      <c r="G2150" s="512">
        <v>0</v>
      </c>
      <c r="H2150" s="512">
        <v>0</v>
      </c>
      <c r="I2150" s="659" t="s">
        <v>103</v>
      </c>
      <c r="J2150" s="513">
        <v>0</v>
      </c>
      <c r="K2150" s="513">
        <v>0</v>
      </c>
      <c r="L2150" s="513">
        <v>0</v>
      </c>
      <c r="M2150" s="513">
        <v>658508.03850873513</v>
      </c>
      <c r="N2150" s="622"/>
    </row>
    <row r="2151" spans="2:14">
      <c r="B2151" s="513" t="s">
        <v>853</v>
      </c>
      <c r="C2151" s="658">
        <v>2009</v>
      </c>
      <c r="D2151" s="513">
        <v>658508.03850873513</v>
      </c>
      <c r="E2151" s="512">
        <v>67971.886710865962</v>
      </c>
      <c r="F2151" s="513">
        <v>67971.886710865962</v>
      </c>
      <c r="G2151" s="512">
        <v>0</v>
      </c>
      <c r="H2151" s="512">
        <v>0</v>
      </c>
      <c r="I2151" s="659" t="s">
        <v>103</v>
      </c>
      <c r="J2151" s="513">
        <v>0</v>
      </c>
      <c r="K2151" s="513">
        <v>0</v>
      </c>
      <c r="L2151" s="513">
        <v>0</v>
      </c>
      <c r="M2151" s="513">
        <v>726479.92521960114</v>
      </c>
      <c r="N2151" s="622"/>
    </row>
    <row r="2152" spans="2:14">
      <c r="B2152" s="513" t="s">
        <v>853</v>
      </c>
      <c r="C2152" s="658">
        <v>2010</v>
      </c>
      <c r="D2152" s="513">
        <v>726479.92521960102</v>
      </c>
      <c r="E2152" s="512">
        <v>67873.039999999994</v>
      </c>
      <c r="F2152" s="513">
        <v>67873.039999999994</v>
      </c>
      <c r="G2152" s="512">
        <v>0</v>
      </c>
      <c r="H2152" s="512">
        <v>0</v>
      </c>
      <c r="I2152" s="659" t="s">
        <v>103</v>
      </c>
      <c r="J2152" s="513">
        <v>0</v>
      </c>
      <c r="K2152" s="513">
        <v>0</v>
      </c>
      <c r="L2152" s="513">
        <v>0</v>
      </c>
      <c r="M2152" s="513">
        <v>794352.96521960106</v>
      </c>
      <c r="N2152" s="622"/>
    </row>
    <row r="2153" spans="2:14">
      <c r="B2153" s="513" t="s">
        <v>853</v>
      </c>
      <c r="C2153" s="658">
        <v>2011</v>
      </c>
      <c r="D2153" s="513">
        <v>794352.96141666197</v>
      </c>
      <c r="E2153" s="512">
        <v>69057.257316858144</v>
      </c>
      <c r="F2153" s="513">
        <v>69057.257316858144</v>
      </c>
      <c r="G2153" s="512">
        <v>0</v>
      </c>
      <c r="H2153" s="512">
        <v>0</v>
      </c>
      <c r="I2153" s="659" t="s">
        <v>103</v>
      </c>
      <c r="J2153" s="513">
        <v>0</v>
      </c>
      <c r="K2153" s="513">
        <v>0</v>
      </c>
      <c r="L2153" s="513">
        <v>0</v>
      </c>
      <c r="M2153" s="513">
        <v>863410.21873352013</v>
      </c>
      <c r="N2153" s="622"/>
    </row>
    <row r="2154" spans="2:14">
      <c r="B2154" s="513" t="s">
        <v>853</v>
      </c>
      <c r="C2154" s="658">
        <v>2012</v>
      </c>
      <c r="D2154" s="513">
        <v>863410.21873352001</v>
      </c>
      <c r="E2154" s="513">
        <v>48974.779827560589</v>
      </c>
      <c r="F2154" s="513">
        <v>48974.779827560589</v>
      </c>
      <c r="G2154" s="512">
        <v>0</v>
      </c>
      <c r="H2154" s="512">
        <v>0</v>
      </c>
      <c r="I2154" s="659" t="s">
        <v>103</v>
      </c>
      <c r="J2154" s="513">
        <v>0</v>
      </c>
      <c r="K2154" s="513">
        <v>0</v>
      </c>
      <c r="L2154" s="513">
        <v>0</v>
      </c>
      <c r="M2154" s="513">
        <v>912384.99856108055</v>
      </c>
      <c r="N2154" s="622"/>
    </row>
    <row r="2155" spans="2:14">
      <c r="B2155" s="513" t="s">
        <v>853</v>
      </c>
      <c r="C2155" s="658">
        <v>2013</v>
      </c>
      <c r="D2155" s="513">
        <v>912384.99856108078</v>
      </c>
      <c r="E2155" s="513">
        <v>76707.141875733665</v>
      </c>
      <c r="F2155" s="513">
        <v>76707.141875733665</v>
      </c>
      <c r="G2155" s="512">
        <v>0</v>
      </c>
      <c r="H2155" s="512">
        <v>0</v>
      </c>
      <c r="I2155" s="659" t="s">
        <v>103</v>
      </c>
      <c r="J2155" s="513">
        <v>0</v>
      </c>
      <c r="K2155" s="513">
        <v>0</v>
      </c>
      <c r="L2155" s="513">
        <v>0</v>
      </c>
      <c r="M2155" s="513">
        <v>989092.1404368144</v>
      </c>
      <c r="N2155" s="622"/>
    </row>
    <row r="2156" spans="2:14">
      <c r="B2156" s="513" t="s">
        <v>853</v>
      </c>
      <c r="C2156" s="658">
        <v>2014</v>
      </c>
      <c r="D2156" s="513">
        <v>989092.1404368144</v>
      </c>
      <c r="E2156" s="513">
        <v>79944.837923764673</v>
      </c>
      <c r="F2156" s="513">
        <v>79944.837923764673</v>
      </c>
      <c r="G2156" s="512">
        <v>0</v>
      </c>
      <c r="H2156" s="512">
        <v>0</v>
      </c>
      <c r="I2156" s="659" t="s">
        <v>103</v>
      </c>
      <c r="J2156" s="513">
        <v>0</v>
      </c>
      <c r="K2156" s="513">
        <v>0</v>
      </c>
      <c r="L2156" s="513">
        <v>0</v>
      </c>
      <c r="M2156" s="513">
        <v>1069036.9783605791</v>
      </c>
      <c r="N2156" s="622"/>
    </row>
    <row r="2157" spans="2:14">
      <c r="B2157" s="513" t="s">
        <v>853</v>
      </c>
      <c r="C2157" s="658">
        <v>2015</v>
      </c>
      <c r="D2157" s="513">
        <v>1069036.9783605791</v>
      </c>
      <c r="E2157" s="513">
        <v>81259.019967968256</v>
      </c>
      <c r="F2157" s="513">
        <v>81259.019967968256</v>
      </c>
      <c r="G2157" s="660">
        <v>0</v>
      </c>
      <c r="H2157" s="660">
        <v>0</v>
      </c>
      <c r="I2157" s="659" t="s">
        <v>103</v>
      </c>
      <c r="J2157" s="513">
        <v>39964.75</v>
      </c>
      <c r="K2157" s="513">
        <v>0</v>
      </c>
      <c r="L2157" s="513">
        <v>0</v>
      </c>
      <c r="M2157" s="513">
        <v>1110331.2483285475</v>
      </c>
      <c r="N2157" s="622"/>
    </row>
    <row r="2158" spans="2:14">
      <c r="B2158" s="513" t="s">
        <v>853</v>
      </c>
      <c r="C2158" s="658">
        <v>2016</v>
      </c>
      <c r="D2158" s="513">
        <v>1110331.2483285472</v>
      </c>
      <c r="E2158" s="513">
        <v>57228.312851415481</v>
      </c>
      <c r="F2158" s="513">
        <v>57228.312851415481</v>
      </c>
      <c r="G2158" s="660">
        <v>0</v>
      </c>
      <c r="H2158" s="660">
        <v>0</v>
      </c>
      <c r="I2158" s="659" t="s">
        <v>103</v>
      </c>
      <c r="J2158" s="513">
        <v>10771.84</v>
      </c>
      <c r="K2158" s="513">
        <v>0</v>
      </c>
      <c r="L2158" s="513">
        <v>0</v>
      </c>
      <c r="M2158" s="513">
        <v>1156787.7211799626</v>
      </c>
      <c r="N2158" s="622"/>
    </row>
    <row r="2159" spans="2:14">
      <c r="B2159" s="513" t="s">
        <v>853</v>
      </c>
      <c r="C2159" s="658">
        <v>2017</v>
      </c>
      <c r="D2159" s="513">
        <v>1156787.7211799626</v>
      </c>
      <c r="E2159" s="513">
        <v>52529.912962864568</v>
      </c>
      <c r="F2159" s="513">
        <v>52529.912962864568</v>
      </c>
      <c r="G2159" s="513">
        <v>0</v>
      </c>
      <c r="H2159" s="513">
        <v>0</v>
      </c>
      <c r="I2159" s="659" t="s">
        <v>103</v>
      </c>
      <c r="J2159" s="513">
        <v>0</v>
      </c>
      <c r="K2159" s="513">
        <v>0</v>
      </c>
      <c r="L2159" s="513">
        <v>0</v>
      </c>
      <c r="M2159" s="513">
        <v>1209317.6341428272</v>
      </c>
      <c r="N2159" s="622"/>
    </row>
    <row r="2160" spans="2:14">
      <c r="B2160" s="513" t="s">
        <v>853</v>
      </c>
      <c r="C2160" s="889">
        <v>2018</v>
      </c>
      <c r="D2160" s="513">
        <v>1209317.6341428272</v>
      </c>
      <c r="E2160" s="513">
        <f>VLOOKUP(B2160,'[6]2018 allocation'!$A$11:$B$218,2, FALSE)</f>
        <v>56559.704081533928</v>
      </c>
      <c r="F2160" s="513">
        <f>E2160</f>
        <v>56559.704081533928</v>
      </c>
      <c r="G2160" s="513">
        <v>0</v>
      </c>
      <c r="H2160" s="513">
        <v>0</v>
      </c>
      <c r="I2160" s="622" t="s">
        <v>103</v>
      </c>
      <c r="J2160" s="513">
        <f>VLOOKUP(B2160,'[6]Annual Spending Worksheet '!$C$6:$AG$250,28,FALSE)</f>
        <v>-46757.640000000007</v>
      </c>
      <c r="K2160" s="513">
        <f>VLOOKUP(B2160,'[6]Annual Spending Worksheet '!$C$6:$AG$250,29,FALSE)</f>
        <v>0</v>
      </c>
      <c r="L2160" s="513">
        <v>0</v>
      </c>
      <c r="M2160" s="513">
        <f>D2160+E2160+H2160-J2160</f>
        <v>1312634.9782243611</v>
      </c>
      <c r="N2160" s="513"/>
    </row>
    <row r="2161" spans="2:14">
      <c r="B2161" s="513" t="s">
        <v>853</v>
      </c>
      <c r="C2161" s="889">
        <v>2019</v>
      </c>
      <c r="D2161" s="513">
        <v>1312634.9782243611</v>
      </c>
      <c r="E2161" s="513">
        <v>60784.357674790292</v>
      </c>
      <c r="F2161" s="513">
        <v>60784.357674790292</v>
      </c>
      <c r="G2161" s="513">
        <v>0</v>
      </c>
      <c r="H2161" s="513">
        <v>0</v>
      </c>
      <c r="I2161" s="622" t="s">
        <v>103</v>
      </c>
      <c r="J2161" s="513">
        <v>5882.4500000000007</v>
      </c>
      <c r="K2161" s="513">
        <v>0</v>
      </c>
      <c r="L2161" s="513">
        <v>0</v>
      </c>
      <c r="M2161" s="513">
        <v>1367536.8858991514</v>
      </c>
      <c r="N2161" s="513"/>
    </row>
    <row r="2162" spans="2:14">
      <c r="B2162" s="513" t="s">
        <v>861</v>
      </c>
      <c r="C2162" s="658">
        <v>2008</v>
      </c>
      <c r="D2162" s="513">
        <v>965984.60400000028</v>
      </c>
      <c r="E2162" s="512">
        <v>222519.56471340425</v>
      </c>
      <c r="F2162" s="513">
        <v>222519.56471340425</v>
      </c>
      <c r="G2162" s="512">
        <v>0</v>
      </c>
      <c r="H2162" s="512">
        <v>0</v>
      </c>
      <c r="I2162" s="659" t="s">
        <v>103</v>
      </c>
      <c r="J2162" s="513">
        <v>0</v>
      </c>
      <c r="K2162" s="513">
        <v>0</v>
      </c>
      <c r="L2162" s="513">
        <v>0</v>
      </c>
      <c r="M2162" s="513">
        <v>1188504.1687134046</v>
      </c>
      <c r="N2162" s="622"/>
    </row>
    <row r="2163" spans="2:14">
      <c r="B2163" s="513" t="s">
        <v>861</v>
      </c>
      <c r="C2163" s="658">
        <v>2009</v>
      </c>
      <c r="D2163" s="513">
        <v>1188504.1687134048</v>
      </c>
      <c r="E2163" s="512">
        <v>176860.75321566613</v>
      </c>
      <c r="F2163" s="513">
        <v>176860.75321566613</v>
      </c>
      <c r="G2163" s="512">
        <v>0</v>
      </c>
      <c r="H2163" s="512">
        <v>0</v>
      </c>
      <c r="I2163" s="659" t="s">
        <v>103</v>
      </c>
      <c r="J2163" s="513">
        <v>0</v>
      </c>
      <c r="K2163" s="513">
        <v>0</v>
      </c>
      <c r="L2163" s="513">
        <v>0</v>
      </c>
      <c r="M2163" s="513">
        <v>1365364.921929071</v>
      </c>
      <c r="N2163" s="622"/>
    </row>
    <row r="2164" spans="2:14">
      <c r="B2164" s="513" t="s">
        <v>861</v>
      </c>
      <c r="C2164" s="658">
        <v>2010</v>
      </c>
      <c r="D2164" s="513">
        <v>1365364.9219290707</v>
      </c>
      <c r="E2164" s="512">
        <v>176467.1</v>
      </c>
      <c r="F2164" s="513">
        <v>176467.1</v>
      </c>
      <c r="G2164" s="512">
        <v>0</v>
      </c>
      <c r="H2164" s="512">
        <v>0</v>
      </c>
      <c r="I2164" s="659" t="s">
        <v>103</v>
      </c>
      <c r="J2164" s="513">
        <v>0</v>
      </c>
      <c r="K2164" s="513">
        <v>0</v>
      </c>
      <c r="L2164" s="513">
        <v>0</v>
      </c>
      <c r="M2164" s="513">
        <v>1541832.0219290708</v>
      </c>
      <c r="N2164" s="622"/>
    </row>
    <row r="2165" spans="2:14">
      <c r="B2165" s="513" t="s">
        <v>861</v>
      </c>
      <c r="C2165" s="658">
        <v>2011</v>
      </c>
      <c r="D2165" s="513">
        <v>1541832.01927933</v>
      </c>
      <c r="E2165" s="512">
        <v>179772.09054397568</v>
      </c>
      <c r="F2165" s="513">
        <v>179772.09054397568</v>
      </c>
      <c r="G2165" s="512">
        <v>0</v>
      </c>
      <c r="H2165" s="512">
        <v>0</v>
      </c>
      <c r="I2165" s="659" t="s">
        <v>103</v>
      </c>
      <c r="J2165" s="513">
        <v>0</v>
      </c>
      <c r="K2165" s="513">
        <v>0</v>
      </c>
      <c r="L2165" s="513">
        <v>0</v>
      </c>
      <c r="M2165" s="513">
        <v>1721604.1098233056</v>
      </c>
      <c r="N2165" s="622"/>
    </row>
    <row r="2166" spans="2:14">
      <c r="B2166" s="513" t="s">
        <v>861</v>
      </c>
      <c r="C2166" s="658">
        <v>2012</v>
      </c>
      <c r="D2166" s="513">
        <v>1721604.1098233061</v>
      </c>
      <c r="E2166" s="513">
        <v>124985.93721152794</v>
      </c>
      <c r="F2166" s="513">
        <v>124985.93721152794</v>
      </c>
      <c r="G2166" s="512">
        <v>0</v>
      </c>
      <c r="H2166" s="512">
        <v>0</v>
      </c>
      <c r="I2166" s="659" t="s">
        <v>103</v>
      </c>
      <c r="J2166" s="513">
        <v>0</v>
      </c>
      <c r="K2166" s="513">
        <v>0</v>
      </c>
      <c r="L2166" s="513">
        <v>0</v>
      </c>
      <c r="M2166" s="513">
        <v>1846590.047034834</v>
      </c>
      <c r="N2166" s="622"/>
    </row>
    <row r="2167" spans="2:14">
      <c r="B2167" s="513" t="s">
        <v>861</v>
      </c>
      <c r="C2167" s="658">
        <v>2013</v>
      </c>
      <c r="D2167" s="513">
        <v>1846590.0470348336</v>
      </c>
      <c r="E2167" s="513">
        <v>200691.80517599295</v>
      </c>
      <c r="F2167" s="513">
        <v>200691.80517599295</v>
      </c>
      <c r="G2167" s="512">
        <v>0</v>
      </c>
      <c r="H2167" s="512">
        <v>0</v>
      </c>
      <c r="I2167" s="659" t="s">
        <v>103</v>
      </c>
      <c r="J2167" s="513">
        <v>0</v>
      </c>
      <c r="K2167" s="513">
        <v>0</v>
      </c>
      <c r="L2167" s="513">
        <v>0</v>
      </c>
      <c r="M2167" s="513">
        <v>2047281.8522108265</v>
      </c>
      <c r="N2167" s="622"/>
    </row>
    <row r="2168" spans="2:14">
      <c r="B2168" s="513" t="s">
        <v>861</v>
      </c>
      <c r="C2168" s="658">
        <v>2014</v>
      </c>
      <c r="D2168" s="513">
        <v>2047281.8522108262</v>
      </c>
      <c r="E2168" s="513">
        <v>209535.37791755126</v>
      </c>
      <c r="F2168" s="513">
        <v>209535.37791755126</v>
      </c>
      <c r="G2168" s="512">
        <v>0</v>
      </c>
      <c r="H2168" s="512">
        <v>0</v>
      </c>
      <c r="I2168" s="659" t="s">
        <v>103</v>
      </c>
      <c r="J2168" s="513">
        <v>0</v>
      </c>
      <c r="K2168" s="513">
        <v>0</v>
      </c>
      <c r="L2168" s="513">
        <v>0</v>
      </c>
      <c r="M2168" s="513">
        <v>2256817.2301283777</v>
      </c>
      <c r="N2168" s="622"/>
    </row>
    <row r="2169" spans="2:14">
      <c r="B2169" s="513" t="s">
        <v>861</v>
      </c>
      <c r="C2169" s="658">
        <v>2015</v>
      </c>
      <c r="D2169" s="513">
        <v>2256817.2301283777</v>
      </c>
      <c r="E2169" s="513">
        <v>213163.36613603492</v>
      </c>
      <c r="F2169" s="513">
        <v>213163.36613603492</v>
      </c>
      <c r="G2169" s="660">
        <v>0</v>
      </c>
      <c r="H2169" s="660">
        <v>0</v>
      </c>
      <c r="I2169" s="659" t="s">
        <v>103</v>
      </c>
      <c r="J2169" s="513">
        <v>0</v>
      </c>
      <c r="K2169" s="513">
        <v>0</v>
      </c>
      <c r="L2169" s="513">
        <v>0</v>
      </c>
      <c r="M2169" s="513">
        <v>2469980.5962644126</v>
      </c>
      <c r="N2169" s="622"/>
    </row>
    <row r="2170" spans="2:14">
      <c r="B2170" s="513" t="s">
        <v>861</v>
      </c>
      <c r="C2170" s="658">
        <v>2016</v>
      </c>
      <c r="D2170" s="513">
        <v>2469980.5962644126</v>
      </c>
      <c r="E2170" s="513">
        <v>147364.98447028827</v>
      </c>
      <c r="F2170" s="513">
        <v>147364.98447028827</v>
      </c>
      <c r="G2170" s="660">
        <v>0</v>
      </c>
      <c r="H2170" s="660">
        <v>0</v>
      </c>
      <c r="I2170" s="659" t="s">
        <v>103</v>
      </c>
      <c r="J2170" s="513">
        <v>0</v>
      </c>
      <c r="K2170" s="513">
        <v>0</v>
      </c>
      <c r="L2170" s="513">
        <v>0</v>
      </c>
      <c r="M2170" s="513">
        <v>2617345.5807347009</v>
      </c>
      <c r="N2170" s="622"/>
    </row>
    <row r="2171" spans="2:14">
      <c r="B2171" s="513" t="s">
        <v>861</v>
      </c>
      <c r="C2171" s="658">
        <v>2017</v>
      </c>
      <c r="D2171" s="513">
        <v>2617345.5807347009</v>
      </c>
      <c r="E2171" s="513">
        <v>134421.28251117017</v>
      </c>
      <c r="F2171" s="513">
        <v>134421.28251117017</v>
      </c>
      <c r="G2171" s="513">
        <v>0</v>
      </c>
      <c r="H2171" s="513">
        <v>0</v>
      </c>
      <c r="I2171" s="659" t="s">
        <v>103</v>
      </c>
      <c r="J2171" s="513">
        <v>0</v>
      </c>
      <c r="K2171" s="513">
        <v>0</v>
      </c>
      <c r="L2171" s="513">
        <v>0</v>
      </c>
      <c r="M2171" s="513">
        <v>2751766.8632458709</v>
      </c>
      <c r="N2171" s="622"/>
    </row>
    <row r="2172" spans="2:14">
      <c r="B2172" s="513" t="s">
        <v>861</v>
      </c>
      <c r="C2172" s="889">
        <v>2018</v>
      </c>
      <c r="D2172" s="513">
        <v>2751766.8632458709</v>
      </c>
      <c r="E2172" s="513">
        <f>VLOOKUP(B2172,'[6]2018 allocation'!$A$11:$B$218,2, FALSE)</f>
        <v>145344.96622197406</v>
      </c>
      <c r="F2172" s="513">
        <f>E2172</f>
        <v>145344.96622197406</v>
      </c>
      <c r="G2172" s="513">
        <v>0</v>
      </c>
      <c r="H2172" s="513">
        <v>0</v>
      </c>
      <c r="I2172" s="622" t="s">
        <v>103</v>
      </c>
      <c r="J2172" s="513">
        <f>VLOOKUP(B2172,'[6]Annual Spending Worksheet '!$C$6:$AG$250,28,FALSE)</f>
        <v>0</v>
      </c>
      <c r="K2172" s="513">
        <f>VLOOKUP(B2172,'[6]Annual Spending Worksheet '!$C$6:$AG$250,29,FALSE)</f>
        <v>0</v>
      </c>
      <c r="L2172" s="513">
        <v>0</v>
      </c>
      <c r="M2172" s="513">
        <f>D2172+E2172+H2172-J2172</f>
        <v>2897111.8294678451</v>
      </c>
      <c r="N2172" s="513"/>
    </row>
    <row r="2173" spans="2:14">
      <c r="B2173" s="513" t="s">
        <v>861</v>
      </c>
      <c r="C2173" s="889">
        <v>2019</v>
      </c>
      <c r="D2173" s="513">
        <v>2897111.8294678451</v>
      </c>
      <c r="E2173" s="513">
        <v>156889.72911984657</v>
      </c>
      <c r="F2173" s="513">
        <v>156889.72911984657</v>
      </c>
      <c r="G2173" s="513">
        <v>0</v>
      </c>
      <c r="H2173" s="513">
        <v>0</v>
      </c>
      <c r="I2173" s="622" t="s">
        <v>103</v>
      </c>
      <c r="J2173" s="513">
        <v>0</v>
      </c>
      <c r="K2173" s="513">
        <v>0</v>
      </c>
      <c r="L2173" s="513">
        <v>0</v>
      </c>
      <c r="M2173" s="513">
        <v>3054001.5585876917</v>
      </c>
      <c r="N2173" s="513"/>
    </row>
    <row r="2174" spans="2:14">
      <c r="B2174" s="513" t="s">
        <v>862</v>
      </c>
      <c r="C2174" s="658">
        <v>2008</v>
      </c>
      <c r="D2174" s="513">
        <v>767200.03099999996</v>
      </c>
      <c r="E2174" s="512">
        <v>134491.24343068374</v>
      </c>
      <c r="F2174" s="513">
        <v>134491.24343068374</v>
      </c>
      <c r="G2174" s="512">
        <v>0</v>
      </c>
      <c r="H2174" s="512">
        <v>0</v>
      </c>
      <c r="I2174" s="659" t="s">
        <v>103</v>
      </c>
      <c r="J2174" s="513">
        <v>292106.5</v>
      </c>
      <c r="K2174" s="513">
        <v>1300537</v>
      </c>
      <c r="L2174" s="513">
        <v>0</v>
      </c>
      <c r="M2174" s="513">
        <v>609584.7744306837</v>
      </c>
      <c r="N2174" s="622"/>
    </row>
    <row r="2175" spans="2:14" ht="29.1">
      <c r="B2175" s="513" t="s">
        <v>862</v>
      </c>
      <c r="C2175" s="658">
        <v>2009</v>
      </c>
      <c r="D2175" s="513">
        <v>609584.77443068381</v>
      </c>
      <c r="E2175" s="512">
        <v>90448.295671184984</v>
      </c>
      <c r="F2175" s="513">
        <v>90448.295671184984</v>
      </c>
      <c r="G2175" s="512">
        <v>0</v>
      </c>
      <c r="H2175" s="512">
        <v>0</v>
      </c>
      <c r="I2175" s="659" t="s">
        <v>103</v>
      </c>
      <c r="J2175" s="513">
        <v>1011990.5999999999</v>
      </c>
      <c r="K2175" s="513">
        <v>1300537</v>
      </c>
      <c r="L2175" s="513">
        <v>0</v>
      </c>
      <c r="M2175" s="513">
        <v>-311957.52989813103</v>
      </c>
      <c r="N2175" s="622" t="s">
        <v>1724</v>
      </c>
    </row>
    <row r="2176" spans="2:14" ht="29.1">
      <c r="B2176" s="513" t="s">
        <v>862</v>
      </c>
      <c r="C2176" s="658">
        <v>2010</v>
      </c>
      <c r="D2176" s="513">
        <v>-311957.5298981308</v>
      </c>
      <c r="E2176" s="512">
        <v>90059.07</v>
      </c>
      <c r="F2176" s="513">
        <v>90059.07</v>
      </c>
      <c r="G2176" s="512">
        <v>-221898.45989813079</v>
      </c>
      <c r="H2176" s="512">
        <v>0</v>
      </c>
      <c r="I2176" s="659" t="s">
        <v>103</v>
      </c>
      <c r="J2176" s="513">
        <v>-79700.959999999992</v>
      </c>
      <c r="K2176" s="513">
        <v>0</v>
      </c>
      <c r="L2176" s="513">
        <v>0</v>
      </c>
      <c r="M2176" s="513">
        <v>-142197.4998981308</v>
      </c>
      <c r="N2176" s="622" t="s">
        <v>1724</v>
      </c>
    </row>
    <row r="2177" spans="2:14" ht="29.1">
      <c r="B2177" s="513" t="s">
        <v>862</v>
      </c>
      <c r="C2177" s="658">
        <v>2011</v>
      </c>
      <c r="D2177" s="513">
        <v>-142197.50293635763</v>
      </c>
      <c r="E2177" s="512">
        <v>93271.30674208267</v>
      </c>
      <c r="F2177" s="513">
        <v>93271.30674208267</v>
      </c>
      <c r="G2177" s="512">
        <v>-48926.196194274962</v>
      </c>
      <c r="H2177" s="512">
        <v>0</v>
      </c>
      <c r="I2177" s="659" t="s">
        <v>103</v>
      </c>
      <c r="J2177" s="513">
        <v>0</v>
      </c>
      <c r="K2177" s="513">
        <v>0</v>
      </c>
      <c r="L2177" s="513">
        <v>-7253.8</v>
      </c>
      <c r="M2177" s="513">
        <v>-41672.396194274959</v>
      </c>
      <c r="N2177" s="622" t="s">
        <v>1725</v>
      </c>
    </row>
    <row r="2178" spans="2:14" ht="29.1">
      <c r="B2178" s="513" t="s">
        <v>862</v>
      </c>
      <c r="C2178" s="658">
        <v>2012</v>
      </c>
      <c r="D2178" s="513">
        <v>-41672.396194274537</v>
      </c>
      <c r="E2178" s="513">
        <v>39787.145488662405</v>
      </c>
      <c r="F2178" s="513">
        <v>39787.145488662405</v>
      </c>
      <c r="G2178" s="512">
        <v>-1885.2507056121322</v>
      </c>
      <c r="H2178" s="512">
        <v>0</v>
      </c>
      <c r="I2178" s="659" t="s">
        <v>103</v>
      </c>
      <c r="J2178" s="513">
        <v>65.190000000000055</v>
      </c>
      <c r="K2178" s="513">
        <v>0</v>
      </c>
      <c r="L2178" s="513">
        <v>1727.04</v>
      </c>
      <c r="M2178" s="513">
        <v>-3677.4807056121322</v>
      </c>
      <c r="N2178" s="622" t="s">
        <v>1725</v>
      </c>
    </row>
    <row r="2179" spans="2:14">
      <c r="B2179" s="513" t="s">
        <v>862</v>
      </c>
      <c r="C2179" s="658">
        <v>2013</v>
      </c>
      <c r="D2179" s="513">
        <v>-3677.4807056123391</v>
      </c>
      <c r="E2179" s="513">
        <v>113695.49222837134</v>
      </c>
      <c r="F2179" s="513">
        <v>113695.49222837134</v>
      </c>
      <c r="G2179" s="512">
        <v>0</v>
      </c>
      <c r="H2179" s="512">
        <v>0</v>
      </c>
      <c r="I2179" s="659" t="s">
        <v>103</v>
      </c>
      <c r="J2179" s="513">
        <v>3407.0900000000011</v>
      </c>
      <c r="K2179" s="513">
        <v>0</v>
      </c>
      <c r="L2179" s="513">
        <v>0</v>
      </c>
      <c r="M2179" s="513">
        <v>106610.921522759</v>
      </c>
      <c r="N2179" s="622"/>
    </row>
    <row r="2180" spans="2:14">
      <c r="B2180" s="513" t="s">
        <v>862</v>
      </c>
      <c r="C2180" s="658">
        <v>2014</v>
      </c>
      <c r="D2180" s="513">
        <v>106610.92152275937</v>
      </c>
      <c r="E2180" s="513">
        <v>122298.24262059433</v>
      </c>
      <c r="F2180" s="513">
        <v>122298.24262059433</v>
      </c>
      <c r="G2180" s="512">
        <v>0</v>
      </c>
      <c r="H2180" s="512">
        <v>0</v>
      </c>
      <c r="I2180" s="659" t="s">
        <v>103</v>
      </c>
      <c r="J2180" s="513">
        <v>0</v>
      </c>
      <c r="K2180" s="513">
        <v>0</v>
      </c>
      <c r="L2180" s="513">
        <v>0</v>
      </c>
      <c r="M2180" s="513">
        <v>228909.1641433537</v>
      </c>
      <c r="N2180" s="622"/>
    </row>
    <row r="2181" spans="2:14">
      <c r="B2181" s="513" t="s">
        <v>862</v>
      </c>
      <c r="C2181" s="658">
        <v>2015</v>
      </c>
      <c r="D2181" s="513">
        <v>228909.1641433537</v>
      </c>
      <c r="E2181" s="513">
        <v>125786.22953584309</v>
      </c>
      <c r="F2181" s="513">
        <v>125786.22953584309</v>
      </c>
      <c r="G2181" s="660">
        <v>0</v>
      </c>
      <c r="H2181" s="660">
        <v>0</v>
      </c>
      <c r="I2181" s="659" t="s">
        <v>103</v>
      </c>
      <c r="J2181" s="513">
        <v>0</v>
      </c>
      <c r="K2181" s="513">
        <v>0</v>
      </c>
      <c r="L2181" s="513">
        <v>-3407.09</v>
      </c>
      <c r="M2181" s="513">
        <v>358102.4836791968</v>
      </c>
      <c r="N2181" s="622"/>
    </row>
    <row r="2182" spans="2:14">
      <c r="B2182" s="513" t="s">
        <v>862</v>
      </c>
      <c r="C2182" s="658">
        <v>2016</v>
      </c>
      <c r="D2182" s="513">
        <v>358102.4836791968</v>
      </c>
      <c r="E2182" s="513">
        <v>61774.17292305702</v>
      </c>
      <c r="F2182" s="513">
        <v>61774.17292305702</v>
      </c>
      <c r="G2182" s="660">
        <v>0</v>
      </c>
      <c r="H2182" s="660">
        <v>0</v>
      </c>
      <c r="I2182" s="659" t="s">
        <v>103</v>
      </c>
      <c r="J2182" s="513">
        <v>0</v>
      </c>
      <c r="K2182" s="513">
        <v>0</v>
      </c>
      <c r="L2182" s="513">
        <v>0</v>
      </c>
      <c r="M2182" s="513">
        <v>419876.65660225379</v>
      </c>
      <c r="N2182" s="622"/>
    </row>
    <row r="2183" spans="2:14" customFormat="1">
      <c r="B2183" s="1" t="s">
        <v>862</v>
      </c>
      <c r="C2183" s="1">
        <v>2017</v>
      </c>
      <c r="D2183" s="513">
        <v>419876.65660225367</v>
      </c>
      <c r="E2183" s="513">
        <v>49253.182922462627</v>
      </c>
      <c r="F2183" s="513">
        <v>49253.182922462627</v>
      </c>
      <c r="G2183" s="513">
        <v>0</v>
      </c>
      <c r="H2183" s="512">
        <v>0</v>
      </c>
      <c r="I2183" s="2" t="s">
        <v>103</v>
      </c>
      <c r="J2183" s="513">
        <v>0</v>
      </c>
      <c r="K2183" s="513">
        <v>0</v>
      </c>
      <c r="L2183" s="513">
        <v>0</v>
      </c>
      <c r="M2183" s="513">
        <v>469129.83952471631</v>
      </c>
      <c r="N2183" s="904"/>
    </row>
    <row r="2184" spans="2:14">
      <c r="B2184" s="513" t="s">
        <v>862</v>
      </c>
      <c r="C2184" s="889">
        <v>2018</v>
      </c>
      <c r="D2184" s="513">
        <v>469129.83952471631</v>
      </c>
      <c r="E2184" s="513">
        <f>VLOOKUP(B2184,'[6]2018 allocation'!$A$11:$B$218,2, FALSE)</f>
        <v>59887.059502714153</v>
      </c>
      <c r="F2184" s="513">
        <f>E2184</f>
        <v>59887.059502714153</v>
      </c>
      <c r="G2184" s="513">
        <v>0</v>
      </c>
      <c r="H2184" s="513">
        <v>0</v>
      </c>
      <c r="I2184" s="622" t="s">
        <v>103</v>
      </c>
      <c r="J2184" s="513">
        <f>VLOOKUP(B2184,'[6]Annual Spending Worksheet '!$C$6:$AG$250,28,FALSE)</f>
        <v>0</v>
      </c>
      <c r="K2184" s="513">
        <f>VLOOKUP(B2184,'[6]Annual Spending Worksheet '!$C$6:$AG$250,29,FALSE)</f>
        <v>0</v>
      </c>
      <c r="L2184" s="513">
        <v>0</v>
      </c>
      <c r="M2184" s="513">
        <f>D2184+E2184+H2184-J2184</f>
        <v>529016.89902743045</v>
      </c>
      <c r="N2184" s="513"/>
    </row>
    <row r="2185" spans="2:14">
      <c r="B2185" s="513" t="s">
        <v>862</v>
      </c>
      <c r="C2185" s="889">
        <v>2019</v>
      </c>
      <c r="D2185" s="513">
        <v>529016.89902743045</v>
      </c>
      <c r="E2185" s="513">
        <v>71108.539754032681</v>
      </c>
      <c r="F2185" s="513">
        <v>71108.539754032681</v>
      </c>
      <c r="G2185" s="513">
        <v>0</v>
      </c>
      <c r="H2185" s="513">
        <v>0</v>
      </c>
      <c r="I2185" s="622" t="s">
        <v>103</v>
      </c>
      <c r="J2185" s="513">
        <v>0</v>
      </c>
      <c r="K2185" s="513">
        <v>0</v>
      </c>
      <c r="L2185" s="513">
        <v>0</v>
      </c>
      <c r="M2185" s="513">
        <v>600125.43878146308</v>
      </c>
      <c r="N2185" s="513"/>
    </row>
    <row r="2186" spans="2:14" ht="29.1">
      <c r="B2186" s="513" t="s">
        <v>869</v>
      </c>
      <c r="C2186" s="658">
        <v>2008</v>
      </c>
      <c r="D2186" s="513">
        <v>-1339769.67</v>
      </c>
      <c r="E2186" s="513">
        <v>130243.36193219357</v>
      </c>
      <c r="F2186" s="513">
        <v>130243.36193219357</v>
      </c>
      <c r="G2186" s="513">
        <v>-1209526.3080678063</v>
      </c>
      <c r="H2186" s="513">
        <v>0</v>
      </c>
      <c r="I2186" s="659" t="s">
        <v>103</v>
      </c>
      <c r="J2186" s="513">
        <v>0</v>
      </c>
      <c r="K2186" s="513">
        <v>0</v>
      </c>
      <c r="L2186" s="513">
        <v>0</v>
      </c>
      <c r="M2186" s="513">
        <v>-1209526.3080678063</v>
      </c>
      <c r="N2186" s="622" t="s">
        <v>1711</v>
      </c>
    </row>
    <row r="2187" spans="2:14" ht="29.1">
      <c r="B2187" s="513" t="s">
        <v>869</v>
      </c>
      <c r="C2187" s="658">
        <v>2009</v>
      </c>
      <c r="D2187" s="513">
        <v>-1209526.3080678061</v>
      </c>
      <c r="E2187" s="512">
        <v>100816.20956427499</v>
      </c>
      <c r="F2187" s="513">
        <v>100816.20956427499</v>
      </c>
      <c r="G2187" s="512">
        <v>-1108710.098503531</v>
      </c>
      <c r="H2187" s="512">
        <v>0</v>
      </c>
      <c r="I2187" s="659" t="s">
        <v>103</v>
      </c>
      <c r="J2187" s="513">
        <v>0</v>
      </c>
      <c r="K2187" s="513">
        <v>0</v>
      </c>
      <c r="L2187" s="513">
        <v>0</v>
      </c>
      <c r="M2187" s="513">
        <v>-1108710.098503531</v>
      </c>
      <c r="N2187" s="622" t="s">
        <v>1712</v>
      </c>
    </row>
    <row r="2188" spans="2:14" ht="29.1">
      <c r="B2188" s="513" t="s">
        <v>869</v>
      </c>
      <c r="C2188" s="658">
        <v>2010</v>
      </c>
      <c r="D2188" s="513">
        <v>-1108710.0985035319</v>
      </c>
      <c r="E2188" s="512">
        <v>100618.89</v>
      </c>
      <c r="F2188" s="513">
        <v>100618.89</v>
      </c>
      <c r="G2188" s="512">
        <v>-1008091.2085035319</v>
      </c>
      <c r="H2188" s="512">
        <v>0</v>
      </c>
      <c r="I2188" s="659" t="s">
        <v>103</v>
      </c>
      <c r="J2188" s="513">
        <v>0</v>
      </c>
      <c r="K2188" s="513">
        <v>0</v>
      </c>
      <c r="L2188" s="513">
        <v>0</v>
      </c>
      <c r="M2188" s="513">
        <v>-1008091.2085035319</v>
      </c>
      <c r="N2188" s="622" t="s">
        <v>1711</v>
      </c>
    </row>
    <row r="2189" spans="2:14" ht="29.1">
      <c r="B2189" s="513" t="s">
        <v>869</v>
      </c>
      <c r="C2189" s="658">
        <v>2011</v>
      </c>
      <c r="D2189" s="513">
        <v>-1008091.2076358097</v>
      </c>
      <c r="E2189" s="512">
        <v>102726.76142552396</v>
      </c>
      <c r="F2189" s="513">
        <v>102726.76142552396</v>
      </c>
      <c r="G2189" s="512">
        <v>-905364.44621028565</v>
      </c>
      <c r="H2189" s="512">
        <v>0</v>
      </c>
      <c r="I2189" s="659" t="s">
        <v>103</v>
      </c>
      <c r="J2189" s="513">
        <v>0</v>
      </c>
      <c r="K2189" s="513">
        <v>0</v>
      </c>
      <c r="L2189" s="513">
        <v>0</v>
      </c>
      <c r="M2189" s="513">
        <v>-905364.44621028565</v>
      </c>
      <c r="N2189" s="622" t="s">
        <v>1711</v>
      </c>
    </row>
    <row r="2190" spans="2:14" ht="29.1">
      <c r="B2190" s="513" t="s">
        <v>869</v>
      </c>
      <c r="C2190" s="658">
        <v>2012</v>
      </c>
      <c r="D2190" s="513">
        <v>-905364.44621028565</v>
      </c>
      <c r="E2190" s="512">
        <v>67821.256843178198</v>
      </c>
      <c r="F2190" s="513">
        <v>67821.256843178198</v>
      </c>
      <c r="G2190" s="660">
        <v>-837543.18936710746</v>
      </c>
      <c r="H2190" s="512">
        <v>0</v>
      </c>
      <c r="I2190" s="659" t="s">
        <v>103</v>
      </c>
      <c r="J2190" s="513">
        <v>0</v>
      </c>
      <c r="K2190" s="513">
        <v>0</v>
      </c>
      <c r="L2190" s="513">
        <v>0</v>
      </c>
      <c r="M2190" s="513">
        <v>-837543.18936710746</v>
      </c>
      <c r="N2190" s="622" t="s">
        <v>1711</v>
      </c>
    </row>
    <row r="2191" spans="2:14" ht="29.1">
      <c r="B2191" s="513" t="s">
        <v>869</v>
      </c>
      <c r="C2191" s="658">
        <v>2013</v>
      </c>
      <c r="D2191" s="513">
        <v>-837543.18936710805</v>
      </c>
      <c r="E2191" s="513">
        <v>116128.07497821606</v>
      </c>
      <c r="F2191" s="513">
        <v>116128.07497821606</v>
      </c>
      <c r="G2191" s="660">
        <v>-721415.11438889196</v>
      </c>
      <c r="H2191" s="512">
        <v>0</v>
      </c>
      <c r="I2191" s="659" t="s">
        <v>103</v>
      </c>
      <c r="J2191" s="513">
        <v>0</v>
      </c>
      <c r="K2191" s="513">
        <v>0</v>
      </c>
      <c r="L2191" s="513">
        <v>0</v>
      </c>
      <c r="M2191" s="513">
        <v>-721415.11438889196</v>
      </c>
      <c r="N2191" s="622" t="s">
        <v>1711</v>
      </c>
    </row>
    <row r="2192" spans="2:14" ht="29.1">
      <c r="B2192" s="513" t="s">
        <v>869</v>
      </c>
      <c r="C2192" s="658">
        <v>2014</v>
      </c>
      <c r="D2192" s="513">
        <v>-721415.1143888915</v>
      </c>
      <c r="E2192" s="513">
        <v>121769.90244643847</v>
      </c>
      <c r="F2192" s="513">
        <v>121769.90244643847</v>
      </c>
      <c r="G2192" s="660">
        <v>-599645.21194245305</v>
      </c>
      <c r="H2192" s="512">
        <v>0</v>
      </c>
      <c r="I2192" s="659" t="s">
        <v>103</v>
      </c>
      <c r="J2192" s="513">
        <v>0</v>
      </c>
      <c r="K2192" s="513">
        <v>0</v>
      </c>
      <c r="L2192" s="513">
        <v>0</v>
      </c>
      <c r="M2192" s="513">
        <v>-599645.21194245305</v>
      </c>
      <c r="N2192" s="622" t="s">
        <v>1711</v>
      </c>
    </row>
    <row r="2193" spans="2:14" ht="29.1">
      <c r="B2193" s="513" t="s">
        <v>869</v>
      </c>
      <c r="C2193" s="658">
        <v>2015</v>
      </c>
      <c r="D2193" s="513">
        <v>-599645.21194245294</v>
      </c>
      <c r="E2193" s="513">
        <v>124077.00130915565</v>
      </c>
      <c r="F2193" s="513">
        <v>124077.00130915565</v>
      </c>
      <c r="G2193" s="660">
        <v>-475568.21063329728</v>
      </c>
      <c r="H2193" s="512">
        <v>0</v>
      </c>
      <c r="I2193" s="659" t="s">
        <v>103</v>
      </c>
      <c r="J2193" s="513">
        <v>0</v>
      </c>
      <c r="K2193" s="513">
        <v>0</v>
      </c>
      <c r="L2193" s="513">
        <v>0</v>
      </c>
      <c r="M2193" s="513">
        <v>-475568.21063329728</v>
      </c>
      <c r="N2193" s="622" t="s">
        <v>1711</v>
      </c>
    </row>
    <row r="2194" spans="2:14" ht="29.1">
      <c r="B2194" s="513" t="s">
        <v>869</v>
      </c>
      <c r="C2194" s="658">
        <v>2016</v>
      </c>
      <c r="D2194" s="513">
        <v>-475568.21063329745</v>
      </c>
      <c r="E2194" s="513">
        <v>82036.207203196871</v>
      </c>
      <c r="F2194" s="513">
        <v>82036.207203196871</v>
      </c>
      <c r="G2194" s="660">
        <v>-393532.00343010057</v>
      </c>
      <c r="H2194" s="660">
        <v>0</v>
      </c>
      <c r="I2194" s="659" t="s">
        <v>103</v>
      </c>
      <c r="J2194" s="513">
        <v>0</v>
      </c>
      <c r="K2194" s="513">
        <v>0</v>
      </c>
      <c r="L2194" s="513">
        <v>0</v>
      </c>
      <c r="M2194" s="513">
        <v>-393532.00343010057</v>
      </c>
      <c r="N2194" s="622" t="s">
        <v>1711</v>
      </c>
    </row>
    <row r="2195" spans="2:14" ht="29.1">
      <c r="B2195" s="513" t="s">
        <v>869</v>
      </c>
      <c r="C2195" s="658">
        <v>2017</v>
      </c>
      <c r="D2195" s="513">
        <v>-393532.00343010016</v>
      </c>
      <c r="E2195" s="513">
        <v>73723.05947939679</v>
      </c>
      <c r="F2195" s="513">
        <v>73723.05947939679</v>
      </c>
      <c r="G2195" s="660">
        <v>-319808.94395070337</v>
      </c>
      <c r="H2195" s="660">
        <v>0</v>
      </c>
      <c r="I2195" s="659" t="s">
        <v>103</v>
      </c>
      <c r="J2195" s="513">
        <v>0</v>
      </c>
      <c r="K2195" s="513">
        <v>0</v>
      </c>
      <c r="L2195" s="513">
        <v>0</v>
      </c>
      <c r="M2195" s="513">
        <v>-319808.94395070337</v>
      </c>
      <c r="N2195" s="622" t="s">
        <v>1711</v>
      </c>
    </row>
    <row r="2196" spans="2:14" ht="29.1">
      <c r="B2196" s="513" t="s">
        <v>869</v>
      </c>
      <c r="C2196" s="889">
        <v>2018</v>
      </c>
      <c r="D2196" s="513">
        <v>-319808.94395070337</v>
      </c>
      <c r="E2196" s="513">
        <f>VLOOKUP(B2196,'[6]2018 allocation'!$A$11:$B$218,2, FALSE)</f>
        <v>80704.290552486389</v>
      </c>
      <c r="F2196" s="513">
        <f>E2196</f>
        <v>80704.290552486389</v>
      </c>
      <c r="G2196" s="513">
        <f>D2196+E2196</f>
        <v>-239104.65339821699</v>
      </c>
      <c r="H2196" s="513">
        <v>0</v>
      </c>
      <c r="I2196" s="622" t="s">
        <v>103</v>
      </c>
      <c r="J2196" s="513">
        <f>VLOOKUP(B2196,'[6]Annual Spending Worksheet '!$C$6:$AG$250,28,FALSE)</f>
        <v>0</v>
      </c>
      <c r="K2196" s="513">
        <f>VLOOKUP(B2196,'[6]Annual Spending Worksheet '!$C$6:$AG$250,29,FALSE)</f>
        <v>0</v>
      </c>
      <c r="L2196" s="513">
        <v>0</v>
      </c>
      <c r="M2196" s="513">
        <f>D2196+E2196+H2196-J2196</f>
        <v>-239104.65339821699</v>
      </c>
      <c r="N2196" s="622" t="s">
        <v>1711</v>
      </c>
    </row>
    <row r="2197" spans="2:14" ht="29.1">
      <c r="B2197" s="513" t="s">
        <v>869</v>
      </c>
      <c r="C2197" s="889">
        <v>2019</v>
      </c>
      <c r="D2197" s="513">
        <v>-239104.65339821699</v>
      </c>
      <c r="E2197" s="513">
        <v>87768.612041807326</v>
      </c>
      <c r="F2197" s="513">
        <v>87768.612041807326</v>
      </c>
      <c r="G2197" s="513">
        <v>-151336.04135640967</v>
      </c>
      <c r="H2197" s="513">
        <v>0</v>
      </c>
      <c r="I2197" s="622" t="s">
        <v>103</v>
      </c>
      <c r="J2197" s="513">
        <v>0</v>
      </c>
      <c r="K2197" s="513">
        <v>0</v>
      </c>
      <c r="L2197" s="513">
        <v>0</v>
      </c>
      <c r="M2197" s="513">
        <v>-151336.04135640967</v>
      </c>
      <c r="N2197" s="622" t="s">
        <v>1711</v>
      </c>
    </row>
    <row r="2198" spans="2:14">
      <c r="B2198" s="513" t="s">
        <v>870</v>
      </c>
      <c r="C2198" s="658">
        <v>2008</v>
      </c>
      <c r="D2198" s="513">
        <v>1527075.331</v>
      </c>
      <c r="E2198" s="512">
        <v>52490.682545974385</v>
      </c>
      <c r="F2198" s="513">
        <v>52490.682545974385</v>
      </c>
      <c r="G2198" s="512">
        <v>0</v>
      </c>
      <c r="H2198" s="512">
        <v>0</v>
      </c>
      <c r="I2198" s="659" t="s">
        <v>103</v>
      </c>
      <c r="J2198" s="513">
        <v>0</v>
      </c>
      <c r="K2198" s="513">
        <v>0</v>
      </c>
      <c r="L2198" s="513">
        <v>0</v>
      </c>
      <c r="M2198" s="513">
        <v>1579566.0135459744</v>
      </c>
      <c r="N2198" s="622"/>
    </row>
    <row r="2199" spans="2:14">
      <c r="B2199" s="513" t="s">
        <v>870</v>
      </c>
      <c r="C2199" s="658">
        <v>2009</v>
      </c>
      <c r="D2199" s="513">
        <v>1579566.0135459744</v>
      </c>
      <c r="E2199" s="512">
        <v>30163.162219419748</v>
      </c>
      <c r="F2199" s="513">
        <v>30163.162219419748</v>
      </c>
      <c r="G2199" s="512">
        <v>0</v>
      </c>
      <c r="H2199" s="512">
        <v>0</v>
      </c>
      <c r="I2199" s="659" t="s">
        <v>103</v>
      </c>
      <c r="J2199" s="513">
        <v>0</v>
      </c>
      <c r="K2199" s="513">
        <v>0</v>
      </c>
      <c r="L2199" s="513">
        <v>0</v>
      </c>
      <c r="M2199" s="513">
        <v>1609729.1757653942</v>
      </c>
      <c r="N2199" s="622"/>
    </row>
    <row r="2200" spans="2:14">
      <c r="B2200" s="513" t="s">
        <v>870</v>
      </c>
      <c r="C2200" s="658">
        <v>2010</v>
      </c>
      <c r="D2200" s="513">
        <v>1609729.1757653942</v>
      </c>
      <c r="E2200" s="512">
        <v>30021.89</v>
      </c>
      <c r="F2200" s="513">
        <v>30021.89</v>
      </c>
      <c r="G2200" s="512">
        <v>0</v>
      </c>
      <c r="H2200" s="512">
        <v>0</v>
      </c>
      <c r="I2200" s="659" t="s">
        <v>103</v>
      </c>
      <c r="J2200" s="513">
        <v>0</v>
      </c>
      <c r="K2200" s="513">
        <v>0</v>
      </c>
      <c r="L2200" s="513">
        <v>0</v>
      </c>
      <c r="M2200" s="513">
        <v>1639751.0657653941</v>
      </c>
      <c r="N2200" s="622"/>
    </row>
    <row r="2201" spans="2:14">
      <c r="B2201" s="513" t="s">
        <v>870</v>
      </c>
      <c r="C2201" s="658">
        <v>2011</v>
      </c>
      <c r="D2201" s="513">
        <v>1639751.0707093382</v>
      </c>
      <c r="E2201" s="512">
        <v>31619.723733837309</v>
      </c>
      <c r="F2201" s="513">
        <v>31619.723733837309</v>
      </c>
      <c r="G2201" s="512">
        <v>0</v>
      </c>
      <c r="H2201" s="512">
        <v>0</v>
      </c>
      <c r="I2201" s="659" t="s">
        <v>103</v>
      </c>
      <c r="J2201" s="513">
        <v>0</v>
      </c>
      <c r="K2201" s="513">
        <v>0</v>
      </c>
      <c r="L2201" s="513">
        <v>0</v>
      </c>
      <c r="M2201" s="513">
        <v>1671370.7944431754</v>
      </c>
      <c r="N2201" s="622"/>
    </row>
    <row r="2202" spans="2:14">
      <c r="B2202" s="513" t="s">
        <v>870</v>
      </c>
      <c r="C2202" s="658">
        <v>2012</v>
      </c>
      <c r="D2202" s="513">
        <v>1671370.7944431754</v>
      </c>
      <c r="E2202" s="513">
        <v>4831.5755740817294</v>
      </c>
      <c r="F2202" s="513">
        <v>4831.5755740817294</v>
      </c>
      <c r="G2202" s="512">
        <v>0</v>
      </c>
      <c r="H2202" s="512">
        <v>0</v>
      </c>
      <c r="I2202" s="659" t="s">
        <v>103</v>
      </c>
      <c r="J2202" s="513">
        <v>0</v>
      </c>
      <c r="K2202" s="513">
        <v>0</v>
      </c>
      <c r="L2202" s="513">
        <v>0</v>
      </c>
      <c r="M2202" s="513">
        <v>1676202.3700172571</v>
      </c>
      <c r="N2202" s="622"/>
    </row>
    <row r="2203" spans="2:14">
      <c r="B2203" s="513" t="s">
        <v>870</v>
      </c>
      <c r="C2203" s="658">
        <v>2013</v>
      </c>
      <c r="D2203" s="513">
        <v>1676202.3700172571</v>
      </c>
      <c r="E2203" s="513">
        <v>41830.534052404422</v>
      </c>
      <c r="F2203" s="513">
        <v>41830.534052404422</v>
      </c>
      <c r="G2203" s="512">
        <v>0</v>
      </c>
      <c r="H2203" s="512">
        <v>0</v>
      </c>
      <c r="I2203" s="659" t="s">
        <v>103</v>
      </c>
      <c r="J2203" s="513">
        <v>0</v>
      </c>
      <c r="K2203" s="513">
        <v>0</v>
      </c>
      <c r="L2203" s="513">
        <v>0</v>
      </c>
      <c r="M2203" s="513">
        <v>1718032.9040696614</v>
      </c>
      <c r="N2203" s="622"/>
    </row>
    <row r="2204" spans="2:14">
      <c r="B2204" s="513" t="s">
        <v>870</v>
      </c>
      <c r="C2204" s="658">
        <v>2014</v>
      </c>
      <c r="D2204" s="513">
        <v>1718032.9040696614</v>
      </c>
      <c r="E2204" s="513">
        <v>46149.84632377902</v>
      </c>
      <c r="F2204" s="513">
        <v>46149.84632377902</v>
      </c>
      <c r="G2204" s="512">
        <v>0</v>
      </c>
      <c r="H2204" s="512">
        <v>0</v>
      </c>
      <c r="I2204" s="659" t="s">
        <v>103</v>
      </c>
      <c r="J2204" s="513">
        <v>0</v>
      </c>
      <c r="K2204" s="513">
        <v>0</v>
      </c>
      <c r="L2204" s="513">
        <v>0</v>
      </c>
      <c r="M2204" s="513">
        <v>1764182.7503934405</v>
      </c>
      <c r="N2204" s="622"/>
    </row>
    <row r="2205" spans="2:14">
      <c r="B2205" s="513" t="s">
        <v>870</v>
      </c>
      <c r="C2205" s="658">
        <v>2015</v>
      </c>
      <c r="D2205" s="513">
        <v>1764182.7503934405</v>
      </c>
      <c r="E2205" s="513">
        <v>47952.632599376993</v>
      </c>
      <c r="F2205" s="513">
        <v>47952.632599376993</v>
      </c>
      <c r="G2205" s="513">
        <v>0</v>
      </c>
      <c r="H2205" s="660">
        <v>0</v>
      </c>
      <c r="I2205" s="659" t="s">
        <v>103</v>
      </c>
      <c r="J2205" s="513">
        <v>0</v>
      </c>
      <c r="K2205" s="513">
        <v>0</v>
      </c>
      <c r="L2205" s="513">
        <v>0</v>
      </c>
      <c r="M2205" s="513">
        <v>1812135.3829928176</v>
      </c>
      <c r="N2205" s="622"/>
    </row>
    <row r="2206" spans="2:14">
      <c r="B2206" s="513" t="s">
        <v>870</v>
      </c>
      <c r="C2206" s="658">
        <v>2016</v>
      </c>
      <c r="D2206" s="513">
        <v>1812135.3829928176</v>
      </c>
      <c r="E2206" s="513">
        <v>15690.509437198929</v>
      </c>
      <c r="F2206" s="513">
        <v>15690.509437198929</v>
      </c>
      <c r="G2206" s="513">
        <v>0</v>
      </c>
      <c r="H2206" s="660">
        <v>0</v>
      </c>
      <c r="I2206" s="659" t="s">
        <v>103</v>
      </c>
      <c r="J2206" s="513">
        <v>0</v>
      </c>
      <c r="K2206" s="513">
        <v>0</v>
      </c>
      <c r="L2206" s="513">
        <v>0</v>
      </c>
      <c r="M2206" s="513">
        <v>1827825.8924300165</v>
      </c>
      <c r="N2206" s="622"/>
    </row>
    <row r="2207" spans="2:14">
      <c r="B2207" s="513" t="s">
        <v>870</v>
      </c>
      <c r="C2207" s="658">
        <v>2017</v>
      </c>
      <c r="D2207" s="513">
        <v>1827825.8924300165</v>
      </c>
      <c r="E2207" s="513">
        <v>9376.0991514480556</v>
      </c>
      <c r="F2207" s="513">
        <v>9376.0991514480556</v>
      </c>
      <c r="G2207" s="513">
        <v>0</v>
      </c>
      <c r="H2207" s="513">
        <v>0</v>
      </c>
      <c r="I2207" s="659" t="s">
        <v>103</v>
      </c>
      <c r="J2207" s="513">
        <v>0</v>
      </c>
      <c r="K2207" s="513">
        <v>0</v>
      </c>
      <c r="L2207" s="513">
        <v>0</v>
      </c>
      <c r="M2207" s="513">
        <v>1837201.9915814647</v>
      </c>
      <c r="N2207" s="622"/>
    </row>
    <row r="2208" spans="2:14">
      <c r="B2208" s="513" t="s">
        <v>870</v>
      </c>
      <c r="C2208" s="889">
        <v>2018</v>
      </c>
      <c r="D2208" s="513">
        <v>1837201.9915814647</v>
      </c>
      <c r="E2208" s="513">
        <f>VLOOKUP(B2208,'[6]2018 allocation'!$A$11:$B$218,2, FALSE)</f>
        <v>14757.376001384233</v>
      </c>
      <c r="F2208" s="513">
        <f>E2208</f>
        <v>14757.376001384233</v>
      </c>
      <c r="G2208" s="513">
        <v>0</v>
      </c>
      <c r="H2208" s="513">
        <v>0</v>
      </c>
      <c r="I2208" s="622" t="s">
        <v>103</v>
      </c>
      <c r="J2208" s="513">
        <f>VLOOKUP(B2208,'[6]Annual Spending Worksheet '!$C$6:$AG$250,28,FALSE)</f>
        <v>0</v>
      </c>
      <c r="K2208" s="513">
        <f>VLOOKUP(B2208,'[6]Annual Spending Worksheet '!$C$6:$AG$250,29,FALSE)</f>
        <v>0</v>
      </c>
      <c r="L2208" s="513">
        <v>0</v>
      </c>
      <c r="M2208" s="513">
        <f>D2208+E2208+H2208-J2208</f>
        <v>1851959.367582849</v>
      </c>
      <c r="N2208" s="513"/>
    </row>
    <row r="2209" spans="2:14">
      <c r="B2209" s="513" t="s">
        <v>870</v>
      </c>
      <c r="C2209" s="889">
        <v>2019</v>
      </c>
      <c r="D2209" s="513">
        <v>1851959.367582849</v>
      </c>
      <c r="E2209" s="513">
        <v>20447.693893866897</v>
      </c>
      <c r="F2209" s="513">
        <v>20447.693893866897</v>
      </c>
      <c r="G2209" s="513">
        <v>0</v>
      </c>
      <c r="H2209" s="513">
        <v>0</v>
      </c>
      <c r="I2209" s="622" t="s">
        <v>103</v>
      </c>
      <c r="J2209" s="513">
        <v>0</v>
      </c>
      <c r="K2209" s="513">
        <v>0</v>
      </c>
      <c r="L2209" s="513">
        <v>0</v>
      </c>
      <c r="M2209" s="513">
        <v>1872407.0614767158</v>
      </c>
      <c r="N2209" s="513"/>
    </row>
    <row r="2210" spans="2:14">
      <c r="B2210" s="513" t="s">
        <v>871</v>
      </c>
      <c r="C2210" s="658">
        <v>2008</v>
      </c>
      <c r="D2210" s="513">
        <v>4849559.8889999948</v>
      </c>
      <c r="E2210" s="512">
        <v>1496893.8903908425</v>
      </c>
      <c r="F2210" s="513">
        <v>1496893.8903908425</v>
      </c>
      <c r="G2210" s="512">
        <v>0</v>
      </c>
      <c r="H2210" s="512">
        <v>0</v>
      </c>
      <c r="I2210" s="659" t="s">
        <v>103</v>
      </c>
      <c r="J2210" s="513">
        <v>120903.11999999998</v>
      </c>
      <c r="K2210" s="513">
        <v>0</v>
      </c>
      <c r="L2210" s="513">
        <v>0</v>
      </c>
      <c r="M2210" s="513">
        <v>6225550.659390837</v>
      </c>
      <c r="N2210" s="622"/>
    </row>
    <row r="2211" spans="2:14">
      <c r="B2211" s="513" t="s">
        <v>871</v>
      </c>
      <c r="C2211" s="658">
        <v>2009</v>
      </c>
      <c r="D2211" s="513">
        <v>6225550.659390837</v>
      </c>
      <c r="E2211" s="512">
        <v>1249891.7406669157</v>
      </c>
      <c r="F2211" s="513">
        <v>1249891.7406669157</v>
      </c>
      <c r="G2211" s="512">
        <v>0</v>
      </c>
      <c r="H2211" s="512">
        <v>0</v>
      </c>
      <c r="I2211" s="659" t="s">
        <v>103</v>
      </c>
      <c r="J2211" s="513">
        <v>244772</v>
      </c>
      <c r="K2211" s="513">
        <v>0</v>
      </c>
      <c r="L2211" s="513">
        <v>0</v>
      </c>
      <c r="M2211" s="513">
        <v>7230670.4000577526</v>
      </c>
      <c r="N2211" s="622"/>
    </row>
    <row r="2212" spans="2:14">
      <c r="B2212" s="513" t="s">
        <v>871</v>
      </c>
      <c r="C2212" s="658">
        <v>2010</v>
      </c>
      <c r="D2212" s="513">
        <v>7230670.4000577554</v>
      </c>
      <c r="E2212" s="512">
        <v>1248411.93</v>
      </c>
      <c r="F2212" s="513">
        <v>1248411.93</v>
      </c>
      <c r="G2212" s="512">
        <v>0</v>
      </c>
      <c r="H2212" s="512">
        <v>0</v>
      </c>
      <c r="I2212" s="659" t="s">
        <v>103</v>
      </c>
      <c r="J2212" s="513">
        <v>13693.199999999968</v>
      </c>
      <c r="K2212" s="513">
        <v>0</v>
      </c>
      <c r="L2212" s="513">
        <v>0</v>
      </c>
      <c r="M2212" s="513">
        <v>8465389.1300577559</v>
      </c>
      <c r="N2212" s="622"/>
    </row>
    <row r="2213" spans="2:14">
      <c r="B2213" s="513" t="s">
        <v>871</v>
      </c>
      <c r="C2213" s="658">
        <v>2011</v>
      </c>
      <c r="D2213" s="513">
        <v>8465389.1299715899</v>
      </c>
      <c r="E2213" s="512">
        <v>1265981.3486689604</v>
      </c>
      <c r="F2213" s="513">
        <v>1265981.3486689604</v>
      </c>
      <c r="G2213" s="660">
        <v>0</v>
      </c>
      <c r="H2213" s="512">
        <v>0</v>
      </c>
      <c r="I2213" s="659" t="s">
        <v>103</v>
      </c>
      <c r="J2213" s="513">
        <v>176691.02000000008</v>
      </c>
      <c r="K2213" s="513">
        <v>0</v>
      </c>
      <c r="L2213" s="513">
        <v>0</v>
      </c>
      <c r="M2213" s="513">
        <v>9554679.4586405512</v>
      </c>
      <c r="N2213" s="622"/>
    </row>
    <row r="2214" spans="2:14">
      <c r="B2214" s="513" t="s">
        <v>871</v>
      </c>
      <c r="C2214" s="658">
        <v>2012</v>
      </c>
      <c r="D2214" s="513">
        <v>9554679.4586405531</v>
      </c>
      <c r="E2214" s="513">
        <v>971817.72379546775</v>
      </c>
      <c r="F2214" s="513">
        <v>971817.72379546775</v>
      </c>
      <c r="G2214" s="660">
        <v>0</v>
      </c>
      <c r="H2214" s="512">
        <v>0</v>
      </c>
      <c r="I2214" s="659" t="s">
        <v>103</v>
      </c>
      <c r="J2214" s="513">
        <v>2837177.6799999978</v>
      </c>
      <c r="K2214" s="513">
        <v>0</v>
      </c>
      <c r="L2214" s="513">
        <v>0</v>
      </c>
      <c r="M2214" s="513">
        <v>7689319.5024360232</v>
      </c>
      <c r="N2214" s="622"/>
    </row>
    <row r="2215" spans="2:14">
      <c r="B2215" s="513" t="s">
        <v>871</v>
      </c>
      <c r="C2215" s="658">
        <v>2013</v>
      </c>
      <c r="D2215" s="513">
        <v>7689319.5024360195</v>
      </c>
      <c r="E2215" s="513">
        <v>1378121.3916013932</v>
      </c>
      <c r="F2215" s="513">
        <v>1378121.3916013932</v>
      </c>
      <c r="G2215" s="660">
        <v>0</v>
      </c>
      <c r="H2215" s="512">
        <v>0</v>
      </c>
      <c r="I2215" s="659" t="s">
        <v>103</v>
      </c>
      <c r="J2215" s="513">
        <v>2648552.5700000008</v>
      </c>
      <c r="K2215" s="513">
        <v>5428307</v>
      </c>
      <c r="L2215" s="513">
        <v>8704.57</v>
      </c>
      <c r="M2215" s="513">
        <v>6410183.7540374119</v>
      </c>
      <c r="N2215" s="622"/>
    </row>
    <row r="2216" spans="2:14">
      <c r="B2216" s="513" t="s">
        <v>871</v>
      </c>
      <c r="C2216" s="658">
        <v>2014</v>
      </c>
      <c r="D2216" s="513">
        <v>6410183.75403741</v>
      </c>
      <c r="E2216" s="513">
        <v>1425055.5206893375</v>
      </c>
      <c r="F2216" s="513">
        <v>1425055.5206893375</v>
      </c>
      <c r="G2216" s="660">
        <v>0</v>
      </c>
      <c r="H2216" s="512">
        <v>0</v>
      </c>
      <c r="I2216" s="659" t="s">
        <v>103</v>
      </c>
      <c r="J2216" s="513">
        <v>-18353.490000000085</v>
      </c>
      <c r="K2216" s="513">
        <v>0</v>
      </c>
      <c r="L2216" s="513">
        <v>0</v>
      </c>
      <c r="M2216" s="513">
        <v>7853592.7647267478</v>
      </c>
      <c r="N2216" s="622"/>
    </row>
    <row r="2217" spans="2:14">
      <c r="B2217" s="513" t="s">
        <v>871</v>
      </c>
      <c r="C2217" s="658">
        <v>2015</v>
      </c>
      <c r="D2217" s="513">
        <v>7853592.7647267506</v>
      </c>
      <c r="E2217" s="513">
        <v>1444049.4845239343</v>
      </c>
      <c r="F2217" s="513">
        <v>1444049.4845239343</v>
      </c>
      <c r="G2217" s="660">
        <v>0</v>
      </c>
      <c r="H2217" s="660">
        <v>0</v>
      </c>
      <c r="I2217" s="659" t="s">
        <v>103</v>
      </c>
      <c r="J2217" s="513">
        <v>29868.81</v>
      </c>
      <c r="K2217" s="513">
        <v>0</v>
      </c>
      <c r="L2217" s="513">
        <v>-207452.62</v>
      </c>
      <c r="M2217" s="513">
        <v>9475226.0592506826</v>
      </c>
      <c r="N2217" s="622"/>
    </row>
    <row r="2218" spans="2:14">
      <c r="B2218" s="513" t="s">
        <v>871</v>
      </c>
      <c r="C2218" s="658">
        <v>2016</v>
      </c>
      <c r="D2218" s="513">
        <v>9475226.0592506826</v>
      </c>
      <c r="E2218" s="513">
        <v>1093792.9794427902</v>
      </c>
      <c r="F2218" s="513">
        <v>1093792.9794427902</v>
      </c>
      <c r="G2218" s="660">
        <v>0</v>
      </c>
      <c r="H2218" s="660">
        <v>0</v>
      </c>
      <c r="I2218" s="659" t="s">
        <v>103</v>
      </c>
      <c r="J2218" s="513">
        <v>35251.64</v>
      </c>
      <c r="K2218" s="513">
        <v>0</v>
      </c>
      <c r="L2218" s="513">
        <v>0</v>
      </c>
      <c r="M2218" s="513">
        <v>10533767.398693472</v>
      </c>
      <c r="N2218" s="622"/>
    </row>
    <row r="2219" spans="2:14">
      <c r="B2219" s="513" t="s">
        <v>871</v>
      </c>
      <c r="C2219" s="658">
        <v>2017</v>
      </c>
      <c r="D2219" s="513">
        <v>10533767.398693472</v>
      </c>
      <c r="E2219" s="513">
        <v>1024782.8886518881</v>
      </c>
      <c r="F2219" s="513">
        <v>1024782.8886518881</v>
      </c>
      <c r="G2219" s="513">
        <v>0</v>
      </c>
      <c r="H2219" s="513">
        <v>0</v>
      </c>
      <c r="I2219" s="659" t="s">
        <v>103</v>
      </c>
      <c r="J2219" s="513">
        <v>46035.16</v>
      </c>
      <c r="K2219" s="513">
        <v>0</v>
      </c>
      <c r="L2219" s="513">
        <v>0</v>
      </c>
      <c r="M2219" s="513">
        <v>11512515.127345361</v>
      </c>
      <c r="N2219" s="622"/>
    </row>
    <row r="2220" spans="2:14">
      <c r="B2220" s="513" t="s">
        <v>871</v>
      </c>
      <c r="C2220" s="889">
        <v>2018</v>
      </c>
      <c r="D2220" s="513">
        <v>11512515.127345361</v>
      </c>
      <c r="E2220" s="513">
        <f>VLOOKUP(B2220,'[6]2018 allocation'!$A$11:$B$218,2, FALSE)</f>
        <v>1081867.6228446949</v>
      </c>
      <c r="F2220" s="513">
        <f>E2220</f>
        <v>1081867.6228446949</v>
      </c>
      <c r="G2220" s="513">
        <v>0</v>
      </c>
      <c r="H2220" s="513">
        <v>0</v>
      </c>
      <c r="I2220" s="622" t="s">
        <v>103</v>
      </c>
      <c r="J2220" s="513">
        <f>VLOOKUP(B2220,'[6]Annual Spending Worksheet '!$C$6:$AG$250,28,FALSE)</f>
        <v>54777.27</v>
      </c>
      <c r="K2220" s="513">
        <f>VLOOKUP(B2220,'[6]Annual Spending Worksheet '!$C$6:$AG$250,29,FALSE)</f>
        <v>0</v>
      </c>
      <c r="L2220" s="513">
        <v>0</v>
      </c>
      <c r="M2220" s="513">
        <f>D2220+E2220+H2220-J2220</f>
        <v>12539605.480190055</v>
      </c>
      <c r="N2220" s="513"/>
    </row>
    <row r="2221" spans="2:14">
      <c r="B2221" s="513" t="s">
        <v>871</v>
      </c>
      <c r="C2221" s="889">
        <v>2019</v>
      </c>
      <c r="D2221" s="513">
        <v>12539605.480190055</v>
      </c>
      <c r="E2221" s="513">
        <v>1143821.9106383726</v>
      </c>
      <c r="F2221" s="513">
        <v>1143821.9106383726</v>
      </c>
      <c r="G2221" s="513">
        <v>0</v>
      </c>
      <c r="H2221" s="513">
        <v>0</v>
      </c>
      <c r="I2221" s="622" t="s">
        <v>103</v>
      </c>
      <c r="J2221" s="513">
        <v>1857877.9</v>
      </c>
      <c r="K2221" s="513">
        <v>2002885.6300000001</v>
      </c>
      <c r="L2221" s="513">
        <v>0</v>
      </c>
      <c r="M2221" s="513">
        <v>11825549.490828428</v>
      </c>
      <c r="N2221" s="513"/>
    </row>
    <row r="2222" spans="2:14">
      <c r="B2222" s="890" t="s">
        <v>1404</v>
      </c>
      <c r="C2222" s="906"/>
      <c r="D2222" s="899">
        <f>SUM(D1934:D2221)</f>
        <v>303342202.06282383</v>
      </c>
      <c r="E2222" s="895">
        <f t="shared" ref="E2222:G2222" si="26">SUM(E1934:E2221)</f>
        <v>47972148.499883011</v>
      </c>
      <c r="F2222" s="895">
        <f t="shared" si="26"/>
        <v>47972148.499883011</v>
      </c>
      <c r="G2222" s="895">
        <f t="shared" si="26"/>
        <v>-28421791.230836455</v>
      </c>
      <c r="H2222" s="895">
        <f>SUM(H1934:H2221)</f>
        <v>0</v>
      </c>
      <c r="I2222" s="896"/>
      <c r="J2222" s="895">
        <f t="shared" ref="J2222:M2222" si="27">SUM(J1934:J2221)</f>
        <v>33239274.990000002</v>
      </c>
      <c r="K2222" s="895">
        <f t="shared" si="27"/>
        <v>32872364.359999999</v>
      </c>
      <c r="L2222" s="895">
        <f t="shared" si="27"/>
        <v>-177285.75568071086</v>
      </c>
      <c r="M2222" s="895">
        <f t="shared" si="27"/>
        <v>318252361.3283875</v>
      </c>
      <c r="N2222" s="903"/>
    </row>
    <row r="2223" spans="2:14">
      <c r="B2223" s="887" t="s">
        <v>880</v>
      </c>
      <c r="C2223" s="658"/>
      <c r="D2223" s="513"/>
      <c r="E2223" s="513"/>
      <c r="F2223" s="513"/>
      <c r="G2223" s="513"/>
      <c r="H2223" s="513"/>
      <c r="I2223" s="659"/>
      <c r="J2223" s="513"/>
      <c r="K2223" s="513"/>
      <c r="L2223" s="513"/>
      <c r="M2223" s="513"/>
      <c r="N2223" s="622"/>
    </row>
    <row r="2224" spans="2:14">
      <c r="B2224" s="513" t="s">
        <v>881</v>
      </c>
      <c r="C2224" s="658">
        <v>2008</v>
      </c>
      <c r="D2224" s="513">
        <v>157.55699999999999</v>
      </c>
      <c r="E2224" s="512">
        <v>160.64966306996067</v>
      </c>
      <c r="F2224" s="513">
        <v>160.64966306996067</v>
      </c>
      <c r="G2224" s="512">
        <v>0</v>
      </c>
      <c r="H2224" s="512">
        <v>0</v>
      </c>
      <c r="I2224" s="659" t="s">
        <v>103</v>
      </c>
      <c r="J2224" s="513">
        <v>0</v>
      </c>
      <c r="K2224" s="513">
        <v>0</v>
      </c>
      <c r="L2224" s="513">
        <v>0</v>
      </c>
      <c r="M2224" s="513">
        <v>318.20666306996065</v>
      </c>
      <c r="N2224" s="622"/>
    </row>
    <row r="2225" spans="2:14">
      <c r="B2225" s="513" t="s">
        <v>881</v>
      </c>
      <c r="C2225" s="658">
        <v>2009</v>
      </c>
      <c r="D2225" s="513">
        <v>318.20666306996065</v>
      </c>
      <c r="E2225" s="512">
        <v>125.34647353711657</v>
      </c>
      <c r="F2225" s="513">
        <v>125.34647353711657</v>
      </c>
      <c r="G2225" s="512">
        <v>0</v>
      </c>
      <c r="H2225" s="512">
        <v>0</v>
      </c>
      <c r="I2225" s="659" t="s">
        <v>103</v>
      </c>
      <c r="J2225" s="513">
        <v>0</v>
      </c>
      <c r="K2225" s="513">
        <v>0</v>
      </c>
      <c r="L2225" s="513">
        <v>0</v>
      </c>
      <c r="M2225" s="513">
        <v>443.55313660707725</v>
      </c>
      <c r="N2225" s="622"/>
    </row>
    <row r="2226" spans="2:14">
      <c r="B2226" s="513" t="s">
        <v>881</v>
      </c>
      <c r="C2226" s="658">
        <v>2010</v>
      </c>
      <c r="D2226" s="513">
        <v>443.55313660707719</v>
      </c>
      <c r="E2226" s="512">
        <v>125.14</v>
      </c>
      <c r="F2226" s="513">
        <v>125.14</v>
      </c>
      <c r="G2226" s="512">
        <v>0</v>
      </c>
      <c r="H2226" s="512">
        <v>0</v>
      </c>
      <c r="I2226" s="659" t="s">
        <v>103</v>
      </c>
      <c r="J2226" s="513">
        <v>0</v>
      </c>
      <c r="K2226" s="513">
        <v>0</v>
      </c>
      <c r="L2226" s="513">
        <v>0</v>
      </c>
      <c r="M2226" s="513">
        <v>568.69313660707724</v>
      </c>
      <c r="N2226" s="622"/>
    </row>
    <row r="2227" spans="2:14">
      <c r="B2227" s="513" t="s">
        <v>881</v>
      </c>
      <c r="C2227" s="658">
        <v>2011</v>
      </c>
      <c r="D2227" s="513">
        <v>568.69462993660886</v>
      </c>
      <c r="E2227" s="512">
        <v>127.65476453876393</v>
      </c>
      <c r="F2227" s="513">
        <v>127.65476453876393</v>
      </c>
      <c r="G2227" s="512">
        <v>0</v>
      </c>
      <c r="H2227" s="512">
        <v>0</v>
      </c>
      <c r="I2227" s="659" t="s">
        <v>103</v>
      </c>
      <c r="J2227" s="513">
        <v>0</v>
      </c>
      <c r="K2227" s="513">
        <v>0</v>
      </c>
      <c r="L2227" s="513">
        <v>0</v>
      </c>
      <c r="M2227" s="513">
        <v>696.34939447537283</v>
      </c>
      <c r="N2227" s="622"/>
    </row>
    <row r="2228" spans="2:14">
      <c r="B2228" s="513" t="s">
        <v>881</v>
      </c>
      <c r="C2228" s="658">
        <v>2012</v>
      </c>
      <c r="D2228" s="513">
        <v>696.34939447537283</v>
      </c>
      <c r="E2228" s="513">
        <v>86.567848028392888</v>
      </c>
      <c r="F2228" s="513">
        <v>86.567848028392888</v>
      </c>
      <c r="G2228" s="512">
        <v>0</v>
      </c>
      <c r="H2228" s="512">
        <v>0</v>
      </c>
      <c r="I2228" s="659" t="s">
        <v>103</v>
      </c>
      <c r="J2228" s="513">
        <v>0</v>
      </c>
      <c r="K2228" s="513">
        <v>0</v>
      </c>
      <c r="L2228" s="513">
        <v>0</v>
      </c>
      <c r="M2228" s="513">
        <v>782.91724250376569</v>
      </c>
      <c r="N2228" s="622"/>
    </row>
    <row r="2229" spans="2:14">
      <c r="B2229" s="513" t="s">
        <v>881</v>
      </c>
      <c r="C2229" s="658">
        <v>2013</v>
      </c>
      <c r="D2229" s="513">
        <v>782.91724250376569</v>
      </c>
      <c r="E2229" s="513">
        <v>143.1748335342225</v>
      </c>
      <c r="F2229" s="513">
        <v>143.1748335342225</v>
      </c>
      <c r="G2229" s="512">
        <v>0</v>
      </c>
      <c r="H2229" s="512">
        <v>0</v>
      </c>
      <c r="I2229" s="659" t="s">
        <v>103</v>
      </c>
      <c r="J2229" s="513">
        <v>0</v>
      </c>
      <c r="K2229" s="513">
        <v>0</v>
      </c>
      <c r="L2229" s="513">
        <v>0</v>
      </c>
      <c r="M2229" s="513">
        <v>926.09207603798814</v>
      </c>
      <c r="N2229" s="622"/>
    </row>
    <row r="2230" spans="2:14">
      <c r="B2230" s="513" t="s">
        <v>881</v>
      </c>
      <c r="C2230" s="658">
        <v>2014</v>
      </c>
      <c r="D2230" s="513">
        <v>926.09207603798814</v>
      </c>
      <c r="E2230" s="513">
        <v>149.48320504898973</v>
      </c>
      <c r="F2230" s="513">
        <v>149.48320504898973</v>
      </c>
      <c r="G2230" s="512">
        <v>0</v>
      </c>
      <c r="H2230" s="512">
        <v>0</v>
      </c>
      <c r="I2230" s="659" t="s">
        <v>103</v>
      </c>
      <c r="J2230" s="513">
        <v>0</v>
      </c>
      <c r="K2230" s="513">
        <v>0</v>
      </c>
      <c r="L2230" s="513">
        <v>0</v>
      </c>
      <c r="M2230" s="513">
        <v>1075.5752810869778</v>
      </c>
      <c r="N2230" s="622"/>
    </row>
    <row r="2231" spans="2:14">
      <c r="B2231" s="513" t="s">
        <v>881</v>
      </c>
      <c r="C2231" s="658">
        <v>2015</v>
      </c>
      <c r="D2231" s="513">
        <v>1075.5752810869778</v>
      </c>
      <c r="E2231" s="513">
        <v>151.16852451554499</v>
      </c>
      <c r="F2231" s="513">
        <v>151.16852451554499</v>
      </c>
      <c r="G2231" s="660">
        <v>0</v>
      </c>
      <c r="H2231" s="660">
        <v>0</v>
      </c>
      <c r="I2231" s="659" t="s">
        <v>103</v>
      </c>
      <c r="J2231" s="513">
        <v>0</v>
      </c>
      <c r="K2231" s="513">
        <v>0</v>
      </c>
      <c r="L2231" s="513">
        <v>0</v>
      </c>
      <c r="M2231" s="513">
        <v>1226.7438056025228</v>
      </c>
      <c r="N2231" s="622"/>
    </row>
    <row r="2232" spans="2:14">
      <c r="B2232" s="513" t="s">
        <v>881</v>
      </c>
      <c r="C2232" s="658">
        <v>2016</v>
      </c>
      <c r="D2232" s="513">
        <v>1226.7438056025228</v>
      </c>
      <c r="E2232" s="513">
        <v>105.15171281232861</v>
      </c>
      <c r="F2232" s="513">
        <v>105.15171281232861</v>
      </c>
      <c r="G2232" s="660">
        <v>0</v>
      </c>
      <c r="H2232" s="660">
        <v>0</v>
      </c>
      <c r="I2232" s="659" t="s">
        <v>103</v>
      </c>
      <c r="J2232" s="513">
        <v>0</v>
      </c>
      <c r="K2232" s="513">
        <v>0</v>
      </c>
      <c r="L2232" s="513">
        <v>0</v>
      </c>
      <c r="M2232" s="513">
        <v>1331.8955184148515</v>
      </c>
      <c r="N2232" s="622"/>
    </row>
    <row r="2233" spans="2:14">
      <c r="B2233" s="513" t="s">
        <v>881</v>
      </c>
      <c r="C2233" s="658">
        <v>2017</v>
      </c>
      <c r="D2233" s="513">
        <v>1331.8955184148515</v>
      </c>
      <c r="E2233" s="513">
        <v>95.981142683608851</v>
      </c>
      <c r="F2233" s="513">
        <v>95.981142683608851</v>
      </c>
      <c r="G2233" s="513">
        <v>0</v>
      </c>
      <c r="H2233" s="513">
        <v>0</v>
      </c>
      <c r="I2233" s="659" t="s">
        <v>103</v>
      </c>
      <c r="J2233" s="513">
        <v>0</v>
      </c>
      <c r="K2233" s="513">
        <v>0</v>
      </c>
      <c r="L2233" s="513">
        <v>0</v>
      </c>
      <c r="M2233" s="513">
        <v>1427.8766610984603</v>
      </c>
      <c r="N2233" s="622"/>
    </row>
    <row r="2234" spans="2:14">
      <c r="B2234" s="513" t="s">
        <v>881</v>
      </c>
      <c r="C2234" s="889">
        <v>2018</v>
      </c>
      <c r="D2234" s="513">
        <v>1427.8766610984603</v>
      </c>
      <c r="E2234" s="513">
        <f>VLOOKUP(B2234,'[6]2018 allocation'!$A$11:$B$218,2, FALSE)</f>
        <v>103.81580828234807</v>
      </c>
      <c r="F2234" s="513">
        <f>E2234</f>
        <v>103.81580828234807</v>
      </c>
      <c r="G2234" s="513">
        <v>0</v>
      </c>
      <c r="H2234" s="513">
        <v>0</v>
      </c>
      <c r="I2234" s="622" t="s">
        <v>103</v>
      </c>
      <c r="J2234" s="513">
        <f>VLOOKUP(B2234,'[6]Annual Spending Worksheet '!$C$6:$AG$250,28,FALSE)</f>
        <v>0</v>
      </c>
      <c r="K2234" s="513">
        <f>VLOOKUP(B2234,'[6]Annual Spending Worksheet '!$C$6:$AG$250,29,FALSE)</f>
        <v>0</v>
      </c>
      <c r="L2234" s="513">
        <v>0</v>
      </c>
      <c r="M2234" s="513">
        <f>D2234+E2234+H2234-J2234</f>
        <v>1531.6924693808085</v>
      </c>
      <c r="N2234" s="513"/>
    </row>
    <row r="2235" spans="2:14">
      <c r="B2235" s="513" t="s">
        <v>881</v>
      </c>
      <c r="C2235" s="889">
        <v>2019</v>
      </c>
      <c r="D2235" s="513">
        <v>1531.6924693808085</v>
      </c>
      <c r="E2235" s="513">
        <v>112.06876774034788</v>
      </c>
      <c r="F2235" s="513">
        <v>112.06876774034788</v>
      </c>
      <c r="G2235" s="513">
        <v>0</v>
      </c>
      <c r="H2235" s="513">
        <v>0</v>
      </c>
      <c r="I2235" s="622" t="s">
        <v>103</v>
      </c>
      <c r="J2235" s="513">
        <v>0</v>
      </c>
      <c r="K2235" s="513">
        <v>0</v>
      </c>
      <c r="L2235" s="513">
        <v>0</v>
      </c>
      <c r="M2235" s="513">
        <v>1643.7612371211562</v>
      </c>
      <c r="N2235" s="513"/>
    </row>
    <row r="2236" spans="2:14">
      <c r="B2236" s="890" t="s">
        <v>1430</v>
      </c>
      <c r="C2236" s="906"/>
      <c r="D2236" s="899">
        <f>SUM(D2224:D2235)</f>
        <v>10487.153878214394</v>
      </c>
      <c r="E2236" s="907">
        <f>SUM(E2224:E2235)</f>
        <v>1486.2027437916249</v>
      </c>
      <c r="F2236" s="907">
        <f t="shared" ref="F2236:H2236" si="28">SUM(F2224:F2235)</f>
        <v>1486.2027437916249</v>
      </c>
      <c r="G2236" s="907">
        <f t="shared" si="28"/>
        <v>0</v>
      </c>
      <c r="H2236" s="907">
        <f t="shared" si="28"/>
        <v>0</v>
      </c>
      <c r="I2236" s="908"/>
      <c r="J2236" s="907">
        <f t="shared" ref="J2236:M2236" si="29">SUM(J2224:J2235)</f>
        <v>0</v>
      </c>
      <c r="K2236" s="907">
        <f t="shared" si="29"/>
        <v>0</v>
      </c>
      <c r="L2236" s="907">
        <f t="shared" si="29"/>
        <v>0</v>
      </c>
      <c r="M2236" s="907">
        <f t="shared" si="29"/>
        <v>11973.35662200602</v>
      </c>
      <c r="N2236" s="909"/>
    </row>
    <row r="2237" spans="2:14">
      <c r="B2237" s="887" t="s">
        <v>882</v>
      </c>
      <c r="C2237" s="658"/>
      <c r="D2237" s="513"/>
      <c r="E2237" s="513"/>
      <c r="F2237" s="513"/>
      <c r="G2237" s="513"/>
      <c r="H2237" s="513"/>
      <c r="I2237" s="659"/>
      <c r="J2237" s="513"/>
      <c r="K2237" s="513"/>
      <c r="L2237" s="513"/>
      <c r="M2237" s="513"/>
      <c r="N2237" s="622"/>
    </row>
    <row r="2238" spans="2:14" ht="29.1">
      <c r="B2238" s="513" t="s">
        <v>883</v>
      </c>
      <c r="C2238" s="658">
        <v>2008</v>
      </c>
      <c r="D2238" s="513">
        <v>-202464.67800000007</v>
      </c>
      <c r="E2238" s="512">
        <v>41941.01200677958</v>
      </c>
      <c r="F2238" s="513">
        <v>41941.01200677958</v>
      </c>
      <c r="G2238" s="512">
        <v>-160523.66599322049</v>
      </c>
      <c r="H2238" s="512">
        <v>0</v>
      </c>
      <c r="I2238" s="659" t="s">
        <v>103</v>
      </c>
      <c r="J2238" s="513">
        <v>0</v>
      </c>
      <c r="K2238" s="513">
        <v>0</v>
      </c>
      <c r="L2238" s="513">
        <v>0</v>
      </c>
      <c r="M2238" s="513">
        <v>-160523.66599322049</v>
      </c>
      <c r="N2238" s="622" t="s">
        <v>1712</v>
      </c>
    </row>
    <row r="2239" spans="2:14" ht="29.1">
      <c r="B2239" s="513" t="s">
        <v>883</v>
      </c>
      <c r="C2239" s="658">
        <v>2009</v>
      </c>
      <c r="D2239" s="513">
        <v>-160523.66599322041</v>
      </c>
      <c r="E2239" s="512">
        <v>33859.895785450804</v>
      </c>
      <c r="F2239" s="513">
        <v>33859.895785450804</v>
      </c>
      <c r="G2239" s="512">
        <v>-126663.7702077696</v>
      </c>
      <c r="H2239" s="512">
        <v>0</v>
      </c>
      <c r="I2239" s="659" t="s">
        <v>103</v>
      </c>
      <c r="J2239" s="513">
        <v>0</v>
      </c>
      <c r="K2239" s="513">
        <v>0</v>
      </c>
      <c r="L2239" s="513">
        <v>0</v>
      </c>
      <c r="M2239" s="513">
        <v>-126663.7702077696</v>
      </c>
      <c r="N2239" s="622" t="s">
        <v>1711</v>
      </c>
    </row>
    <row r="2240" spans="2:14" ht="29.1">
      <c r="B2240" s="513" t="s">
        <v>883</v>
      </c>
      <c r="C2240" s="658">
        <v>2010</v>
      </c>
      <c r="D2240" s="513">
        <v>-126663.7702077697</v>
      </c>
      <c r="E2240" s="512">
        <v>33822.07</v>
      </c>
      <c r="F2240" s="513">
        <v>33822.07</v>
      </c>
      <c r="G2240" s="512">
        <v>-92841.700207769696</v>
      </c>
      <c r="H2240" s="512">
        <v>0</v>
      </c>
      <c r="I2240" s="659" t="s">
        <v>103</v>
      </c>
      <c r="J2240" s="513">
        <v>0</v>
      </c>
      <c r="K2240" s="513">
        <v>0</v>
      </c>
      <c r="L2240" s="513">
        <v>0</v>
      </c>
      <c r="M2240" s="513">
        <v>-92841.700207769696</v>
      </c>
      <c r="N2240" s="622" t="s">
        <v>1712</v>
      </c>
    </row>
    <row r="2241" spans="2:14" ht="29.1">
      <c r="B2241" s="513" t="s">
        <v>883</v>
      </c>
      <c r="C2241" s="658">
        <v>2011</v>
      </c>
      <c r="D2241" s="513">
        <v>-92841.695376044838</v>
      </c>
      <c r="E2241" s="512">
        <v>34396.355837071285</v>
      </c>
      <c r="F2241" s="513">
        <v>34396.355837071285</v>
      </c>
      <c r="G2241" s="512">
        <v>-58445.339538973552</v>
      </c>
      <c r="H2241" s="512">
        <v>0</v>
      </c>
      <c r="I2241" s="659" t="s">
        <v>103</v>
      </c>
      <c r="J2241" s="513">
        <v>0</v>
      </c>
      <c r="K2241" s="513">
        <v>0</v>
      </c>
      <c r="L2241" s="513">
        <v>0</v>
      </c>
      <c r="M2241" s="513">
        <v>-58445.339538973552</v>
      </c>
      <c r="N2241" s="622" t="s">
        <v>1711</v>
      </c>
    </row>
    <row r="2242" spans="2:14" ht="29.1">
      <c r="B2242" s="513" t="s">
        <v>883</v>
      </c>
      <c r="C2242" s="658">
        <v>2012</v>
      </c>
      <c r="D2242" s="513">
        <v>-58445.339538973523</v>
      </c>
      <c r="E2242" s="513">
        <v>24864.074709194676</v>
      </c>
      <c r="F2242" s="513">
        <v>24864.074709194676</v>
      </c>
      <c r="G2242" s="512">
        <v>-33581.264829778847</v>
      </c>
      <c r="H2242" s="512">
        <v>0</v>
      </c>
      <c r="I2242" s="659" t="s">
        <v>103</v>
      </c>
      <c r="J2242" s="513">
        <v>0</v>
      </c>
      <c r="K2242" s="513">
        <v>0</v>
      </c>
      <c r="L2242" s="513">
        <v>0</v>
      </c>
      <c r="M2242" s="513">
        <v>-33581.264829778847</v>
      </c>
      <c r="N2242" s="622" t="s">
        <v>1711</v>
      </c>
    </row>
    <row r="2243" spans="2:14">
      <c r="B2243" s="513" t="s">
        <v>883</v>
      </c>
      <c r="C2243" s="658">
        <v>2013</v>
      </c>
      <c r="D2243" s="513">
        <v>-33581.264829778811</v>
      </c>
      <c r="E2243" s="513">
        <v>38030.367210349308</v>
      </c>
      <c r="F2243" s="513">
        <v>38030.367210349308</v>
      </c>
      <c r="G2243" s="512">
        <v>0</v>
      </c>
      <c r="H2243" s="512">
        <v>0</v>
      </c>
      <c r="I2243" s="659" t="s">
        <v>103</v>
      </c>
      <c r="J2243" s="513">
        <v>0</v>
      </c>
      <c r="K2243" s="513">
        <v>0</v>
      </c>
      <c r="L2243" s="513">
        <v>0</v>
      </c>
      <c r="M2243" s="513">
        <v>4449.1023805704972</v>
      </c>
      <c r="N2243" s="622"/>
    </row>
    <row r="2244" spans="2:14">
      <c r="B2244" s="513" t="s">
        <v>883</v>
      </c>
      <c r="C2244" s="658">
        <v>2014</v>
      </c>
      <c r="D2244" s="513">
        <v>4449.1023805704899</v>
      </c>
      <c r="E2244" s="513">
        <v>39587.961774575037</v>
      </c>
      <c r="F2244" s="513">
        <v>39587.961774575037</v>
      </c>
      <c r="G2244" s="512">
        <v>0</v>
      </c>
      <c r="H2244" s="512">
        <v>0</v>
      </c>
      <c r="I2244" s="659" t="s">
        <v>103</v>
      </c>
      <c r="J2244" s="513">
        <v>0</v>
      </c>
      <c r="K2244" s="513">
        <v>0</v>
      </c>
      <c r="L2244" s="513">
        <v>0</v>
      </c>
      <c r="M2244" s="513">
        <v>44037.064155145526</v>
      </c>
      <c r="N2244" s="622"/>
    </row>
    <row r="2245" spans="2:14">
      <c r="B2245" s="513" t="s">
        <v>883</v>
      </c>
      <c r="C2245" s="658">
        <v>2015</v>
      </c>
      <c r="D2245" s="513">
        <v>44037.064155145548</v>
      </c>
      <c r="E2245" s="513">
        <v>40213.914582304926</v>
      </c>
      <c r="F2245" s="513">
        <v>40213.914582304926</v>
      </c>
      <c r="G2245" s="512">
        <v>0</v>
      </c>
      <c r="H2245" s="660">
        <v>0</v>
      </c>
      <c r="I2245" s="659" t="s">
        <v>103</v>
      </c>
      <c r="J2245" s="513">
        <v>0</v>
      </c>
      <c r="K2245" s="513">
        <v>0</v>
      </c>
      <c r="L2245" s="513">
        <v>0</v>
      </c>
      <c r="M2245" s="513">
        <v>84250.978737450467</v>
      </c>
      <c r="N2245" s="622"/>
    </row>
    <row r="2246" spans="2:14">
      <c r="B2246" s="513" t="s">
        <v>883</v>
      </c>
      <c r="C2246" s="658">
        <v>2016</v>
      </c>
      <c r="D2246" s="513">
        <v>84250.978737450438</v>
      </c>
      <c r="E2246" s="513">
        <v>28739.531294723303</v>
      </c>
      <c r="F2246" s="513">
        <v>28739.531294723303</v>
      </c>
      <c r="G2246" s="660">
        <v>0</v>
      </c>
      <c r="H2246" s="660">
        <v>0</v>
      </c>
      <c r="I2246" s="659" t="s">
        <v>103</v>
      </c>
      <c r="J2246" s="513">
        <v>0</v>
      </c>
      <c r="K2246" s="513">
        <v>0</v>
      </c>
      <c r="L2246" s="513">
        <v>0</v>
      </c>
      <c r="M2246" s="513">
        <v>112990.51003217374</v>
      </c>
      <c r="N2246" s="622"/>
    </row>
    <row r="2247" spans="2:14">
      <c r="B2247" s="513" t="s">
        <v>883</v>
      </c>
      <c r="C2247" s="658">
        <v>2017</v>
      </c>
      <c r="D2247" s="513">
        <v>112990.51003217371</v>
      </c>
      <c r="E2247" s="513">
        <v>26495.579277059202</v>
      </c>
      <c r="F2247" s="513">
        <v>26495.579277059202</v>
      </c>
      <c r="G2247" s="513">
        <v>0</v>
      </c>
      <c r="H2247" s="513">
        <v>0</v>
      </c>
      <c r="I2247" s="659" t="s">
        <v>103</v>
      </c>
      <c r="J2247" s="513">
        <v>0</v>
      </c>
      <c r="K2247" s="513">
        <v>0</v>
      </c>
      <c r="L2247" s="513">
        <v>0</v>
      </c>
      <c r="M2247" s="513">
        <v>139486.08930923292</v>
      </c>
      <c r="N2247" s="622"/>
    </row>
    <row r="2248" spans="2:14">
      <c r="B2248" s="513" t="s">
        <v>883</v>
      </c>
      <c r="C2248" s="889">
        <v>2018</v>
      </c>
      <c r="D2248" s="513">
        <v>139486.08930923292</v>
      </c>
      <c r="E2248" s="513">
        <f>VLOOKUP(B2248,'[6]2018 allocation'!$A$11:$B$218,2, FALSE)</f>
        <v>28427.113940367541</v>
      </c>
      <c r="F2248" s="513">
        <f>E2248</f>
        <v>28427.113940367541</v>
      </c>
      <c r="G2248" s="513">
        <v>0</v>
      </c>
      <c r="H2248" s="513">
        <v>0</v>
      </c>
      <c r="I2248" s="622" t="s">
        <v>103</v>
      </c>
      <c r="J2248" s="513">
        <f>VLOOKUP(B2248,'[6]Annual Spending Worksheet '!$C$6:$AG$250,28,FALSE)</f>
        <v>0</v>
      </c>
      <c r="K2248" s="513">
        <f>VLOOKUP(B2248,'[6]Annual Spending Worksheet '!$C$6:$AG$250,29,FALSE)</f>
        <v>0</v>
      </c>
      <c r="L2248" s="513">
        <v>0</v>
      </c>
      <c r="M2248" s="513">
        <f>D2248+E2248+H2248-J2248</f>
        <v>167913.20324960045</v>
      </c>
      <c r="N2248" s="513"/>
    </row>
    <row r="2249" spans="2:14">
      <c r="B2249" s="513" t="s">
        <v>883</v>
      </c>
      <c r="C2249" s="889">
        <v>2019</v>
      </c>
      <c r="D2249" s="513">
        <v>167913.20324960045</v>
      </c>
      <c r="E2249" s="513">
        <v>30439.374882148695</v>
      </c>
      <c r="F2249" s="513">
        <v>30439.374882148695</v>
      </c>
      <c r="G2249" s="513">
        <v>0</v>
      </c>
      <c r="H2249" s="513">
        <v>0</v>
      </c>
      <c r="I2249" s="622" t="s">
        <v>103</v>
      </c>
      <c r="J2249" s="513">
        <v>0</v>
      </c>
      <c r="K2249" s="513">
        <v>0</v>
      </c>
      <c r="L2249" s="513">
        <v>0</v>
      </c>
      <c r="M2249" s="513">
        <v>198352.57813174915</v>
      </c>
      <c r="N2249" s="513"/>
    </row>
    <row r="2250" spans="2:14">
      <c r="B2250" s="513" t="s">
        <v>884</v>
      </c>
      <c r="C2250" s="658">
        <v>2008</v>
      </c>
      <c r="D2250" s="513">
        <v>519702.429</v>
      </c>
      <c r="E2250" s="512">
        <v>89265.985196280555</v>
      </c>
      <c r="F2250" s="513">
        <v>89265.985196280555</v>
      </c>
      <c r="G2250" s="512">
        <v>0</v>
      </c>
      <c r="H2250" s="512">
        <v>0</v>
      </c>
      <c r="I2250" s="659" t="s">
        <v>103</v>
      </c>
      <c r="J2250" s="513">
        <v>0</v>
      </c>
      <c r="K2250" s="513">
        <v>0</v>
      </c>
      <c r="L2250" s="513">
        <v>0</v>
      </c>
      <c r="M2250" s="513">
        <v>608968.41419628053</v>
      </c>
      <c r="N2250" s="622"/>
    </row>
    <row r="2251" spans="2:14">
      <c r="B2251" s="513" t="s">
        <v>884</v>
      </c>
      <c r="C2251" s="658">
        <v>2009</v>
      </c>
      <c r="D2251" s="513">
        <v>608968.41419628053</v>
      </c>
      <c r="E2251" s="512">
        <v>71613.351810793451</v>
      </c>
      <c r="F2251" s="513">
        <v>71613.351810793451</v>
      </c>
      <c r="G2251" s="512">
        <v>0</v>
      </c>
      <c r="H2251" s="512">
        <v>0</v>
      </c>
      <c r="I2251" s="659" t="s">
        <v>103</v>
      </c>
      <c r="J2251" s="513">
        <v>0</v>
      </c>
      <c r="K2251" s="513">
        <v>0</v>
      </c>
      <c r="L2251" s="513">
        <v>0</v>
      </c>
      <c r="M2251" s="513">
        <v>680581.76600707392</v>
      </c>
      <c r="N2251" s="622"/>
    </row>
    <row r="2252" spans="2:14">
      <c r="B2252" s="513" t="s">
        <v>884</v>
      </c>
      <c r="C2252" s="658">
        <v>2010</v>
      </c>
      <c r="D2252" s="513">
        <v>680581.76600707392</v>
      </c>
      <c r="E2252" s="512">
        <v>71458.600000000006</v>
      </c>
      <c r="F2252" s="513">
        <v>71458.600000000006</v>
      </c>
      <c r="G2252" s="512">
        <v>0</v>
      </c>
      <c r="H2252" s="512">
        <v>0</v>
      </c>
      <c r="I2252" s="659" t="s">
        <v>103</v>
      </c>
      <c r="J2252" s="513">
        <v>0</v>
      </c>
      <c r="K2252" s="513">
        <v>0</v>
      </c>
      <c r="L2252" s="513">
        <v>0</v>
      </c>
      <c r="M2252" s="513">
        <v>752040.3660070739</v>
      </c>
      <c r="N2252" s="622"/>
    </row>
    <row r="2253" spans="2:14">
      <c r="B2253" s="513" t="s">
        <v>884</v>
      </c>
      <c r="C2253" s="658">
        <v>2011</v>
      </c>
      <c r="D2253" s="513">
        <v>752040.37078040524</v>
      </c>
      <c r="E2253" s="512">
        <v>72726.232766624336</v>
      </c>
      <c r="F2253" s="513">
        <v>72726.232766624336</v>
      </c>
      <c r="G2253" s="512">
        <v>0</v>
      </c>
      <c r="H2253" s="512">
        <v>0</v>
      </c>
      <c r="I2253" s="659" t="s">
        <v>103</v>
      </c>
      <c r="J2253" s="513">
        <v>0</v>
      </c>
      <c r="K2253" s="513">
        <v>0</v>
      </c>
      <c r="L2253" s="513">
        <v>0</v>
      </c>
      <c r="M2253" s="513">
        <v>824766.60354702955</v>
      </c>
      <c r="N2253" s="622"/>
    </row>
    <row r="2254" spans="2:14">
      <c r="B2254" s="513" t="s">
        <v>884</v>
      </c>
      <c r="C2254" s="658">
        <v>2012</v>
      </c>
      <c r="D2254" s="513">
        <v>824766.60354702955</v>
      </c>
      <c r="E2254" s="513">
        <v>51429.885318148888</v>
      </c>
      <c r="F2254" s="513">
        <v>51429.885318148888</v>
      </c>
      <c r="G2254" s="512">
        <v>0</v>
      </c>
      <c r="H2254" s="512">
        <v>0</v>
      </c>
      <c r="I2254" s="659" t="s">
        <v>103</v>
      </c>
      <c r="J2254" s="513">
        <v>0</v>
      </c>
      <c r="K2254" s="513">
        <v>0</v>
      </c>
      <c r="L2254" s="513">
        <v>0</v>
      </c>
      <c r="M2254" s="513">
        <v>876196.48886517843</v>
      </c>
      <c r="N2254" s="622"/>
    </row>
    <row r="2255" spans="2:14">
      <c r="B2255" s="513" t="s">
        <v>884</v>
      </c>
      <c r="C2255" s="658">
        <v>2013</v>
      </c>
      <c r="D2255" s="513">
        <v>876196.48886517843</v>
      </c>
      <c r="E2255" s="513">
        <v>80719.522576887379</v>
      </c>
      <c r="F2255" s="513">
        <v>80719.522576887379</v>
      </c>
      <c r="G2255" s="512">
        <v>0</v>
      </c>
      <c r="H2255" s="512">
        <v>0</v>
      </c>
      <c r="I2255" s="659" t="s">
        <v>103</v>
      </c>
      <c r="J2255" s="513">
        <v>0</v>
      </c>
      <c r="K2255" s="513">
        <v>0</v>
      </c>
      <c r="L2255" s="513">
        <v>0</v>
      </c>
      <c r="M2255" s="513">
        <v>956916.01144206582</v>
      </c>
      <c r="N2255" s="622"/>
    </row>
    <row r="2256" spans="2:14">
      <c r="B2256" s="513" t="s">
        <v>884</v>
      </c>
      <c r="C2256" s="658">
        <v>2014</v>
      </c>
      <c r="D2256" s="513">
        <v>956916.01144206582</v>
      </c>
      <c r="E2256" s="513">
        <v>84057.101049858829</v>
      </c>
      <c r="F2256" s="513">
        <v>84057.101049858829</v>
      </c>
      <c r="G2256" s="512">
        <v>0</v>
      </c>
      <c r="H2256" s="512">
        <v>0</v>
      </c>
      <c r="I2256" s="659" t="s">
        <v>103</v>
      </c>
      <c r="J2256" s="513">
        <v>0</v>
      </c>
      <c r="K2256" s="513">
        <v>0</v>
      </c>
      <c r="L2256" s="513">
        <v>0</v>
      </c>
      <c r="M2256" s="513">
        <v>1040973.1124919247</v>
      </c>
      <c r="N2256" s="622"/>
    </row>
    <row r="2257" spans="2:14">
      <c r="B2257" s="513" t="s">
        <v>884</v>
      </c>
      <c r="C2257" s="658">
        <v>2015</v>
      </c>
      <c r="D2257" s="513">
        <v>1040973.1124919247</v>
      </c>
      <c r="E2257" s="513">
        <v>85461.154085109854</v>
      </c>
      <c r="F2257" s="513">
        <v>85461.154085109854</v>
      </c>
      <c r="G2257" s="512">
        <v>0</v>
      </c>
      <c r="H2257" s="660">
        <v>0</v>
      </c>
      <c r="I2257" s="659" t="s">
        <v>103</v>
      </c>
      <c r="J2257" s="513">
        <v>0</v>
      </c>
      <c r="K2257" s="513">
        <v>0</v>
      </c>
      <c r="L2257" s="513">
        <v>0</v>
      </c>
      <c r="M2257" s="513">
        <v>1126434.2665770345</v>
      </c>
      <c r="N2257" s="622"/>
    </row>
    <row r="2258" spans="2:14">
      <c r="B2258" s="513" t="s">
        <v>884</v>
      </c>
      <c r="C2258" s="658">
        <v>2016</v>
      </c>
      <c r="D2258" s="513">
        <v>1126434.2665770345</v>
      </c>
      <c r="E2258" s="513">
        <v>60416.724962137996</v>
      </c>
      <c r="F2258" s="513">
        <v>60416.724962137996</v>
      </c>
      <c r="G2258" s="660">
        <v>0</v>
      </c>
      <c r="H2258" s="660">
        <v>0</v>
      </c>
      <c r="I2258" s="659" t="s">
        <v>103</v>
      </c>
      <c r="J2258" s="513">
        <v>0</v>
      </c>
      <c r="K2258" s="513">
        <v>0</v>
      </c>
      <c r="L2258" s="513">
        <v>0</v>
      </c>
      <c r="M2258" s="513">
        <v>1186850.9915391726</v>
      </c>
      <c r="N2258" s="622"/>
    </row>
    <row r="2259" spans="2:14">
      <c r="B2259" s="513" t="s">
        <v>884</v>
      </c>
      <c r="C2259" s="658">
        <v>2017</v>
      </c>
      <c r="D2259" s="513">
        <v>1186850.9915391726</v>
      </c>
      <c r="E2259" s="513">
        <v>55354.60364538282</v>
      </c>
      <c r="F2259" s="513">
        <v>55354.60364538282</v>
      </c>
      <c r="G2259" s="513">
        <v>0</v>
      </c>
      <c r="H2259" s="513">
        <v>0</v>
      </c>
      <c r="I2259" s="659" t="s">
        <v>103</v>
      </c>
      <c r="J2259" s="513">
        <v>0</v>
      </c>
      <c r="K2259" s="513">
        <v>0</v>
      </c>
      <c r="L2259" s="513">
        <v>0</v>
      </c>
      <c r="M2259" s="513">
        <v>1242205.5951845555</v>
      </c>
      <c r="N2259" s="622"/>
    </row>
    <row r="2260" spans="2:14">
      <c r="B2260" s="513" t="s">
        <v>884</v>
      </c>
      <c r="C2260" s="889">
        <v>2018</v>
      </c>
      <c r="D2260" s="513">
        <v>1242205.5951845555</v>
      </c>
      <c r="E2260" s="513">
        <f>VLOOKUP(B2260,'[6]2018 allocation'!$A$11:$B$218,2, FALSE)</f>
        <v>59462.25476839047</v>
      </c>
      <c r="F2260" s="513">
        <f>E2260</f>
        <v>59462.25476839047</v>
      </c>
      <c r="G2260" s="513">
        <v>0</v>
      </c>
      <c r="H2260" s="513">
        <v>0</v>
      </c>
      <c r="I2260" s="622" t="s">
        <v>103</v>
      </c>
      <c r="J2260" s="513">
        <f>VLOOKUP(B2260,'[6]Annual Spending Worksheet '!$C$6:$AG$250,28,FALSE)</f>
        <v>0</v>
      </c>
      <c r="K2260" s="513">
        <f>VLOOKUP(B2260,'[6]Annual Spending Worksheet '!$C$6:$AG$250,29,FALSE)</f>
        <v>0</v>
      </c>
      <c r="L2260" s="513">
        <v>0</v>
      </c>
      <c r="M2260" s="513">
        <f>D2260+E2260+H2260-J2260</f>
        <v>1301667.849952946</v>
      </c>
      <c r="N2260" s="513"/>
    </row>
    <row r="2261" spans="2:14">
      <c r="B2261" s="513" t="s">
        <v>884</v>
      </c>
      <c r="C2261" s="889">
        <v>2019</v>
      </c>
      <c r="D2261" s="513">
        <v>1301667.849952946</v>
      </c>
      <c r="E2261" s="513">
        <v>63784.315572038082</v>
      </c>
      <c r="F2261" s="513">
        <v>63784.315572038082</v>
      </c>
      <c r="G2261" s="513">
        <v>0</v>
      </c>
      <c r="H2261" s="513">
        <v>0</v>
      </c>
      <c r="I2261" s="622" t="s">
        <v>103</v>
      </c>
      <c r="J2261" s="513">
        <v>0</v>
      </c>
      <c r="K2261" s="513">
        <v>0</v>
      </c>
      <c r="L2261" s="513">
        <v>0</v>
      </c>
      <c r="M2261" s="513">
        <v>1365452.165524984</v>
      </c>
      <c r="N2261" s="513"/>
    </row>
    <row r="2262" spans="2:14">
      <c r="B2262" s="513" t="s">
        <v>885</v>
      </c>
      <c r="C2262" s="658">
        <v>2008</v>
      </c>
      <c r="D2262" s="513">
        <v>2372193.2819999997</v>
      </c>
      <c r="E2262" s="512">
        <v>449768.9763902683</v>
      </c>
      <c r="F2262" s="513">
        <v>449768.9763902683</v>
      </c>
      <c r="G2262" s="660">
        <v>0</v>
      </c>
      <c r="H2262" s="512">
        <v>0</v>
      </c>
      <c r="I2262" s="659" t="s">
        <v>103</v>
      </c>
      <c r="J2262" s="513">
        <v>313390.77999999997</v>
      </c>
      <c r="K2262" s="513">
        <v>0</v>
      </c>
      <c r="L2262" s="513">
        <v>0</v>
      </c>
      <c r="M2262" s="513">
        <v>2508571.4783902681</v>
      </c>
      <c r="N2262" s="622"/>
    </row>
    <row r="2263" spans="2:14">
      <c r="B2263" s="513" t="s">
        <v>885</v>
      </c>
      <c r="C2263" s="658">
        <v>2009</v>
      </c>
      <c r="D2263" s="513">
        <v>2508571.478390269</v>
      </c>
      <c r="E2263" s="512">
        <v>375683.70409679326</v>
      </c>
      <c r="F2263" s="513">
        <v>375683.70409679326</v>
      </c>
      <c r="G2263" s="660">
        <v>0</v>
      </c>
      <c r="H2263" s="512">
        <v>0</v>
      </c>
      <c r="I2263" s="659" t="s">
        <v>103</v>
      </c>
      <c r="J2263" s="513">
        <v>1089399.77</v>
      </c>
      <c r="K2263" s="513">
        <v>0</v>
      </c>
      <c r="L2263" s="513">
        <v>0</v>
      </c>
      <c r="M2263" s="513">
        <v>1794855.4124870622</v>
      </c>
      <c r="N2263" s="622"/>
    </row>
    <row r="2264" spans="2:14">
      <c r="B2264" s="513" t="s">
        <v>885</v>
      </c>
      <c r="C2264" s="658">
        <v>2010</v>
      </c>
      <c r="D2264" s="513">
        <v>1794855.4124870636</v>
      </c>
      <c r="E2264" s="512">
        <v>375334.43</v>
      </c>
      <c r="F2264" s="513">
        <v>375334.43</v>
      </c>
      <c r="G2264" s="660">
        <v>0</v>
      </c>
      <c r="H2264" s="512">
        <v>0</v>
      </c>
      <c r="I2264" s="659" t="s">
        <v>103</v>
      </c>
      <c r="J2264" s="513">
        <v>3602878.3100000005</v>
      </c>
      <c r="K2264" s="513">
        <v>5188642</v>
      </c>
      <c r="L2264" s="513">
        <v>0</v>
      </c>
      <c r="M2264" s="513">
        <v>-1432688.4675129368</v>
      </c>
      <c r="N2264" s="622" t="s">
        <v>1715</v>
      </c>
    </row>
    <row r="2265" spans="2:14">
      <c r="B2265" s="513" t="s">
        <v>885</v>
      </c>
      <c r="C2265" s="658">
        <v>2011</v>
      </c>
      <c r="D2265" s="513">
        <v>-1432688.4693615548</v>
      </c>
      <c r="E2265" s="512">
        <v>380599.29579101532</v>
      </c>
      <c r="F2265" s="513">
        <v>380599.29579101532</v>
      </c>
      <c r="G2265" s="660">
        <v>-1052089.1735705396</v>
      </c>
      <c r="H2265" s="512">
        <v>0</v>
      </c>
      <c r="I2265" s="659" t="s">
        <v>103</v>
      </c>
      <c r="J2265" s="513">
        <v>-47608.95</v>
      </c>
      <c r="K2265" s="513">
        <v>0</v>
      </c>
      <c r="L2265" s="513">
        <v>31240.26</v>
      </c>
      <c r="M2265" s="513">
        <v>-1035720.4835705396</v>
      </c>
      <c r="N2265" s="622" t="s">
        <v>1715</v>
      </c>
    </row>
    <row r="2266" spans="2:14">
      <c r="B2266" s="513" t="s">
        <v>885</v>
      </c>
      <c r="C2266" s="658">
        <v>2012</v>
      </c>
      <c r="D2266" s="513">
        <v>-1035720.4835705403</v>
      </c>
      <c r="E2266" s="513">
        <v>292628.45003575709</v>
      </c>
      <c r="F2266" s="513">
        <v>292628.45003575709</v>
      </c>
      <c r="G2266" s="660">
        <v>-743092.03353478317</v>
      </c>
      <c r="H2266" s="512">
        <v>0</v>
      </c>
      <c r="I2266" s="659" t="s">
        <v>103</v>
      </c>
      <c r="J2266" s="513">
        <v>4830.17</v>
      </c>
      <c r="K2266" s="513">
        <v>0</v>
      </c>
      <c r="L2266" s="513">
        <v>-72970.000000001281</v>
      </c>
      <c r="M2266" s="513">
        <v>-674952.20353478193</v>
      </c>
      <c r="N2266" s="622" t="s">
        <v>1715</v>
      </c>
    </row>
    <row r="2267" spans="2:14">
      <c r="B2267" s="513" t="s">
        <v>885</v>
      </c>
      <c r="C2267" s="658">
        <v>2013</v>
      </c>
      <c r="D2267" s="513">
        <v>-674952.20353478193</v>
      </c>
      <c r="E2267" s="513">
        <v>413838.7924692115</v>
      </c>
      <c r="F2267" s="513">
        <v>413838.7924692115</v>
      </c>
      <c r="G2267" s="660">
        <v>-261113.41106557043</v>
      </c>
      <c r="H2267" s="512">
        <v>0</v>
      </c>
      <c r="I2267" s="659" t="s">
        <v>103</v>
      </c>
      <c r="J2267" s="513">
        <v>-39055.279999999999</v>
      </c>
      <c r="K2267" s="513">
        <v>0</v>
      </c>
      <c r="L2267" s="513">
        <v>-102.78</v>
      </c>
      <c r="M2267" s="513">
        <v>-221955.35106557043</v>
      </c>
      <c r="N2267" s="622" t="s">
        <v>1715</v>
      </c>
    </row>
    <row r="2268" spans="2:14">
      <c r="B2268" s="513" t="s">
        <v>885</v>
      </c>
      <c r="C2268" s="658">
        <v>2014</v>
      </c>
      <c r="D2268" s="513">
        <v>-221955.35106557235</v>
      </c>
      <c r="E2268" s="513">
        <v>427675.51397996454</v>
      </c>
      <c r="F2268" s="513">
        <v>427675.51397996454</v>
      </c>
      <c r="G2268" s="660">
        <v>0</v>
      </c>
      <c r="H2268" s="512">
        <v>0</v>
      </c>
      <c r="I2268" s="659" t="s">
        <v>103</v>
      </c>
      <c r="J2268" s="513">
        <v>0</v>
      </c>
      <c r="K2268" s="513">
        <v>0</v>
      </c>
      <c r="L2268" s="513">
        <v>0</v>
      </c>
      <c r="M2268" s="513">
        <v>205720.16291439219</v>
      </c>
      <c r="N2268" s="622"/>
    </row>
    <row r="2269" spans="2:14">
      <c r="B2269" s="513" t="s">
        <v>885</v>
      </c>
      <c r="C2269" s="658">
        <v>2015</v>
      </c>
      <c r="D2269" s="513">
        <v>205720.16291439161</v>
      </c>
      <c r="E2269" s="513">
        <v>433339.8404490173</v>
      </c>
      <c r="F2269" s="513">
        <v>433339.8404490173</v>
      </c>
      <c r="G2269" s="660">
        <v>0</v>
      </c>
      <c r="H2269" s="660">
        <v>0</v>
      </c>
      <c r="I2269" s="659" t="s">
        <v>103</v>
      </c>
      <c r="J2269" s="513">
        <v>0</v>
      </c>
      <c r="K2269" s="513">
        <v>0</v>
      </c>
      <c r="L2269" s="513">
        <v>0</v>
      </c>
      <c r="M2269" s="513">
        <v>639060.00336340885</v>
      </c>
      <c r="N2269" s="622"/>
    </row>
    <row r="2270" spans="2:14">
      <c r="B2270" s="513" t="s">
        <v>885</v>
      </c>
      <c r="C2270" s="658">
        <v>2016</v>
      </c>
      <c r="D2270" s="513">
        <v>639060.00336340815</v>
      </c>
      <c r="E2270" s="513">
        <v>330165.56813246128</v>
      </c>
      <c r="F2270" s="513">
        <v>330165.56813246128</v>
      </c>
      <c r="G2270" s="660">
        <v>0</v>
      </c>
      <c r="H2270" s="660">
        <v>0</v>
      </c>
      <c r="I2270" s="659" t="s">
        <v>103</v>
      </c>
      <c r="J2270" s="513">
        <v>0</v>
      </c>
      <c r="K2270" s="513">
        <v>0</v>
      </c>
      <c r="L2270" s="513">
        <v>0</v>
      </c>
      <c r="M2270" s="513">
        <v>969225.57149586943</v>
      </c>
      <c r="N2270" s="622"/>
    </row>
    <row r="2271" spans="2:14">
      <c r="B2271" s="513" t="s">
        <v>885</v>
      </c>
      <c r="C2271" s="658">
        <v>2017</v>
      </c>
      <c r="D2271" s="513">
        <v>969225.57149587013</v>
      </c>
      <c r="E2271" s="513">
        <v>310118.09644667752</v>
      </c>
      <c r="F2271" s="513">
        <v>310118.09644667752</v>
      </c>
      <c r="G2271" s="513">
        <v>0</v>
      </c>
      <c r="H2271" s="513">
        <v>0</v>
      </c>
      <c r="I2271" s="659" t="s">
        <v>103</v>
      </c>
      <c r="J2271" s="513">
        <v>0</v>
      </c>
      <c r="K2271" s="513">
        <v>0</v>
      </c>
      <c r="L2271" s="513">
        <v>0</v>
      </c>
      <c r="M2271" s="513">
        <v>1279343.6679425477</v>
      </c>
      <c r="N2271" s="622"/>
    </row>
    <row r="2272" spans="2:14">
      <c r="B2272" s="513" t="s">
        <v>885</v>
      </c>
      <c r="C2272" s="889">
        <v>2018</v>
      </c>
      <c r="D2272" s="513">
        <v>1279343.6679425477</v>
      </c>
      <c r="E2272" s="513">
        <f>VLOOKUP(B2272,'[6]2018 allocation'!$A$11:$B$218,2, FALSE)</f>
        <v>327336.87404642114</v>
      </c>
      <c r="F2272" s="513">
        <f>E2272</f>
        <v>327336.87404642114</v>
      </c>
      <c r="G2272" s="513">
        <v>0</v>
      </c>
      <c r="H2272" s="513">
        <v>0</v>
      </c>
      <c r="I2272" s="622" t="s">
        <v>103</v>
      </c>
      <c r="J2272" s="513">
        <f>VLOOKUP(B2272,'[6]Annual Spending Worksheet '!$C$6:$AG$250,28,FALSE)</f>
        <v>0</v>
      </c>
      <c r="K2272" s="513">
        <f>VLOOKUP(B2272,'[6]Annual Spending Worksheet '!$C$6:$AG$250,29,FALSE)</f>
        <v>0</v>
      </c>
      <c r="L2272" s="513">
        <v>0</v>
      </c>
      <c r="M2272" s="513">
        <f>D2272+E2272+H2272-J2272</f>
        <v>1606680.5419889688</v>
      </c>
      <c r="N2272" s="513"/>
    </row>
    <row r="2273" spans="2:14">
      <c r="B2273" s="513" t="s">
        <v>885</v>
      </c>
      <c r="C2273" s="889">
        <v>2019</v>
      </c>
      <c r="D2273" s="513">
        <v>1606680.5419889688</v>
      </c>
      <c r="E2273" s="513">
        <v>345440.31836033711</v>
      </c>
      <c r="F2273" s="513">
        <v>345440.31836033711</v>
      </c>
      <c r="G2273" s="513">
        <v>0</v>
      </c>
      <c r="H2273" s="513">
        <v>0</v>
      </c>
      <c r="I2273" s="622" t="s">
        <v>103</v>
      </c>
      <c r="J2273" s="513">
        <v>0</v>
      </c>
      <c r="K2273" s="513">
        <v>0</v>
      </c>
      <c r="L2273" s="513">
        <v>0</v>
      </c>
      <c r="M2273" s="513">
        <v>1952120.8603493059</v>
      </c>
      <c r="N2273" s="513"/>
    </row>
    <row r="2274" spans="2:14" ht="29.1">
      <c r="B2274" s="513" t="s">
        <v>889</v>
      </c>
      <c r="C2274" s="658">
        <v>2008</v>
      </c>
      <c r="D2274" s="513">
        <v>-14268.503000000492</v>
      </c>
      <c r="E2274" s="512">
        <v>247298.83987786653</v>
      </c>
      <c r="F2274" s="513">
        <v>247298.83987786653</v>
      </c>
      <c r="G2274" s="660">
        <v>0</v>
      </c>
      <c r="H2274" s="512">
        <v>0</v>
      </c>
      <c r="I2274" s="659" t="s">
        <v>103</v>
      </c>
      <c r="J2274" s="513">
        <v>1871390.6099999999</v>
      </c>
      <c r="K2274" s="513">
        <v>0</v>
      </c>
      <c r="L2274" s="513">
        <v>0</v>
      </c>
      <c r="M2274" s="513">
        <v>-1638360.2731221339</v>
      </c>
      <c r="N2274" s="622" t="s">
        <v>1711</v>
      </c>
    </row>
    <row r="2275" spans="2:14" ht="29.1">
      <c r="B2275" s="513" t="s">
        <v>889</v>
      </c>
      <c r="C2275" s="658">
        <v>2009</v>
      </c>
      <c r="D2275" s="513">
        <v>-1638359.8731221352</v>
      </c>
      <c r="E2275" s="512">
        <v>201791.70335955019</v>
      </c>
      <c r="F2275" s="513">
        <v>201791.70335955019</v>
      </c>
      <c r="G2275" s="660">
        <v>-1436568.1697625851</v>
      </c>
      <c r="H2275" s="512">
        <v>0</v>
      </c>
      <c r="I2275" s="659" t="s">
        <v>103</v>
      </c>
      <c r="J2275" s="513">
        <v>-595627.64</v>
      </c>
      <c r="K2275" s="513">
        <v>0</v>
      </c>
      <c r="L2275" s="513">
        <v>0</v>
      </c>
      <c r="M2275" s="513">
        <v>-840940.52976258507</v>
      </c>
      <c r="N2275" s="622" t="s">
        <v>1711</v>
      </c>
    </row>
    <row r="2276" spans="2:14" ht="29.1">
      <c r="B2276" s="513" t="s">
        <v>889</v>
      </c>
      <c r="C2276" s="658">
        <v>2010</v>
      </c>
      <c r="D2276" s="513">
        <v>-840940.52976258472</v>
      </c>
      <c r="E2276" s="512">
        <v>201651.11</v>
      </c>
      <c r="F2276" s="513">
        <v>201651.11</v>
      </c>
      <c r="G2276" s="660">
        <v>-639289.41976258473</v>
      </c>
      <c r="H2276" s="512">
        <v>0</v>
      </c>
      <c r="I2276" s="659" t="s">
        <v>103</v>
      </c>
      <c r="J2276" s="513">
        <v>46632.68</v>
      </c>
      <c r="K2276" s="513">
        <v>0</v>
      </c>
      <c r="L2276" s="513">
        <v>0</v>
      </c>
      <c r="M2276" s="513">
        <v>-685922.09976258478</v>
      </c>
      <c r="N2276" s="622" t="s">
        <v>1711</v>
      </c>
    </row>
    <row r="2277" spans="2:14" ht="29.1">
      <c r="B2277" s="513" t="s">
        <v>889</v>
      </c>
      <c r="C2277" s="658">
        <v>2011</v>
      </c>
      <c r="D2277" s="513">
        <v>-685922.09826478548</v>
      </c>
      <c r="E2277" s="512">
        <v>204847.05892870482</v>
      </c>
      <c r="F2277" s="513">
        <v>204847.05892870482</v>
      </c>
      <c r="G2277" s="660">
        <v>-481075.03933608066</v>
      </c>
      <c r="H2277" s="512">
        <v>0</v>
      </c>
      <c r="I2277" s="659" t="s">
        <v>103</v>
      </c>
      <c r="J2277" s="513">
        <v>-18365.740000000005</v>
      </c>
      <c r="K2277" s="513">
        <v>0</v>
      </c>
      <c r="L2277" s="513">
        <v>0</v>
      </c>
      <c r="M2277" s="513">
        <v>-462709.29933608067</v>
      </c>
      <c r="N2277" s="622" t="s">
        <v>1711</v>
      </c>
    </row>
    <row r="2278" spans="2:14" ht="29.1">
      <c r="B2278" s="513" t="s">
        <v>889</v>
      </c>
      <c r="C2278" s="658">
        <v>2012</v>
      </c>
      <c r="D2278" s="513">
        <v>-462709.29933608323</v>
      </c>
      <c r="E2278" s="512">
        <v>151052.64498666557</v>
      </c>
      <c r="F2278" s="513">
        <v>151052.64498666557</v>
      </c>
      <c r="G2278" s="660">
        <v>-311656.65434941766</v>
      </c>
      <c r="H2278" s="512">
        <v>0</v>
      </c>
      <c r="I2278" s="659" t="s">
        <v>103</v>
      </c>
      <c r="J2278" s="513">
        <v>3424.3700000000003</v>
      </c>
      <c r="K2278" s="513">
        <v>0</v>
      </c>
      <c r="L2278" s="513">
        <v>2593.09</v>
      </c>
      <c r="M2278" s="513">
        <v>-317674.11434941768</v>
      </c>
      <c r="N2278" s="622" t="s">
        <v>1711</v>
      </c>
    </row>
    <row r="2279" spans="2:14" ht="29.1">
      <c r="B2279" s="513" t="s">
        <v>889</v>
      </c>
      <c r="C2279" s="658">
        <v>2013</v>
      </c>
      <c r="D2279" s="513">
        <v>-317674.11434941739</v>
      </c>
      <c r="E2279" s="513">
        <v>225172.26131462422</v>
      </c>
      <c r="F2279" s="513">
        <v>225172.26131462422</v>
      </c>
      <c r="G2279" s="660">
        <v>-92501.853034793166</v>
      </c>
      <c r="H2279" s="512">
        <v>0</v>
      </c>
      <c r="I2279" s="659" t="s">
        <v>103</v>
      </c>
      <c r="J2279" s="513">
        <v>19507.690000000002</v>
      </c>
      <c r="K2279" s="513">
        <v>0</v>
      </c>
      <c r="L2279" s="513">
        <v>539.66</v>
      </c>
      <c r="M2279" s="513">
        <v>-112549.20303479317</v>
      </c>
      <c r="N2279" s="622" t="s">
        <v>1711</v>
      </c>
    </row>
    <row r="2280" spans="2:14">
      <c r="B2280" s="513" t="s">
        <v>889</v>
      </c>
      <c r="C2280" s="658">
        <v>2014</v>
      </c>
      <c r="D2280" s="513">
        <v>-112549.2030347921</v>
      </c>
      <c r="E2280" s="513">
        <v>233692.61430604017</v>
      </c>
      <c r="F2280" s="513">
        <v>233692.61430604017</v>
      </c>
      <c r="G2280" s="660">
        <v>0</v>
      </c>
      <c r="H2280" s="512">
        <v>0</v>
      </c>
      <c r="I2280" s="659" t="s">
        <v>103</v>
      </c>
      <c r="J2280" s="513">
        <v>27581.77</v>
      </c>
      <c r="K2280" s="513">
        <v>0</v>
      </c>
      <c r="L2280" s="513">
        <v>0</v>
      </c>
      <c r="M2280" s="513">
        <v>93561.641271248067</v>
      </c>
      <c r="N2280" s="622"/>
    </row>
    <row r="2281" spans="2:14">
      <c r="B2281" s="513" t="s">
        <v>889</v>
      </c>
      <c r="C2281" s="658">
        <v>2015</v>
      </c>
      <c r="D2281" s="513">
        <v>93561.64127124846</v>
      </c>
      <c r="E2281" s="513">
        <v>237227.37630602208</v>
      </c>
      <c r="F2281" s="513">
        <v>237227.37630602208</v>
      </c>
      <c r="G2281" s="660">
        <v>0</v>
      </c>
      <c r="H2281" s="512">
        <v>0</v>
      </c>
      <c r="I2281" s="659" t="s">
        <v>103</v>
      </c>
      <c r="J2281" s="513">
        <v>14472.22</v>
      </c>
      <c r="K2281" s="513">
        <v>0</v>
      </c>
      <c r="L2281" s="513">
        <v>0</v>
      </c>
      <c r="M2281" s="513">
        <v>316316.79757727054</v>
      </c>
      <c r="N2281" s="622"/>
    </row>
    <row r="2282" spans="2:14">
      <c r="B2282" s="513" t="s">
        <v>889</v>
      </c>
      <c r="C2282" s="658">
        <v>2016</v>
      </c>
      <c r="D2282" s="513">
        <v>316316.79757726938</v>
      </c>
      <c r="E2282" s="513">
        <v>173750.74179516069</v>
      </c>
      <c r="F2282" s="513">
        <v>173750.74179516069</v>
      </c>
      <c r="G2282" s="660">
        <v>0</v>
      </c>
      <c r="H2282" s="660">
        <v>0</v>
      </c>
      <c r="I2282" s="659" t="s">
        <v>103</v>
      </c>
      <c r="J2282" s="513">
        <v>0</v>
      </c>
      <c r="K2282" s="513">
        <v>0</v>
      </c>
      <c r="L2282" s="513">
        <v>0</v>
      </c>
      <c r="M2282" s="513">
        <v>490067.53937243007</v>
      </c>
      <c r="N2282" s="622"/>
    </row>
    <row r="2283" spans="2:14">
      <c r="B2283" s="513" t="s">
        <v>889</v>
      </c>
      <c r="C2283" s="658">
        <v>2017</v>
      </c>
      <c r="D2283" s="513">
        <v>490067.53937242925</v>
      </c>
      <c r="E2283" s="513">
        <v>161316.09541028022</v>
      </c>
      <c r="F2283" s="513">
        <v>161316.09541028022</v>
      </c>
      <c r="G2283" s="660">
        <v>0</v>
      </c>
      <c r="H2283" s="660">
        <v>0</v>
      </c>
      <c r="I2283" s="659" t="s">
        <v>103</v>
      </c>
      <c r="J2283" s="513">
        <v>0</v>
      </c>
      <c r="K2283" s="513">
        <v>0</v>
      </c>
      <c r="L2283" s="513">
        <v>0</v>
      </c>
      <c r="M2283" s="513">
        <v>651383.63478270941</v>
      </c>
      <c r="N2283" s="622"/>
    </row>
    <row r="2284" spans="2:14">
      <c r="B2284" s="513" t="s">
        <v>889</v>
      </c>
      <c r="C2284" s="889">
        <v>2018</v>
      </c>
      <c r="D2284" s="513">
        <v>651383.63478270941</v>
      </c>
      <c r="E2284" s="513">
        <f>VLOOKUP(B2284,'[6]2018 allocation'!$A$11:$B$218,2, FALSE)</f>
        <v>171998.65367318841</v>
      </c>
      <c r="F2284" s="513">
        <f>E2284</f>
        <v>171998.65367318841</v>
      </c>
      <c r="G2284" s="513">
        <v>0</v>
      </c>
      <c r="H2284" s="513">
        <v>0</v>
      </c>
      <c r="I2284" s="622" t="s">
        <v>103</v>
      </c>
      <c r="J2284" s="513">
        <f>VLOOKUP(B2284,'[6]Annual Spending Worksheet '!$C$6:$AG$250,28,FALSE)</f>
        <v>0</v>
      </c>
      <c r="K2284" s="513">
        <f>VLOOKUP(B2284,'[6]Annual Spending Worksheet '!$C$6:$AG$250,29,FALSE)</f>
        <v>0</v>
      </c>
      <c r="L2284" s="513">
        <v>0</v>
      </c>
      <c r="M2284" s="513">
        <f>D2284+E2284+H2284-J2284</f>
        <v>823382.28845589783</v>
      </c>
      <c r="N2284" s="513"/>
    </row>
    <row r="2285" spans="2:14">
      <c r="B2285" s="513" t="s">
        <v>889</v>
      </c>
      <c r="C2285" s="889">
        <v>2019</v>
      </c>
      <c r="D2285" s="513">
        <v>823382.28845589783</v>
      </c>
      <c r="E2285" s="513">
        <v>183170.32460747188</v>
      </c>
      <c r="F2285" s="513">
        <v>183170.32460747188</v>
      </c>
      <c r="G2285" s="513">
        <v>0</v>
      </c>
      <c r="H2285" s="513">
        <v>0</v>
      </c>
      <c r="I2285" s="622" t="s">
        <v>103</v>
      </c>
      <c r="J2285" s="513">
        <v>62036.5</v>
      </c>
      <c r="K2285" s="513">
        <v>0</v>
      </c>
      <c r="L2285" s="513">
        <v>0</v>
      </c>
      <c r="M2285" s="513">
        <v>944516.11306336964</v>
      </c>
      <c r="N2285" s="513"/>
    </row>
    <row r="2286" spans="2:14" s="661" customFormat="1">
      <c r="B2286" s="910" t="s">
        <v>1433</v>
      </c>
      <c r="C2286" s="911"/>
      <c r="D2286" s="907">
        <f>SUM(D2238:D2285)</f>
        <v>17308532.327141874</v>
      </c>
      <c r="E2286" s="907">
        <f t="shared" ref="E2286:F2286" si="30">SUM(E2238:E2285)</f>
        <v>8101466.2678151764</v>
      </c>
      <c r="F2286" s="907">
        <f t="shared" si="30"/>
        <v>8101466.2678151764</v>
      </c>
      <c r="G2286" s="907">
        <f>SUM(G2238:G2285)</f>
        <v>-5489441.4951938661</v>
      </c>
      <c r="H2286" s="907">
        <f>SUM(H2238:H2285)</f>
        <v>0</v>
      </c>
      <c r="I2286" s="908">
        <f t="shared" ref="I2286" si="31">SUM(I2238:I2283)</f>
        <v>0</v>
      </c>
      <c r="J2286" s="907">
        <f t="shared" ref="J2286:M2286" si="32">SUM(J2238:J2285)</f>
        <v>6354887.2599999998</v>
      </c>
      <c r="K2286" s="907">
        <f t="shared" si="32"/>
        <v>5188642</v>
      </c>
      <c r="L2286" s="907">
        <f t="shared" si="32"/>
        <v>-38699.770000001285</v>
      </c>
      <c r="M2286" s="907">
        <f t="shared" si="32"/>
        <v>19093811.104957048</v>
      </c>
      <c r="N2286" s="909"/>
    </row>
    <row r="2287" spans="2:14">
      <c r="B2287" s="887" t="s">
        <v>897</v>
      </c>
      <c r="C2287" s="658"/>
      <c r="D2287" s="513"/>
      <c r="E2287" s="513"/>
      <c r="F2287" s="513"/>
      <c r="G2287" s="513"/>
      <c r="H2287" s="513"/>
      <c r="I2287" s="659"/>
      <c r="J2287" s="513"/>
      <c r="K2287" s="513"/>
      <c r="L2287" s="513"/>
      <c r="M2287" s="513"/>
      <c r="N2287" s="622"/>
    </row>
    <row r="2288" spans="2:14">
      <c r="B2288" s="513" t="s">
        <v>898</v>
      </c>
      <c r="C2288" s="658">
        <v>2008</v>
      </c>
      <c r="D2288" s="513">
        <v>707578.14800000004</v>
      </c>
      <c r="E2288" s="512">
        <v>33862.110592282166</v>
      </c>
      <c r="F2288" s="513">
        <v>33862.110592282166</v>
      </c>
      <c r="G2288" s="513">
        <v>0</v>
      </c>
      <c r="H2288" s="512">
        <v>0</v>
      </c>
      <c r="I2288" s="659" t="s">
        <v>103</v>
      </c>
      <c r="J2288" s="513">
        <v>0</v>
      </c>
      <c r="K2288" s="513">
        <v>0</v>
      </c>
      <c r="L2288" s="513">
        <v>0</v>
      </c>
      <c r="M2288" s="513">
        <v>741440.25859228219</v>
      </c>
      <c r="N2288" s="622"/>
    </row>
    <row r="2289" spans="2:14">
      <c r="B2289" s="513" t="s">
        <v>898</v>
      </c>
      <c r="C2289" s="658">
        <v>2009</v>
      </c>
      <c r="D2289" s="513">
        <v>741440.25859228196</v>
      </c>
      <c r="E2289" s="512">
        <v>27003.857927988585</v>
      </c>
      <c r="F2289" s="513">
        <v>27003.857927988585</v>
      </c>
      <c r="G2289" s="512">
        <v>0</v>
      </c>
      <c r="H2289" s="512">
        <v>0</v>
      </c>
      <c r="I2289" s="659" t="s">
        <v>103</v>
      </c>
      <c r="J2289" s="513">
        <v>80214.700000000012</v>
      </c>
      <c r="K2289" s="513">
        <v>0</v>
      </c>
      <c r="L2289" s="513">
        <v>0</v>
      </c>
      <c r="M2289" s="513">
        <v>688229.41652027052</v>
      </c>
      <c r="N2289" s="622"/>
    </row>
    <row r="2290" spans="2:14">
      <c r="B2290" s="513" t="s">
        <v>898</v>
      </c>
      <c r="C2290" s="658">
        <v>2010</v>
      </c>
      <c r="D2290" s="513">
        <v>688229.41652027075</v>
      </c>
      <c r="E2290" s="512">
        <v>26964.560000000001</v>
      </c>
      <c r="F2290" s="513">
        <v>26964.560000000001</v>
      </c>
      <c r="G2290" s="512">
        <v>0</v>
      </c>
      <c r="H2290" s="512">
        <v>0</v>
      </c>
      <c r="I2290" s="659" t="s">
        <v>103</v>
      </c>
      <c r="J2290" s="513">
        <v>32640.58</v>
      </c>
      <c r="K2290" s="513">
        <v>0</v>
      </c>
      <c r="L2290" s="513">
        <v>0</v>
      </c>
      <c r="M2290" s="513">
        <v>682553.39652027085</v>
      </c>
      <c r="N2290" s="622"/>
    </row>
    <row r="2291" spans="2:14" ht="29.1">
      <c r="B2291" s="513" t="s">
        <v>898</v>
      </c>
      <c r="C2291" s="658">
        <v>2011</v>
      </c>
      <c r="D2291" s="513">
        <v>682553.39534823527</v>
      </c>
      <c r="E2291" s="512">
        <v>27461.192333649462</v>
      </c>
      <c r="F2291" s="513">
        <v>27461.192333649462</v>
      </c>
      <c r="G2291" s="660">
        <v>0</v>
      </c>
      <c r="H2291" s="512">
        <v>0</v>
      </c>
      <c r="I2291" s="659" t="s">
        <v>103</v>
      </c>
      <c r="J2291" s="513">
        <v>817211.09000000008</v>
      </c>
      <c r="K2291" s="513">
        <v>936103</v>
      </c>
      <c r="L2291" s="513">
        <v>0</v>
      </c>
      <c r="M2291" s="513">
        <v>-107196.50231811532</v>
      </c>
      <c r="N2291" s="622" t="s">
        <v>1724</v>
      </c>
    </row>
    <row r="2292" spans="2:14">
      <c r="B2292" s="513" t="s">
        <v>898</v>
      </c>
      <c r="C2292" s="658">
        <v>2012</v>
      </c>
      <c r="D2292" s="513">
        <v>-107196.50231811544</v>
      </c>
      <c r="E2292" s="513">
        <v>19273.551498125955</v>
      </c>
      <c r="F2292" s="513">
        <v>19273.551498125955</v>
      </c>
      <c r="G2292" s="660">
        <v>-87922.950819989492</v>
      </c>
      <c r="H2292" s="512">
        <v>0</v>
      </c>
      <c r="I2292" s="659" t="s">
        <v>103</v>
      </c>
      <c r="J2292" s="513">
        <v>0</v>
      </c>
      <c r="K2292" s="513">
        <v>0</v>
      </c>
      <c r="L2292" s="513">
        <v>6036.67</v>
      </c>
      <c r="M2292" s="513">
        <v>-93959.62081998949</v>
      </c>
      <c r="N2292" s="622" t="s">
        <v>1715</v>
      </c>
    </row>
    <row r="2293" spans="2:14">
      <c r="B2293" s="513" t="s">
        <v>898</v>
      </c>
      <c r="C2293" s="658">
        <v>2013</v>
      </c>
      <c r="D2293" s="513">
        <v>-93959.620819989359</v>
      </c>
      <c r="E2293" s="513">
        <v>30573.03536796572</v>
      </c>
      <c r="F2293" s="513">
        <v>30573.03536796572</v>
      </c>
      <c r="G2293" s="660">
        <v>-63386.585452023639</v>
      </c>
      <c r="H2293" s="512">
        <v>0</v>
      </c>
      <c r="I2293" s="659" t="s">
        <v>103</v>
      </c>
      <c r="J2293" s="513">
        <v>0</v>
      </c>
      <c r="K2293" s="513">
        <v>0</v>
      </c>
      <c r="L2293" s="513">
        <v>0</v>
      </c>
      <c r="M2293" s="513">
        <v>-63386.585452023639</v>
      </c>
      <c r="N2293" s="622" t="s">
        <v>1715</v>
      </c>
    </row>
    <row r="2294" spans="2:14">
      <c r="B2294" s="513" t="s">
        <v>898</v>
      </c>
      <c r="C2294" s="658">
        <v>2014</v>
      </c>
      <c r="D2294" s="513">
        <v>-63386.585452023661</v>
      </c>
      <c r="E2294" s="513">
        <v>31884.680536354383</v>
      </c>
      <c r="F2294" s="513">
        <v>31884.680536354383</v>
      </c>
      <c r="G2294" s="660">
        <v>-31501.904915669278</v>
      </c>
      <c r="H2294" s="512">
        <v>0</v>
      </c>
      <c r="I2294" s="659" t="s">
        <v>103</v>
      </c>
      <c r="J2294" s="513">
        <v>0</v>
      </c>
      <c r="K2294" s="513">
        <v>0</v>
      </c>
      <c r="L2294" s="513">
        <v>0</v>
      </c>
      <c r="M2294" s="513">
        <v>-31501.904915669278</v>
      </c>
      <c r="N2294" s="622" t="s">
        <v>1715</v>
      </c>
    </row>
    <row r="2295" spans="2:14">
      <c r="B2295" s="513" t="s">
        <v>898</v>
      </c>
      <c r="C2295" s="658">
        <v>2015</v>
      </c>
      <c r="D2295" s="513">
        <v>-31501.904915669234</v>
      </c>
      <c r="E2295" s="513">
        <v>32418.744510008062</v>
      </c>
      <c r="F2295" s="513">
        <v>32418.744510008062</v>
      </c>
      <c r="G2295" s="660">
        <v>0</v>
      </c>
      <c r="H2295" s="660">
        <v>0</v>
      </c>
      <c r="I2295" s="659" t="s">
        <v>103</v>
      </c>
      <c r="J2295" s="513">
        <v>0</v>
      </c>
      <c r="K2295" s="513">
        <v>0</v>
      </c>
      <c r="L2295" s="513">
        <v>0</v>
      </c>
      <c r="M2295" s="513">
        <v>916.83959433882774</v>
      </c>
      <c r="N2295" s="622"/>
    </row>
    <row r="2296" spans="2:14">
      <c r="B2296" s="513" t="s">
        <v>898</v>
      </c>
      <c r="C2296" s="658">
        <v>2016</v>
      </c>
      <c r="D2296" s="513">
        <v>916.83959433878772</v>
      </c>
      <c r="E2296" s="513">
        <v>22673.271942097908</v>
      </c>
      <c r="F2296" s="513">
        <v>22673.271942097908</v>
      </c>
      <c r="G2296" s="660">
        <v>0</v>
      </c>
      <c r="H2296" s="660">
        <v>0</v>
      </c>
      <c r="I2296" s="659" t="s">
        <v>103</v>
      </c>
      <c r="J2296" s="513">
        <v>0</v>
      </c>
      <c r="K2296" s="513">
        <v>0</v>
      </c>
      <c r="L2296" s="513">
        <v>0</v>
      </c>
      <c r="M2296" s="513">
        <v>23590.111536436696</v>
      </c>
      <c r="N2296" s="622"/>
    </row>
    <row r="2297" spans="2:14">
      <c r="B2297" s="513" t="s">
        <v>898</v>
      </c>
      <c r="C2297" s="658">
        <v>2017</v>
      </c>
      <c r="D2297" s="513">
        <v>23590.111536436714</v>
      </c>
      <c r="E2297" s="513">
        <v>20795.835471817292</v>
      </c>
      <c r="F2297" s="513">
        <v>20795.835471817292</v>
      </c>
      <c r="G2297" s="513">
        <v>0</v>
      </c>
      <c r="H2297" s="513">
        <v>0</v>
      </c>
      <c r="I2297" s="659" t="s">
        <v>103</v>
      </c>
      <c r="J2297" s="513">
        <v>0</v>
      </c>
      <c r="K2297" s="513">
        <v>0</v>
      </c>
      <c r="L2297" s="513">
        <v>0</v>
      </c>
      <c r="M2297" s="513">
        <v>44385.947008254007</v>
      </c>
      <c r="N2297" s="622"/>
    </row>
    <row r="2298" spans="2:14">
      <c r="B2298" s="513" t="s">
        <v>898</v>
      </c>
      <c r="C2298" s="889">
        <v>2018</v>
      </c>
      <c r="D2298" s="513">
        <v>44385.947008254007</v>
      </c>
      <c r="E2298" s="513">
        <f>VLOOKUP(B2298,'[6]2018 allocation'!$A$11:$B$218,2, FALSE)</f>
        <v>22482.52565543514</v>
      </c>
      <c r="F2298" s="513">
        <f>E2298</f>
        <v>22482.52565543514</v>
      </c>
      <c r="G2298" s="513">
        <v>0</v>
      </c>
      <c r="H2298" s="513">
        <v>0</v>
      </c>
      <c r="I2298" s="622" t="s">
        <v>103</v>
      </c>
      <c r="J2298" s="513">
        <f>VLOOKUP(B2298,'[6]Annual Spending Worksheet '!$C$6:$AG$250,28,FALSE)</f>
        <v>0</v>
      </c>
      <c r="K2298" s="513">
        <f>VLOOKUP(B2298,'[6]Annual Spending Worksheet '!$C$6:$AG$250,29,FALSE)</f>
        <v>0</v>
      </c>
      <c r="L2298" s="513">
        <v>0</v>
      </c>
      <c r="M2298" s="513">
        <f>D2298+E2298+H2298-J2298</f>
        <v>66868.472663689143</v>
      </c>
      <c r="N2298" s="513"/>
    </row>
    <row r="2299" spans="2:14">
      <c r="B2299" s="513" t="s">
        <v>898</v>
      </c>
      <c r="C2299" s="889">
        <v>2019</v>
      </c>
      <c r="D2299" s="513">
        <v>66868.472663689143</v>
      </c>
      <c r="E2299" s="513">
        <v>24203.504386202414</v>
      </c>
      <c r="F2299" s="513">
        <v>24203.504386202414</v>
      </c>
      <c r="G2299" s="513">
        <v>0</v>
      </c>
      <c r="H2299" s="513">
        <v>0</v>
      </c>
      <c r="I2299" s="622" t="s">
        <v>103</v>
      </c>
      <c r="J2299" s="513">
        <v>0</v>
      </c>
      <c r="K2299" s="513">
        <v>0</v>
      </c>
      <c r="L2299" s="513">
        <v>0</v>
      </c>
      <c r="M2299" s="513">
        <v>91071.97704989156</v>
      </c>
      <c r="N2299" s="513"/>
    </row>
    <row r="2300" spans="2:14">
      <c r="B2300" s="513" t="s">
        <v>902</v>
      </c>
      <c r="C2300" s="658">
        <v>2008</v>
      </c>
      <c r="D2300" s="513">
        <v>565861.05199999991</v>
      </c>
      <c r="E2300" s="512">
        <v>20150.818185535962</v>
      </c>
      <c r="F2300" s="513">
        <v>20150.818185535962</v>
      </c>
      <c r="G2300" s="512">
        <v>0</v>
      </c>
      <c r="H2300" s="512">
        <v>0</v>
      </c>
      <c r="I2300" s="659" t="s">
        <v>103</v>
      </c>
      <c r="J2300" s="513">
        <v>0</v>
      </c>
      <c r="K2300" s="513">
        <v>0</v>
      </c>
      <c r="L2300" s="513">
        <v>0</v>
      </c>
      <c r="M2300" s="513">
        <v>586011.87018553587</v>
      </c>
      <c r="N2300" s="622"/>
    </row>
    <row r="2301" spans="2:14">
      <c r="B2301" s="513" t="s">
        <v>902</v>
      </c>
      <c r="C2301" s="658">
        <v>2009</v>
      </c>
      <c r="D2301" s="513">
        <v>586011.87018553587</v>
      </c>
      <c r="E2301" s="512">
        <v>15647.39768378995</v>
      </c>
      <c r="F2301" s="513">
        <v>15647.39768378995</v>
      </c>
      <c r="G2301" s="512">
        <v>0</v>
      </c>
      <c r="H2301" s="512">
        <v>0</v>
      </c>
      <c r="I2301" s="659" t="s">
        <v>103</v>
      </c>
      <c r="J2301" s="513">
        <v>0</v>
      </c>
      <c r="K2301" s="513">
        <v>0</v>
      </c>
      <c r="L2301" s="513">
        <v>0</v>
      </c>
      <c r="M2301" s="513">
        <v>601659.26786932582</v>
      </c>
      <c r="N2301" s="622"/>
    </row>
    <row r="2302" spans="2:14">
      <c r="B2302" s="513" t="s">
        <v>902</v>
      </c>
      <c r="C2302" s="658">
        <v>2010</v>
      </c>
      <c r="D2302" s="513">
        <v>601659.26786932582</v>
      </c>
      <c r="E2302" s="512">
        <v>15621.89</v>
      </c>
      <c r="F2302" s="513">
        <v>15621.89</v>
      </c>
      <c r="G2302" s="512">
        <v>0</v>
      </c>
      <c r="H2302" s="512">
        <v>0</v>
      </c>
      <c r="I2302" s="659" t="s">
        <v>103</v>
      </c>
      <c r="J2302" s="513">
        <v>0</v>
      </c>
      <c r="K2302" s="513">
        <v>0</v>
      </c>
      <c r="L2302" s="513">
        <v>0</v>
      </c>
      <c r="M2302" s="513">
        <v>617281.15786932583</v>
      </c>
      <c r="N2302" s="622"/>
    </row>
    <row r="2303" spans="2:14">
      <c r="B2303" s="513" t="s">
        <v>902</v>
      </c>
      <c r="C2303" s="658">
        <v>2011</v>
      </c>
      <c r="D2303" s="513">
        <v>617281.15960860136</v>
      </c>
      <c r="E2303" s="512">
        <v>15948.262851268928</v>
      </c>
      <c r="F2303" s="513">
        <v>15948.262851268928</v>
      </c>
      <c r="G2303" s="512">
        <v>0</v>
      </c>
      <c r="H2303" s="512">
        <v>0</v>
      </c>
      <c r="I2303" s="659" t="s">
        <v>103</v>
      </c>
      <c r="J2303" s="513">
        <v>0</v>
      </c>
      <c r="K2303" s="513">
        <v>0</v>
      </c>
      <c r="L2303" s="513">
        <v>0</v>
      </c>
      <c r="M2303" s="513">
        <v>633229.42245987034</v>
      </c>
      <c r="N2303" s="622"/>
    </row>
    <row r="2304" spans="2:14">
      <c r="B2304" s="513" t="s">
        <v>902</v>
      </c>
      <c r="C2304" s="658">
        <v>2012</v>
      </c>
      <c r="D2304" s="513">
        <v>633229.42245987034</v>
      </c>
      <c r="E2304" s="513">
        <v>10597.992155451808</v>
      </c>
      <c r="F2304" s="513">
        <v>10597.992155451808</v>
      </c>
      <c r="G2304" s="512">
        <v>0</v>
      </c>
      <c r="H2304" s="512">
        <v>0</v>
      </c>
      <c r="I2304" s="659" t="s">
        <v>103</v>
      </c>
      <c r="J2304" s="513">
        <v>0</v>
      </c>
      <c r="K2304" s="513">
        <v>0</v>
      </c>
      <c r="L2304" s="513">
        <v>0</v>
      </c>
      <c r="M2304" s="513">
        <v>643827.41461532214</v>
      </c>
      <c r="N2304" s="622"/>
    </row>
    <row r="2305" spans="2:14">
      <c r="B2305" s="513" t="s">
        <v>902</v>
      </c>
      <c r="C2305" s="658">
        <v>2013</v>
      </c>
      <c r="D2305" s="513">
        <v>643827.41461532214</v>
      </c>
      <c r="E2305" s="513">
        <v>17982.707183341648</v>
      </c>
      <c r="F2305" s="513">
        <v>17982.707183341648</v>
      </c>
      <c r="G2305" s="512">
        <v>0</v>
      </c>
      <c r="H2305" s="512">
        <v>0</v>
      </c>
      <c r="I2305" s="659" t="s">
        <v>103</v>
      </c>
      <c r="J2305" s="513">
        <v>0</v>
      </c>
      <c r="K2305" s="513">
        <v>0</v>
      </c>
      <c r="L2305" s="513">
        <v>0</v>
      </c>
      <c r="M2305" s="513">
        <v>661810.12179866375</v>
      </c>
      <c r="N2305" s="622"/>
    </row>
    <row r="2306" spans="2:14">
      <c r="B2306" s="513" t="s">
        <v>902</v>
      </c>
      <c r="C2306" s="658">
        <v>2014</v>
      </c>
      <c r="D2306" s="513">
        <v>661810.12179866375</v>
      </c>
      <c r="E2306" s="513">
        <v>18839.493715528723</v>
      </c>
      <c r="F2306" s="513">
        <v>18839.493715528723</v>
      </c>
      <c r="G2306" s="512">
        <v>0</v>
      </c>
      <c r="H2306" s="512">
        <v>0</v>
      </c>
      <c r="I2306" s="659" t="s">
        <v>103</v>
      </c>
      <c r="J2306" s="513">
        <v>0</v>
      </c>
      <c r="K2306" s="513">
        <v>0</v>
      </c>
      <c r="L2306" s="513">
        <v>0</v>
      </c>
      <c r="M2306" s="513">
        <v>680649.6155141925</v>
      </c>
      <c r="N2306" s="622"/>
    </row>
    <row r="2307" spans="2:14">
      <c r="B2307" s="513" t="s">
        <v>902</v>
      </c>
      <c r="C2307" s="658">
        <v>2015</v>
      </c>
      <c r="D2307" s="513">
        <v>680649.6155141925</v>
      </c>
      <c r="E2307" s="513">
        <v>19179.410581511114</v>
      </c>
      <c r="F2307" s="513">
        <v>19179.410581511114</v>
      </c>
      <c r="G2307" s="512">
        <v>0</v>
      </c>
      <c r="H2307" s="660">
        <v>0</v>
      </c>
      <c r="I2307" s="659" t="s">
        <v>103</v>
      </c>
      <c r="J2307" s="513">
        <v>0</v>
      </c>
      <c r="K2307" s="513">
        <v>0</v>
      </c>
      <c r="L2307" s="513">
        <v>0</v>
      </c>
      <c r="M2307" s="513">
        <v>699829.02609570359</v>
      </c>
      <c r="N2307" s="622"/>
    </row>
    <row r="2308" spans="2:14">
      <c r="B2308" s="513" t="s">
        <v>902</v>
      </c>
      <c r="C2308" s="658">
        <v>2016</v>
      </c>
      <c r="D2308" s="513">
        <v>699829.02609570359</v>
      </c>
      <c r="E2308" s="513">
        <v>12851.894996062456</v>
      </c>
      <c r="F2308" s="513">
        <v>12851.894996062456</v>
      </c>
      <c r="G2308" s="660">
        <v>0</v>
      </c>
      <c r="H2308" s="660">
        <v>0</v>
      </c>
      <c r="I2308" s="659" t="s">
        <v>103</v>
      </c>
      <c r="J2308" s="513">
        <v>0</v>
      </c>
      <c r="K2308" s="513">
        <v>0</v>
      </c>
      <c r="L2308" s="513">
        <v>0</v>
      </c>
      <c r="M2308" s="513">
        <v>712680.9210917661</v>
      </c>
      <c r="N2308" s="622"/>
    </row>
    <row r="2309" spans="2:14">
      <c r="B2309" s="513" t="s">
        <v>902</v>
      </c>
      <c r="C2309" s="658">
        <v>2017</v>
      </c>
      <c r="D2309" s="513">
        <v>712680.9210917661</v>
      </c>
      <c r="E2309" s="513">
        <v>11657.208532001307</v>
      </c>
      <c r="F2309" s="513">
        <v>11657.208532001307</v>
      </c>
      <c r="G2309" s="513">
        <v>0</v>
      </c>
      <c r="H2309" s="513">
        <v>0</v>
      </c>
      <c r="I2309" s="659" t="s">
        <v>103</v>
      </c>
      <c r="J2309" s="513">
        <v>0</v>
      </c>
      <c r="K2309" s="513">
        <v>0</v>
      </c>
      <c r="L2309" s="513">
        <v>0</v>
      </c>
      <c r="M2309" s="513">
        <v>724338.12962376745</v>
      </c>
      <c r="N2309" s="622"/>
    </row>
    <row r="2310" spans="2:14">
      <c r="B2310" s="513" t="s">
        <v>902</v>
      </c>
      <c r="C2310" s="889">
        <v>2018</v>
      </c>
      <c r="D2310" s="513">
        <v>724338.12962376745</v>
      </c>
      <c r="E2310" s="513">
        <f>VLOOKUP(B2310,'[6]2018 allocation'!$A$11:$B$218,2, FALSE)</f>
        <v>12739.51242068946</v>
      </c>
      <c r="F2310" s="513">
        <f>E2310</f>
        <v>12739.51242068946</v>
      </c>
      <c r="G2310" s="513">
        <v>0</v>
      </c>
      <c r="H2310" s="513">
        <v>0</v>
      </c>
      <c r="I2310" s="622" t="s">
        <v>103</v>
      </c>
      <c r="J2310" s="513">
        <f>VLOOKUP(B2310,'[6]Annual Spending Worksheet '!$C$6:$AG$250,28,FALSE)</f>
        <v>0</v>
      </c>
      <c r="K2310" s="513">
        <f>VLOOKUP(B2310,'[6]Annual Spending Worksheet '!$C$6:$AG$250,29,FALSE)</f>
        <v>0</v>
      </c>
      <c r="L2310" s="513">
        <v>0</v>
      </c>
      <c r="M2310" s="513">
        <f>D2310+E2310+H2310-J2310</f>
        <v>737077.64204445691</v>
      </c>
      <c r="N2310" s="513"/>
    </row>
    <row r="2311" spans="2:14">
      <c r="B2311" s="513" t="s">
        <v>902</v>
      </c>
      <c r="C2311" s="889">
        <v>2019</v>
      </c>
      <c r="D2311" s="513">
        <v>737077.64204445691</v>
      </c>
      <c r="E2311" s="513">
        <v>13847.276185853802</v>
      </c>
      <c r="F2311" s="513">
        <v>13847.276185853802</v>
      </c>
      <c r="G2311" s="513">
        <v>0</v>
      </c>
      <c r="H2311" s="513">
        <v>0</v>
      </c>
      <c r="I2311" s="622" t="s">
        <v>103</v>
      </c>
      <c r="J2311" s="513">
        <v>0</v>
      </c>
      <c r="K2311" s="513">
        <v>0</v>
      </c>
      <c r="L2311" s="513">
        <v>0</v>
      </c>
      <c r="M2311" s="513">
        <v>750924.91823031066</v>
      </c>
      <c r="N2311" s="513"/>
    </row>
    <row r="2312" spans="2:14">
      <c r="B2312" s="513" t="s">
        <v>905</v>
      </c>
      <c r="C2312" s="658">
        <v>2008</v>
      </c>
      <c r="D2312" s="513">
        <v>213442.10299999989</v>
      </c>
      <c r="E2312" s="512">
        <v>34446.397327377796</v>
      </c>
      <c r="F2312" s="513">
        <v>34446.397327377796</v>
      </c>
      <c r="G2312" s="512">
        <v>0</v>
      </c>
      <c r="H2312" s="512">
        <v>0</v>
      </c>
      <c r="I2312" s="659" t="s">
        <v>103</v>
      </c>
      <c r="J2312" s="513">
        <v>0</v>
      </c>
      <c r="K2312" s="513">
        <v>0</v>
      </c>
      <c r="L2312" s="513">
        <v>0</v>
      </c>
      <c r="M2312" s="513">
        <v>247888.5003273777</v>
      </c>
      <c r="N2312" s="622"/>
    </row>
    <row r="2313" spans="2:14">
      <c r="B2313" s="513" t="s">
        <v>905</v>
      </c>
      <c r="C2313" s="658">
        <v>2009</v>
      </c>
      <c r="D2313" s="513">
        <v>247888.50032737781</v>
      </c>
      <c r="E2313" s="512">
        <v>27416.984705428906</v>
      </c>
      <c r="F2313" s="513">
        <v>27416.984705428906</v>
      </c>
      <c r="G2313" s="512">
        <v>0</v>
      </c>
      <c r="H2313" s="512">
        <v>0</v>
      </c>
      <c r="I2313" s="659" t="s">
        <v>103</v>
      </c>
      <c r="J2313" s="513">
        <v>0</v>
      </c>
      <c r="K2313" s="513">
        <v>0</v>
      </c>
      <c r="L2313" s="513">
        <v>0</v>
      </c>
      <c r="M2313" s="513">
        <v>275305.4850328067</v>
      </c>
      <c r="N2313" s="622"/>
    </row>
    <row r="2314" spans="2:14">
      <c r="B2314" s="513" t="s">
        <v>905</v>
      </c>
      <c r="C2314" s="658">
        <v>2010</v>
      </c>
      <c r="D2314" s="513">
        <v>275305.48503280687</v>
      </c>
      <c r="E2314" s="512">
        <v>27368.54</v>
      </c>
      <c r="F2314" s="513">
        <v>27368.54</v>
      </c>
      <c r="G2314" s="512">
        <v>0</v>
      </c>
      <c r="H2314" s="512">
        <v>0</v>
      </c>
      <c r="I2314" s="659" t="s">
        <v>103</v>
      </c>
      <c r="J2314" s="513">
        <v>0</v>
      </c>
      <c r="K2314" s="513">
        <v>0</v>
      </c>
      <c r="L2314" s="513">
        <v>0</v>
      </c>
      <c r="M2314" s="513">
        <v>302674.02503280685</v>
      </c>
      <c r="N2314" s="622"/>
    </row>
    <row r="2315" spans="2:14">
      <c r="B2315" s="513" t="s">
        <v>905</v>
      </c>
      <c r="C2315" s="658">
        <v>2011</v>
      </c>
      <c r="D2315" s="513">
        <v>302674.02834415738</v>
      </c>
      <c r="E2315" s="512">
        <v>27861.331269909359</v>
      </c>
      <c r="F2315" s="513">
        <v>27861.331269909359</v>
      </c>
      <c r="G2315" s="512">
        <v>0</v>
      </c>
      <c r="H2315" s="512">
        <v>0</v>
      </c>
      <c r="I2315" s="659" t="s">
        <v>103</v>
      </c>
      <c r="J2315" s="513">
        <v>0</v>
      </c>
      <c r="K2315" s="513">
        <v>0</v>
      </c>
      <c r="L2315" s="513">
        <v>0</v>
      </c>
      <c r="M2315" s="513">
        <v>330535.35961406672</v>
      </c>
      <c r="N2315" s="622"/>
    </row>
    <row r="2316" spans="2:14">
      <c r="B2316" s="513" t="s">
        <v>905</v>
      </c>
      <c r="C2316" s="658">
        <v>2012</v>
      </c>
      <c r="D2316" s="513">
        <v>330535.35961406678</v>
      </c>
      <c r="E2316" s="513">
        <v>19125.240121392235</v>
      </c>
      <c r="F2316" s="513">
        <v>19125.240121392235</v>
      </c>
      <c r="G2316" s="512">
        <v>0</v>
      </c>
      <c r="H2316" s="512">
        <v>0</v>
      </c>
      <c r="I2316" s="659" t="s">
        <v>103</v>
      </c>
      <c r="J2316" s="513">
        <v>0</v>
      </c>
      <c r="K2316" s="513">
        <v>0</v>
      </c>
      <c r="L2316" s="513">
        <v>0</v>
      </c>
      <c r="M2316" s="513">
        <v>349660.59973545902</v>
      </c>
      <c r="N2316" s="622"/>
    </row>
    <row r="2317" spans="2:14">
      <c r="B2317" s="513" t="s">
        <v>905</v>
      </c>
      <c r="C2317" s="658">
        <v>2013</v>
      </c>
      <c r="D2317" s="513">
        <v>349660.59973545908</v>
      </c>
      <c r="E2317" s="513">
        <v>31154.575578667049</v>
      </c>
      <c r="F2317" s="513">
        <v>31154.575578667049</v>
      </c>
      <c r="G2317" s="512">
        <v>0</v>
      </c>
      <c r="H2317" s="512">
        <v>0</v>
      </c>
      <c r="I2317" s="659" t="s">
        <v>103</v>
      </c>
      <c r="J2317" s="513">
        <v>0</v>
      </c>
      <c r="K2317" s="513">
        <v>0</v>
      </c>
      <c r="L2317" s="513">
        <v>0</v>
      </c>
      <c r="M2317" s="513">
        <v>380815.17531412613</v>
      </c>
      <c r="N2317" s="622"/>
    </row>
    <row r="2318" spans="2:14">
      <c r="B2318" s="513" t="s">
        <v>905</v>
      </c>
      <c r="C2318" s="658">
        <v>2014</v>
      </c>
      <c r="D2318" s="513">
        <v>380815.17531412607</v>
      </c>
      <c r="E2318" s="513">
        <v>32561.612133264542</v>
      </c>
      <c r="F2318" s="513">
        <v>32561.612133264542</v>
      </c>
      <c r="G2318" s="512">
        <v>0</v>
      </c>
      <c r="H2318" s="512">
        <v>0</v>
      </c>
      <c r="I2318" s="659" t="s">
        <v>103</v>
      </c>
      <c r="J2318" s="513">
        <v>0</v>
      </c>
      <c r="K2318" s="513">
        <v>0</v>
      </c>
      <c r="L2318" s="513">
        <v>0</v>
      </c>
      <c r="M2318" s="513">
        <v>413376.78744739061</v>
      </c>
      <c r="N2318" s="622"/>
    </row>
    <row r="2319" spans="2:14">
      <c r="B2319" s="513" t="s">
        <v>905</v>
      </c>
      <c r="C2319" s="658">
        <v>2015</v>
      </c>
      <c r="D2319" s="513">
        <v>413376.78744739061</v>
      </c>
      <c r="E2319" s="513">
        <v>33124.150988686029</v>
      </c>
      <c r="F2319" s="513">
        <v>33124.150988686029</v>
      </c>
      <c r="G2319" s="660">
        <v>0</v>
      </c>
      <c r="H2319" s="660">
        <v>0</v>
      </c>
      <c r="I2319" s="659" t="s">
        <v>103</v>
      </c>
      <c r="J2319" s="513">
        <v>0</v>
      </c>
      <c r="K2319" s="513">
        <v>0</v>
      </c>
      <c r="L2319" s="513">
        <v>0</v>
      </c>
      <c r="M2319" s="513">
        <v>446500.93843607663</v>
      </c>
      <c r="N2319" s="622"/>
    </row>
    <row r="2320" spans="2:14">
      <c r="B2320" s="513" t="s">
        <v>905</v>
      </c>
      <c r="C2320" s="658">
        <v>2016</v>
      </c>
      <c r="D2320" s="513">
        <v>446500.93843607674</v>
      </c>
      <c r="E2320" s="513">
        <v>22707.740300912785</v>
      </c>
      <c r="F2320" s="513">
        <v>22707.740300912785</v>
      </c>
      <c r="G2320" s="660">
        <v>0</v>
      </c>
      <c r="H2320" s="660">
        <v>0</v>
      </c>
      <c r="I2320" s="659" t="s">
        <v>103</v>
      </c>
      <c r="J2320" s="513">
        <v>0</v>
      </c>
      <c r="K2320" s="513">
        <v>0</v>
      </c>
      <c r="L2320" s="513">
        <v>0</v>
      </c>
      <c r="M2320" s="513">
        <v>469208.6787369895</v>
      </c>
      <c r="N2320" s="622"/>
    </row>
    <row r="2321" spans="2:14">
      <c r="B2321" s="513" t="s">
        <v>905</v>
      </c>
      <c r="C2321" s="658">
        <v>2017</v>
      </c>
      <c r="D2321" s="513">
        <v>469208.67873698962</v>
      </c>
      <c r="E2321" s="513">
        <v>20651.847047928663</v>
      </c>
      <c r="F2321" s="513">
        <v>20651.847047928663</v>
      </c>
      <c r="G2321" s="513">
        <v>0</v>
      </c>
      <c r="H2321" s="513">
        <v>0</v>
      </c>
      <c r="I2321" s="659" t="s">
        <v>103</v>
      </c>
      <c r="J2321" s="513">
        <v>0</v>
      </c>
      <c r="K2321" s="513">
        <v>0</v>
      </c>
      <c r="L2321" s="513">
        <v>0</v>
      </c>
      <c r="M2321" s="513">
        <v>489860.52578491828</v>
      </c>
      <c r="N2321" s="622"/>
    </row>
    <row r="2322" spans="2:14">
      <c r="B2322" s="513" t="s">
        <v>905</v>
      </c>
      <c r="C2322" s="889">
        <v>2018</v>
      </c>
      <c r="D2322" s="513">
        <v>489860.52578491828</v>
      </c>
      <c r="E2322" s="513">
        <f>VLOOKUP(B2322,'[6]2018 allocation'!$A$11:$B$218,2, FALSE)</f>
        <v>22390.700799660823</v>
      </c>
      <c r="F2322" s="513">
        <f>E2322</f>
        <v>22390.700799660823</v>
      </c>
      <c r="G2322" s="513">
        <v>0</v>
      </c>
      <c r="H2322" s="513">
        <v>0</v>
      </c>
      <c r="I2322" s="622" t="s">
        <v>103</v>
      </c>
      <c r="J2322" s="513">
        <f>VLOOKUP(B2322,'[6]Annual Spending Worksheet '!$C$6:$AG$250,28,FALSE)</f>
        <v>0</v>
      </c>
      <c r="K2322" s="513">
        <f>VLOOKUP(B2322,'[6]Annual Spending Worksheet '!$C$6:$AG$250,29,FALSE)</f>
        <v>0</v>
      </c>
      <c r="L2322" s="513">
        <v>0</v>
      </c>
      <c r="M2322" s="513">
        <f>D2322+E2322+H2322-J2322</f>
        <v>512251.2265845791</v>
      </c>
      <c r="N2322" s="513"/>
    </row>
    <row r="2323" spans="2:14">
      <c r="B2323" s="513" t="s">
        <v>905</v>
      </c>
      <c r="C2323" s="889">
        <v>2019</v>
      </c>
      <c r="D2323" s="513">
        <v>512251.2265845791</v>
      </c>
      <c r="E2323" s="513">
        <v>24136.521856496431</v>
      </c>
      <c r="F2323" s="513">
        <v>24136.521856496431</v>
      </c>
      <c r="G2323" s="513">
        <v>0</v>
      </c>
      <c r="H2323" s="513">
        <v>0</v>
      </c>
      <c r="I2323" s="622" t="s">
        <v>103</v>
      </c>
      <c r="J2323" s="513">
        <v>0</v>
      </c>
      <c r="K2323" s="513">
        <v>0</v>
      </c>
      <c r="L2323" s="513">
        <v>0</v>
      </c>
      <c r="M2323" s="513">
        <v>536387.74844107556</v>
      </c>
      <c r="N2323" s="513"/>
    </row>
    <row r="2324" spans="2:14">
      <c r="B2324" s="513" t="s">
        <v>908</v>
      </c>
      <c r="C2324" s="658">
        <v>2008</v>
      </c>
      <c r="D2324" s="513">
        <v>39327.529000000097</v>
      </c>
      <c r="E2324" s="512">
        <v>106414.55860980437</v>
      </c>
      <c r="F2324" s="513">
        <v>106414.55860980437</v>
      </c>
      <c r="G2324" s="512">
        <v>0</v>
      </c>
      <c r="H2324" s="512">
        <v>0</v>
      </c>
      <c r="I2324" s="659" t="s">
        <v>103</v>
      </c>
      <c r="J2324" s="513">
        <v>0</v>
      </c>
      <c r="K2324" s="513">
        <v>0</v>
      </c>
      <c r="L2324" s="513">
        <v>0</v>
      </c>
      <c r="M2324" s="513">
        <v>145742.08760980447</v>
      </c>
      <c r="N2324" s="622"/>
    </row>
    <row r="2325" spans="2:14">
      <c r="B2325" s="513" t="s">
        <v>908</v>
      </c>
      <c r="C2325" s="658">
        <v>2009</v>
      </c>
      <c r="D2325" s="513">
        <v>145742.08760980517</v>
      </c>
      <c r="E2325" s="512">
        <v>79300.382248902504</v>
      </c>
      <c r="F2325" s="513">
        <v>79300.382248902504</v>
      </c>
      <c r="G2325" s="512">
        <v>0</v>
      </c>
      <c r="H2325" s="512">
        <v>0</v>
      </c>
      <c r="I2325" s="659" t="s">
        <v>103</v>
      </c>
      <c r="J2325" s="513">
        <v>0</v>
      </c>
      <c r="K2325" s="513">
        <v>0</v>
      </c>
      <c r="L2325" s="513">
        <v>0</v>
      </c>
      <c r="M2325" s="513">
        <v>225042.46985870769</v>
      </c>
      <c r="N2325" s="622"/>
    </row>
    <row r="2326" spans="2:14">
      <c r="B2326" s="513" t="s">
        <v>908</v>
      </c>
      <c r="C2326" s="658">
        <v>2010</v>
      </c>
      <c r="D2326" s="513">
        <v>225042.46985870693</v>
      </c>
      <c r="E2326" s="512">
        <v>79122.97</v>
      </c>
      <c r="F2326" s="513">
        <v>79122.97</v>
      </c>
      <c r="G2326" s="512">
        <v>0</v>
      </c>
      <c r="H2326" s="512">
        <v>0</v>
      </c>
      <c r="I2326" s="659" t="s">
        <v>103</v>
      </c>
      <c r="J2326" s="513">
        <v>0</v>
      </c>
      <c r="K2326" s="513">
        <v>0</v>
      </c>
      <c r="L2326" s="513">
        <v>0</v>
      </c>
      <c r="M2326" s="513">
        <v>304165.4398587069</v>
      </c>
      <c r="N2326" s="622"/>
    </row>
    <row r="2327" spans="2:14">
      <c r="B2327" s="513" t="s">
        <v>908</v>
      </c>
      <c r="C2327" s="658">
        <v>2011</v>
      </c>
      <c r="D2327" s="513">
        <v>304165.44165769685</v>
      </c>
      <c r="E2327" s="512">
        <v>81066.650629766737</v>
      </c>
      <c r="F2327" s="513">
        <v>81066.650629766737</v>
      </c>
      <c r="G2327" s="512">
        <v>0</v>
      </c>
      <c r="H2327" s="512">
        <v>0</v>
      </c>
      <c r="I2327" s="659" t="s">
        <v>103</v>
      </c>
      <c r="J2327" s="513">
        <v>0</v>
      </c>
      <c r="K2327" s="513">
        <v>0</v>
      </c>
      <c r="L2327" s="513">
        <v>0</v>
      </c>
      <c r="M2327" s="513">
        <v>385232.0922874636</v>
      </c>
      <c r="N2327" s="622"/>
    </row>
    <row r="2328" spans="2:14">
      <c r="B2328" s="513" t="s">
        <v>908</v>
      </c>
      <c r="C2328" s="658">
        <v>2012</v>
      </c>
      <c r="D2328" s="513">
        <v>385232.09228746407</v>
      </c>
      <c r="E2328" s="513">
        <v>48212.771860704655</v>
      </c>
      <c r="F2328" s="513">
        <v>48212.771860704655</v>
      </c>
      <c r="G2328" s="512">
        <v>0</v>
      </c>
      <c r="H2328" s="512">
        <v>0</v>
      </c>
      <c r="I2328" s="659" t="s">
        <v>103</v>
      </c>
      <c r="J2328" s="513">
        <v>0</v>
      </c>
      <c r="K2328" s="513">
        <v>0</v>
      </c>
      <c r="L2328" s="513">
        <v>0</v>
      </c>
      <c r="M2328" s="513">
        <v>433444.86414816871</v>
      </c>
      <c r="N2328" s="622"/>
    </row>
    <row r="2329" spans="2:14">
      <c r="B2329" s="513" t="s">
        <v>908</v>
      </c>
      <c r="C2329" s="658">
        <v>2013</v>
      </c>
      <c r="D2329" s="513">
        <v>433444.86414816882</v>
      </c>
      <c r="E2329" s="513">
        <v>93523.198428640273</v>
      </c>
      <c r="F2329" s="513">
        <v>93523.198428640273</v>
      </c>
      <c r="G2329" s="512">
        <v>0</v>
      </c>
      <c r="H2329" s="512">
        <v>0</v>
      </c>
      <c r="I2329" s="659" t="s">
        <v>103</v>
      </c>
      <c r="J2329" s="513">
        <v>0</v>
      </c>
      <c r="K2329" s="513">
        <v>0</v>
      </c>
      <c r="L2329" s="513">
        <v>0</v>
      </c>
      <c r="M2329" s="513">
        <v>526968.06257680908</v>
      </c>
      <c r="N2329" s="622"/>
    </row>
    <row r="2330" spans="2:14">
      <c r="B2330" s="513" t="s">
        <v>908</v>
      </c>
      <c r="C2330" s="658">
        <v>2014</v>
      </c>
      <c r="D2330" s="513">
        <v>526968.06257680897</v>
      </c>
      <c r="E2330" s="513">
        <v>98802.357426534494</v>
      </c>
      <c r="F2330" s="513">
        <v>98802.357426534494</v>
      </c>
      <c r="G2330" s="512">
        <v>0</v>
      </c>
      <c r="H2330" s="512">
        <v>0</v>
      </c>
      <c r="I2330" s="659" t="s">
        <v>103</v>
      </c>
      <c r="J2330" s="513">
        <v>0</v>
      </c>
      <c r="K2330" s="513">
        <v>0</v>
      </c>
      <c r="L2330" s="513">
        <v>0</v>
      </c>
      <c r="M2330" s="513">
        <v>625770.42000334349</v>
      </c>
      <c r="N2330" s="622"/>
    </row>
    <row r="2331" spans="2:14">
      <c r="B2331" s="513" t="s">
        <v>908</v>
      </c>
      <c r="C2331" s="658">
        <v>2015</v>
      </c>
      <c r="D2331" s="513">
        <v>625770.42000334337</v>
      </c>
      <c r="E2331" s="513">
        <v>100963.59342498805</v>
      </c>
      <c r="F2331" s="513">
        <v>100963.59342498805</v>
      </c>
      <c r="G2331" s="660">
        <v>0</v>
      </c>
      <c r="H2331" s="660">
        <v>0</v>
      </c>
      <c r="I2331" s="659" t="s">
        <v>103</v>
      </c>
      <c r="J2331" s="513">
        <v>0</v>
      </c>
      <c r="K2331" s="513">
        <v>0</v>
      </c>
      <c r="L2331" s="513">
        <v>0</v>
      </c>
      <c r="M2331" s="513">
        <v>726734.01342833147</v>
      </c>
      <c r="N2331" s="622"/>
    </row>
    <row r="2332" spans="2:14">
      <c r="B2332" s="513" t="s">
        <v>908</v>
      </c>
      <c r="C2332" s="658">
        <v>2016</v>
      </c>
      <c r="D2332" s="513">
        <v>726734.01342833135</v>
      </c>
      <c r="E2332" s="513">
        <v>61470.135824525663</v>
      </c>
      <c r="F2332" s="513">
        <v>61470.135824525663</v>
      </c>
      <c r="G2332" s="660">
        <v>0</v>
      </c>
      <c r="H2332" s="660">
        <v>0</v>
      </c>
      <c r="I2332" s="659" t="s">
        <v>103</v>
      </c>
      <c r="J2332" s="513">
        <v>0</v>
      </c>
      <c r="K2332" s="513">
        <v>0</v>
      </c>
      <c r="L2332" s="513">
        <v>0</v>
      </c>
      <c r="M2332" s="513">
        <v>788204.14925285697</v>
      </c>
      <c r="N2332" s="622"/>
    </row>
    <row r="2333" spans="2:14">
      <c r="B2333" s="513" t="s">
        <v>908</v>
      </c>
      <c r="C2333" s="658">
        <v>2017</v>
      </c>
      <c r="D2333" s="513">
        <v>788204.14925285708</v>
      </c>
      <c r="E2333" s="513">
        <v>53673.78927611612</v>
      </c>
      <c r="F2333" s="513">
        <v>53673.78927611612</v>
      </c>
      <c r="G2333" s="513">
        <v>0</v>
      </c>
      <c r="H2333" s="513">
        <v>0</v>
      </c>
      <c r="I2333" s="659" t="s">
        <v>103</v>
      </c>
      <c r="J2333" s="513">
        <v>0</v>
      </c>
      <c r="K2333" s="513">
        <v>0</v>
      </c>
      <c r="L2333" s="513">
        <v>0</v>
      </c>
      <c r="M2333" s="513">
        <v>841877.93852897314</v>
      </c>
      <c r="N2333" s="622"/>
    </row>
    <row r="2334" spans="2:14">
      <c r="B2334" s="513" t="s">
        <v>908</v>
      </c>
      <c r="C2334" s="889">
        <v>2018</v>
      </c>
      <c r="D2334" s="513">
        <v>841877.93852897314</v>
      </c>
      <c r="E2334" s="513">
        <f>VLOOKUP(B2334,'[6]2018 allocation'!$A$11:$B$218,2, FALSE)</f>
        <v>60235.273527633522</v>
      </c>
      <c r="F2334" s="513">
        <f>E2334</f>
        <v>60235.273527633522</v>
      </c>
      <c r="G2334" s="513">
        <v>0</v>
      </c>
      <c r="H2334" s="513">
        <v>0</v>
      </c>
      <c r="I2334" s="622" t="s">
        <v>103</v>
      </c>
      <c r="J2334" s="513">
        <f>VLOOKUP(B2334,'[6]Annual Spending Worksheet '!$C$6:$AG$250,28,FALSE)</f>
        <v>0</v>
      </c>
      <c r="K2334" s="513">
        <f>VLOOKUP(B2334,'[6]Annual Spending Worksheet '!$C$6:$AG$250,29,FALSE)</f>
        <v>0</v>
      </c>
      <c r="L2334" s="513">
        <v>0</v>
      </c>
      <c r="M2334" s="513">
        <f>D2334+E2334+H2334-J2334</f>
        <v>902113.21205660666</v>
      </c>
      <c r="N2334" s="513"/>
    </row>
    <row r="2335" spans="2:14">
      <c r="B2335" s="513" t="s">
        <v>908</v>
      </c>
      <c r="C2335" s="889">
        <v>2019</v>
      </c>
      <c r="D2335" s="513">
        <v>902113.21205660666</v>
      </c>
      <c r="E2335" s="513">
        <v>67145.538328775205</v>
      </c>
      <c r="F2335" s="513">
        <v>67145.538328775205</v>
      </c>
      <c r="G2335" s="513">
        <v>0</v>
      </c>
      <c r="H2335" s="513">
        <v>0</v>
      </c>
      <c r="I2335" s="622" t="s">
        <v>103</v>
      </c>
      <c r="J2335" s="513">
        <v>0</v>
      </c>
      <c r="K2335" s="513">
        <v>0</v>
      </c>
      <c r="L2335" s="513">
        <v>0</v>
      </c>
      <c r="M2335" s="513">
        <v>969258.75038538186</v>
      </c>
      <c r="N2335" s="513"/>
    </row>
    <row r="2336" spans="2:14" ht="29.1">
      <c r="B2336" s="513" t="s">
        <v>911</v>
      </c>
      <c r="C2336" s="658">
        <v>2008</v>
      </c>
      <c r="D2336" s="513">
        <v>-562655.7519999994</v>
      </c>
      <c r="E2336" s="512">
        <v>122373.6123952815</v>
      </c>
      <c r="F2336" s="513">
        <v>122373.6123952815</v>
      </c>
      <c r="G2336" s="512">
        <v>-440282.1396047179</v>
      </c>
      <c r="H2336" s="512">
        <v>0</v>
      </c>
      <c r="I2336" s="659" t="s">
        <v>103</v>
      </c>
      <c r="J2336" s="513">
        <v>0</v>
      </c>
      <c r="K2336" s="513">
        <v>0</v>
      </c>
      <c r="L2336" s="513">
        <v>0</v>
      </c>
      <c r="M2336" s="513">
        <v>-440282.1396047179</v>
      </c>
      <c r="N2336" s="622" t="s">
        <v>1711</v>
      </c>
    </row>
    <row r="2337" spans="2:14" ht="29.1">
      <c r="B2337" s="513" t="s">
        <v>911</v>
      </c>
      <c r="C2337" s="658">
        <v>2009</v>
      </c>
      <c r="D2337" s="513">
        <v>-440282.13960471842</v>
      </c>
      <c r="E2337" s="512">
        <v>92383.035501668914</v>
      </c>
      <c r="F2337" s="513">
        <v>92383.035501668914</v>
      </c>
      <c r="G2337" s="512">
        <v>-347899.1041030495</v>
      </c>
      <c r="H2337" s="512">
        <v>0</v>
      </c>
      <c r="I2337" s="659" t="s">
        <v>103</v>
      </c>
      <c r="J2337" s="513">
        <v>0</v>
      </c>
      <c r="K2337" s="513">
        <v>0</v>
      </c>
      <c r="L2337" s="513">
        <v>0</v>
      </c>
      <c r="M2337" s="513">
        <v>-347899.1041030495</v>
      </c>
      <c r="N2337" s="622" t="s">
        <v>1711</v>
      </c>
    </row>
    <row r="2338" spans="2:14" ht="29.1">
      <c r="B2338" s="513" t="s">
        <v>911</v>
      </c>
      <c r="C2338" s="658">
        <v>2010</v>
      </c>
      <c r="D2338" s="513">
        <v>-347899.10410305019</v>
      </c>
      <c r="E2338" s="512">
        <v>92171.99</v>
      </c>
      <c r="F2338" s="513">
        <v>92171.99</v>
      </c>
      <c r="G2338" s="512">
        <v>-255727.1141030502</v>
      </c>
      <c r="H2338" s="512">
        <v>0</v>
      </c>
      <c r="I2338" s="659" t="s">
        <v>103</v>
      </c>
      <c r="J2338" s="513">
        <v>0</v>
      </c>
      <c r="K2338" s="513">
        <v>0</v>
      </c>
      <c r="L2338" s="513">
        <v>0</v>
      </c>
      <c r="M2338" s="513">
        <v>-255727.1141030502</v>
      </c>
      <c r="N2338" s="622" t="s">
        <v>1711</v>
      </c>
    </row>
    <row r="2339" spans="2:14" ht="29.1">
      <c r="B2339" s="513" t="s">
        <v>911</v>
      </c>
      <c r="C2339" s="658">
        <v>2011</v>
      </c>
      <c r="D2339" s="513">
        <v>-255727.11698739324</v>
      </c>
      <c r="E2339" s="512">
        <v>94314.54205021399</v>
      </c>
      <c r="F2339" s="513">
        <v>94314.54205021399</v>
      </c>
      <c r="G2339" s="512">
        <v>-161412.57493717925</v>
      </c>
      <c r="H2339" s="512">
        <v>0</v>
      </c>
      <c r="I2339" s="659" t="s">
        <v>103</v>
      </c>
      <c r="J2339" s="513">
        <v>0</v>
      </c>
      <c r="K2339" s="513">
        <v>0</v>
      </c>
      <c r="L2339" s="513">
        <v>0</v>
      </c>
      <c r="M2339" s="513">
        <v>-161412.57493717925</v>
      </c>
      <c r="N2339" s="622" t="s">
        <v>1711</v>
      </c>
    </row>
    <row r="2340" spans="2:14" ht="29.1">
      <c r="B2340" s="513" t="s">
        <v>911</v>
      </c>
      <c r="C2340" s="658">
        <v>2012</v>
      </c>
      <c r="D2340" s="513">
        <v>-161412.57493717875</v>
      </c>
      <c r="E2340" s="512">
        <v>57701.477306109693</v>
      </c>
      <c r="F2340" s="513">
        <v>57701.477306109693</v>
      </c>
      <c r="G2340" s="512">
        <v>-103711.09763106906</v>
      </c>
      <c r="H2340" s="512">
        <v>0</v>
      </c>
      <c r="I2340" s="659" t="s">
        <v>103</v>
      </c>
      <c r="J2340" s="513">
        <v>0</v>
      </c>
      <c r="K2340" s="513">
        <v>0</v>
      </c>
      <c r="L2340" s="513">
        <v>0</v>
      </c>
      <c r="M2340" s="513">
        <v>-103711.09763106906</v>
      </c>
      <c r="N2340" s="622" t="s">
        <v>1711</v>
      </c>
    </row>
    <row r="2341" spans="2:14">
      <c r="B2341" s="513" t="s">
        <v>911</v>
      </c>
      <c r="C2341" s="658">
        <v>2013</v>
      </c>
      <c r="D2341" s="513">
        <v>-103711.0976310689</v>
      </c>
      <c r="E2341" s="513">
        <v>108200.15283930233</v>
      </c>
      <c r="F2341" s="513">
        <v>108200.15283930233</v>
      </c>
      <c r="G2341" s="512">
        <v>0</v>
      </c>
      <c r="H2341" s="512">
        <v>0</v>
      </c>
      <c r="I2341" s="659" t="s">
        <v>103</v>
      </c>
      <c r="J2341" s="513">
        <v>0</v>
      </c>
      <c r="K2341" s="513">
        <v>0</v>
      </c>
      <c r="L2341" s="513">
        <v>0</v>
      </c>
      <c r="M2341" s="513">
        <v>4489.0552082334325</v>
      </c>
      <c r="N2341" s="622"/>
    </row>
    <row r="2342" spans="2:14">
      <c r="B2342" s="513" t="s">
        <v>911</v>
      </c>
      <c r="C2342" s="658">
        <v>2014</v>
      </c>
      <c r="D2342" s="513">
        <v>4489.0552082331851</v>
      </c>
      <c r="E2342" s="513">
        <v>114125.35574547196</v>
      </c>
      <c r="F2342" s="513">
        <v>114125.35574547196</v>
      </c>
      <c r="G2342" s="512">
        <v>0</v>
      </c>
      <c r="H2342" s="512">
        <v>0</v>
      </c>
      <c r="I2342" s="659" t="s">
        <v>103</v>
      </c>
      <c r="J2342" s="513">
        <v>0</v>
      </c>
      <c r="K2342" s="513">
        <v>0</v>
      </c>
      <c r="L2342" s="513">
        <v>0</v>
      </c>
      <c r="M2342" s="513">
        <v>118614.41095370514</v>
      </c>
      <c r="N2342" s="622"/>
    </row>
    <row r="2343" spans="2:14">
      <c r="B2343" s="513" t="s">
        <v>911</v>
      </c>
      <c r="C2343" s="658">
        <v>2015</v>
      </c>
      <c r="D2343" s="513">
        <v>118614.4109537052</v>
      </c>
      <c r="E2343" s="513">
        <v>116601.60001518139</v>
      </c>
      <c r="F2343" s="513">
        <v>116601.60001518139</v>
      </c>
      <c r="G2343" s="512">
        <v>0</v>
      </c>
      <c r="H2343" s="512">
        <v>0</v>
      </c>
      <c r="I2343" s="659" t="s">
        <v>103</v>
      </c>
      <c r="J2343" s="513">
        <v>0</v>
      </c>
      <c r="K2343" s="513">
        <v>0</v>
      </c>
      <c r="L2343" s="513">
        <v>0</v>
      </c>
      <c r="M2343" s="513">
        <v>235216.01096888661</v>
      </c>
      <c r="N2343" s="622"/>
    </row>
    <row r="2344" spans="2:14">
      <c r="B2344" s="513" t="s">
        <v>911</v>
      </c>
      <c r="C2344" s="658">
        <v>2016</v>
      </c>
      <c r="D2344" s="513">
        <v>235216.01096888725</v>
      </c>
      <c r="E2344" s="513">
        <v>72301.974221417913</v>
      </c>
      <c r="F2344" s="513">
        <v>72301.974221417913</v>
      </c>
      <c r="G2344" s="660">
        <v>0</v>
      </c>
      <c r="H2344" s="660">
        <v>0</v>
      </c>
      <c r="I2344" s="659" t="s">
        <v>103</v>
      </c>
      <c r="J2344" s="513">
        <v>0</v>
      </c>
      <c r="K2344" s="513">
        <v>0</v>
      </c>
      <c r="L2344" s="513">
        <v>0</v>
      </c>
      <c r="M2344" s="513">
        <v>307517.98519030516</v>
      </c>
      <c r="N2344" s="622"/>
    </row>
    <row r="2345" spans="2:14">
      <c r="B2345" s="513" t="s">
        <v>911</v>
      </c>
      <c r="C2345" s="658">
        <v>2017</v>
      </c>
      <c r="D2345" s="513">
        <v>307517.98519030493</v>
      </c>
      <c r="E2345" s="513">
        <v>63471.475755701162</v>
      </c>
      <c r="F2345" s="513">
        <v>63471.475755701162</v>
      </c>
      <c r="G2345" s="660">
        <v>0</v>
      </c>
      <c r="H2345" s="660">
        <v>0</v>
      </c>
      <c r="I2345" s="659" t="s">
        <v>103</v>
      </c>
      <c r="J2345" s="513">
        <v>0</v>
      </c>
      <c r="K2345" s="513">
        <v>0</v>
      </c>
      <c r="L2345" s="513">
        <v>0</v>
      </c>
      <c r="M2345" s="513">
        <v>370989.46094600612</v>
      </c>
      <c r="N2345" s="622"/>
    </row>
    <row r="2346" spans="2:14">
      <c r="B2346" s="513" t="s">
        <v>911</v>
      </c>
      <c r="C2346" s="889">
        <v>2018</v>
      </c>
      <c r="D2346" s="513">
        <v>370989.46094600612</v>
      </c>
      <c r="E2346" s="513">
        <f>VLOOKUP(B2346,'[6]2018 allocation'!$A$11:$B$218,2, FALSE)</f>
        <v>70648.078166530191</v>
      </c>
      <c r="F2346" s="513">
        <f>E2346</f>
        <v>70648.078166530191</v>
      </c>
      <c r="G2346" s="513">
        <v>0</v>
      </c>
      <c r="H2346" s="513">
        <v>0</v>
      </c>
      <c r="I2346" s="622" t="s">
        <v>103</v>
      </c>
      <c r="J2346" s="513">
        <f>VLOOKUP(B2346,'[6]Annual Spending Worksheet '!$C$6:$AG$250,28,FALSE)</f>
        <v>0</v>
      </c>
      <c r="K2346" s="513">
        <f>VLOOKUP(B2346,'[6]Annual Spending Worksheet '!$C$6:$AG$250,29,FALSE)</f>
        <v>0</v>
      </c>
      <c r="L2346" s="513">
        <v>0</v>
      </c>
      <c r="M2346" s="513">
        <f>D2346+E2346+H2346-J2346</f>
        <v>441637.53911253629</v>
      </c>
      <c r="N2346" s="513"/>
    </row>
    <row r="2347" spans="2:14">
      <c r="B2347" s="513" t="s">
        <v>911</v>
      </c>
      <c r="C2347" s="889">
        <v>2019</v>
      </c>
      <c r="D2347" s="513">
        <v>441637.53911253629</v>
      </c>
      <c r="E2347" s="513">
        <v>78341.705756088966</v>
      </c>
      <c r="F2347" s="513">
        <v>78341.705756088966</v>
      </c>
      <c r="G2347" s="513">
        <v>0</v>
      </c>
      <c r="H2347" s="513">
        <v>0</v>
      </c>
      <c r="I2347" s="622" t="s">
        <v>103</v>
      </c>
      <c r="J2347" s="513">
        <v>0</v>
      </c>
      <c r="K2347" s="513">
        <v>0</v>
      </c>
      <c r="L2347" s="513">
        <v>0</v>
      </c>
      <c r="M2347" s="513">
        <v>519979.24486862525</v>
      </c>
      <c r="N2347" s="513"/>
    </row>
    <row r="2348" spans="2:14">
      <c r="B2348" s="513" t="s">
        <v>912</v>
      </c>
      <c r="C2348" s="658">
        <v>2008</v>
      </c>
      <c r="D2348" s="513">
        <v>2973572.4370000008</v>
      </c>
      <c r="E2348" s="512">
        <v>273135.90401681862</v>
      </c>
      <c r="F2348" s="513">
        <v>273135.90401681862</v>
      </c>
      <c r="G2348" s="512">
        <v>0</v>
      </c>
      <c r="H2348" s="512">
        <v>0</v>
      </c>
      <c r="I2348" s="659" t="s">
        <v>103</v>
      </c>
      <c r="J2348" s="513">
        <v>173183.07</v>
      </c>
      <c r="K2348" s="513">
        <v>0</v>
      </c>
      <c r="L2348" s="513">
        <v>0</v>
      </c>
      <c r="M2348" s="513">
        <v>3073525.2710168199</v>
      </c>
      <c r="N2348" s="622"/>
    </row>
    <row r="2349" spans="2:14">
      <c r="B2349" s="513" t="s">
        <v>912</v>
      </c>
      <c r="C2349" s="658">
        <v>2009</v>
      </c>
      <c r="D2349" s="513">
        <v>3073525.2710168194</v>
      </c>
      <c r="E2349" s="512">
        <v>208160.72020115639</v>
      </c>
      <c r="F2349" s="513">
        <v>208160.72020115639</v>
      </c>
      <c r="G2349" s="512">
        <v>0</v>
      </c>
      <c r="H2349" s="512">
        <v>0</v>
      </c>
      <c r="I2349" s="659" t="s">
        <v>103</v>
      </c>
      <c r="J2349" s="513">
        <v>30993.879999999994</v>
      </c>
      <c r="K2349" s="513">
        <v>0</v>
      </c>
      <c r="L2349" s="513">
        <v>0</v>
      </c>
      <c r="M2349" s="513">
        <v>3250692.1112179761</v>
      </c>
      <c r="N2349" s="622"/>
    </row>
    <row r="2350" spans="2:14">
      <c r="B2350" s="513" t="s">
        <v>912</v>
      </c>
      <c r="C2350" s="658">
        <v>2010</v>
      </c>
      <c r="D2350" s="513">
        <v>3250692.1112179747</v>
      </c>
      <c r="E2350" s="512">
        <v>207700.77</v>
      </c>
      <c r="F2350" s="513">
        <v>207700.77</v>
      </c>
      <c r="G2350" s="512">
        <v>0</v>
      </c>
      <c r="H2350" s="512">
        <v>0</v>
      </c>
      <c r="I2350" s="659" t="s">
        <v>103</v>
      </c>
      <c r="J2350" s="513">
        <v>75127.859999999986</v>
      </c>
      <c r="K2350" s="513">
        <v>0</v>
      </c>
      <c r="L2350" s="513">
        <v>0</v>
      </c>
      <c r="M2350" s="513">
        <v>3383265.0212179748</v>
      </c>
      <c r="N2350" s="622"/>
    </row>
    <row r="2351" spans="2:14">
      <c r="B2351" s="513" t="s">
        <v>912</v>
      </c>
      <c r="C2351" s="658">
        <v>2011</v>
      </c>
      <c r="D2351" s="513">
        <v>3383265.0199178634</v>
      </c>
      <c r="E2351" s="512">
        <v>212365.37642558204</v>
      </c>
      <c r="F2351" s="513">
        <v>212365.37642558204</v>
      </c>
      <c r="G2351" s="512">
        <v>0</v>
      </c>
      <c r="H2351" s="512">
        <v>0</v>
      </c>
      <c r="I2351" s="659" t="s">
        <v>103</v>
      </c>
      <c r="J2351" s="513">
        <v>1238125.0100000009</v>
      </c>
      <c r="K2351" s="513">
        <v>0</v>
      </c>
      <c r="L2351" s="513">
        <v>0</v>
      </c>
      <c r="M2351" s="513">
        <v>2357505.3863434447</v>
      </c>
      <c r="N2351" s="622"/>
    </row>
    <row r="2352" spans="2:14">
      <c r="B2352" s="513" t="s">
        <v>912</v>
      </c>
      <c r="C2352" s="658">
        <v>2012</v>
      </c>
      <c r="D2352" s="513">
        <v>2357505.3863434438</v>
      </c>
      <c r="E2352" s="513">
        <v>133213.94527877806</v>
      </c>
      <c r="F2352" s="513">
        <v>133213.94527877806</v>
      </c>
      <c r="G2352" s="512">
        <v>0</v>
      </c>
      <c r="H2352" s="512">
        <v>0</v>
      </c>
      <c r="I2352" s="659" t="s">
        <v>103</v>
      </c>
      <c r="J2352" s="513">
        <v>56376.33</v>
      </c>
      <c r="K2352" s="513">
        <v>1679730</v>
      </c>
      <c r="L2352" s="513">
        <v>0</v>
      </c>
      <c r="M2352" s="513">
        <v>2434343.0016222219</v>
      </c>
      <c r="N2352" s="622"/>
    </row>
    <row r="2353" spans="2:14">
      <c r="B2353" s="513" t="s">
        <v>912</v>
      </c>
      <c r="C2353" s="658">
        <v>2013</v>
      </c>
      <c r="D2353" s="513">
        <v>2434343.0016222224</v>
      </c>
      <c r="E2353" s="513">
        <v>242460.24335625357</v>
      </c>
      <c r="F2353" s="513">
        <v>242460.24335625357</v>
      </c>
      <c r="G2353" s="512">
        <v>0</v>
      </c>
      <c r="H2353" s="512">
        <v>0</v>
      </c>
      <c r="I2353" s="659" t="s">
        <v>103</v>
      </c>
      <c r="J2353" s="513">
        <v>2290.0299999999997</v>
      </c>
      <c r="K2353" s="513">
        <v>0</v>
      </c>
      <c r="L2353" s="513">
        <v>22872.32</v>
      </c>
      <c r="M2353" s="513">
        <v>2651640.8949784762</v>
      </c>
      <c r="N2353" s="622"/>
    </row>
    <row r="2354" spans="2:14">
      <c r="B2354" s="513" t="s">
        <v>912</v>
      </c>
      <c r="C2354" s="658">
        <v>2014</v>
      </c>
      <c r="D2354" s="513">
        <v>2651640.8949784767</v>
      </c>
      <c r="E2354" s="513">
        <v>255301.95059816245</v>
      </c>
      <c r="F2354" s="513">
        <v>255301.95059816245</v>
      </c>
      <c r="G2354" s="660">
        <v>0</v>
      </c>
      <c r="H2354" s="512">
        <v>0</v>
      </c>
      <c r="I2354" s="659" t="s">
        <v>103</v>
      </c>
      <c r="J2354" s="513">
        <v>121431.77000000006</v>
      </c>
      <c r="K2354" s="513">
        <v>0</v>
      </c>
      <c r="L2354" s="513">
        <v>0</v>
      </c>
      <c r="M2354" s="513">
        <v>2785511.0755766393</v>
      </c>
      <c r="N2354" s="622"/>
    </row>
    <row r="2355" spans="2:14">
      <c r="B2355" s="513" t="s">
        <v>912</v>
      </c>
      <c r="C2355" s="658">
        <v>2015</v>
      </c>
      <c r="D2355" s="513">
        <v>2785511.0755766369</v>
      </c>
      <c r="E2355" s="513">
        <v>260661.91739835488</v>
      </c>
      <c r="F2355" s="513">
        <v>260661.91739835488</v>
      </c>
      <c r="G2355" s="660">
        <v>0</v>
      </c>
      <c r="H2355" s="660">
        <v>0</v>
      </c>
      <c r="I2355" s="659" t="s">
        <v>103</v>
      </c>
      <c r="J2355" s="513">
        <v>11365.499999999998</v>
      </c>
      <c r="K2355" s="513">
        <v>0</v>
      </c>
      <c r="L2355" s="513">
        <v>-101.39</v>
      </c>
      <c r="M2355" s="513">
        <v>3034908.882974992</v>
      </c>
      <c r="N2355" s="622"/>
    </row>
    <row r="2356" spans="2:14">
      <c r="B2356" s="513" t="s">
        <v>912</v>
      </c>
      <c r="C2356" s="658">
        <v>2016</v>
      </c>
      <c r="D2356" s="513">
        <v>3034908.8829749916</v>
      </c>
      <c r="E2356" s="513">
        <v>164829.11656967778</v>
      </c>
      <c r="F2356" s="513">
        <v>164829.11656967778</v>
      </c>
      <c r="G2356" s="660">
        <v>0</v>
      </c>
      <c r="H2356" s="660">
        <v>0</v>
      </c>
      <c r="I2356" s="659" t="s">
        <v>103</v>
      </c>
      <c r="J2356" s="513">
        <v>9469.42</v>
      </c>
      <c r="K2356" s="513">
        <v>0</v>
      </c>
      <c r="L2356" s="513">
        <v>0</v>
      </c>
      <c r="M2356" s="513">
        <v>3190268.5795446695</v>
      </c>
      <c r="N2356" s="622"/>
    </row>
    <row r="2357" spans="2:14">
      <c r="B2357" s="513" t="s">
        <v>912</v>
      </c>
      <c r="C2357" s="658">
        <v>2017</v>
      </c>
      <c r="D2357" s="513">
        <v>3190268.579544669</v>
      </c>
      <c r="E2357" s="513">
        <v>145670.51530834081</v>
      </c>
      <c r="F2357" s="513">
        <v>145670.51530834081</v>
      </c>
      <c r="G2357" s="513">
        <v>0</v>
      </c>
      <c r="H2357" s="513">
        <v>0</v>
      </c>
      <c r="I2357" s="659" t="s">
        <v>103</v>
      </c>
      <c r="J2357" s="513">
        <v>2814679.7699999996</v>
      </c>
      <c r="K2357" s="513">
        <v>2999304.34</v>
      </c>
      <c r="L2357" s="513">
        <v>0</v>
      </c>
      <c r="M2357" s="513">
        <v>521259.32485301048</v>
      </c>
      <c r="N2357" s="622"/>
    </row>
    <row r="2358" spans="2:14">
      <c r="B2358" s="513" t="s">
        <v>912</v>
      </c>
      <c r="C2358" s="889">
        <v>2018</v>
      </c>
      <c r="D2358" s="513">
        <v>521259.32485301048</v>
      </c>
      <c r="E2358" s="513">
        <f>VLOOKUP(B2358,'[6]2018 allocation'!$A$11:$B$218,2, FALSE)</f>
        <v>161278.67029586766</v>
      </c>
      <c r="F2358" s="513">
        <f>E2358</f>
        <v>161278.67029586766</v>
      </c>
      <c r="G2358" s="513">
        <v>0</v>
      </c>
      <c r="H2358" s="513">
        <v>0</v>
      </c>
      <c r="I2358" s="622" t="s">
        <v>103</v>
      </c>
      <c r="J2358" s="513">
        <f>VLOOKUP(B2358,'[6]Annual Spending Worksheet '!$C$6:$AG$250,28,FALSE)</f>
        <v>-15126.169999999995</v>
      </c>
      <c r="K2358" s="513">
        <f>VLOOKUP(B2358,'[6]Annual Spending Worksheet '!$C$6:$AG$250,29,FALSE)</f>
        <v>0</v>
      </c>
      <c r="L2358" s="513">
        <v>0</v>
      </c>
      <c r="M2358" s="513">
        <f>D2358+E2358+H2358-J2358</f>
        <v>697664.16514887812</v>
      </c>
      <c r="N2358" s="513"/>
    </row>
    <row r="2359" spans="2:14">
      <c r="B2359" s="513" t="s">
        <v>912</v>
      </c>
      <c r="C2359" s="889">
        <v>2019</v>
      </c>
      <c r="D2359" s="513">
        <v>697664.16514887812</v>
      </c>
      <c r="E2359" s="513">
        <v>178105.43085674255</v>
      </c>
      <c r="F2359" s="513">
        <v>178105.43085674255</v>
      </c>
      <c r="G2359" s="513">
        <v>0</v>
      </c>
      <c r="H2359" s="513">
        <v>0</v>
      </c>
      <c r="I2359" s="622" t="s">
        <v>103</v>
      </c>
      <c r="J2359" s="513">
        <v>0</v>
      </c>
      <c r="K2359" s="513">
        <v>0</v>
      </c>
      <c r="L2359" s="513">
        <v>0</v>
      </c>
      <c r="M2359" s="513">
        <v>875769.59600562067</v>
      </c>
      <c r="N2359" s="513"/>
    </row>
    <row r="2360" spans="2:14">
      <c r="B2360" s="513" t="s">
        <v>920</v>
      </c>
      <c r="C2360" s="658">
        <v>2008</v>
      </c>
      <c r="D2360" s="513">
        <v>605117.30800000008</v>
      </c>
      <c r="E2360" s="512">
        <v>20947.011048613898</v>
      </c>
      <c r="F2360" s="513">
        <v>20947.011048613898</v>
      </c>
      <c r="G2360" s="512">
        <v>0</v>
      </c>
      <c r="H2360" s="512">
        <v>-56533</v>
      </c>
      <c r="I2360" s="659" t="s">
        <v>562</v>
      </c>
      <c r="J2360" s="513">
        <v>0</v>
      </c>
      <c r="K2360" s="513">
        <v>0</v>
      </c>
      <c r="L2360" s="513">
        <v>0</v>
      </c>
      <c r="M2360" s="513">
        <v>569531.31904861401</v>
      </c>
      <c r="N2360" s="622"/>
    </row>
    <row r="2361" spans="2:14">
      <c r="B2361" s="513" t="s">
        <v>920</v>
      </c>
      <c r="C2361" s="658">
        <v>2009</v>
      </c>
      <c r="D2361" s="513">
        <v>569531.31904861401</v>
      </c>
      <c r="E2361" s="512">
        <v>16564.614516138383</v>
      </c>
      <c r="F2361" s="513">
        <v>16564.614516138383</v>
      </c>
      <c r="G2361" s="512">
        <v>0</v>
      </c>
      <c r="H2361" s="512">
        <v>0</v>
      </c>
      <c r="I2361" s="659" t="s">
        <v>103</v>
      </c>
      <c r="J2361" s="513">
        <v>0</v>
      </c>
      <c r="K2361" s="513">
        <v>0</v>
      </c>
      <c r="L2361" s="513">
        <v>0</v>
      </c>
      <c r="M2361" s="513">
        <v>586095.93356475234</v>
      </c>
      <c r="N2361" s="622"/>
    </row>
    <row r="2362" spans="2:14">
      <c r="B2362" s="513" t="s">
        <v>920</v>
      </c>
      <c r="C2362" s="658">
        <v>2010</v>
      </c>
      <c r="D2362" s="513">
        <v>586095.93356475234</v>
      </c>
      <c r="E2362" s="512">
        <v>16534.82</v>
      </c>
      <c r="F2362" s="513">
        <v>16534.82</v>
      </c>
      <c r="G2362" s="512">
        <v>0</v>
      </c>
      <c r="H2362" s="512">
        <v>-600000</v>
      </c>
      <c r="I2362" s="659" t="s">
        <v>1791</v>
      </c>
      <c r="J2362" s="513">
        <v>0</v>
      </c>
      <c r="K2362" s="513">
        <v>0</v>
      </c>
      <c r="L2362" s="513">
        <v>0</v>
      </c>
      <c r="M2362" s="513">
        <v>2630.7535647522891</v>
      </c>
      <c r="N2362" s="622"/>
    </row>
    <row r="2363" spans="2:14">
      <c r="B2363" s="513" t="s">
        <v>920</v>
      </c>
      <c r="C2363" s="658">
        <v>2011</v>
      </c>
      <c r="D2363" s="513">
        <v>2630.7565655329963</v>
      </c>
      <c r="E2363" s="512">
        <v>16856.075035760688</v>
      </c>
      <c r="F2363" s="513">
        <v>16856.075035760688</v>
      </c>
      <c r="G2363" s="512">
        <v>0</v>
      </c>
      <c r="H2363" s="512">
        <v>0</v>
      </c>
      <c r="I2363" s="659" t="s">
        <v>103</v>
      </c>
      <c r="J2363" s="513">
        <v>0</v>
      </c>
      <c r="K2363" s="513">
        <v>0</v>
      </c>
      <c r="L2363" s="513">
        <v>0</v>
      </c>
      <c r="M2363" s="513">
        <v>19486.831601293685</v>
      </c>
      <c r="N2363" s="622"/>
    </row>
    <row r="2364" spans="2:14">
      <c r="B2364" s="513" t="s">
        <v>920</v>
      </c>
      <c r="C2364" s="658">
        <v>2012</v>
      </c>
      <c r="D2364" s="513">
        <v>19486.831601293641</v>
      </c>
      <c r="E2364" s="513">
        <v>11500.927964826325</v>
      </c>
      <c r="F2364" s="513">
        <v>11500.927964826325</v>
      </c>
      <c r="G2364" s="512">
        <v>0</v>
      </c>
      <c r="H2364" s="512">
        <v>0</v>
      </c>
      <c r="I2364" s="659" t="s">
        <v>103</v>
      </c>
      <c r="J2364" s="513">
        <v>0</v>
      </c>
      <c r="K2364" s="513">
        <v>0</v>
      </c>
      <c r="L2364" s="513">
        <v>0</v>
      </c>
      <c r="M2364" s="513">
        <v>30987.759566119967</v>
      </c>
      <c r="N2364" s="622"/>
    </row>
    <row r="2365" spans="2:14">
      <c r="B2365" s="513" t="s">
        <v>920</v>
      </c>
      <c r="C2365" s="658">
        <v>2013</v>
      </c>
      <c r="D2365" s="513">
        <v>30987.759566119988</v>
      </c>
      <c r="E2365" s="513">
        <v>18893.442598895439</v>
      </c>
      <c r="F2365" s="513">
        <v>18893.442598895439</v>
      </c>
      <c r="G2365" s="512">
        <v>0</v>
      </c>
      <c r="H2365" s="512">
        <v>0</v>
      </c>
      <c r="I2365" s="659" t="s">
        <v>103</v>
      </c>
      <c r="J2365" s="513">
        <v>0</v>
      </c>
      <c r="K2365" s="513">
        <v>0</v>
      </c>
      <c r="L2365" s="513">
        <v>0</v>
      </c>
      <c r="M2365" s="513">
        <v>49881.202165015427</v>
      </c>
      <c r="N2365" s="622"/>
    </row>
    <row r="2366" spans="2:14">
      <c r="B2366" s="513" t="s">
        <v>920</v>
      </c>
      <c r="C2366" s="658">
        <v>2014</v>
      </c>
      <c r="D2366" s="513">
        <v>49881.202165015391</v>
      </c>
      <c r="E2366" s="513">
        <v>19736.201831595667</v>
      </c>
      <c r="F2366" s="513">
        <v>19736.201831595667</v>
      </c>
      <c r="G2366" s="512">
        <v>0</v>
      </c>
      <c r="H2366" s="512">
        <v>0</v>
      </c>
      <c r="I2366" s="659" t="s">
        <v>103</v>
      </c>
      <c r="J2366" s="513">
        <v>0</v>
      </c>
      <c r="K2366" s="513">
        <v>0</v>
      </c>
      <c r="L2366" s="513">
        <v>0</v>
      </c>
      <c r="M2366" s="513">
        <v>69617.403996611058</v>
      </c>
      <c r="N2366" s="622"/>
    </row>
    <row r="2367" spans="2:14">
      <c r="B2367" s="513" t="s">
        <v>920</v>
      </c>
      <c r="C2367" s="658">
        <v>2015</v>
      </c>
      <c r="D2367" s="513">
        <v>69617.403996611014</v>
      </c>
      <c r="E2367" s="513">
        <v>20081.0782212458</v>
      </c>
      <c r="F2367" s="513">
        <v>20081.0782212458</v>
      </c>
      <c r="G2367" s="660">
        <v>0</v>
      </c>
      <c r="H2367" s="660">
        <v>0</v>
      </c>
      <c r="I2367" s="659" t="s">
        <v>103</v>
      </c>
      <c r="J2367" s="513">
        <v>0</v>
      </c>
      <c r="K2367" s="513">
        <v>0</v>
      </c>
      <c r="L2367" s="513">
        <v>0</v>
      </c>
      <c r="M2367" s="513">
        <v>89698.482217856814</v>
      </c>
      <c r="N2367" s="622"/>
    </row>
    <row r="2368" spans="2:14">
      <c r="B2368" s="513" t="s">
        <v>920</v>
      </c>
      <c r="C2368" s="658">
        <v>2016</v>
      </c>
      <c r="D2368" s="513">
        <v>89698.482217856799</v>
      </c>
      <c r="E2368" s="513">
        <v>13754.49429332275</v>
      </c>
      <c r="F2368" s="513">
        <v>13754.49429332275</v>
      </c>
      <c r="G2368" s="660">
        <v>0</v>
      </c>
      <c r="H2368" s="660">
        <v>0</v>
      </c>
      <c r="I2368" s="659" t="s">
        <v>103</v>
      </c>
      <c r="J2368" s="513">
        <v>0</v>
      </c>
      <c r="K2368" s="513">
        <v>0</v>
      </c>
      <c r="L2368" s="513">
        <v>0</v>
      </c>
      <c r="M2368" s="513">
        <v>103452.97651117956</v>
      </c>
      <c r="N2368" s="622"/>
    </row>
    <row r="2369" spans="2:14">
      <c r="B2369" s="513" t="s">
        <v>920</v>
      </c>
      <c r="C2369" s="658">
        <v>2017</v>
      </c>
      <c r="D2369" s="513">
        <v>103452.97651117959</v>
      </c>
      <c r="E2369" s="513">
        <v>12528.655959335198</v>
      </c>
      <c r="F2369" s="513">
        <v>12528.655959335198</v>
      </c>
      <c r="G2369" s="513">
        <v>0</v>
      </c>
      <c r="H2369" s="513">
        <v>0</v>
      </c>
      <c r="I2369" s="659" t="s">
        <v>103</v>
      </c>
      <c r="J2369" s="513">
        <v>0</v>
      </c>
      <c r="K2369" s="513">
        <v>0</v>
      </c>
      <c r="L2369" s="513">
        <v>0</v>
      </c>
      <c r="M2369" s="513">
        <v>115981.63247051479</v>
      </c>
      <c r="N2369" s="622"/>
    </row>
    <row r="2370" spans="2:14">
      <c r="B2370" s="513" t="s">
        <v>920</v>
      </c>
      <c r="C2370" s="889">
        <v>2018</v>
      </c>
      <c r="D2370" s="513">
        <v>115981.63247051479</v>
      </c>
      <c r="E2370" s="513">
        <f>VLOOKUP(B2370,'[6]2018 allocation'!$A$11:$B$218,2, FALSE)</f>
        <v>13576.524747103455</v>
      </c>
      <c r="F2370" s="513">
        <f>E2370</f>
        <v>13576.524747103455</v>
      </c>
      <c r="G2370" s="513">
        <v>0</v>
      </c>
      <c r="H2370" s="513">
        <v>0</v>
      </c>
      <c r="I2370" s="622" t="s">
        <v>103</v>
      </c>
      <c r="J2370" s="513">
        <f>VLOOKUP(B2370,'[6]Annual Spending Worksheet '!$C$6:$AG$250,28,FALSE)</f>
        <v>0</v>
      </c>
      <c r="K2370" s="513">
        <f>VLOOKUP(B2370,'[6]Annual Spending Worksheet '!$C$6:$AG$250,29,FALSE)</f>
        <v>0</v>
      </c>
      <c r="L2370" s="513">
        <v>0</v>
      </c>
      <c r="M2370" s="513">
        <f>D2370+E2370+H2370-J2370</f>
        <v>129558.15721761824</v>
      </c>
      <c r="N2370" s="513"/>
    </row>
    <row r="2371" spans="2:14">
      <c r="B2371" s="513" t="s">
        <v>920</v>
      </c>
      <c r="C2371" s="889">
        <v>2019</v>
      </c>
      <c r="D2371" s="513">
        <v>129558.15721761824</v>
      </c>
      <c r="E2371" s="513">
        <v>14688.797993228927</v>
      </c>
      <c r="F2371" s="513">
        <v>14688.797993228927</v>
      </c>
      <c r="G2371" s="513">
        <v>0</v>
      </c>
      <c r="H2371" s="513">
        <v>0</v>
      </c>
      <c r="I2371" s="622" t="s">
        <v>103</v>
      </c>
      <c r="J2371" s="513">
        <v>0</v>
      </c>
      <c r="K2371" s="513">
        <v>0</v>
      </c>
      <c r="L2371" s="513">
        <v>0</v>
      </c>
      <c r="M2371" s="513">
        <v>144246.95521084717</v>
      </c>
      <c r="N2371" s="513"/>
    </row>
    <row r="2372" spans="2:14">
      <c r="B2372" s="513" t="s">
        <v>921</v>
      </c>
      <c r="C2372" s="658">
        <v>2008</v>
      </c>
      <c r="D2372" s="513">
        <v>6602647.1910000006</v>
      </c>
      <c r="E2372" s="512">
        <v>787356.11308273091</v>
      </c>
      <c r="F2372" s="513">
        <v>787356.11308273091</v>
      </c>
      <c r="G2372" s="512">
        <v>0</v>
      </c>
      <c r="H2372" s="512">
        <v>0</v>
      </c>
      <c r="I2372" s="659" t="s">
        <v>103</v>
      </c>
      <c r="J2372" s="513">
        <v>0</v>
      </c>
      <c r="K2372" s="513">
        <v>0</v>
      </c>
      <c r="L2372" s="513">
        <v>0</v>
      </c>
      <c r="M2372" s="513">
        <v>7390003.3040827317</v>
      </c>
      <c r="N2372" s="622"/>
    </row>
    <row r="2373" spans="2:14">
      <c r="B2373" s="513" t="s">
        <v>921</v>
      </c>
      <c r="C2373" s="658">
        <v>2009</v>
      </c>
      <c r="D2373" s="513">
        <v>7390003.3040827299</v>
      </c>
      <c r="E2373" s="512">
        <v>657481.27242543781</v>
      </c>
      <c r="F2373" s="513">
        <v>657481.27242543781</v>
      </c>
      <c r="G2373" s="512">
        <v>0</v>
      </c>
      <c r="H2373" s="512">
        <v>0</v>
      </c>
      <c r="I2373" s="659" t="s">
        <v>103</v>
      </c>
      <c r="J2373" s="513">
        <v>0</v>
      </c>
      <c r="K2373" s="513">
        <v>0</v>
      </c>
      <c r="L2373" s="513">
        <v>0</v>
      </c>
      <c r="M2373" s="513">
        <v>8047484.5765081681</v>
      </c>
      <c r="N2373" s="622"/>
    </row>
    <row r="2374" spans="2:14">
      <c r="B2374" s="513" t="s">
        <v>921</v>
      </c>
      <c r="C2374" s="658">
        <v>2010</v>
      </c>
      <c r="D2374" s="513">
        <v>8047484.5765081691</v>
      </c>
      <c r="E2374" s="512">
        <v>656615.26</v>
      </c>
      <c r="F2374" s="513">
        <v>656615.26</v>
      </c>
      <c r="G2374" s="512">
        <v>0</v>
      </c>
      <c r="H2374" s="512">
        <v>0</v>
      </c>
      <c r="I2374" s="659" t="s">
        <v>103</v>
      </c>
      <c r="J2374" s="513">
        <v>0</v>
      </c>
      <c r="K2374" s="513">
        <v>0</v>
      </c>
      <c r="L2374" s="513">
        <v>0</v>
      </c>
      <c r="M2374" s="513">
        <v>8704099.8365081698</v>
      </c>
      <c r="N2374" s="622"/>
    </row>
    <row r="2375" spans="2:14">
      <c r="B2375" s="513" t="s">
        <v>921</v>
      </c>
      <c r="C2375" s="658">
        <v>2011</v>
      </c>
      <c r="D2375" s="513">
        <v>8704099.8367222622</v>
      </c>
      <c r="E2375" s="512">
        <v>665937.04410142452</v>
      </c>
      <c r="F2375" s="513">
        <v>665937.04410142452</v>
      </c>
      <c r="G2375" s="512">
        <v>0</v>
      </c>
      <c r="H2375" s="512">
        <v>0</v>
      </c>
      <c r="I2375" s="659" t="s">
        <v>103</v>
      </c>
      <c r="J2375" s="513">
        <v>0</v>
      </c>
      <c r="K2375" s="513">
        <v>0</v>
      </c>
      <c r="L2375" s="513">
        <v>0</v>
      </c>
      <c r="M2375" s="513">
        <v>9370036.8808236867</v>
      </c>
      <c r="N2375" s="622"/>
    </row>
    <row r="2376" spans="2:14">
      <c r="B2376" s="513" t="s">
        <v>921</v>
      </c>
      <c r="C2376" s="658">
        <v>2012</v>
      </c>
      <c r="D2376" s="513">
        <v>9370036.8808236867</v>
      </c>
      <c r="E2376" s="513">
        <v>509479.67760161328</v>
      </c>
      <c r="F2376" s="513">
        <v>509479.67760161328</v>
      </c>
      <c r="G2376" s="512">
        <v>0</v>
      </c>
      <c r="H2376" s="512">
        <v>0</v>
      </c>
      <c r="I2376" s="659" t="s">
        <v>103</v>
      </c>
      <c r="J2376" s="513">
        <v>0</v>
      </c>
      <c r="K2376" s="513">
        <v>0</v>
      </c>
      <c r="L2376" s="513">
        <v>0</v>
      </c>
      <c r="M2376" s="513">
        <v>9879516.5584252998</v>
      </c>
      <c r="N2376" s="622"/>
    </row>
    <row r="2377" spans="2:14">
      <c r="B2377" s="513" t="s">
        <v>921</v>
      </c>
      <c r="C2377" s="658">
        <v>2013</v>
      </c>
      <c r="D2377" s="513">
        <v>9879516.5584252998</v>
      </c>
      <c r="E2377" s="513">
        <v>725492.69456917071</v>
      </c>
      <c r="F2377" s="513">
        <v>725492.69456917071</v>
      </c>
      <c r="G2377" s="512">
        <v>0</v>
      </c>
      <c r="H2377" s="512">
        <v>0</v>
      </c>
      <c r="I2377" s="659" t="s">
        <v>103</v>
      </c>
      <c r="J2377" s="513">
        <v>0</v>
      </c>
      <c r="K2377" s="513">
        <v>0</v>
      </c>
      <c r="L2377" s="513">
        <v>0</v>
      </c>
      <c r="M2377" s="513">
        <v>10605009.25299447</v>
      </c>
      <c r="N2377" s="622"/>
    </row>
    <row r="2378" spans="2:14">
      <c r="B2378" s="513" t="s">
        <v>921</v>
      </c>
      <c r="C2378" s="658">
        <v>2014</v>
      </c>
      <c r="D2378" s="513">
        <v>10605009.25299447</v>
      </c>
      <c r="E2378" s="513">
        <v>750777.4353281724</v>
      </c>
      <c r="F2378" s="513">
        <v>750777.4353281724</v>
      </c>
      <c r="G2378" s="512">
        <v>0</v>
      </c>
      <c r="H2378" s="512">
        <v>0</v>
      </c>
      <c r="I2378" s="659" t="s">
        <v>103</v>
      </c>
      <c r="J2378" s="513">
        <v>0</v>
      </c>
      <c r="K2378" s="513">
        <v>0</v>
      </c>
      <c r="L2378" s="513">
        <v>0</v>
      </c>
      <c r="M2378" s="513">
        <v>11355786.688322643</v>
      </c>
      <c r="N2378" s="622"/>
    </row>
    <row r="2379" spans="2:14">
      <c r="B2379" s="513" t="s">
        <v>921</v>
      </c>
      <c r="C2379" s="658">
        <v>2015</v>
      </c>
      <c r="D2379" s="513">
        <v>11355786.688322641</v>
      </c>
      <c r="E2379" s="513">
        <v>760682.19277461304</v>
      </c>
      <c r="F2379" s="513">
        <v>760682.19277461304</v>
      </c>
      <c r="G2379" s="660">
        <v>0</v>
      </c>
      <c r="H2379" s="660">
        <v>0</v>
      </c>
      <c r="I2379" s="659" t="s">
        <v>103</v>
      </c>
      <c r="J2379" s="513">
        <v>0</v>
      </c>
      <c r="K2379" s="513">
        <v>0</v>
      </c>
      <c r="L2379" s="513">
        <v>0</v>
      </c>
      <c r="M2379" s="513">
        <v>12116468.881097253</v>
      </c>
      <c r="N2379" s="622"/>
    </row>
    <row r="2380" spans="2:14">
      <c r="B2380" s="513" t="s">
        <v>921</v>
      </c>
      <c r="C2380" s="658">
        <v>2016</v>
      </c>
      <c r="D2380" s="513">
        <v>12116468.881097253</v>
      </c>
      <c r="E2380" s="513">
        <v>574044.76255580853</v>
      </c>
      <c r="F2380" s="513">
        <v>574044.76255580853</v>
      </c>
      <c r="G2380" s="660">
        <v>0</v>
      </c>
      <c r="H2380" s="660">
        <v>0</v>
      </c>
      <c r="I2380" s="659" t="s">
        <v>103</v>
      </c>
      <c r="J2380" s="513">
        <v>0</v>
      </c>
      <c r="K2380" s="513">
        <v>0</v>
      </c>
      <c r="L2380" s="513">
        <v>0</v>
      </c>
      <c r="M2380" s="513">
        <v>12690513.643653061</v>
      </c>
      <c r="N2380" s="622"/>
    </row>
    <row r="2381" spans="2:14">
      <c r="B2381" s="513" t="s">
        <v>921</v>
      </c>
      <c r="C2381" s="658">
        <v>2017</v>
      </c>
      <c r="D2381" s="513">
        <v>12690513.643653061</v>
      </c>
      <c r="E2381" s="513">
        <v>537434.70120732067</v>
      </c>
      <c r="F2381" s="513">
        <v>537434.70120732067</v>
      </c>
      <c r="G2381" s="513">
        <v>0</v>
      </c>
      <c r="H2381" s="513">
        <v>0</v>
      </c>
      <c r="I2381" s="659" t="s">
        <v>103</v>
      </c>
      <c r="J2381" s="513">
        <v>0</v>
      </c>
      <c r="K2381" s="513">
        <v>0</v>
      </c>
      <c r="L2381" s="513">
        <v>0</v>
      </c>
      <c r="M2381" s="513">
        <v>13227948.344860382</v>
      </c>
      <c r="N2381" s="622"/>
    </row>
    <row r="2382" spans="2:14">
      <c r="B2382" s="513" t="s">
        <v>921</v>
      </c>
      <c r="C2382" s="889">
        <v>2018</v>
      </c>
      <c r="D2382" s="513">
        <v>13227948.344860382</v>
      </c>
      <c r="E2382" s="513">
        <f>VLOOKUP(B2382,'[6]2018 allocation'!$A$11:$B$218,2, FALSE)</f>
        <v>568704.8098721659</v>
      </c>
      <c r="F2382" s="513">
        <f>E2382</f>
        <v>568704.8098721659</v>
      </c>
      <c r="G2382" s="513">
        <v>0</v>
      </c>
      <c r="H2382" s="513">
        <v>0</v>
      </c>
      <c r="I2382" s="622" t="s">
        <v>103</v>
      </c>
      <c r="J2382" s="513">
        <f>VLOOKUP(B2382,'[6]Annual Spending Worksheet '!$C$6:$AG$250,28,FALSE)</f>
        <v>0</v>
      </c>
      <c r="K2382" s="513">
        <f>VLOOKUP(B2382,'[6]Annual Spending Worksheet '!$C$6:$AG$250,29,FALSE)</f>
        <v>0</v>
      </c>
      <c r="L2382" s="513">
        <v>0</v>
      </c>
      <c r="M2382" s="513">
        <f>D2382+E2382+H2382-J2382</f>
        <v>13796653.154732548</v>
      </c>
      <c r="N2382" s="513"/>
    </row>
    <row r="2383" spans="2:14">
      <c r="B2383" s="513" t="s">
        <v>921</v>
      </c>
      <c r="C2383" s="889">
        <v>2019</v>
      </c>
      <c r="D2383" s="513">
        <v>13796653.154732548</v>
      </c>
      <c r="E2383" s="513">
        <v>601650.47160518984</v>
      </c>
      <c r="F2383" s="513">
        <v>601650.47160518984</v>
      </c>
      <c r="G2383" s="513">
        <v>0</v>
      </c>
      <c r="H2383" s="513">
        <v>0</v>
      </c>
      <c r="I2383" s="622" t="s">
        <v>103</v>
      </c>
      <c r="J2383" s="513">
        <v>0</v>
      </c>
      <c r="K2383" s="513">
        <v>0</v>
      </c>
      <c r="L2383" s="513">
        <v>0</v>
      </c>
      <c r="M2383" s="513">
        <v>14398303.626337737</v>
      </c>
      <c r="N2383" s="513"/>
    </row>
    <row r="2384" spans="2:14">
      <c r="B2384" s="890" t="s">
        <v>1439</v>
      </c>
      <c r="C2384" s="906"/>
      <c r="D2384" s="899">
        <f>SUM(D2288:D2383)</f>
        <v>177019056.2108905</v>
      </c>
      <c r="E2384" s="899">
        <f>SUM(E2288:E2383)</f>
        <v>13274376.235821495</v>
      </c>
      <c r="F2384" s="899">
        <f>SUM(F2288:F2383)</f>
        <v>13274376.235821495</v>
      </c>
      <c r="G2384" s="899">
        <f>SUM(G2288:G2383)</f>
        <v>-1491843.4715667483</v>
      </c>
      <c r="H2384" s="899">
        <f>SUM(H2288:H2383)</f>
        <v>-656533</v>
      </c>
      <c r="I2384" s="899"/>
      <c r="J2384" s="899">
        <f t="shared" ref="J2384:M2384" si="33">SUM(J2288:J2383)</f>
        <v>5447982.8400000008</v>
      </c>
      <c r="K2384" s="899">
        <f t="shared" si="33"/>
        <v>5615137.3399999999</v>
      </c>
      <c r="L2384" s="899">
        <f t="shared" si="33"/>
        <v>28807.599999999999</v>
      </c>
      <c r="M2384" s="899">
        <f t="shared" si="33"/>
        <v>184160109.00671199</v>
      </c>
      <c r="N2384" s="903"/>
    </row>
    <row r="2385" spans="2:14">
      <c r="B2385" s="887" t="s">
        <v>1792</v>
      </c>
      <c r="C2385" s="658"/>
      <c r="D2385" s="513"/>
      <c r="E2385" s="513"/>
      <c r="F2385" s="513"/>
      <c r="G2385" s="513"/>
      <c r="H2385" s="513"/>
      <c r="I2385" s="659"/>
      <c r="J2385" s="513"/>
      <c r="K2385" s="513"/>
      <c r="L2385" s="513"/>
      <c r="M2385" s="513"/>
      <c r="N2385" s="622"/>
    </row>
    <row r="2386" spans="2:14">
      <c r="B2386" s="513" t="s">
        <v>927</v>
      </c>
      <c r="C2386" s="658">
        <v>2008</v>
      </c>
      <c r="D2386" s="513">
        <v>1322.952</v>
      </c>
      <c r="E2386" s="512">
        <v>63.582314415075011</v>
      </c>
      <c r="F2386" s="513">
        <v>63.582314415075011</v>
      </c>
      <c r="G2386" s="512">
        <v>0</v>
      </c>
      <c r="H2386" s="512">
        <v>-125</v>
      </c>
      <c r="I2386" s="659" t="s">
        <v>562</v>
      </c>
      <c r="J2386" s="513">
        <v>0</v>
      </c>
      <c r="K2386" s="513">
        <v>0</v>
      </c>
      <c r="L2386" s="513">
        <v>0</v>
      </c>
      <c r="M2386" s="513">
        <v>1261.534314415075</v>
      </c>
      <c r="N2386" s="622"/>
    </row>
    <row r="2387" spans="2:14">
      <c r="B2387" s="513" t="s">
        <v>927</v>
      </c>
      <c r="C2387" s="658">
        <v>2009</v>
      </c>
      <c r="D2387" s="513">
        <v>1261.534314415075</v>
      </c>
      <c r="E2387" s="512">
        <v>37.005773340481213</v>
      </c>
      <c r="F2387" s="513">
        <v>37.005773340481213</v>
      </c>
      <c r="G2387" s="512">
        <v>0</v>
      </c>
      <c r="H2387" s="512">
        <v>0</v>
      </c>
      <c r="I2387" s="659" t="s">
        <v>103</v>
      </c>
      <c r="J2387" s="513">
        <v>0</v>
      </c>
      <c r="K2387" s="513">
        <v>0</v>
      </c>
      <c r="L2387" s="513">
        <v>0</v>
      </c>
      <c r="M2387" s="513">
        <v>1298.5400877555562</v>
      </c>
      <c r="N2387" s="622"/>
    </row>
    <row r="2388" spans="2:14">
      <c r="B2388" s="513" t="s">
        <v>927</v>
      </c>
      <c r="C2388" s="658">
        <v>2010</v>
      </c>
      <c r="D2388" s="513">
        <v>1298.5400877555562</v>
      </c>
      <c r="E2388" s="512">
        <v>36.869999999999997</v>
      </c>
      <c r="F2388" s="513">
        <v>36.869999999999997</v>
      </c>
      <c r="G2388" s="512">
        <v>0</v>
      </c>
      <c r="H2388" s="512">
        <v>0</v>
      </c>
      <c r="I2388" s="659" t="s">
        <v>103</v>
      </c>
      <c r="J2388" s="513">
        <v>0</v>
      </c>
      <c r="K2388" s="513">
        <v>0</v>
      </c>
      <c r="L2388" s="513">
        <v>0</v>
      </c>
      <c r="M2388" s="513">
        <v>1335.4100877555561</v>
      </c>
      <c r="N2388" s="622"/>
    </row>
    <row r="2389" spans="2:14">
      <c r="B2389" s="513" t="s">
        <v>927</v>
      </c>
      <c r="C2389" s="658">
        <v>2011</v>
      </c>
      <c r="D2389" s="513">
        <v>1335.4105132390453</v>
      </c>
      <c r="E2389" s="512">
        <v>38.805193739488082</v>
      </c>
      <c r="F2389" s="513">
        <v>38.805193739488082</v>
      </c>
      <c r="G2389" s="512">
        <v>0</v>
      </c>
      <c r="H2389" s="512">
        <v>0</v>
      </c>
      <c r="I2389" s="659" t="s">
        <v>103</v>
      </c>
      <c r="J2389" s="513">
        <v>0</v>
      </c>
      <c r="K2389" s="513">
        <v>0</v>
      </c>
      <c r="L2389" s="513">
        <v>0</v>
      </c>
      <c r="M2389" s="513">
        <v>1374.2157069785333</v>
      </c>
      <c r="N2389" s="622"/>
    </row>
    <row r="2390" spans="2:14">
      <c r="B2390" s="513" t="s">
        <v>927</v>
      </c>
      <c r="C2390" s="658">
        <v>2012</v>
      </c>
      <c r="D2390" s="513">
        <v>1374.2157069785333</v>
      </c>
      <c r="E2390" s="513">
        <v>7.6335784898328072</v>
      </c>
      <c r="F2390" s="513">
        <v>7.6335784898328072</v>
      </c>
      <c r="G2390" s="512">
        <v>0</v>
      </c>
      <c r="H2390" s="512">
        <v>0</v>
      </c>
      <c r="I2390" s="659" t="s">
        <v>103</v>
      </c>
      <c r="J2390" s="513">
        <v>0</v>
      </c>
      <c r="K2390" s="513">
        <v>0</v>
      </c>
      <c r="L2390" s="513">
        <v>0</v>
      </c>
      <c r="M2390" s="513">
        <v>1381.8492854683661</v>
      </c>
      <c r="N2390" s="622"/>
    </row>
    <row r="2391" spans="2:14">
      <c r="B2391" s="513" t="s">
        <v>927</v>
      </c>
      <c r="C2391" s="658">
        <v>2013</v>
      </c>
      <c r="D2391" s="513">
        <v>1381.8492854683661</v>
      </c>
      <c r="E2391" s="513">
        <v>50.695517718251722</v>
      </c>
      <c r="F2391" s="513">
        <v>50.695517718251722</v>
      </c>
      <c r="G2391" s="512">
        <v>0</v>
      </c>
      <c r="H2391" s="512">
        <v>0</v>
      </c>
      <c r="I2391" s="659" t="s">
        <v>103</v>
      </c>
      <c r="J2391" s="513">
        <v>0</v>
      </c>
      <c r="K2391" s="513">
        <v>0</v>
      </c>
      <c r="L2391" s="513">
        <v>0</v>
      </c>
      <c r="M2391" s="513">
        <v>1432.5448031866179</v>
      </c>
      <c r="N2391" s="622"/>
    </row>
    <row r="2392" spans="2:14">
      <c r="B2392" s="513" t="s">
        <v>927</v>
      </c>
      <c r="C2392" s="658">
        <v>2014</v>
      </c>
      <c r="D2392" s="513">
        <v>1432.5448031866179</v>
      </c>
      <c r="E2392" s="513">
        <v>55.675500289407751</v>
      </c>
      <c r="F2392" s="513">
        <v>55.675500289407751</v>
      </c>
      <c r="G2392" s="512">
        <v>0</v>
      </c>
      <c r="H2392" s="512">
        <v>0</v>
      </c>
      <c r="I2392" s="659" t="s">
        <v>103</v>
      </c>
      <c r="J2392" s="513">
        <v>0</v>
      </c>
      <c r="K2392" s="513">
        <v>0</v>
      </c>
      <c r="L2392" s="513">
        <v>0</v>
      </c>
      <c r="M2392" s="513">
        <v>1488.2203034760255</v>
      </c>
      <c r="N2392" s="622"/>
    </row>
    <row r="2393" spans="2:14">
      <c r="B2393" s="513" t="s">
        <v>927</v>
      </c>
      <c r="C2393" s="658">
        <v>2015</v>
      </c>
      <c r="D2393" s="513">
        <v>1488.2203034760255</v>
      </c>
      <c r="E2393" s="513">
        <v>59.452228714598363</v>
      </c>
      <c r="F2393" s="513">
        <v>59.452228714598363</v>
      </c>
      <c r="G2393" s="660">
        <v>0</v>
      </c>
      <c r="H2393" s="660">
        <v>0</v>
      </c>
      <c r="I2393" s="659" t="s">
        <v>103</v>
      </c>
      <c r="J2393" s="513">
        <v>0</v>
      </c>
      <c r="K2393" s="513">
        <v>0</v>
      </c>
      <c r="L2393" s="513">
        <v>0</v>
      </c>
      <c r="M2393" s="513">
        <v>1547.6725321906238</v>
      </c>
      <c r="N2393" s="622"/>
    </row>
    <row r="2394" spans="2:14">
      <c r="B2394" s="513" t="s">
        <v>927</v>
      </c>
      <c r="C2394" s="658">
        <v>2016</v>
      </c>
      <c r="D2394" s="513">
        <v>1547.6725321906238</v>
      </c>
      <c r="E2394" s="513">
        <v>17.296459089282784</v>
      </c>
      <c r="F2394" s="513">
        <v>17.296459089282784</v>
      </c>
      <c r="G2394" s="660">
        <v>0</v>
      </c>
      <c r="H2394" s="660">
        <v>0</v>
      </c>
      <c r="I2394" s="659" t="s">
        <v>103</v>
      </c>
      <c r="J2394" s="513">
        <v>0</v>
      </c>
      <c r="K2394" s="513">
        <v>0</v>
      </c>
      <c r="L2394" s="513">
        <v>0</v>
      </c>
      <c r="M2394" s="513">
        <v>1564.9689912799065</v>
      </c>
      <c r="N2394" s="622"/>
    </row>
    <row r="2395" spans="2:14">
      <c r="B2395" s="513" t="s">
        <v>927</v>
      </c>
      <c r="C2395" s="658">
        <v>2017</v>
      </c>
      <c r="D2395" s="513">
        <v>1564.9689912799065</v>
      </c>
      <c r="E2395" s="513">
        <v>9.1580401555380888</v>
      </c>
      <c r="F2395" s="513">
        <v>9.1580401555380888</v>
      </c>
      <c r="G2395" s="513">
        <v>0</v>
      </c>
      <c r="H2395" s="513">
        <v>0</v>
      </c>
      <c r="I2395" s="659" t="s">
        <v>103</v>
      </c>
      <c r="J2395" s="513">
        <v>0</v>
      </c>
      <c r="K2395" s="513">
        <v>0</v>
      </c>
      <c r="L2395" s="513">
        <v>0</v>
      </c>
      <c r="M2395" s="513">
        <v>1574.1270314354447</v>
      </c>
      <c r="N2395" s="622"/>
    </row>
    <row r="2396" spans="2:14">
      <c r="B2396" s="513" t="s">
        <v>927</v>
      </c>
      <c r="C2396" s="889">
        <v>2018</v>
      </c>
      <c r="D2396" s="513">
        <v>1574.1270314354447</v>
      </c>
      <c r="E2396" s="513">
        <f>VLOOKUP(B2396,'[6]2018 allocation'!$A$11:$B$218,2, FALSE)</f>
        <v>16.261885913160981</v>
      </c>
      <c r="F2396" s="513">
        <f>E2396</f>
        <v>16.261885913160981</v>
      </c>
      <c r="G2396" s="513">
        <v>0</v>
      </c>
      <c r="H2396" s="513">
        <v>0</v>
      </c>
      <c r="I2396" s="622" t="s">
        <v>103</v>
      </c>
      <c r="J2396" s="513">
        <f>VLOOKUP(B2396,'[6]Annual Spending Worksheet '!$C$6:$AG$250,28,FALSE)</f>
        <v>0</v>
      </c>
      <c r="K2396" s="513">
        <f>VLOOKUP(B2396,'[6]Annual Spending Worksheet '!$C$6:$AG$250,29,FALSE)</f>
        <v>0</v>
      </c>
      <c r="L2396" s="513">
        <v>0</v>
      </c>
      <c r="M2396" s="513">
        <f>D2396+E2396+H2396-J2396</f>
        <v>1590.3889173486057</v>
      </c>
      <c r="N2396" s="513"/>
    </row>
    <row r="2397" spans="2:14">
      <c r="B2397" s="513" t="s">
        <v>927</v>
      </c>
      <c r="C2397" s="889">
        <v>2019</v>
      </c>
      <c r="D2397" s="513">
        <v>1590.3889173486057</v>
      </c>
      <c r="E2397" s="513">
        <v>25.609415754913385</v>
      </c>
      <c r="F2397" s="513">
        <v>25.609415754913385</v>
      </c>
      <c r="G2397" s="513">
        <v>0</v>
      </c>
      <c r="H2397" s="513">
        <v>0</v>
      </c>
      <c r="I2397" s="622" t="s">
        <v>103</v>
      </c>
      <c r="J2397" s="513">
        <v>0</v>
      </c>
      <c r="K2397" s="513">
        <v>0</v>
      </c>
      <c r="L2397" s="513">
        <v>0</v>
      </c>
      <c r="M2397" s="513">
        <v>1615.9983331035191</v>
      </c>
      <c r="N2397" s="513"/>
    </row>
    <row r="2398" spans="2:14" s="662" customFormat="1">
      <c r="B2398" s="890" t="s">
        <v>1793</v>
      </c>
      <c r="C2398" s="906"/>
      <c r="D2398" s="899">
        <f>SUM(D2386:D2397)</f>
        <v>17172.424486773798</v>
      </c>
      <c r="E2398" s="899">
        <f>SUM(E2386:E2397)</f>
        <v>418.04590762003022</v>
      </c>
      <c r="F2398" s="899">
        <f>SUM(F2386:F2397)</f>
        <v>418.04590762003022</v>
      </c>
      <c r="G2398" s="899">
        <f>SUM(G2386:G2397)</f>
        <v>0</v>
      </c>
      <c r="H2398" s="899">
        <f>SUM(H2385:H2397)</f>
        <v>-125</v>
      </c>
      <c r="I2398" s="900"/>
      <c r="J2398" s="899">
        <f t="shared" ref="J2398:M2398" si="34">SUM(J2385:J2397)</f>
        <v>0</v>
      </c>
      <c r="K2398" s="899">
        <f t="shared" si="34"/>
        <v>0</v>
      </c>
      <c r="L2398" s="899">
        <f t="shared" si="34"/>
        <v>0</v>
      </c>
      <c r="M2398" s="899">
        <f t="shared" si="34"/>
        <v>17465.470394393829</v>
      </c>
      <c r="N2398" s="903"/>
    </row>
    <row r="2399" spans="2:14">
      <c r="B2399" s="887" t="s">
        <v>928</v>
      </c>
      <c r="C2399" s="658"/>
      <c r="D2399" s="513"/>
      <c r="E2399" s="513"/>
      <c r="F2399" s="513"/>
      <c r="G2399" s="513"/>
      <c r="H2399" s="513"/>
      <c r="I2399" s="659"/>
      <c r="J2399" s="513"/>
      <c r="K2399" s="513"/>
      <c r="L2399" s="513"/>
      <c r="M2399" s="513"/>
      <c r="N2399" s="622"/>
    </row>
    <row r="2400" spans="2:14">
      <c r="B2400" s="513" t="s">
        <v>929</v>
      </c>
      <c r="C2400" s="658">
        <v>2008</v>
      </c>
      <c r="D2400" s="513">
        <v>815854.25499999989</v>
      </c>
      <c r="E2400" s="512">
        <v>141603.74521091732</v>
      </c>
      <c r="F2400" s="513">
        <v>141603.74521091732</v>
      </c>
      <c r="G2400" s="512">
        <v>0</v>
      </c>
      <c r="H2400" s="512">
        <v>0</v>
      </c>
      <c r="I2400" s="659" t="s">
        <v>103</v>
      </c>
      <c r="J2400" s="513">
        <v>0</v>
      </c>
      <c r="K2400" s="513">
        <v>0</v>
      </c>
      <c r="L2400" s="513">
        <v>0</v>
      </c>
      <c r="M2400" s="513">
        <v>957458.00021091721</v>
      </c>
      <c r="N2400" s="622"/>
    </row>
    <row r="2401" spans="2:14">
      <c r="B2401" s="513" t="s">
        <v>929</v>
      </c>
      <c r="C2401" s="658">
        <v>2009</v>
      </c>
      <c r="D2401" s="513">
        <v>957458.00021091709</v>
      </c>
      <c r="E2401" s="512">
        <v>107875.63534773311</v>
      </c>
      <c r="F2401" s="513">
        <v>107875.63534773311</v>
      </c>
      <c r="G2401" s="512">
        <v>0</v>
      </c>
      <c r="H2401" s="512">
        <v>0</v>
      </c>
      <c r="I2401" s="659" t="s">
        <v>103</v>
      </c>
      <c r="J2401" s="513">
        <v>0</v>
      </c>
      <c r="K2401" s="513">
        <v>0</v>
      </c>
      <c r="L2401" s="513">
        <v>0</v>
      </c>
      <c r="M2401" s="513">
        <v>1065333.6355586501</v>
      </c>
      <c r="N2401" s="622"/>
    </row>
    <row r="2402" spans="2:14">
      <c r="B2402" s="513" t="s">
        <v>929</v>
      </c>
      <c r="C2402" s="658">
        <v>2010</v>
      </c>
      <c r="D2402" s="513">
        <v>1065333.6355586504</v>
      </c>
      <c r="E2402" s="512">
        <v>107602.15</v>
      </c>
      <c r="F2402" s="513">
        <v>107602.15</v>
      </c>
      <c r="G2402" s="512">
        <v>0</v>
      </c>
      <c r="H2402" s="512">
        <v>0</v>
      </c>
      <c r="I2402" s="659" t="s">
        <v>103</v>
      </c>
      <c r="J2402" s="513">
        <v>0</v>
      </c>
      <c r="K2402" s="513">
        <v>0</v>
      </c>
      <c r="L2402" s="513">
        <v>0</v>
      </c>
      <c r="M2402" s="513">
        <v>1172935.7855586503</v>
      </c>
      <c r="N2402" s="622"/>
    </row>
    <row r="2403" spans="2:14">
      <c r="B2403" s="513" t="s">
        <v>929</v>
      </c>
      <c r="C2403" s="658">
        <v>2011</v>
      </c>
      <c r="D2403" s="513">
        <v>1172935.7867920543</v>
      </c>
      <c r="E2403" s="512">
        <v>110014.66190796357</v>
      </c>
      <c r="F2403" s="513">
        <v>110014.66190796357</v>
      </c>
      <c r="G2403" s="512">
        <v>0</v>
      </c>
      <c r="H2403" s="512">
        <v>0</v>
      </c>
      <c r="I2403" s="659" t="s">
        <v>103</v>
      </c>
      <c r="J2403" s="513">
        <v>0</v>
      </c>
      <c r="K2403" s="513">
        <v>0</v>
      </c>
      <c r="L2403" s="513">
        <v>0</v>
      </c>
      <c r="M2403" s="513">
        <v>1282950.4487000178</v>
      </c>
      <c r="N2403" s="622"/>
    </row>
    <row r="2404" spans="2:14">
      <c r="B2404" s="513" t="s">
        <v>929</v>
      </c>
      <c r="C2404" s="658">
        <v>2012</v>
      </c>
      <c r="D2404" s="513">
        <v>1282950.4487000178</v>
      </c>
      <c r="E2404" s="513">
        <v>69389.466542149006</v>
      </c>
      <c r="F2404" s="513">
        <v>69389.466542149006</v>
      </c>
      <c r="G2404" s="512">
        <v>0</v>
      </c>
      <c r="H2404" s="512">
        <v>0</v>
      </c>
      <c r="I2404" s="659" t="s">
        <v>103</v>
      </c>
      <c r="J2404" s="513">
        <v>0</v>
      </c>
      <c r="K2404" s="513">
        <v>0</v>
      </c>
      <c r="L2404" s="513">
        <v>0</v>
      </c>
      <c r="M2404" s="513">
        <v>1352339.9152421667</v>
      </c>
      <c r="N2404" s="622"/>
    </row>
    <row r="2405" spans="2:14">
      <c r="B2405" s="513" t="s">
        <v>929</v>
      </c>
      <c r="C2405" s="658">
        <v>2013</v>
      </c>
      <c r="D2405" s="513">
        <v>1352339.9152421667</v>
      </c>
      <c r="E2405" s="513">
        <v>125426.09705936624</v>
      </c>
      <c r="F2405" s="513">
        <v>125426.09705936624</v>
      </c>
      <c r="G2405" s="512">
        <v>0</v>
      </c>
      <c r="H2405" s="512">
        <v>0</v>
      </c>
      <c r="I2405" s="659" t="s">
        <v>103</v>
      </c>
      <c r="J2405" s="513">
        <v>0</v>
      </c>
      <c r="K2405" s="513">
        <v>0</v>
      </c>
      <c r="L2405" s="513">
        <v>0</v>
      </c>
      <c r="M2405" s="513">
        <v>1477766.012301533</v>
      </c>
      <c r="N2405" s="622"/>
    </row>
    <row r="2406" spans="2:14">
      <c r="B2406" s="513" t="s">
        <v>929</v>
      </c>
      <c r="C2406" s="658">
        <v>2014</v>
      </c>
      <c r="D2406" s="513">
        <v>1477766.012301533</v>
      </c>
      <c r="E2406" s="513">
        <v>131854.666178599</v>
      </c>
      <c r="F2406" s="513">
        <v>131854.666178599</v>
      </c>
      <c r="G2406" s="512">
        <v>0</v>
      </c>
      <c r="H2406" s="512">
        <v>0</v>
      </c>
      <c r="I2406" s="659" t="s">
        <v>103</v>
      </c>
      <c r="J2406" s="513">
        <v>0</v>
      </c>
      <c r="K2406" s="513">
        <v>0</v>
      </c>
      <c r="L2406" s="513">
        <v>0</v>
      </c>
      <c r="M2406" s="513">
        <v>1609620.678480132</v>
      </c>
      <c r="N2406" s="622"/>
    </row>
    <row r="2407" spans="2:14">
      <c r="B2407" s="513" t="s">
        <v>929</v>
      </c>
      <c r="C2407" s="658">
        <v>2015</v>
      </c>
      <c r="D2407" s="513">
        <v>1609620.678480132</v>
      </c>
      <c r="E2407" s="513">
        <v>134545.36616003656</v>
      </c>
      <c r="F2407" s="513">
        <v>134545.36616003656</v>
      </c>
      <c r="G2407" s="512">
        <v>0</v>
      </c>
      <c r="H2407" s="660">
        <v>0</v>
      </c>
      <c r="I2407" s="659" t="s">
        <v>103</v>
      </c>
      <c r="J2407" s="513">
        <v>0</v>
      </c>
      <c r="K2407" s="513">
        <v>0</v>
      </c>
      <c r="L2407" s="513">
        <v>0</v>
      </c>
      <c r="M2407" s="513">
        <v>1744166.0446401685</v>
      </c>
      <c r="N2407" s="622"/>
    </row>
    <row r="2408" spans="2:14">
      <c r="B2408" s="513" t="s">
        <v>929</v>
      </c>
      <c r="C2408" s="658">
        <v>2016</v>
      </c>
      <c r="D2408" s="513">
        <v>1744166.044640169</v>
      </c>
      <c r="E2408" s="513">
        <v>86183.730536336981</v>
      </c>
      <c r="F2408" s="513">
        <v>86183.730536336981</v>
      </c>
      <c r="G2408" s="660">
        <v>0</v>
      </c>
      <c r="H2408" s="660">
        <v>0</v>
      </c>
      <c r="I2408" s="659" t="s">
        <v>103</v>
      </c>
      <c r="J2408" s="513">
        <v>94468.01999999999</v>
      </c>
      <c r="K2408" s="513">
        <v>0</v>
      </c>
      <c r="L2408" s="513">
        <v>0</v>
      </c>
      <c r="M2408" s="513">
        <v>1735881.755176506</v>
      </c>
      <c r="N2408" s="622"/>
    </row>
    <row r="2409" spans="2:14">
      <c r="B2409" s="513" t="s">
        <v>929</v>
      </c>
      <c r="C2409" s="658">
        <v>2017</v>
      </c>
      <c r="D2409" s="513">
        <v>1735881.755176506</v>
      </c>
      <c r="E2409" s="513">
        <v>76705.032777763161</v>
      </c>
      <c r="F2409" s="513">
        <v>76705.032777763161</v>
      </c>
      <c r="G2409" s="513">
        <v>0</v>
      </c>
      <c r="H2409" s="513">
        <v>0</v>
      </c>
      <c r="I2409" s="659" t="s">
        <v>103</v>
      </c>
      <c r="J2409" s="513">
        <v>7745.6500000000005</v>
      </c>
      <c r="K2409" s="513">
        <v>0</v>
      </c>
      <c r="L2409" s="513">
        <v>0</v>
      </c>
      <c r="M2409" s="513">
        <v>1804841.1379542693</v>
      </c>
      <c r="N2409" s="622"/>
    </row>
    <row r="2410" spans="2:14">
      <c r="B2410" s="513" t="s">
        <v>929</v>
      </c>
      <c r="C2410" s="889">
        <v>2018</v>
      </c>
      <c r="D2410" s="513">
        <v>1804841.1379542693</v>
      </c>
      <c r="E2410" s="513">
        <f>VLOOKUP(B2410,'[6]2018 allocation'!$A$11:$B$218,2, FALSE)</f>
        <v>84709.05060521116</v>
      </c>
      <c r="F2410" s="513">
        <f>E2410</f>
        <v>84709.05060521116</v>
      </c>
      <c r="G2410" s="513">
        <v>0</v>
      </c>
      <c r="H2410" s="513">
        <v>0</v>
      </c>
      <c r="I2410" s="622" t="s">
        <v>103</v>
      </c>
      <c r="J2410" s="513">
        <f>VLOOKUP(B2410,'[6]Annual Spending Worksheet '!$C$6:$AG$250,28,FALSE)</f>
        <v>84607.33</v>
      </c>
      <c r="K2410" s="513">
        <f>VLOOKUP(B2410,'[6]Annual Spending Worksheet '!$C$6:$AG$250,29,FALSE)</f>
        <v>0</v>
      </c>
      <c r="L2410" s="513">
        <v>0</v>
      </c>
      <c r="M2410" s="513">
        <f>D2410+E2410+H2410-J2410</f>
        <v>1804942.8585594804</v>
      </c>
      <c r="N2410" s="513"/>
    </row>
    <row r="2411" spans="2:14">
      <c r="B2411" s="513" t="s">
        <v>929</v>
      </c>
      <c r="C2411" s="889">
        <v>2019</v>
      </c>
      <c r="D2411" s="513">
        <v>1804942.8585594804</v>
      </c>
      <c r="E2411" s="513">
        <v>92824.868182987702</v>
      </c>
      <c r="F2411" s="513">
        <v>92824.868182987702</v>
      </c>
      <c r="G2411" s="513">
        <v>0</v>
      </c>
      <c r="H2411" s="513">
        <v>0</v>
      </c>
      <c r="I2411" s="622" t="s">
        <v>103</v>
      </c>
      <c r="J2411" s="513">
        <v>6982.95</v>
      </c>
      <c r="K2411" s="513">
        <v>0</v>
      </c>
      <c r="L2411" s="513">
        <v>0</v>
      </c>
      <c r="M2411" s="513">
        <v>1890784.7767424681</v>
      </c>
      <c r="N2411" s="513"/>
    </row>
    <row r="2412" spans="2:14">
      <c r="B2412" s="513" t="s">
        <v>939</v>
      </c>
      <c r="C2412" s="658">
        <v>2008</v>
      </c>
      <c r="D2412" s="513">
        <v>307771.72700000007</v>
      </c>
      <c r="E2412" s="512">
        <v>34015.401369002044</v>
      </c>
      <c r="F2412" s="513">
        <v>34015.401369002044</v>
      </c>
      <c r="G2412" s="512">
        <v>0</v>
      </c>
      <c r="H2412" s="512">
        <v>0</v>
      </c>
      <c r="I2412" s="659" t="s">
        <v>103</v>
      </c>
      <c r="J2412" s="513">
        <v>0</v>
      </c>
      <c r="K2412" s="513">
        <v>0</v>
      </c>
      <c r="L2412" s="513">
        <v>0</v>
      </c>
      <c r="M2412" s="513">
        <v>341787.12836900214</v>
      </c>
      <c r="N2412" s="622"/>
    </row>
    <row r="2413" spans="2:14">
      <c r="B2413" s="513" t="s">
        <v>939</v>
      </c>
      <c r="C2413" s="658">
        <v>2009</v>
      </c>
      <c r="D2413" s="513">
        <v>341787.12836900214</v>
      </c>
      <c r="E2413" s="512">
        <v>26891.920207307492</v>
      </c>
      <c r="F2413" s="513">
        <v>26891.920207307492</v>
      </c>
      <c r="G2413" s="512">
        <v>0</v>
      </c>
      <c r="H2413" s="512">
        <v>0</v>
      </c>
      <c r="I2413" s="659" t="s">
        <v>103</v>
      </c>
      <c r="J2413" s="513">
        <v>0</v>
      </c>
      <c r="K2413" s="513">
        <v>0</v>
      </c>
      <c r="L2413" s="513">
        <v>0</v>
      </c>
      <c r="M2413" s="513">
        <v>368679.04857630964</v>
      </c>
      <c r="N2413" s="622"/>
    </row>
    <row r="2414" spans="2:14">
      <c r="B2414" s="513" t="s">
        <v>939</v>
      </c>
      <c r="C2414" s="658">
        <v>2010</v>
      </c>
      <c r="D2414" s="513">
        <v>368679.04857630969</v>
      </c>
      <c r="E2414" s="512">
        <v>26837.34</v>
      </c>
      <c r="F2414" s="513">
        <v>26837.34</v>
      </c>
      <c r="G2414" s="512">
        <v>0</v>
      </c>
      <c r="H2414" s="512">
        <v>0</v>
      </c>
      <c r="I2414" s="659" t="s">
        <v>103</v>
      </c>
      <c r="J2414" s="513">
        <v>0</v>
      </c>
      <c r="K2414" s="513">
        <v>0</v>
      </c>
      <c r="L2414" s="513">
        <v>0</v>
      </c>
      <c r="M2414" s="513">
        <v>395516.38857630972</v>
      </c>
      <c r="N2414" s="622"/>
    </row>
    <row r="2415" spans="2:14">
      <c r="B2415" s="513" t="s">
        <v>939</v>
      </c>
      <c r="C2415" s="658">
        <v>2011</v>
      </c>
      <c r="D2415" s="513">
        <v>395516.38456434722</v>
      </c>
      <c r="E2415" s="512">
        <v>27339.420735054471</v>
      </c>
      <c r="F2415" s="513">
        <v>27339.420735054471</v>
      </c>
      <c r="G2415" s="512">
        <v>0</v>
      </c>
      <c r="H2415" s="512">
        <v>0</v>
      </c>
      <c r="I2415" s="659" t="s">
        <v>103</v>
      </c>
      <c r="J2415" s="513">
        <v>0</v>
      </c>
      <c r="K2415" s="513">
        <v>0</v>
      </c>
      <c r="L2415" s="513">
        <v>0</v>
      </c>
      <c r="M2415" s="513">
        <v>422855.80529940169</v>
      </c>
      <c r="N2415" s="622"/>
    </row>
    <row r="2416" spans="2:14">
      <c r="B2416" s="513" t="s">
        <v>939</v>
      </c>
      <c r="C2416" s="658">
        <v>2012</v>
      </c>
      <c r="D2416" s="513">
        <v>422855.80529940163</v>
      </c>
      <c r="E2416" s="513">
        <v>18699.680035408164</v>
      </c>
      <c r="F2416" s="513">
        <v>18699.680035408164</v>
      </c>
      <c r="G2416" s="512">
        <v>0</v>
      </c>
      <c r="H2416" s="512">
        <v>0</v>
      </c>
      <c r="I2416" s="659" t="s">
        <v>103</v>
      </c>
      <c r="J2416" s="513">
        <v>0</v>
      </c>
      <c r="K2416" s="513">
        <v>0</v>
      </c>
      <c r="L2416" s="513">
        <v>0</v>
      </c>
      <c r="M2416" s="513">
        <v>441555.48533480981</v>
      </c>
      <c r="N2416" s="622"/>
    </row>
    <row r="2417" spans="2:14">
      <c r="B2417" s="513" t="s">
        <v>939</v>
      </c>
      <c r="C2417" s="658">
        <v>2013</v>
      </c>
      <c r="D2417" s="513">
        <v>441555.48533480975</v>
      </c>
      <c r="E2417" s="513">
        <v>30604.620098661504</v>
      </c>
      <c r="F2417" s="513">
        <v>30604.620098661504</v>
      </c>
      <c r="G2417" s="512">
        <v>0</v>
      </c>
      <c r="H2417" s="512">
        <v>0</v>
      </c>
      <c r="I2417" s="659" t="s">
        <v>103</v>
      </c>
      <c r="J2417" s="513">
        <v>0</v>
      </c>
      <c r="K2417" s="513">
        <v>0</v>
      </c>
      <c r="L2417" s="513">
        <v>0</v>
      </c>
      <c r="M2417" s="513">
        <v>472160.10543347127</v>
      </c>
      <c r="N2417" s="622"/>
    </row>
    <row r="2418" spans="2:14">
      <c r="B2418" s="513" t="s">
        <v>939</v>
      </c>
      <c r="C2418" s="658">
        <v>2014</v>
      </c>
      <c r="D2418" s="513">
        <v>472160.10543347115</v>
      </c>
      <c r="E2418" s="513">
        <v>31989.67700747382</v>
      </c>
      <c r="F2418" s="513">
        <v>31989.67700747382</v>
      </c>
      <c r="G2418" s="512">
        <v>0</v>
      </c>
      <c r="H2418" s="512">
        <v>0</v>
      </c>
      <c r="I2418" s="659" t="s">
        <v>103</v>
      </c>
      <c r="J2418" s="513">
        <v>0</v>
      </c>
      <c r="K2418" s="513">
        <v>0</v>
      </c>
      <c r="L2418" s="513">
        <v>0</v>
      </c>
      <c r="M2418" s="513">
        <v>504149.78244094498</v>
      </c>
      <c r="N2418" s="622"/>
    </row>
    <row r="2419" spans="2:14">
      <c r="B2419" s="513" t="s">
        <v>939</v>
      </c>
      <c r="C2419" s="658">
        <v>2015</v>
      </c>
      <c r="D2419" s="513">
        <v>504149.78244094492</v>
      </c>
      <c r="E2419" s="513">
        <v>32554.240229686558</v>
      </c>
      <c r="F2419" s="513">
        <v>32554.240229686558</v>
      </c>
      <c r="G2419" s="512">
        <v>0</v>
      </c>
      <c r="H2419" s="660">
        <v>0</v>
      </c>
      <c r="I2419" s="659" t="s">
        <v>103</v>
      </c>
      <c r="J2419" s="513">
        <v>0</v>
      </c>
      <c r="K2419" s="513">
        <v>0</v>
      </c>
      <c r="L2419" s="513">
        <v>0</v>
      </c>
      <c r="M2419" s="513">
        <v>536704.02267063153</v>
      </c>
      <c r="N2419" s="622"/>
    </row>
    <row r="2420" spans="2:14">
      <c r="B2420" s="513" t="s">
        <v>939</v>
      </c>
      <c r="C2420" s="658">
        <v>2016</v>
      </c>
      <c r="D2420" s="513">
        <v>536704.02267063141</v>
      </c>
      <c r="E2420" s="513">
        <v>22265.920772020316</v>
      </c>
      <c r="F2420" s="513">
        <v>22265.920772020316</v>
      </c>
      <c r="G2420" s="660">
        <v>0</v>
      </c>
      <c r="H2420" s="660">
        <v>0</v>
      </c>
      <c r="I2420" s="659" t="s">
        <v>103</v>
      </c>
      <c r="J2420" s="513">
        <v>0</v>
      </c>
      <c r="K2420" s="513">
        <v>0</v>
      </c>
      <c r="L2420" s="513">
        <v>0</v>
      </c>
      <c r="M2420" s="513">
        <v>558969.94344265177</v>
      </c>
      <c r="N2420" s="622"/>
    </row>
    <row r="2421" spans="2:14">
      <c r="B2421" s="513" t="s">
        <v>939</v>
      </c>
      <c r="C2421" s="658">
        <v>2017</v>
      </c>
      <c r="D2421" s="513">
        <v>558969.94344265165</v>
      </c>
      <c r="E2421" s="513">
        <v>20230.611127987897</v>
      </c>
      <c r="F2421" s="513">
        <v>20230.611127987897</v>
      </c>
      <c r="G2421" s="513">
        <v>0</v>
      </c>
      <c r="H2421" s="513">
        <v>0</v>
      </c>
      <c r="I2421" s="659" t="s">
        <v>103</v>
      </c>
      <c r="J2421" s="513">
        <v>0</v>
      </c>
      <c r="K2421" s="513">
        <v>0</v>
      </c>
      <c r="L2421" s="513">
        <v>0</v>
      </c>
      <c r="M2421" s="513">
        <v>579200.55457063951</v>
      </c>
      <c r="N2421" s="622"/>
    </row>
    <row r="2422" spans="2:14">
      <c r="B2422" s="513" t="s">
        <v>939</v>
      </c>
      <c r="C2422" s="889">
        <v>2018</v>
      </c>
      <c r="D2422" s="513">
        <v>579200.55457063951</v>
      </c>
      <c r="E2422" s="513">
        <f>VLOOKUP(B2422,'[6]2018 allocation'!$A$11:$B$218,2, FALSE)</f>
        <v>21914.564124850935</v>
      </c>
      <c r="F2422" s="513">
        <f>E2422</f>
        <v>21914.564124850935</v>
      </c>
      <c r="G2422" s="513">
        <v>0</v>
      </c>
      <c r="H2422" s="513">
        <v>0</v>
      </c>
      <c r="I2422" s="622" t="s">
        <v>103</v>
      </c>
      <c r="J2422" s="513">
        <f>VLOOKUP(B2422,'[6]Annual Spending Worksheet '!$C$6:$AG$250,28,FALSE)</f>
        <v>0</v>
      </c>
      <c r="K2422" s="513">
        <f>VLOOKUP(B2422,'[6]Annual Spending Worksheet '!$C$6:$AG$250,29,FALSE)</f>
        <v>0</v>
      </c>
      <c r="L2422" s="513">
        <v>0</v>
      </c>
      <c r="M2422" s="513">
        <f>D2422+E2422+H2422-J2422</f>
        <v>601115.11869549041</v>
      </c>
      <c r="N2422" s="513"/>
    </row>
    <row r="2423" spans="2:14">
      <c r="B2423" s="513" t="s">
        <v>939</v>
      </c>
      <c r="C2423" s="889">
        <v>2019</v>
      </c>
      <c r="D2423" s="513">
        <v>601115.11869549041</v>
      </c>
      <c r="E2423" s="513">
        <v>23654.847736524716</v>
      </c>
      <c r="F2423" s="513">
        <v>23654.847736524716</v>
      </c>
      <c r="G2423" s="513">
        <v>0</v>
      </c>
      <c r="H2423" s="513">
        <v>0</v>
      </c>
      <c r="I2423" s="622" t="s">
        <v>103</v>
      </c>
      <c r="J2423" s="513">
        <v>0</v>
      </c>
      <c r="K2423" s="513">
        <v>0</v>
      </c>
      <c r="L2423" s="513">
        <v>0</v>
      </c>
      <c r="M2423" s="513">
        <v>624769.96643201518</v>
      </c>
      <c r="N2423" s="513"/>
    </row>
    <row r="2424" spans="2:14">
      <c r="B2424" s="513" t="s">
        <v>940</v>
      </c>
      <c r="C2424" s="658">
        <v>2008</v>
      </c>
      <c r="D2424" s="513">
        <v>108311.00299999991</v>
      </c>
      <c r="E2424" s="512">
        <v>53657.275591414502</v>
      </c>
      <c r="F2424" s="513">
        <v>53657.275591414502</v>
      </c>
      <c r="G2424" s="512">
        <v>0</v>
      </c>
      <c r="H2424" s="512">
        <v>0</v>
      </c>
      <c r="I2424" s="659" t="s">
        <v>103</v>
      </c>
      <c r="J2424" s="513">
        <v>0</v>
      </c>
      <c r="K2424" s="513">
        <v>0</v>
      </c>
      <c r="L2424" s="513">
        <v>0</v>
      </c>
      <c r="M2424" s="513">
        <v>161968.27859141442</v>
      </c>
      <c r="N2424" s="622"/>
    </row>
    <row r="2425" spans="2:14">
      <c r="B2425" s="513" t="s">
        <v>940</v>
      </c>
      <c r="C2425" s="658">
        <v>2009</v>
      </c>
      <c r="D2425" s="513">
        <v>161968.27859141433</v>
      </c>
      <c r="E2425" s="512">
        <v>41317.411454547168</v>
      </c>
      <c r="F2425" s="513">
        <v>41317.411454547168</v>
      </c>
      <c r="G2425" s="512">
        <v>0</v>
      </c>
      <c r="H2425" s="512">
        <v>0</v>
      </c>
      <c r="I2425" s="659" t="s">
        <v>103</v>
      </c>
      <c r="J2425" s="513">
        <v>0</v>
      </c>
      <c r="K2425" s="513">
        <v>0</v>
      </c>
      <c r="L2425" s="513">
        <v>0</v>
      </c>
      <c r="M2425" s="513">
        <v>203285.6900459615</v>
      </c>
      <c r="N2425" s="622"/>
    </row>
    <row r="2426" spans="2:14">
      <c r="B2426" s="513" t="s">
        <v>940</v>
      </c>
      <c r="C2426" s="658">
        <v>2010</v>
      </c>
      <c r="D2426" s="513">
        <v>203285.69004596153</v>
      </c>
      <c r="E2426" s="512">
        <v>41219.25</v>
      </c>
      <c r="F2426" s="513">
        <v>41219.25</v>
      </c>
      <c r="G2426" s="512">
        <v>0</v>
      </c>
      <c r="H2426" s="512">
        <v>0</v>
      </c>
      <c r="I2426" s="659" t="s">
        <v>103</v>
      </c>
      <c r="J2426" s="513">
        <v>0</v>
      </c>
      <c r="K2426" s="513">
        <v>0</v>
      </c>
      <c r="L2426" s="513">
        <v>0</v>
      </c>
      <c r="M2426" s="513">
        <v>244504.94004596153</v>
      </c>
      <c r="N2426" s="622"/>
    </row>
    <row r="2427" spans="2:14">
      <c r="B2427" s="513" t="s">
        <v>940</v>
      </c>
      <c r="C2427" s="658">
        <v>2011</v>
      </c>
      <c r="D2427" s="513">
        <v>244504.94280165376</v>
      </c>
      <c r="E2427" s="512">
        <v>42105.144950412599</v>
      </c>
      <c r="F2427" s="513">
        <v>42105.144950412599</v>
      </c>
      <c r="G2427" s="512">
        <v>0</v>
      </c>
      <c r="H2427" s="512">
        <v>0</v>
      </c>
      <c r="I2427" s="659" t="s">
        <v>103</v>
      </c>
      <c r="J2427" s="513">
        <v>0</v>
      </c>
      <c r="K2427" s="513">
        <v>0</v>
      </c>
      <c r="L2427" s="513">
        <v>0</v>
      </c>
      <c r="M2427" s="513">
        <v>286610.08775206638</v>
      </c>
      <c r="N2427" s="622"/>
    </row>
    <row r="2428" spans="2:14">
      <c r="B2428" s="513" t="s">
        <v>940</v>
      </c>
      <c r="C2428" s="658">
        <v>2012</v>
      </c>
      <c r="D2428" s="513">
        <v>286610.08775206644</v>
      </c>
      <c r="E2428" s="513">
        <v>27208.585651541114</v>
      </c>
      <c r="F2428" s="513">
        <v>27208.585651541114</v>
      </c>
      <c r="G2428" s="512">
        <v>0</v>
      </c>
      <c r="H2428" s="512">
        <v>0</v>
      </c>
      <c r="I2428" s="659" t="s">
        <v>103</v>
      </c>
      <c r="J2428" s="513">
        <v>0</v>
      </c>
      <c r="K2428" s="513">
        <v>0</v>
      </c>
      <c r="L2428" s="513">
        <v>0</v>
      </c>
      <c r="M2428" s="513">
        <v>313818.67340360756</v>
      </c>
      <c r="N2428" s="622"/>
    </row>
    <row r="2429" spans="2:14">
      <c r="B2429" s="513" t="s">
        <v>940</v>
      </c>
      <c r="C2429" s="658">
        <v>2013</v>
      </c>
      <c r="D2429" s="513">
        <v>313818.67340360756</v>
      </c>
      <c r="E2429" s="513">
        <v>47787.449819783855</v>
      </c>
      <c r="F2429" s="513">
        <v>47787.449819783855</v>
      </c>
      <c r="G2429" s="512">
        <v>0</v>
      </c>
      <c r="H2429" s="512">
        <v>0</v>
      </c>
      <c r="I2429" s="659" t="s">
        <v>103</v>
      </c>
      <c r="J2429" s="513">
        <v>0</v>
      </c>
      <c r="K2429" s="513">
        <v>0</v>
      </c>
      <c r="L2429" s="513">
        <v>0</v>
      </c>
      <c r="M2429" s="513">
        <v>361606.12322339142</v>
      </c>
      <c r="N2429" s="622"/>
    </row>
    <row r="2430" spans="2:14">
      <c r="B2430" s="513" t="s">
        <v>940</v>
      </c>
      <c r="C2430" s="658">
        <v>2014</v>
      </c>
      <c r="D2430" s="513">
        <v>361606.12322339148</v>
      </c>
      <c r="E2430" s="513">
        <v>50181.365105459394</v>
      </c>
      <c r="F2430" s="513">
        <v>50181.365105459394</v>
      </c>
      <c r="G2430" s="512">
        <v>0</v>
      </c>
      <c r="H2430" s="512">
        <v>0</v>
      </c>
      <c r="I2430" s="659" t="s">
        <v>103</v>
      </c>
      <c r="J2430" s="513">
        <v>0</v>
      </c>
      <c r="K2430" s="513">
        <v>0</v>
      </c>
      <c r="L2430" s="513">
        <v>0</v>
      </c>
      <c r="M2430" s="513">
        <v>411787.48832885089</v>
      </c>
      <c r="N2430" s="622"/>
    </row>
    <row r="2431" spans="2:14">
      <c r="B2431" s="513" t="s">
        <v>940</v>
      </c>
      <c r="C2431" s="658">
        <v>2015</v>
      </c>
      <c r="D2431" s="513">
        <v>411787.48832885094</v>
      </c>
      <c r="E2431" s="513">
        <v>51200.738615970287</v>
      </c>
      <c r="F2431" s="513">
        <v>51200.738615970287</v>
      </c>
      <c r="G2431" s="660">
        <v>0</v>
      </c>
      <c r="H2431" s="660">
        <v>0</v>
      </c>
      <c r="I2431" s="659" t="s">
        <v>103</v>
      </c>
      <c r="J2431" s="513">
        <v>0</v>
      </c>
      <c r="K2431" s="513">
        <v>0</v>
      </c>
      <c r="L2431" s="513">
        <v>0</v>
      </c>
      <c r="M2431" s="513">
        <v>462988.22694482125</v>
      </c>
      <c r="N2431" s="622"/>
    </row>
    <row r="2432" spans="2:14">
      <c r="B2432" s="513" t="s">
        <v>940</v>
      </c>
      <c r="C2432" s="658">
        <v>2016</v>
      </c>
      <c r="D2432" s="513">
        <v>462988.2269448213</v>
      </c>
      <c r="E2432" s="513">
        <v>33065.615630131426</v>
      </c>
      <c r="F2432" s="513">
        <v>33065.615630131426</v>
      </c>
      <c r="G2432" s="660">
        <v>0</v>
      </c>
      <c r="H2432" s="660">
        <v>0</v>
      </c>
      <c r="I2432" s="659" t="s">
        <v>103</v>
      </c>
      <c r="J2432" s="513">
        <v>0</v>
      </c>
      <c r="K2432" s="513">
        <v>0</v>
      </c>
      <c r="L2432" s="513">
        <v>0</v>
      </c>
      <c r="M2432" s="513">
        <v>496053.84257495275</v>
      </c>
      <c r="N2432" s="622"/>
    </row>
    <row r="2433" spans="2:14">
      <c r="B2433" s="513" t="s">
        <v>940</v>
      </c>
      <c r="C2433" s="658">
        <v>2017</v>
      </c>
      <c r="D2433" s="513">
        <v>496053.84257495275</v>
      </c>
      <c r="E2433" s="513">
        <v>29445.122591463991</v>
      </c>
      <c r="F2433" s="513">
        <v>29445.122591463991</v>
      </c>
      <c r="G2433" s="513">
        <v>0</v>
      </c>
      <c r="H2433" s="513">
        <v>0</v>
      </c>
      <c r="I2433" s="659" t="s">
        <v>103</v>
      </c>
      <c r="J2433" s="513">
        <v>0</v>
      </c>
      <c r="K2433" s="513">
        <v>0</v>
      </c>
      <c r="L2433" s="513">
        <v>0</v>
      </c>
      <c r="M2433" s="513">
        <v>525498.96516641672</v>
      </c>
      <c r="N2433" s="622"/>
    </row>
    <row r="2434" spans="2:14">
      <c r="B2434" s="513" t="s">
        <v>940</v>
      </c>
      <c r="C2434" s="889">
        <v>2018</v>
      </c>
      <c r="D2434" s="513">
        <v>525498.96516641672</v>
      </c>
      <c r="E2434" s="513">
        <f>VLOOKUP(B2434,'[6]2018 allocation'!$A$11:$B$218,2, FALSE)</f>
        <v>32464.663748785795</v>
      </c>
      <c r="F2434" s="513">
        <f>E2434</f>
        <v>32464.663748785795</v>
      </c>
      <c r="G2434" s="513">
        <v>0</v>
      </c>
      <c r="H2434" s="513">
        <v>0</v>
      </c>
      <c r="I2434" s="622" t="s">
        <v>103</v>
      </c>
      <c r="J2434" s="513">
        <f>VLOOKUP(B2434,'[6]Annual Spending Worksheet '!$C$6:$AG$250,28,FALSE)</f>
        <v>0</v>
      </c>
      <c r="K2434" s="513">
        <f>VLOOKUP(B2434,'[6]Annual Spending Worksheet '!$C$6:$AG$250,29,FALSE)</f>
        <v>0</v>
      </c>
      <c r="L2434" s="513">
        <v>0</v>
      </c>
      <c r="M2434" s="513">
        <f>D2434+E2434+H2434-J2434</f>
        <v>557963.62891520257</v>
      </c>
      <c r="N2434" s="513"/>
    </row>
    <row r="2435" spans="2:14">
      <c r="B2435" s="513" t="s">
        <v>940</v>
      </c>
      <c r="C2435" s="889">
        <v>2019</v>
      </c>
      <c r="D2435" s="513">
        <v>557963.62891520257</v>
      </c>
      <c r="E2435" s="513">
        <v>35668.256119691228</v>
      </c>
      <c r="F2435" s="513">
        <v>35668.256119691228</v>
      </c>
      <c r="G2435" s="513">
        <v>0</v>
      </c>
      <c r="H2435" s="513">
        <v>0</v>
      </c>
      <c r="I2435" s="622" t="s">
        <v>103</v>
      </c>
      <c r="J2435" s="513">
        <v>0</v>
      </c>
      <c r="K2435" s="513">
        <v>0</v>
      </c>
      <c r="L2435" s="513">
        <v>0</v>
      </c>
      <c r="M2435" s="513">
        <v>593631.88503489376</v>
      </c>
      <c r="N2435" s="513"/>
    </row>
    <row r="2436" spans="2:14" ht="29.1">
      <c r="B2436" s="513" t="s">
        <v>941</v>
      </c>
      <c r="C2436" s="658">
        <v>2008</v>
      </c>
      <c r="D2436" s="513">
        <v>-570922.33299999987</v>
      </c>
      <c r="E2436" s="512">
        <v>41202.79886391577</v>
      </c>
      <c r="F2436" s="513">
        <v>41202.79886391577</v>
      </c>
      <c r="G2436" s="512">
        <v>-529719.53413608414</v>
      </c>
      <c r="H2436" s="512">
        <v>0</v>
      </c>
      <c r="I2436" s="659" t="s">
        <v>103</v>
      </c>
      <c r="J2436" s="513">
        <v>0</v>
      </c>
      <c r="K2436" s="513">
        <v>0</v>
      </c>
      <c r="L2436" s="513">
        <v>0</v>
      </c>
      <c r="M2436" s="513">
        <v>-529719.53413608414</v>
      </c>
      <c r="N2436" s="622" t="s">
        <v>1711</v>
      </c>
    </row>
    <row r="2437" spans="2:14" ht="29.1">
      <c r="B2437" s="513" t="s">
        <v>941</v>
      </c>
      <c r="C2437" s="658">
        <v>2009</v>
      </c>
      <c r="D2437" s="513">
        <v>-529719.53413608414</v>
      </c>
      <c r="E2437" s="512">
        <v>33697.248598473823</v>
      </c>
      <c r="F2437" s="513">
        <v>33697.248598473823</v>
      </c>
      <c r="G2437" s="512">
        <v>-496022.2855376103</v>
      </c>
      <c r="H2437" s="512">
        <v>0</v>
      </c>
      <c r="I2437" s="659" t="s">
        <v>103</v>
      </c>
      <c r="J2437" s="513">
        <v>0</v>
      </c>
      <c r="K2437" s="513">
        <v>0</v>
      </c>
      <c r="L2437" s="513">
        <v>0</v>
      </c>
      <c r="M2437" s="513">
        <v>-496022.2855376103</v>
      </c>
      <c r="N2437" s="622" t="s">
        <v>1711</v>
      </c>
    </row>
    <row r="2438" spans="2:14" ht="29.1">
      <c r="B2438" s="513" t="s">
        <v>941</v>
      </c>
      <c r="C2438" s="658">
        <v>2010</v>
      </c>
      <c r="D2438" s="513">
        <v>-496022.2855376103</v>
      </c>
      <c r="E2438" s="512">
        <v>33657.71</v>
      </c>
      <c r="F2438" s="513">
        <v>33657.71</v>
      </c>
      <c r="G2438" s="512">
        <v>-462364.57553761028</v>
      </c>
      <c r="H2438" s="512">
        <v>0</v>
      </c>
      <c r="I2438" s="659" t="s">
        <v>103</v>
      </c>
      <c r="J2438" s="513">
        <v>0</v>
      </c>
      <c r="K2438" s="513">
        <v>0</v>
      </c>
      <c r="L2438" s="513">
        <v>0</v>
      </c>
      <c r="M2438" s="513">
        <v>-462364.57553761028</v>
      </c>
      <c r="N2438" s="622" t="s">
        <v>1711</v>
      </c>
    </row>
    <row r="2439" spans="2:14" ht="29.1">
      <c r="B2439" s="513" t="s">
        <v>941</v>
      </c>
      <c r="C2439" s="658">
        <v>2011</v>
      </c>
      <c r="D2439" s="513">
        <v>-462364.57204485522</v>
      </c>
      <c r="E2439" s="512">
        <v>34191.867637807802</v>
      </c>
      <c r="F2439" s="513">
        <v>34191.867637807802</v>
      </c>
      <c r="G2439" s="660">
        <v>-428172.70440704742</v>
      </c>
      <c r="H2439" s="512">
        <v>0</v>
      </c>
      <c r="I2439" s="659" t="s">
        <v>103</v>
      </c>
      <c r="J2439" s="513">
        <v>0</v>
      </c>
      <c r="K2439" s="513">
        <v>0</v>
      </c>
      <c r="L2439" s="513">
        <v>0</v>
      </c>
      <c r="M2439" s="513">
        <v>-428172.70440704742</v>
      </c>
      <c r="N2439" s="622" t="s">
        <v>1711</v>
      </c>
    </row>
    <row r="2440" spans="2:14" ht="29.1">
      <c r="B2440" s="513" t="s">
        <v>941</v>
      </c>
      <c r="C2440" s="658">
        <v>2012</v>
      </c>
      <c r="D2440" s="513">
        <v>-428172.70440704748</v>
      </c>
      <c r="E2440" s="513">
        <v>25236.952932051317</v>
      </c>
      <c r="F2440" s="513">
        <v>25236.952932051317</v>
      </c>
      <c r="G2440" s="660">
        <v>-402935.75147499616</v>
      </c>
      <c r="H2440" s="512">
        <v>0</v>
      </c>
      <c r="I2440" s="659" t="s">
        <v>103</v>
      </c>
      <c r="J2440" s="513">
        <v>0</v>
      </c>
      <c r="K2440" s="513">
        <v>0</v>
      </c>
      <c r="L2440" s="513">
        <v>0</v>
      </c>
      <c r="M2440" s="513">
        <v>-402935.75147499616</v>
      </c>
      <c r="N2440" s="622" t="s">
        <v>1711</v>
      </c>
    </row>
    <row r="2441" spans="2:14" ht="29.1">
      <c r="B2441" s="513" t="s">
        <v>941</v>
      </c>
      <c r="C2441" s="658">
        <v>2013</v>
      </c>
      <c r="D2441" s="513">
        <v>-402935.7514749961</v>
      </c>
      <c r="E2441" s="513">
        <v>37588.059781536627</v>
      </c>
      <c r="F2441" s="513">
        <v>37588.059781536627</v>
      </c>
      <c r="G2441" s="660">
        <v>-365347.69169345946</v>
      </c>
      <c r="H2441" s="512">
        <v>0</v>
      </c>
      <c r="I2441" s="659" t="s">
        <v>103</v>
      </c>
      <c r="J2441" s="513">
        <v>0</v>
      </c>
      <c r="K2441" s="513">
        <v>0</v>
      </c>
      <c r="L2441" s="513">
        <v>0</v>
      </c>
      <c r="M2441" s="513">
        <v>-365347.69169345946</v>
      </c>
      <c r="N2441" s="622" t="s">
        <v>1711</v>
      </c>
    </row>
    <row r="2442" spans="2:14" ht="29.1">
      <c r="B2442" s="513" t="s">
        <v>941</v>
      </c>
      <c r="C2442" s="658">
        <v>2014</v>
      </c>
      <c r="D2442" s="513">
        <v>-365347.6916934594</v>
      </c>
      <c r="E2442" s="513">
        <v>39013.169106190107</v>
      </c>
      <c r="F2442" s="513">
        <v>39013.169106190107</v>
      </c>
      <c r="G2442" s="660">
        <v>-326334.52258726931</v>
      </c>
      <c r="H2442" s="512">
        <v>0</v>
      </c>
      <c r="I2442" s="659" t="s">
        <v>103</v>
      </c>
      <c r="J2442" s="513">
        <v>0</v>
      </c>
      <c r="K2442" s="513">
        <v>0</v>
      </c>
      <c r="L2442" s="513">
        <v>0</v>
      </c>
      <c r="M2442" s="513">
        <v>-326334.52258726931</v>
      </c>
      <c r="N2442" s="622" t="s">
        <v>1711</v>
      </c>
    </row>
    <row r="2443" spans="2:14" ht="29.1">
      <c r="B2443" s="513" t="s">
        <v>941</v>
      </c>
      <c r="C2443" s="658">
        <v>2015</v>
      </c>
      <c r="D2443" s="513">
        <v>-326334.52258726931</v>
      </c>
      <c r="E2443" s="513">
        <v>39620.628895846901</v>
      </c>
      <c r="F2443" s="513">
        <v>39620.628895846901</v>
      </c>
      <c r="G2443" s="660">
        <v>-286713.89369142242</v>
      </c>
      <c r="H2443" s="660">
        <v>0</v>
      </c>
      <c r="I2443" s="659" t="s">
        <v>103</v>
      </c>
      <c r="J2443" s="513">
        <v>0</v>
      </c>
      <c r="K2443" s="513">
        <v>0</v>
      </c>
      <c r="L2443" s="513">
        <v>0</v>
      </c>
      <c r="M2443" s="513">
        <v>-286713.89369142242</v>
      </c>
      <c r="N2443" s="622" t="s">
        <v>1711</v>
      </c>
    </row>
    <row r="2444" spans="2:14" ht="29.1">
      <c r="B2444" s="513" t="s">
        <v>941</v>
      </c>
      <c r="C2444" s="658">
        <v>2016</v>
      </c>
      <c r="D2444" s="513">
        <v>-286713.89369142242</v>
      </c>
      <c r="E2444" s="513">
        <v>28960.493665637176</v>
      </c>
      <c r="F2444" s="513">
        <v>28960.493665637176</v>
      </c>
      <c r="G2444" s="660">
        <v>-257753.40002578523</v>
      </c>
      <c r="H2444" s="660">
        <v>0</v>
      </c>
      <c r="I2444" s="659" t="s">
        <v>103</v>
      </c>
      <c r="J2444" s="513">
        <v>0</v>
      </c>
      <c r="K2444" s="513">
        <v>0</v>
      </c>
      <c r="L2444" s="513">
        <v>0</v>
      </c>
      <c r="M2444" s="513">
        <v>-257753.40002578523</v>
      </c>
      <c r="N2444" s="622" t="s">
        <v>1711</v>
      </c>
    </row>
    <row r="2445" spans="2:14" ht="29.1">
      <c r="B2445" s="513" t="s">
        <v>941</v>
      </c>
      <c r="C2445" s="658">
        <v>2017</v>
      </c>
      <c r="D2445" s="513">
        <v>-257753.4000257852</v>
      </c>
      <c r="E2445" s="513">
        <v>26887.506272455204</v>
      </c>
      <c r="F2445" s="513">
        <v>26887.506272455204</v>
      </c>
      <c r="G2445" s="513">
        <v>-230865.89375332999</v>
      </c>
      <c r="H2445" s="513">
        <v>0</v>
      </c>
      <c r="I2445" s="659" t="s">
        <v>103</v>
      </c>
      <c r="J2445" s="513">
        <v>0</v>
      </c>
      <c r="K2445" s="513">
        <v>0</v>
      </c>
      <c r="L2445" s="513">
        <v>0</v>
      </c>
      <c r="M2445" s="513">
        <v>-230865.89375332999</v>
      </c>
      <c r="N2445" s="622" t="s">
        <v>1711</v>
      </c>
    </row>
    <row r="2446" spans="2:14" ht="29.1">
      <c r="B2446" s="513" t="s">
        <v>941</v>
      </c>
      <c r="C2446" s="889">
        <v>2018</v>
      </c>
      <c r="D2446" s="513">
        <v>-230865.89375332999</v>
      </c>
      <c r="E2446" s="513">
        <f>VLOOKUP(B2446,'[6]2018 allocation'!$A$11:$B$218,2, FALSE)</f>
        <v>28671.795097159964</v>
      </c>
      <c r="F2446" s="513">
        <f>E2446</f>
        <v>28671.795097159964</v>
      </c>
      <c r="G2446" s="513">
        <f>D2446+E2446</f>
        <v>-202194.09865617001</v>
      </c>
      <c r="H2446" s="513">
        <v>0</v>
      </c>
      <c r="I2446" s="622" t="s">
        <v>103</v>
      </c>
      <c r="J2446" s="513">
        <f>VLOOKUP(B2446,'[6]Annual Spending Worksheet '!$C$6:$AG$250,28,FALSE)</f>
        <v>0</v>
      </c>
      <c r="K2446" s="513">
        <f>VLOOKUP(B2446,'[6]Annual Spending Worksheet '!$C$6:$AG$250,29,FALSE)</f>
        <v>0</v>
      </c>
      <c r="L2446" s="513">
        <v>0</v>
      </c>
      <c r="M2446" s="513">
        <f>D2446+E2446+H2446-J2446</f>
        <v>-202194.09865617001</v>
      </c>
      <c r="N2446" s="622" t="s">
        <v>1711</v>
      </c>
    </row>
    <row r="2447" spans="2:14" ht="29.1">
      <c r="B2447" s="513" t="s">
        <v>941</v>
      </c>
      <c r="C2447" s="889">
        <v>2019</v>
      </c>
      <c r="D2447" s="513">
        <v>-202194.09865617001</v>
      </c>
      <c r="E2447" s="513">
        <v>30769.50317644751</v>
      </c>
      <c r="F2447" s="513">
        <v>30769.50317644751</v>
      </c>
      <c r="G2447" s="513">
        <v>-171424.59547972251</v>
      </c>
      <c r="H2447" s="513">
        <v>0</v>
      </c>
      <c r="I2447" s="622" t="s">
        <v>103</v>
      </c>
      <c r="J2447" s="513">
        <v>0</v>
      </c>
      <c r="K2447" s="513">
        <v>0</v>
      </c>
      <c r="L2447" s="513">
        <v>0</v>
      </c>
      <c r="M2447" s="513">
        <v>-171424.59547972251</v>
      </c>
      <c r="N2447" s="622" t="s">
        <v>1711</v>
      </c>
    </row>
    <row r="2448" spans="2:14">
      <c r="B2448" s="513" t="s">
        <v>945</v>
      </c>
      <c r="C2448" s="658">
        <v>2008</v>
      </c>
      <c r="D2448" s="513">
        <v>1544922.99</v>
      </c>
      <c r="E2448" s="512">
        <v>377616.82084275153</v>
      </c>
      <c r="F2448" s="513">
        <v>377616.82084275153</v>
      </c>
      <c r="G2448" s="512">
        <v>0</v>
      </c>
      <c r="H2448" s="512">
        <v>0</v>
      </c>
      <c r="I2448" s="659" t="s">
        <v>103</v>
      </c>
      <c r="J2448" s="513">
        <v>11986.230000000014</v>
      </c>
      <c r="K2448" s="513">
        <v>1644152.4</v>
      </c>
      <c r="L2448" s="513">
        <v>1768.4199999994598</v>
      </c>
      <c r="M2448" s="513">
        <v>1908785.1608427521</v>
      </c>
      <c r="N2448" s="622"/>
    </row>
    <row r="2449" spans="2:14">
      <c r="B2449" s="513" t="s">
        <v>945</v>
      </c>
      <c r="C2449" s="658">
        <v>2009</v>
      </c>
      <c r="D2449" s="513">
        <v>1908785.1608427521</v>
      </c>
      <c r="E2449" s="512">
        <v>294150.60076716664</v>
      </c>
      <c r="F2449" s="513">
        <v>294150.60076716664</v>
      </c>
      <c r="G2449" s="512">
        <v>0</v>
      </c>
      <c r="H2449" s="512">
        <v>0</v>
      </c>
      <c r="I2449" s="659" t="s">
        <v>103</v>
      </c>
      <c r="J2449" s="513">
        <v>-4598.93</v>
      </c>
      <c r="K2449" s="513">
        <v>0</v>
      </c>
      <c r="L2449" s="513">
        <v>0</v>
      </c>
      <c r="M2449" s="513">
        <v>2207534.6916099191</v>
      </c>
      <c r="N2449" s="622"/>
    </row>
    <row r="2450" spans="2:14">
      <c r="B2450" s="513" t="s">
        <v>945</v>
      </c>
      <c r="C2450" s="658">
        <v>2010</v>
      </c>
      <c r="D2450" s="513">
        <v>2207534.6916099191</v>
      </c>
      <c r="E2450" s="512">
        <v>293441.15999999997</v>
      </c>
      <c r="F2450" s="513">
        <v>293441.15999999997</v>
      </c>
      <c r="G2450" s="512">
        <v>0</v>
      </c>
      <c r="H2450" s="512">
        <v>0</v>
      </c>
      <c r="I2450" s="659" t="s">
        <v>103</v>
      </c>
      <c r="J2450" s="513">
        <v>0</v>
      </c>
      <c r="K2450" s="513">
        <v>0</v>
      </c>
      <c r="L2450" s="513">
        <v>0</v>
      </c>
      <c r="M2450" s="513">
        <v>2500975.8516099192</v>
      </c>
      <c r="N2450" s="622"/>
    </row>
    <row r="2451" spans="2:14">
      <c r="B2451" s="513" t="s">
        <v>945</v>
      </c>
      <c r="C2451" s="658">
        <v>2011</v>
      </c>
      <c r="D2451" s="513">
        <v>2500975.8515746333</v>
      </c>
      <c r="E2451" s="512">
        <v>299443.68999572337</v>
      </c>
      <c r="F2451" s="513">
        <v>299443.68999572337</v>
      </c>
      <c r="G2451" s="512">
        <v>0</v>
      </c>
      <c r="H2451" s="512">
        <v>0</v>
      </c>
      <c r="I2451" s="659" t="s">
        <v>103</v>
      </c>
      <c r="J2451" s="513">
        <v>87075.44</v>
      </c>
      <c r="K2451" s="513">
        <v>0</v>
      </c>
      <c r="L2451" s="513">
        <v>0</v>
      </c>
      <c r="M2451" s="513">
        <v>2713344.1015703566</v>
      </c>
      <c r="N2451" s="622"/>
    </row>
    <row r="2452" spans="2:14">
      <c r="B2452" s="513" t="s">
        <v>945</v>
      </c>
      <c r="C2452" s="658">
        <v>2012</v>
      </c>
      <c r="D2452" s="513">
        <v>2713344.1015703566</v>
      </c>
      <c r="E2452" s="512">
        <v>198039.29847989485</v>
      </c>
      <c r="F2452" s="513">
        <v>198039.29847989485</v>
      </c>
      <c r="G2452" s="512">
        <v>0</v>
      </c>
      <c r="H2452" s="512">
        <v>0</v>
      </c>
      <c r="I2452" s="659" t="s">
        <v>103</v>
      </c>
      <c r="J2452" s="513">
        <v>101234.06999999992</v>
      </c>
      <c r="K2452" s="513">
        <v>0</v>
      </c>
      <c r="L2452" s="513">
        <v>0</v>
      </c>
      <c r="M2452" s="513">
        <v>2810149.3300502514</v>
      </c>
      <c r="N2452" s="622"/>
    </row>
    <row r="2453" spans="2:14">
      <c r="B2453" s="513" t="s">
        <v>945</v>
      </c>
      <c r="C2453" s="658">
        <v>2013</v>
      </c>
      <c r="D2453" s="513">
        <v>2810149.3300502505</v>
      </c>
      <c r="E2453" s="513">
        <v>337904.40672797558</v>
      </c>
      <c r="F2453" s="513">
        <v>337904.40672797558</v>
      </c>
      <c r="G2453" s="512">
        <v>0</v>
      </c>
      <c r="H2453" s="512">
        <v>0</v>
      </c>
      <c r="I2453" s="659" t="s">
        <v>103</v>
      </c>
      <c r="J2453" s="513">
        <v>927267.66999999981</v>
      </c>
      <c r="K2453" s="513">
        <v>0</v>
      </c>
      <c r="L2453" s="513">
        <v>0</v>
      </c>
      <c r="M2453" s="513">
        <v>2220786.0667782263</v>
      </c>
      <c r="N2453" s="622"/>
    </row>
    <row r="2454" spans="2:14">
      <c r="B2454" s="513" t="s">
        <v>945</v>
      </c>
      <c r="C2454" s="658">
        <v>2014</v>
      </c>
      <c r="D2454" s="513">
        <v>2220786.0667782258</v>
      </c>
      <c r="E2454" s="513">
        <v>354243.32620068273</v>
      </c>
      <c r="F2454" s="513">
        <v>354243.32620068273</v>
      </c>
      <c r="G2454" s="512">
        <v>0</v>
      </c>
      <c r="H2454" s="512">
        <v>0</v>
      </c>
      <c r="I2454" s="659" t="s">
        <v>103</v>
      </c>
      <c r="J2454" s="513">
        <v>758894.92999999877</v>
      </c>
      <c r="K2454" s="513">
        <v>0</v>
      </c>
      <c r="L2454" s="513">
        <v>0</v>
      </c>
      <c r="M2454" s="513">
        <v>1816134.4629789097</v>
      </c>
      <c r="N2454" s="622"/>
    </row>
    <row r="2455" spans="2:14">
      <c r="B2455" s="513" t="s">
        <v>945</v>
      </c>
      <c r="C2455" s="658">
        <v>2015</v>
      </c>
      <c r="D2455" s="513">
        <v>1816134.4629789107</v>
      </c>
      <c r="E2455" s="513">
        <v>361115.27632762055</v>
      </c>
      <c r="F2455" s="513">
        <v>361115.27632762055</v>
      </c>
      <c r="G2455" s="512">
        <v>0</v>
      </c>
      <c r="H2455" s="512">
        <v>0</v>
      </c>
      <c r="I2455" s="659" t="s">
        <v>103</v>
      </c>
      <c r="J2455" s="513">
        <v>166278.34999999998</v>
      </c>
      <c r="K2455" s="513">
        <v>1924621.95</v>
      </c>
      <c r="L2455" s="513">
        <v>-116128.81</v>
      </c>
      <c r="M2455" s="513">
        <v>2127100.1993065313</v>
      </c>
      <c r="N2455" s="622"/>
    </row>
    <row r="2456" spans="2:14">
      <c r="B2456" s="513" t="s">
        <v>945</v>
      </c>
      <c r="C2456" s="658">
        <v>2016</v>
      </c>
      <c r="D2456" s="513">
        <v>2127100.199306529</v>
      </c>
      <c r="E2456" s="513">
        <v>239744.00980863234</v>
      </c>
      <c r="F2456" s="513">
        <v>239744.00980863234</v>
      </c>
      <c r="G2456" s="660">
        <v>0</v>
      </c>
      <c r="H2456" s="660">
        <v>0</v>
      </c>
      <c r="I2456" s="659" t="s">
        <v>103</v>
      </c>
      <c r="J2456" s="513">
        <v>0</v>
      </c>
      <c r="K2456" s="513">
        <v>0</v>
      </c>
      <c r="L2456" s="513">
        <v>0</v>
      </c>
      <c r="M2456" s="513">
        <v>2366844.2091151616</v>
      </c>
      <c r="N2456" s="622"/>
    </row>
    <row r="2457" spans="2:14">
      <c r="B2457" s="513" t="s">
        <v>945</v>
      </c>
      <c r="C2457" s="658">
        <v>2017</v>
      </c>
      <c r="D2457" s="513">
        <v>2366844.2091151606</v>
      </c>
      <c r="E2457" s="513">
        <v>215767.94162757287</v>
      </c>
      <c r="F2457" s="513">
        <v>215767.94162757287</v>
      </c>
      <c r="G2457" s="660">
        <v>0</v>
      </c>
      <c r="H2457" s="660">
        <v>0</v>
      </c>
      <c r="I2457" s="659" t="s">
        <v>103</v>
      </c>
      <c r="J2457" s="513">
        <v>0</v>
      </c>
      <c r="K2457" s="513">
        <v>0</v>
      </c>
      <c r="L2457" s="513">
        <v>0</v>
      </c>
      <c r="M2457" s="513">
        <v>2582612.1507427334</v>
      </c>
      <c r="N2457" s="622"/>
    </row>
    <row r="2458" spans="2:14">
      <c r="B2458" s="513" t="s">
        <v>945</v>
      </c>
      <c r="C2458" s="889">
        <v>2018</v>
      </c>
      <c r="D2458" s="513">
        <v>2582612.1507427334</v>
      </c>
      <c r="E2458" s="513">
        <f>VLOOKUP(B2458,'[6]2018 allocation'!$A$11:$B$218,2, FALSE)</f>
        <v>235943.89362879939</v>
      </c>
      <c r="F2458" s="513">
        <f>E2458</f>
        <v>235943.89362879939</v>
      </c>
      <c r="G2458" s="513">
        <v>0</v>
      </c>
      <c r="H2458" s="513">
        <v>0</v>
      </c>
      <c r="I2458" s="622" t="s">
        <v>103</v>
      </c>
      <c r="J2458" s="513">
        <f>VLOOKUP(B2458,'[6]Annual Spending Worksheet '!$C$6:$AG$250,28,FALSE)</f>
        <v>0</v>
      </c>
      <c r="K2458" s="513">
        <f>VLOOKUP(B2458,'[6]Annual Spending Worksheet '!$C$6:$AG$250,29,FALSE)</f>
        <v>0</v>
      </c>
      <c r="L2458" s="513">
        <v>0</v>
      </c>
      <c r="M2458" s="513">
        <f>D2458+E2458+H2458-J2458</f>
        <v>2818556.0443715327</v>
      </c>
      <c r="N2458" s="513"/>
    </row>
    <row r="2459" spans="2:14">
      <c r="B2459" s="513" t="s">
        <v>945</v>
      </c>
      <c r="C2459" s="889">
        <v>2019</v>
      </c>
      <c r="D2459" s="513">
        <v>2818556.0443715327</v>
      </c>
      <c r="E2459" s="513">
        <v>257089.49968269517</v>
      </c>
      <c r="F2459" s="513">
        <v>257089.49968269517</v>
      </c>
      <c r="G2459" s="513">
        <v>0</v>
      </c>
      <c r="H2459" s="513">
        <v>0</v>
      </c>
      <c r="I2459" s="622" t="s">
        <v>103</v>
      </c>
      <c r="J2459" s="513">
        <v>0</v>
      </c>
      <c r="K2459" s="513">
        <v>0</v>
      </c>
      <c r="L2459" s="513">
        <v>0</v>
      </c>
      <c r="M2459" s="513">
        <v>3075645.5440542279</v>
      </c>
      <c r="N2459" s="513"/>
    </row>
    <row r="2460" spans="2:14">
      <c r="B2460" s="513" t="s">
        <v>953</v>
      </c>
      <c r="C2460" s="658">
        <v>2008</v>
      </c>
      <c r="D2460" s="513">
        <v>404944.53200000012</v>
      </c>
      <c r="E2460" s="512">
        <v>58059.923345241899</v>
      </c>
      <c r="F2460" s="513">
        <v>58059.923345241899</v>
      </c>
      <c r="G2460" s="512">
        <v>0</v>
      </c>
      <c r="H2460" s="512">
        <v>0</v>
      </c>
      <c r="I2460" s="659" t="s">
        <v>103</v>
      </c>
      <c r="J2460" s="513">
        <v>0</v>
      </c>
      <c r="K2460" s="513">
        <v>0</v>
      </c>
      <c r="L2460" s="513">
        <v>0</v>
      </c>
      <c r="M2460" s="513">
        <v>463004.45534524205</v>
      </c>
      <c r="N2460" s="622"/>
    </row>
    <row r="2461" spans="2:14">
      <c r="B2461" s="513" t="s">
        <v>953</v>
      </c>
      <c r="C2461" s="658">
        <v>2009</v>
      </c>
      <c r="D2461" s="513">
        <v>463004.45534524205</v>
      </c>
      <c r="E2461" s="512">
        <v>46313.732612101972</v>
      </c>
      <c r="F2461" s="513">
        <v>46313.732612101972</v>
      </c>
      <c r="G2461" s="512">
        <v>0</v>
      </c>
      <c r="H2461" s="512">
        <v>0</v>
      </c>
      <c r="I2461" s="659" t="s">
        <v>103</v>
      </c>
      <c r="J2461" s="513">
        <v>0</v>
      </c>
      <c r="K2461" s="513">
        <v>0</v>
      </c>
      <c r="L2461" s="513">
        <v>0</v>
      </c>
      <c r="M2461" s="513">
        <v>509318.18795734399</v>
      </c>
      <c r="N2461" s="622"/>
    </row>
    <row r="2462" spans="2:14">
      <c r="B2462" s="513" t="s">
        <v>953</v>
      </c>
      <c r="C2462" s="658">
        <v>2010</v>
      </c>
      <c r="D2462" s="513">
        <v>509318.18795734411</v>
      </c>
      <c r="E2462" s="512">
        <v>46241.09</v>
      </c>
      <c r="F2462" s="513">
        <v>46241.09</v>
      </c>
      <c r="G2462" s="512">
        <v>0</v>
      </c>
      <c r="H2462" s="512">
        <v>0</v>
      </c>
      <c r="I2462" s="659" t="s">
        <v>103</v>
      </c>
      <c r="J2462" s="513">
        <v>0</v>
      </c>
      <c r="K2462" s="513">
        <v>0</v>
      </c>
      <c r="L2462" s="513">
        <v>0</v>
      </c>
      <c r="M2462" s="513">
        <v>555559.27795734408</v>
      </c>
      <c r="N2462" s="622"/>
    </row>
    <row r="2463" spans="2:14">
      <c r="B2463" s="513" t="s">
        <v>953</v>
      </c>
      <c r="C2463" s="658">
        <v>2011</v>
      </c>
      <c r="D2463" s="513">
        <v>555559.27767020743</v>
      </c>
      <c r="E2463" s="512">
        <v>47084.728233084315</v>
      </c>
      <c r="F2463" s="513">
        <v>47084.728233084315</v>
      </c>
      <c r="G2463" s="512">
        <v>0</v>
      </c>
      <c r="H2463" s="512">
        <v>0</v>
      </c>
      <c r="I2463" s="659" t="s">
        <v>103</v>
      </c>
      <c r="J2463" s="513">
        <v>0</v>
      </c>
      <c r="K2463" s="513">
        <v>0</v>
      </c>
      <c r="L2463" s="513">
        <v>0</v>
      </c>
      <c r="M2463" s="513">
        <v>602644.00590329175</v>
      </c>
      <c r="N2463" s="622"/>
    </row>
    <row r="2464" spans="2:14">
      <c r="B2464" s="513" t="s">
        <v>953</v>
      </c>
      <c r="C2464" s="658">
        <v>2012</v>
      </c>
      <c r="D2464" s="513">
        <v>602644.00590329175</v>
      </c>
      <c r="E2464" s="513">
        <v>33054.001614621862</v>
      </c>
      <c r="F2464" s="513">
        <v>33054.001614621862</v>
      </c>
      <c r="G2464" s="512">
        <v>0</v>
      </c>
      <c r="H2464" s="512">
        <v>0</v>
      </c>
      <c r="I2464" s="659" t="s">
        <v>103</v>
      </c>
      <c r="J2464" s="513">
        <v>44155.98000000001</v>
      </c>
      <c r="K2464" s="513">
        <v>0</v>
      </c>
      <c r="L2464" s="513">
        <v>0</v>
      </c>
      <c r="M2464" s="513">
        <v>591542.02751791361</v>
      </c>
      <c r="N2464" s="622"/>
    </row>
    <row r="2465" spans="2:14">
      <c r="B2465" s="513" t="s">
        <v>953</v>
      </c>
      <c r="C2465" s="658">
        <v>2013</v>
      </c>
      <c r="D2465" s="513">
        <v>591542.02751791361</v>
      </c>
      <c r="E2465" s="513">
        <v>52412.178492008941</v>
      </c>
      <c r="F2465" s="513">
        <v>52412.178492008941</v>
      </c>
      <c r="G2465" s="512">
        <v>0</v>
      </c>
      <c r="H2465" s="512">
        <v>0</v>
      </c>
      <c r="I2465" s="659" t="s">
        <v>103</v>
      </c>
      <c r="J2465" s="513">
        <v>49500.439999999937</v>
      </c>
      <c r="K2465" s="513">
        <v>0</v>
      </c>
      <c r="L2465" s="513">
        <v>0</v>
      </c>
      <c r="M2465" s="513">
        <v>594453.76600992261</v>
      </c>
      <c r="N2465" s="622"/>
    </row>
    <row r="2466" spans="2:14">
      <c r="B2466" s="513" t="s">
        <v>953</v>
      </c>
      <c r="C2466" s="658">
        <v>2014</v>
      </c>
      <c r="D2466" s="513">
        <v>594453.76600992261</v>
      </c>
      <c r="E2466" s="513">
        <v>54653.884572754818</v>
      </c>
      <c r="F2466" s="513">
        <v>54653.884572754818</v>
      </c>
      <c r="G2466" s="512">
        <v>0</v>
      </c>
      <c r="H2466" s="512">
        <v>0</v>
      </c>
      <c r="I2466" s="659" t="s">
        <v>103</v>
      </c>
      <c r="J2466" s="513">
        <v>240534.35000000006</v>
      </c>
      <c r="K2466" s="513">
        <v>0</v>
      </c>
      <c r="L2466" s="513">
        <v>0</v>
      </c>
      <c r="M2466" s="513">
        <v>408573.30058267736</v>
      </c>
      <c r="N2466" s="622"/>
    </row>
    <row r="2467" spans="2:14" ht="29.1">
      <c r="B2467" s="513" t="s">
        <v>953</v>
      </c>
      <c r="C2467" s="658">
        <v>2015</v>
      </c>
      <c r="D2467" s="513">
        <v>408573.30058267736</v>
      </c>
      <c r="E2467" s="513">
        <v>55577.893103199684</v>
      </c>
      <c r="F2467" s="513">
        <v>55577.893103199684</v>
      </c>
      <c r="G2467" s="660">
        <v>0</v>
      </c>
      <c r="H2467" s="660">
        <v>0</v>
      </c>
      <c r="I2467" s="659" t="s">
        <v>103</v>
      </c>
      <c r="J2467" s="513">
        <v>943719.19000000006</v>
      </c>
      <c r="K2467" s="513">
        <v>1093393</v>
      </c>
      <c r="L2467" s="513">
        <v>-184516.99</v>
      </c>
      <c r="M2467" s="513">
        <v>-295051.00631412305</v>
      </c>
      <c r="N2467" s="622" t="s">
        <v>1794</v>
      </c>
    </row>
    <row r="2468" spans="2:14" ht="29.1">
      <c r="B2468" s="513" t="s">
        <v>953</v>
      </c>
      <c r="C2468" s="658">
        <v>2016</v>
      </c>
      <c r="D2468" s="513">
        <v>-295051.00631412258</v>
      </c>
      <c r="E2468" s="513">
        <v>38874.367134520835</v>
      </c>
      <c r="F2468" s="513">
        <v>38874.367134520835</v>
      </c>
      <c r="G2468" s="660">
        <v>-256176.63917960174</v>
      </c>
      <c r="H2468" s="660">
        <v>0</v>
      </c>
      <c r="I2468" s="659" t="s">
        <v>103</v>
      </c>
      <c r="J2468" s="513">
        <v>0</v>
      </c>
      <c r="K2468" s="513">
        <v>0</v>
      </c>
      <c r="L2468" s="513">
        <v>0</v>
      </c>
      <c r="M2468" s="513">
        <v>-256176.63917960174</v>
      </c>
      <c r="N2468" s="622" t="s">
        <v>1794</v>
      </c>
    </row>
    <row r="2469" spans="2:14" ht="29.1">
      <c r="B2469" s="513" t="s">
        <v>953</v>
      </c>
      <c r="C2469" s="658">
        <v>2017</v>
      </c>
      <c r="D2469" s="513">
        <v>-256176.6391796018</v>
      </c>
      <c r="E2469" s="513">
        <v>35631.528584489199</v>
      </c>
      <c r="F2469" s="513">
        <v>35631.528584489199</v>
      </c>
      <c r="G2469" s="513">
        <v>-220545.11059511261</v>
      </c>
      <c r="H2469" s="513">
        <v>0</v>
      </c>
      <c r="I2469" s="659" t="s">
        <v>103</v>
      </c>
      <c r="J2469" s="513">
        <v>0</v>
      </c>
      <c r="K2469" s="513">
        <v>0</v>
      </c>
      <c r="L2469" s="513">
        <v>0</v>
      </c>
      <c r="M2469" s="513">
        <v>-220545.11059511261</v>
      </c>
      <c r="N2469" s="622" t="s">
        <v>1794</v>
      </c>
    </row>
    <row r="2470" spans="2:14" ht="29.1">
      <c r="B2470" s="513" t="s">
        <v>953</v>
      </c>
      <c r="C2470" s="889">
        <v>2018</v>
      </c>
      <c r="D2470" s="513">
        <v>-220545.11059511261</v>
      </c>
      <c r="E2470" s="513">
        <f>VLOOKUP(B2470,'[6]2018 allocation'!$A$11:$B$218,2, FALSE)</f>
        <v>38433.124593447959</v>
      </c>
      <c r="F2470" s="513">
        <f>E2470</f>
        <v>38433.124593447959</v>
      </c>
      <c r="G2470" s="513">
        <f>D2470+E2470</f>
        <v>-182111.98600166466</v>
      </c>
      <c r="H2470" s="513">
        <v>0</v>
      </c>
      <c r="I2470" s="622" t="s">
        <v>103</v>
      </c>
      <c r="J2470" s="513">
        <f>VLOOKUP(B2470,'[6]Annual Spending Worksheet '!$C$6:$AG$250,28,FALSE)</f>
        <v>0</v>
      </c>
      <c r="K2470" s="513">
        <f>VLOOKUP(B2470,'[6]Annual Spending Worksheet '!$C$6:$AG$250,29,FALSE)</f>
        <v>0</v>
      </c>
      <c r="L2470" s="513">
        <v>0</v>
      </c>
      <c r="M2470" s="513">
        <f>D2470+E2470+H2470-J2470</f>
        <v>-182111.98600166466</v>
      </c>
      <c r="N2470" s="622" t="s">
        <v>1794</v>
      </c>
    </row>
    <row r="2471" spans="2:14" ht="29.1">
      <c r="B2471" s="513" t="s">
        <v>953</v>
      </c>
      <c r="C2471" s="889">
        <v>2019</v>
      </c>
      <c r="D2471" s="513">
        <v>-182111.98600166466</v>
      </c>
      <c r="E2471" s="513">
        <v>41367.493434020063</v>
      </c>
      <c r="F2471" s="513">
        <v>41367.493434020063</v>
      </c>
      <c r="G2471" s="513">
        <v>-140744.4925676446</v>
      </c>
      <c r="H2471" s="513">
        <v>0</v>
      </c>
      <c r="I2471" s="622" t="s">
        <v>103</v>
      </c>
      <c r="J2471" s="513">
        <v>0</v>
      </c>
      <c r="K2471" s="513">
        <v>0</v>
      </c>
      <c r="L2471" s="513">
        <v>0</v>
      </c>
      <c r="M2471" s="513">
        <v>-140744.4925676446</v>
      </c>
      <c r="N2471" s="622" t="s">
        <v>1794</v>
      </c>
    </row>
    <row r="2472" spans="2:14">
      <c r="B2472" s="513" t="s">
        <v>958</v>
      </c>
      <c r="C2472" s="658">
        <v>2008</v>
      </c>
      <c r="D2472" s="513">
        <v>1285709.8689999999</v>
      </c>
      <c r="E2472" s="512">
        <v>92234.316900089281</v>
      </c>
      <c r="F2472" s="513">
        <v>92234.316900089281</v>
      </c>
      <c r="G2472" s="513">
        <v>0</v>
      </c>
      <c r="H2472" s="512">
        <v>0</v>
      </c>
      <c r="I2472" s="659" t="s">
        <v>103</v>
      </c>
      <c r="J2472" s="513">
        <v>7899.55</v>
      </c>
      <c r="K2472" s="513">
        <v>0</v>
      </c>
      <c r="L2472" s="513">
        <v>0</v>
      </c>
      <c r="M2472" s="513">
        <v>1370044.6359000893</v>
      </c>
      <c r="N2472" s="622"/>
    </row>
    <row r="2473" spans="2:14">
      <c r="B2473" s="513" t="s">
        <v>958</v>
      </c>
      <c r="C2473" s="658">
        <v>2009</v>
      </c>
      <c r="D2473" s="513">
        <v>1370044.6359000893</v>
      </c>
      <c r="E2473" s="512">
        <v>74841.551536181927</v>
      </c>
      <c r="F2473" s="513">
        <v>74841.551536181927</v>
      </c>
      <c r="G2473" s="512">
        <v>0</v>
      </c>
      <c r="H2473" s="512">
        <v>0</v>
      </c>
      <c r="I2473" s="659" t="s">
        <v>103</v>
      </c>
      <c r="J2473" s="513">
        <v>49392.93</v>
      </c>
      <c r="K2473" s="513">
        <v>0</v>
      </c>
      <c r="L2473" s="513">
        <v>0</v>
      </c>
      <c r="M2473" s="513">
        <v>1395493.2574362713</v>
      </c>
      <c r="N2473" s="622"/>
    </row>
    <row r="2474" spans="2:14">
      <c r="B2474" s="513" t="s">
        <v>958</v>
      </c>
      <c r="C2474" s="658">
        <v>2010</v>
      </c>
      <c r="D2474" s="513">
        <v>1395493.2574362713</v>
      </c>
      <c r="E2474" s="512">
        <v>74707.23</v>
      </c>
      <c r="F2474" s="513">
        <v>74707.23</v>
      </c>
      <c r="G2474" s="512">
        <v>0</v>
      </c>
      <c r="H2474" s="512">
        <v>0</v>
      </c>
      <c r="I2474" s="659" t="s">
        <v>103</v>
      </c>
      <c r="J2474" s="513">
        <v>26296.34</v>
      </c>
      <c r="K2474" s="513">
        <v>0</v>
      </c>
      <c r="L2474" s="513">
        <v>0</v>
      </c>
      <c r="M2474" s="513">
        <v>1443904.1474362712</v>
      </c>
      <c r="N2474" s="622"/>
    </row>
    <row r="2475" spans="2:14">
      <c r="B2475" s="513" t="s">
        <v>958</v>
      </c>
      <c r="C2475" s="658">
        <v>2011</v>
      </c>
      <c r="D2475" s="513">
        <v>1443904.1430692181</v>
      </c>
      <c r="E2475" s="512">
        <v>75944.95732527753</v>
      </c>
      <c r="F2475" s="513">
        <v>75944.95732527753</v>
      </c>
      <c r="G2475" s="512">
        <v>0</v>
      </c>
      <c r="H2475" s="512">
        <v>0</v>
      </c>
      <c r="I2475" s="659" t="s">
        <v>103</v>
      </c>
      <c r="J2475" s="513">
        <v>32003.499999999996</v>
      </c>
      <c r="K2475" s="513">
        <v>0</v>
      </c>
      <c r="L2475" s="513">
        <v>0</v>
      </c>
      <c r="M2475" s="513">
        <v>1487845.6003944958</v>
      </c>
      <c r="N2475" s="622"/>
    </row>
    <row r="2476" spans="2:14">
      <c r="B2476" s="513" t="s">
        <v>958</v>
      </c>
      <c r="C2476" s="658">
        <v>2012</v>
      </c>
      <c r="D2476" s="513">
        <v>1487845.6003944955</v>
      </c>
      <c r="E2476" s="513">
        <v>54752.266296549897</v>
      </c>
      <c r="F2476" s="513">
        <v>54752.266296549897</v>
      </c>
      <c r="G2476" s="512">
        <v>0</v>
      </c>
      <c r="H2476" s="512">
        <v>0</v>
      </c>
      <c r="I2476" s="659" t="s">
        <v>103</v>
      </c>
      <c r="J2476" s="513">
        <v>39692.139999999992</v>
      </c>
      <c r="K2476" s="513">
        <v>0</v>
      </c>
      <c r="L2476" s="513">
        <v>0</v>
      </c>
      <c r="M2476" s="513">
        <v>1502905.7266910456</v>
      </c>
      <c r="N2476" s="622"/>
    </row>
    <row r="2477" spans="2:14">
      <c r="B2477" s="513" t="s">
        <v>958</v>
      </c>
      <c r="C2477" s="658">
        <v>2013</v>
      </c>
      <c r="D2477" s="513">
        <v>1502905.7266910453</v>
      </c>
      <c r="E2477" s="513">
        <v>83968.843172083027</v>
      </c>
      <c r="F2477" s="513">
        <v>83968.843172083027</v>
      </c>
      <c r="G2477" s="512">
        <v>0</v>
      </c>
      <c r="H2477" s="512">
        <v>0</v>
      </c>
      <c r="I2477" s="659" t="s">
        <v>103</v>
      </c>
      <c r="J2477" s="513">
        <v>619836.0999999987</v>
      </c>
      <c r="K2477" s="513">
        <v>0</v>
      </c>
      <c r="L2477" s="513">
        <v>0</v>
      </c>
      <c r="M2477" s="513">
        <v>967038.46986312978</v>
      </c>
      <c r="N2477" s="622"/>
    </row>
    <row r="2478" spans="2:14">
      <c r="B2478" s="513" t="s">
        <v>958</v>
      </c>
      <c r="C2478" s="658">
        <v>2014</v>
      </c>
      <c r="D2478" s="513">
        <v>967038.46986312978</v>
      </c>
      <c r="E2478" s="513">
        <v>87372.807777991693</v>
      </c>
      <c r="F2478" s="513">
        <v>87372.807777991693</v>
      </c>
      <c r="G2478" s="512">
        <v>0</v>
      </c>
      <c r="H2478" s="512">
        <v>0</v>
      </c>
      <c r="I2478" s="659" t="s">
        <v>103</v>
      </c>
      <c r="J2478" s="513">
        <v>406739.30000000005</v>
      </c>
      <c r="K2478" s="513">
        <v>1156796</v>
      </c>
      <c r="L2478" s="513">
        <v>-25063.45</v>
      </c>
      <c r="M2478" s="513">
        <v>672735.42764112144</v>
      </c>
      <c r="N2478" s="622"/>
    </row>
    <row r="2479" spans="2:14">
      <c r="B2479" s="513" t="s">
        <v>958</v>
      </c>
      <c r="C2479" s="658">
        <v>2015</v>
      </c>
      <c r="D2479" s="513">
        <v>672735.42764111981</v>
      </c>
      <c r="E2479" s="513">
        <v>88764.203244027958</v>
      </c>
      <c r="F2479" s="513">
        <v>88764.203244027958</v>
      </c>
      <c r="G2479" s="660">
        <v>0</v>
      </c>
      <c r="H2479" s="660">
        <v>0</v>
      </c>
      <c r="I2479" s="659" t="s">
        <v>103</v>
      </c>
      <c r="J2479" s="513">
        <v>0</v>
      </c>
      <c r="K2479" s="513">
        <v>0</v>
      </c>
      <c r="L2479" s="513">
        <v>0</v>
      </c>
      <c r="M2479" s="513">
        <v>761499.63088514772</v>
      </c>
      <c r="N2479" s="622"/>
    </row>
    <row r="2480" spans="2:14">
      <c r="B2480" s="513" t="s">
        <v>958</v>
      </c>
      <c r="C2480" s="658">
        <v>2016</v>
      </c>
      <c r="D2480" s="513">
        <v>761499.63088514796</v>
      </c>
      <c r="E2480" s="513">
        <v>63484.251029231273</v>
      </c>
      <c r="F2480" s="513">
        <v>63484.251029231273</v>
      </c>
      <c r="G2480" s="660">
        <v>0</v>
      </c>
      <c r="H2480" s="660">
        <v>0</v>
      </c>
      <c r="I2480" s="659" t="s">
        <v>103</v>
      </c>
      <c r="J2480" s="513">
        <v>0</v>
      </c>
      <c r="K2480" s="513">
        <v>0</v>
      </c>
      <c r="L2480" s="513">
        <v>0</v>
      </c>
      <c r="M2480" s="513">
        <v>824983.88191437919</v>
      </c>
      <c r="N2480" s="622"/>
    </row>
    <row r="2481" spans="2:14">
      <c r="B2481" s="513" t="s">
        <v>958</v>
      </c>
      <c r="C2481" s="658">
        <v>2017</v>
      </c>
      <c r="D2481" s="513">
        <v>824983.88191437908</v>
      </c>
      <c r="E2481" s="513">
        <v>58530.043938375042</v>
      </c>
      <c r="F2481" s="513">
        <v>58530.043938375042</v>
      </c>
      <c r="G2481" s="513">
        <v>0</v>
      </c>
      <c r="H2481" s="513">
        <v>0</v>
      </c>
      <c r="I2481" s="659" t="s">
        <v>103</v>
      </c>
      <c r="J2481" s="513">
        <v>0</v>
      </c>
      <c r="K2481" s="513">
        <v>0</v>
      </c>
      <c r="L2481" s="513">
        <v>0</v>
      </c>
      <c r="M2481" s="513">
        <v>883513.92585275415</v>
      </c>
      <c r="N2481" s="622"/>
    </row>
    <row r="2482" spans="2:14">
      <c r="B2482" s="513" t="s">
        <v>958</v>
      </c>
      <c r="C2482" s="889">
        <v>2018</v>
      </c>
      <c r="D2482" s="513">
        <v>883513.92585275415</v>
      </c>
      <c r="E2482" s="513">
        <f>VLOOKUP(B2482,'[6]2018 allocation'!$A$11:$B$218,2, FALSE)</f>
        <v>62802.641909929502</v>
      </c>
      <c r="F2482" s="513">
        <f>E2482</f>
        <v>62802.641909929502</v>
      </c>
      <c r="G2482" s="513">
        <v>0</v>
      </c>
      <c r="H2482" s="513">
        <v>0</v>
      </c>
      <c r="I2482" s="622" t="s">
        <v>103</v>
      </c>
      <c r="J2482" s="513">
        <f>VLOOKUP(B2482,'[6]Annual Spending Worksheet '!$C$6:$AG$250,28,FALSE)</f>
        <v>0</v>
      </c>
      <c r="K2482" s="513">
        <f>VLOOKUP(B2482,'[6]Annual Spending Worksheet '!$C$6:$AG$250,29,FALSE)</f>
        <v>0</v>
      </c>
      <c r="L2482" s="513">
        <v>0</v>
      </c>
      <c r="M2482" s="513">
        <f>D2482+E2482+H2482-J2482</f>
        <v>946316.56776268361</v>
      </c>
      <c r="N2482" s="513"/>
    </row>
    <row r="2483" spans="2:14">
      <c r="B2483" s="513" t="s">
        <v>958</v>
      </c>
      <c r="C2483" s="889">
        <v>2019</v>
      </c>
      <c r="D2483" s="513">
        <v>946316.56776268361</v>
      </c>
      <c r="E2483" s="513">
        <v>66959.346866906359</v>
      </c>
      <c r="F2483" s="513">
        <v>66959.346866906359</v>
      </c>
      <c r="G2483" s="513">
        <v>0</v>
      </c>
      <c r="H2483" s="513">
        <v>0</v>
      </c>
      <c r="I2483" s="622" t="s">
        <v>103</v>
      </c>
      <c r="J2483" s="513">
        <v>0</v>
      </c>
      <c r="K2483" s="513">
        <v>0</v>
      </c>
      <c r="L2483" s="513">
        <v>0</v>
      </c>
      <c r="M2483" s="513">
        <v>1013275.91462959</v>
      </c>
      <c r="N2483" s="513"/>
    </row>
    <row r="2484" spans="2:14" ht="29.1">
      <c r="B2484" s="513" t="s">
        <v>961</v>
      </c>
      <c r="C2484" s="658">
        <v>2008</v>
      </c>
      <c r="D2484" s="513">
        <v>-890580.16899999883</v>
      </c>
      <c r="E2484" s="512">
        <v>284124.8826050561</v>
      </c>
      <c r="F2484" s="513">
        <v>284124.8826050561</v>
      </c>
      <c r="G2484" s="512">
        <v>-606455.28639494278</v>
      </c>
      <c r="H2484" s="512">
        <v>0</v>
      </c>
      <c r="I2484" s="659" t="s">
        <v>103</v>
      </c>
      <c r="J2484" s="513">
        <v>1032747</v>
      </c>
      <c r="K2484" s="513">
        <v>0</v>
      </c>
      <c r="L2484" s="513">
        <v>0</v>
      </c>
      <c r="M2484" s="513">
        <v>-1639202.2863949428</v>
      </c>
      <c r="N2484" s="622" t="s">
        <v>1711</v>
      </c>
    </row>
    <row r="2485" spans="2:14" ht="29.1">
      <c r="B2485" s="513" t="s">
        <v>961</v>
      </c>
      <c r="C2485" s="658">
        <v>2009</v>
      </c>
      <c r="D2485" s="513">
        <v>-1639202.4363949439</v>
      </c>
      <c r="E2485" s="512">
        <v>223348.95644485342</v>
      </c>
      <c r="F2485" s="513">
        <v>223348.95644485342</v>
      </c>
      <c r="G2485" s="512">
        <v>-1415853.4799500904</v>
      </c>
      <c r="H2485" s="512">
        <v>0</v>
      </c>
      <c r="I2485" s="659" t="s">
        <v>103</v>
      </c>
      <c r="J2485" s="513">
        <v>687.45000000000073</v>
      </c>
      <c r="K2485" s="513">
        <v>0</v>
      </c>
      <c r="L2485" s="513">
        <v>964</v>
      </c>
      <c r="M2485" s="513">
        <v>-1415576.9299500904</v>
      </c>
      <c r="N2485" s="622" t="s">
        <v>1711</v>
      </c>
    </row>
    <row r="2486" spans="2:14" ht="29.1">
      <c r="B2486" s="513" t="s">
        <v>961</v>
      </c>
      <c r="C2486" s="658">
        <v>2010</v>
      </c>
      <c r="D2486" s="513">
        <v>-1415577.0399500895</v>
      </c>
      <c r="E2486" s="512">
        <v>223004.95</v>
      </c>
      <c r="F2486" s="513">
        <v>223004.95</v>
      </c>
      <c r="G2486" s="512">
        <v>-1192572.0899500896</v>
      </c>
      <c r="H2486" s="512">
        <v>0</v>
      </c>
      <c r="I2486" s="659" t="s">
        <v>103</v>
      </c>
      <c r="J2486" s="513">
        <v>2226.8599999999997</v>
      </c>
      <c r="K2486" s="513">
        <v>0</v>
      </c>
      <c r="L2486" s="513">
        <v>-155139</v>
      </c>
      <c r="M2486" s="513">
        <v>-1039659.9499500896</v>
      </c>
      <c r="N2486" s="622" t="s">
        <v>1711</v>
      </c>
    </row>
    <row r="2487" spans="2:14" ht="29.1">
      <c r="B2487" s="513" t="s">
        <v>961</v>
      </c>
      <c r="C2487" s="658">
        <v>2011</v>
      </c>
      <c r="D2487" s="513">
        <v>-1039659.9979602965</v>
      </c>
      <c r="E2487" s="512">
        <v>227391.73573894019</v>
      </c>
      <c r="F2487" s="513">
        <v>227391.73573894019</v>
      </c>
      <c r="G2487" s="512">
        <v>-812268.26222135627</v>
      </c>
      <c r="H2487" s="512">
        <v>0</v>
      </c>
      <c r="I2487" s="659" t="s">
        <v>103</v>
      </c>
      <c r="J2487" s="513">
        <v>2189.5000000000005</v>
      </c>
      <c r="K2487" s="513">
        <v>0</v>
      </c>
      <c r="L2487" s="513">
        <v>-44.48</v>
      </c>
      <c r="M2487" s="513">
        <v>-814413.28222135629</v>
      </c>
      <c r="N2487" s="622" t="s">
        <v>1711</v>
      </c>
    </row>
    <row r="2488" spans="2:14" ht="29.1">
      <c r="B2488" s="513" t="s">
        <v>961</v>
      </c>
      <c r="C2488" s="658">
        <v>2012</v>
      </c>
      <c r="D2488" s="513">
        <v>-814413.28222135454</v>
      </c>
      <c r="E2488" s="512">
        <v>155040.23945996744</v>
      </c>
      <c r="F2488" s="513">
        <v>155040.23945996744</v>
      </c>
      <c r="G2488" s="660">
        <v>-659373.04276138707</v>
      </c>
      <c r="H2488" s="512">
        <v>0</v>
      </c>
      <c r="I2488" s="659" t="s">
        <v>103</v>
      </c>
      <c r="J2488" s="513">
        <v>0</v>
      </c>
      <c r="K2488" s="513">
        <v>0</v>
      </c>
      <c r="L2488" s="513">
        <v>-3775.5</v>
      </c>
      <c r="M2488" s="513">
        <v>-655597.54276138707</v>
      </c>
      <c r="N2488" s="622" t="s">
        <v>1711</v>
      </c>
    </row>
    <row r="2489" spans="2:14" ht="29.1">
      <c r="B2489" s="513" t="s">
        <v>961</v>
      </c>
      <c r="C2489" s="658">
        <v>2013</v>
      </c>
      <c r="D2489" s="513">
        <v>-655597.5427613873</v>
      </c>
      <c r="E2489" s="513">
        <v>254959.4214244874</v>
      </c>
      <c r="F2489" s="513">
        <v>254959.4214244874</v>
      </c>
      <c r="G2489" s="660">
        <v>-400638.12133689993</v>
      </c>
      <c r="H2489" s="512">
        <v>0</v>
      </c>
      <c r="I2489" s="659" t="s">
        <v>103</v>
      </c>
      <c r="J2489" s="513">
        <v>0</v>
      </c>
      <c r="K2489" s="513">
        <v>0</v>
      </c>
      <c r="L2489" s="513">
        <v>3775.5</v>
      </c>
      <c r="M2489" s="513">
        <v>-404413.62133689993</v>
      </c>
      <c r="N2489" s="622" t="s">
        <v>1711</v>
      </c>
    </row>
    <row r="2490" spans="2:14" ht="29.1">
      <c r="B2490" s="513" t="s">
        <v>961</v>
      </c>
      <c r="C2490" s="658">
        <v>2014</v>
      </c>
      <c r="D2490" s="513">
        <v>-404413.6213368997</v>
      </c>
      <c r="E2490" s="513">
        <v>266662.93409715866</v>
      </c>
      <c r="F2490" s="513">
        <v>266662.93409715866</v>
      </c>
      <c r="G2490" s="660">
        <v>-137750.68723974103</v>
      </c>
      <c r="H2490" s="512">
        <v>0</v>
      </c>
      <c r="I2490" s="659" t="s">
        <v>103</v>
      </c>
      <c r="J2490" s="513">
        <v>0</v>
      </c>
      <c r="K2490" s="513">
        <v>0</v>
      </c>
      <c r="L2490" s="513">
        <v>0</v>
      </c>
      <c r="M2490" s="513">
        <v>-137750.68723974103</v>
      </c>
      <c r="N2490" s="622" t="s">
        <v>1711</v>
      </c>
    </row>
    <row r="2491" spans="2:14">
      <c r="B2491" s="513" t="s">
        <v>961</v>
      </c>
      <c r="C2491" s="658">
        <v>2015</v>
      </c>
      <c r="D2491" s="513">
        <v>-137750.68723974191</v>
      </c>
      <c r="E2491" s="513">
        <v>271432.43768709473</v>
      </c>
      <c r="F2491" s="513">
        <v>271432.43768709473</v>
      </c>
      <c r="G2491" s="660">
        <v>0</v>
      </c>
      <c r="H2491" s="512">
        <v>0</v>
      </c>
      <c r="I2491" s="659" t="s">
        <v>103</v>
      </c>
      <c r="J2491" s="513">
        <v>0</v>
      </c>
      <c r="K2491" s="513">
        <v>0</v>
      </c>
      <c r="L2491" s="513">
        <v>0</v>
      </c>
      <c r="M2491" s="513">
        <v>133681.75044735282</v>
      </c>
      <c r="N2491" s="622"/>
    </row>
    <row r="2492" spans="2:14">
      <c r="B2492" s="513" t="s">
        <v>961</v>
      </c>
      <c r="C2492" s="658">
        <v>2016</v>
      </c>
      <c r="D2492" s="513">
        <v>133681.75044735335</v>
      </c>
      <c r="E2492" s="513">
        <v>184604.15076369874</v>
      </c>
      <c r="F2492" s="513">
        <v>184604.15076369874</v>
      </c>
      <c r="G2492" s="660">
        <v>0</v>
      </c>
      <c r="H2492" s="660">
        <v>0</v>
      </c>
      <c r="I2492" s="659" t="s">
        <v>103</v>
      </c>
      <c r="J2492" s="513">
        <v>0</v>
      </c>
      <c r="K2492" s="513">
        <v>0</v>
      </c>
      <c r="L2492" s="513">
        <v>0</v>
      </c>
      <c r="M2492" s="513">
        <v>318285.90121105209</v>
      </c>
      <c r="N2492" s="622"/>
    </row>
    <row r="2493" spans="2:14">
      <c r="B2493" s="513" t="s">
        <v>961</v>
      </c>
      <c r="C2493" s="658">
        <v>2017</v>
      </c>
      <c r="D2493" s="513">
        <v>318285.90121105127</v>
      </c>
      <c r="E2493" s="513">
        <v>167552.71832289078</v>
      </c>
      <c r="F2493" s="513">
        <v>167552.71832289078</v>
      </c>
      <c r="G2493" s="660">
        <v>0</v>
      </c>
      <c r="H2493" s="660">
        <v>0</v>
      </c>
      <c r="I2493" s="659" t="s">
        <v>103</v>
      </c>
      <c r="J2493" s="513">
        <v>0</v>
      </c>
      <c r="K2493" s="513">
        <v>0</v>
      </c>
      <c r="L2493" s="513">
        <v>0</v>
      </c>
      <c r="M2493" s="513">
        <v>485838.61953394208</v>
      </c>
      <c r="N2493" s="622"/>
    </row>
    <row r="2494" spans="2:14">
      <c r="B2494" s="513" t="s">
        <v>961</v>
      </c>
      <c r="C2494" s="889">
        <v>2018</v>
      </c>
      <c r="D2494" s="513">
        <v>485838.61953394208</v>
      </c>
      <c r="E2494" s="513">
        <f>VLOOKUP(B2494,'[6]2018 allocation'!$A$11:$B$218,2, FALSE)</f>
        <v>182078.6961500718</v>
      </c>
      <c r="F2494" s="513">
        <f>E2494</f>
        <v>182078.6961500718</v>
      </c>
      <c r="G2494" s="513">
        <v>0</v>
      </c>
      <c r="H2494" s="513">
        <v>0</v>
      </c>
      <c r="I2494" s="622" t="s">
        <v>103</v>
      </c>
      <c r="J2494" s="513">
        <f>VLOOKUP(B2494,'[6]Annual Spending Worksheet '!$C$6:$AG$250,28,FALSE)</f>
        <v>0</v>
      </c>
      <c r="K2494" s="513">
        <f>VLOOKUP(B2494,'[6]Annual Spending Worksheet '!$C$6:$AG$250,29,FALSE)</f>
        <v>0</v>
      </c>
      <c r="L2494" s="513">
        <v>0</v>
      </c>
      <c r="M2494" s="513">
        <f>D2494+E2494+H2494-J2494</f>
        <v>667917.31568401388</v>
      </c>
      <c r="N2494" s="513"/>
    </row>
    <row r="2495" spans="2:14">
      <c r="B2495" s="513" t="s">
        <v>961</v>
      </c>
      <c r="C2495" s="889">
        <v>2019</v>
      </c>
      <c r="D2495" s="513">
        <v>667917.31568401388</v>
      </c>
      <c r="E2495" s="513">
        <v>197357.52641623092</v>
      </c>
      <c r="F2495" s="513">
        <v>197357.52641623092</v>
      </c>
      <c r="G2495" s="513">
        <v>0</v>
      </c>
      <c r="H2495" s="513">
        <v>0</v>
      </c>
      <c r="I2495" s="622" t="s">
        <v>103</v>
      </c>
      <c r="J2495" s="513">
        <v>0</v>
      </c>
      <c r="K2495" s="513">
        <v>0</v>
      </c>
      <c r="L2495" s="513">
        <v>0</v>
      </c>
      <c r="M2495" s="513">
        <v>865274.84210024483</v>
      </c>
      <c r="N2495" s="513"/>
    </row>
    <row r="2496" spans="2:14" ht="29.1">
      <c r="B2496" s="513" t="s">
        <v>968</v>
      </c>
      <c r="C2496" s="658">
        <v>2008</v>
      </c>
      <c r="D2496" s="513">
        <v>-733525.02099999972</v>
      </c>
      <c r="E2496" s="512">
        <v>272057.81959492672</v>
      </c>
      <c r="F2496" s="513">
        <v>272057.81959492672</v>
      </c>
      <c r="G2496" s="512">
        <v>-461467.20140507299</v>
      </c>
      <c r="H2496" s="512">
        <v>0</v>
      </c>
      <c r="I2496" s="659" t="s">
        <v>103</v>
      </c>
      <c r="J2496" s="513">
        <v>0</v>
      </c>
      <c r="K2496" s="513">
        <v>0</v>
      </c>
      <c r="L2496" s="513">
        <v>0</v>
      </c>
      <c r="M2496" s="513">
        <v>-461467.20140507299</v>
      </c>
      <c r="N2496" s="622" t="s">
        <v>1711</v>
      </c>
    </row>
    <row r="2497" spans="2:14" ht="29.1">
      <c r="B2497" s="513" t="s">
        <v>968</v>
      </c>
      <c r="C2497" s="658">
        <v>2009</v>
      </c>
      <c r="D2497" s="513">
        <v>-461467.20140507258</v>
      </c>
      <c r="E2497" s="512">
        <v>213746.09438854753</v>
      </c>
      <c r="F2497" s="513">
        <v>213746.09438854753</v>
      </c>
      <c r="G2497" s="512">
        <v>-247721.10701652506</v>
      </c>
      <c r="H2497" s="512">
        <v>0</v>
      </c>
      <c r="I2497" s="659" t="s">
        <v>103</v>
      </c>
      <c r="J2497" s="513">
        <v>0</v>
      </c>
      <c r="K2497" s="513">
        <v>0</v>
      </c>
      <c r="L2497" s="513">
        <v>0</v>
      </c>
      <c r="M2497" s="513">
        <v>-247721.10701652506</v>
      </c>
      <c r="N2497" s="622" t="s">
        <v>1711</v>
      </c>
    </row>
    <row r="2498" spans="2:14" ht="29.1">
      <c r="B2498" s="513" t="s">
        <v>968</v>
      </c>
      <c r="C2498" s="658">
        <v>2010</v>
      </c>
      <c r="D2498" s="513">
        <v>-247721.10701652523</v>
      </c>
      <c r="E2498" s="512">
        <v>213449.79</v>
      </c>
      <c r="F2498" s="513">
        <v>213449.79</v>
      </c>
      <c r="G2498" s="512">
        <v>-34271.317016525223</v>
      </c>
      <c r="H2498" s="512">
        <v>0</v>
      </c>
      <c r="I2498" s="659" t="s">
        <v>103</v>
      </c>
      <c r="J2498" s="513">
        <v>0</v>
      </c>
      <c r="K2498" s="513">
        <v>0</v>
      </c>
      <c r="L2498" s="513">
        <v>0</v>
      </c>
      <c r="M2498" s="513">
        <v>-34271.317016525223</v>
      </c>
      <c r="N2498" s="622" t="s">
        <v>1711</v>
      </c>
    </row>
    <row r="2499" spans="2:14">
      <c r="B2499" s="513" t="s">
        <v>968</v>
      </c>
      <c r="C2499" s="658">
        <v>2011</v>
      </c>
      <c r="D2499" s="513">
        <v>-34271.319076166488</v>
      </c>
      <c r="E2499" s="512">
        <v>217652.26243517653</v>
      </c>
      <c r="F2499" s="513">
        <v>217652.26243517653</v>
      </c>
      <c r="G2499" s="512">
        <v>0</v>
      </c>
      <c r="H2499" s="512">
        <v>0</v>
      </c>
      <c r="I2499" s="659" t="s">
        <v>103</v>
      </c>
      <c r="J2499" s="513">
        <v>0</v>
      </c>
      <c r="K2499" s="513">
        <v>0</v>
      </c>
      <c r="L2499" s="513">
        <v>0</v>
      </c>
      <c r="M2499" s="513">
        <v>183380.94335901004</v>
      </c>
      <c r="N2499" s="622"/>
    </row>
    <row r="2500" spans="2:14">
      <c r="B2500" s="513" t="s">
        <v>968</v>
      </c>
      <c r="C2500" s="658">
        <v>2012</v>
      </c>
      <c r="D2500" s="513">
        <v>183380.94335900992</v>
      </c>
      <c r="E2500" s="513">
        <v>148678.29039741654</v>
      </c>
      <c r="F2500" s="513">
        <v>148678.29039741654</v>
      </c>
      <c r="G2500" s="512">
        <v>0</v>
      </c>
      <c r="H2500" s="512">
        <v>0</v>
      </c>
      <c r="I2500" s="659" t="s">
        <v>103</v>
      </c>
      <c r="J2500" s="513">
        <v>0</v>
      </c>
      <c r="K2500" s="513">
        <v>0</v>
      </c>
      <c r="L2500" s="513">
        <v>0</v>
      </c>
      <c r="M2500" s="513">
        <v>332059.23375642649</v>
      </c>
      <c r="N2500" s="622"/>
    </row>
    <row r="2501" spans="2:14">
      <c r="B2501" s="513" t="s">
        <v>968</v>
      </c>
      <c r="C2501" s="658">
        <v>2013</v>
      </c>
      <c r="D2501" s="513">
        <v>332059.23375642672</v>
      </c>
      <c r="E2501" s="513">
        <v>243633.32554783626</v>
      </c>
      <c r="F2501" s="513">
        <v>243633.32554783626</v>
      </c>
      <c r="G2501" s="512">
        <v>0</v>
      </c>
      <c r="H2501" s="512">
        <v>0</v>
      </c>
      <c r="I2501" s="659" t="s">
        <v>103</v>
      </c>
      <c r="J2501" s="513">
        <v>0</v>
      </c>
      <c r="K2501" s="513">
        <v>0</v>
      </c>
      <c r="L2501" s="513">
        <v>0</v>
      </c>
      <c r="M2501" s="513">
        <v>575692.55930426298</v>
      </c>
      <c r="N2501" s="622"/>
    </row>
    <row r="2502" spans="2:14">
      <c r="B2502" s="513" t="s">
        <v>968</v>
      </c>
      <c r="C2502" s="658">
        <v>2014</v>
      </c>
      <c r="D2502" s="513">
        <v>575692.55930426251</v>
      </c>
      <c r="E2502" s="513">
        <v>254423.71624721141</v>
      </c>
      <c r="F2502" s="513">
        <v>254423.71624721141</v>
      </c>
      <c r="G2502" s="512">
        <v>0</v>
      </c>
      <c r="H2502" s="512">
        <v>0</v>
      </c>
      <c r="I2502" s="659" t="s">
        <v>103</v>
      </c>
      <c r="J2502" s="513">
        <v>0</v>
      </c>
      <c r="K2502" s="513">
        <v>0</v>
      </c>
      <c r="L2502" s="513">
        <v>0</v>
      </c>
      <c r="M2502" s="513">
        <v>830116.27555147395</v>
      </c>
      <c r="N2502" s="622"/>
    </row>
    <row r="2503" spans="2:14">
      <c r="B2503" s="513" t="s">
        <v>968</v>
      </c>
      <c r="C2503" s="658">
        <v>2015</v>
      </c>
      <c r="D2503" s="513">
        <v>830116.27555147465</v>
      </c>
      <c r="E2503" s="513">
        <v>258790.28146757209</v>
      </c>
      <c r="F2503" s="513">
        <v>258790.28146757209</v>
      </c>
      <c r="G2503" s="660">
        <v>0</v>
      </c>
      <c r="H2503" s="660">
        <v>0</v>
      </c>
      <c r="I2503" s="659" t="s">
        <v>103</v>
      </c>
      <c r="J2503" s="513">
        <v>0</v>
      </c>
      <c r="K2503" s="513">
        <v>0</v>
      </c>
      <c r="L2503" s="513">
        <v>0</v>
      </c>
      <c r="M2503" s="513">
        <v>1088906.5570190467</v>
      </c>
      <c r="N2503" s="622"/>
    </row>
    <row r="2504" spans="2:14">
      <c r="B2504" s="513" t="s">
        <v>968</v>
      </c>
      <c r="C2504" s="658">
        <v>2016</v>
      </c>
      <c r="D2504" s="513">
        <v>1088906.5570190465</v>
      </c>
      <c r="E2504" s="513">
        <v>178582.19658819344</v>
      </c>
      <c r="F2504" s="513">
        <v>178582.19658819344</v>
      </c>
      <c r="G2504" s="660">
        <v>0</v>
      </c>
      <c r="H2504" s="660">
        <v>0</v>
      </c>
      <c r="I2504" s="659" t="s">
        <v>103</v>
      </c>
      <c r="J2504" s="513">
        <v>0</v>
      </c>
      <c r="K2504" s="513">
        <v>0</v>
      </c>
      <c r="L2504" s="513">
        <v>0</v>
      </c>
      <c r="M2504" s="513">
        <v>1267488.75360724</v>
      </c>
      <c r="N2504" s="622"/>
    </row>
    <row r="2505" spans="2:14">
      <c r="B2505" s="513" t="s">
        <v>968</v>
      </c>
      <c r="C2505" s="658">
        <v>2017</v>
      </c>
      <c r="D2505" s="513">
        <v>1267488.7536072405</v>
      </c>
      <c r="E2505" s="513">
        <v>163007.58884798747</v>
      </c>
      <c r="F2505" s="513">
        <v>163007.58884798747</v>
      </c>
      <c r="G2505" s="513">
        <v>0</v>
      </c>
      <c r="H2505" s="513">
        <v>0</v>
      </c>
      <c r="I2505" s="659" t="s">
        <v>103</v>
      </c>
      <c r="J2505" s="513">
        <v>0</v>
      </c>
      <c r="K2505" s="513">
        <v>0</v>
      </c>
      <c r="L2505" s="513">
        <v>0</v>
      </c>
      <c r="M2505" s="513">
        <v>1430496.3424552279</v>
      </c>
      <c r="N2505" s="622"/>
    </row>
    <row r="2506" spans="2:14">
      <c r="B2506" s="513" t="s">
        <v>968</v>
      </c>
      <c r="C2506" s="889">
        <v>2018</v>
      </c>
      <c r="D2506" s="513">
        <v>1430496.3424552279</v>
      </c>
      <c r="E2506" s="513">
        <f>VLOOKUP(B2506,'[6]2018 allocation'!$A$11:$B$218,2, FALSE)</f>
        <v>176438.50660786976</v>
      </c>
      <c r="F2506" s="513">
        <f>E2506</f>
        <v>176438.50660786976</v>
      </c>
      <c r="G2506" s="513">
        <v>0</v>
      </c>
      <c r="H2506" s="513">
        <v>0</v>
      </c>
      <c r="I2506" s="622" t="s">
        <v>103</v>
      </c>
      <c r="J2506" s="513">
        <f>VLOOKUP(B2506,'[6]Annual Spending Worksheet '!$C$6:$AG$250,28,FALSE)</f>
        <v>0</v>
      </c>
      <c r="K2506" s="513">
        <f>VLOOKUP(B2506,'[6]Annual Spending Worksheet '!$C$6:$AG$250,29,FALSE)</f>
        <v>0</v>
      </c>
      <c r="L2506" s="513">
        <v>0</v>
      </c>
      <c r="M2506" s="513">
        <f>D2506+E2506+H2506-J2506</f>
        <v>1606934.8490630975</v>
      </c>
      <c r="N2506" s="513"/>
    </row>
    <row r="2507" spans="2:14">
      <c r="B2507" s="513" t="s">
        <v>968</v>
      </c>
      <c r="C2507" s="889">
        <v>2019</v>
      </c>
      <c r="D2507" s="513">
        <v>1606934.8490630975</v>
      </c>
      <c r="E2507" s="513">
        <v>190674.24926980451</v>
      </c>
      <c r="F2507" s="513">
        <v>190674.24926980451</v>
      </c>
      <c r="G2507" s="513">
        <v>0</v>
      </c>
      <c r="H2507" s="513">
        <v>0</v>
      </c>
      <c r="I2507" s="622" t="s">
        <v>103</v>
      </c>
      <c r="J2507" s="513">
        <v>0</v>
      </c>
      <c r="K2507" s="513">
        <v>0</v>
      </c>
      <c r="L2507" s="513">
        <v>0</v>
      </c>
      <c r="M2507" s="513">
        <v>1797609.098332902</v>
      </c>
      <c r="N2507" s="513"/>
    </row>
    <row r="2508" spans="2:14" ht="29.1">
      <c r="B2508" s="513" t="s">
        <v>1563</v>
      </c>
      <c r="C2508" s="658">
        <v>2008</v>
      </c>
      <c r="D2508" s="513">
        <v>-2461347.6389999986</v>
      </c>
      <c r="E2508" s="512">
        <v>356674.67686006875</v>
      </c>
      <c r="F2508" s="513">
        <v>356674.67686006875</v>
      </c>
      <c r="G2508" s="512">
        <v>-2104672.9621399296</v>
      </c>
      <c r="H2508" s="512">
        <v>0</v>
      </c>
      <c r="I2508" s="659" t="s">
        <v>103</v>
      </c>
      <c r="J2508" s="513">
        <v>0</v>
      </c>
      <c r="K2508" s="513">
        <v>0</v>
      </c>
      <c r="L2508" s="513">
        <v>0</v>
      </c>
      <c r="M2508" s="513">
        <v>-2104672.9621399296</v>
      </c>
      <c r="N2508" s="622" t="s">
        <v>1711</v>
      </c>
    </row>
    <row r="2509" spans="2:14" ht="29.1">
      <c r="B2509" s="513" t="s">
        <v>1563</v>
      </c>
      <c r="C2509" s="658">
        <v>2009</v>
      </c>
      <c r="D2509" s="513">
        <v>-2104672.9621399306</v>
      </c>
      <c r="E2509" s="512">
        <v>281434.35924459487</v>
      </c>
      <c r="F2509" s="513">
        <v>281434.35924459487</v>
      </c>
      <c r="G2509" s="512">
        <v>-1823238.6028953358</v>
      </c>
      <c r="H2509" s="512">
        <v>0</v>
      </c>
      <c r="I2509" s="659" t="s">
        <v>103</v>
      </c>
      <c r="J2509" s="513">
        <v>0</v>
      </c>
      <c r="K2509" s="513">
        <v>0</v>
      </c>
      <c r="L2509" s="513">
        <v>0</v>
      </c>
      <c r="M2509" s="513">
        <v>-1823238.6028953358</v>
      </c>
      <c r="N2509" s="622" t="s">
        <v>1711</v>
      </c>
    </row>
    <row r="2510" spans="2:14" ht="29.1">
      <c r="B2510" s="513" t="s">
        <v>1563</v>
      </c>
      <c r="C2510" s="658">
        <v>2010</v>
      </c>
      <c r="D2510" s="513">
        <v>-1823238.6028953362</v>
      </c>
      <c r="E2510" s="512">
        <v>280913.34999999998</v>
      </c>
      <c r="F2510" s="513">
        <v>280913.34999999998</v>
      </c>
      <c r="G2510" s="512">
        <v>-1542325.2528953361</v>
      </c>
      <c r="H2510" s="512">
        <v>0</v>
      </c>
      <c r="I2510" s="659" t="s">
        <v>103</v>
      </c>
      <c r="J2510" s="513">
        <v>0</v>
      </c>
      <c r="K2510" s="513">
        <v>0</v>
      </c>
      <c r="L2510" s="513">
        <v>0</v>
      </c>
      <c r="M2510" s="513">
        <v>-1542325.2528953361</v>
      </c>
      <c r="N2510" s="622" t="s">
        <v>1711</v>
      </c>
    </row>
    <row r="2511" spans="2:14" ht="29.1">
      <c r="B2511" s="513" t="s">
        <v>1563</v>
      </c>
      <c r="C2511" s="658">
        <v>2011</v>
      </c>
      <c r="D2511" s="513">
        <v>-1542325.2549828421</v>
      </c>
      <c r="E2511" s="512">
        <v>286329.01014818664</v>
      </c>
      <c r="F2511" s="513">
        <v>286329.01014818664</v>
      </c>
      <c r="G2511" s="660">
        <v>-1255996.2448346554</v>
      </c>
      <c r="H2511" s="512">
        <v>0</v>
      </c>
      <c r="I2511" s="659" t="s">
        <v>103</v>
      </c>
      <c r="J2511" s="513">
        <v>0</v>
      </c>
      <c r="K2511" s="513">
        <v>0</v>
      </c>
      <c r="L2511" s="513">
        <v>0</v>
      </c>
      <c r="M2511" s="513">
        <v>-1255996.2448346554</v>
      </c>
      <c r="N2511" s="622" t="s">
        <v>1711</v>
      </c>
    </row>
    <row r="2512" spans="2:14" ht="29.1">
      <c r="B2512" s="513" t="s">
        <v>1563</v>
      </c>
      <c r="C2512" s="658">
        <v>2012</v>
      </c>
      <c r="D2512" s="513">
        <v>-1255996.2448346559</v>
      </c>
      <c r="E2512" s="513">
        <v>195868.19186734845</v>
      </c>
      <c r="F2512" s="513">
        <v>195868.19186734845</v>
      </c>
      <c r="G2512" s="660">
        <v>-1060128.0529673074</v>
      </c>
      <c r="H2512" s="512">
        <v>0</v>
      </c>
      <c r="I2512" s="659" t="s">
        <v>103</v>
      </c>
      <c r="J2512" s="513">
        <v>0</v>
      </c>
      <c r="K2512" s="513">
        <v>0</v>
      </c>
      <c r="L2512" s="513">
        <v>0</v>
      </c>
      <c r="M2512" s="513">
        <v>-1060128.0529673074</v>
      </c>
      <c r="N2512" s="622" t="s">
        <v>1711</v>
      </c>
    </row>
    <row r="2513" spans="2:14" ht="29.1">
      <c r="B2513" s="513" t="s">
        <v>1563</v>
      </c>
      <c r="C2513" s="658">
        <v>2013</v>
      </c>
      <c r="D2513" s="513">
        <v>-1060128.0529673081</v>
      </c>
      <c r="E2513" s="513">
        <v>320610.72245583549</v>
      </c>
      <c r="F2513" s="513">
        <v>320610.72245583549</v>
      </c>
      <c r="G2513" s="660">
        <v>-739517.33051147265</v>
      </c>
      <c r="H2513" s="512">
        <v>0</v>
      </c>
      <c r="I2513" s="659" t="s">
        <v>103</v>
      </c>
      <c r="J2513" s="513">
        <v>0</v>
      </c>
      <c r="K2513" s="513">
        <v>0</v>
      </c>
      <c r="L2513" s="513">
        <v>0</v>
      </c>
      <c r="M2513" s="513">
        <v>-739517.33051147265</v>
      </c>
      <c r="N2513" s="622" t="s">
        <v>1711</v>
      </c>
    </row>
    <row r="2514" spans="2:14" ht="29.1">
      <c r="B2514" s="513" t="s">
        <v>1563</v>
      </c>
      <c r="C2514" s="658">
        <v>2014</v>
      </c>
      <c r="D2514" s="513">
        <v>-739517.33051147312</v>
      </c>
      <c r="E2514" s="513">
        <v>335227.11893004988</v>
      </c>
      <c r="F2514" s="513">
        <v>335227.11893004988</v>
      </c>
      <c r="G2514" s="660">
        <v>-404290.21158142324</v>
      </c>
      <c r="H2514" s="512">
        <v>0</v>
      </c>
      <c r="I2514" s="659" t="s">
        <v>103</v>
      </c>
      <c r="J2514" s="513">
        <v>0</v>
      </c>
      <c r="K2514" s="513">
        <v>0</v>
      </c>
      <c r="L2514" s="513">
        <v>0</v>
      </c>
      <c r="M2514" s="513">
        <v>-404290.21158142324</v>
      </c>
      <c r="N2514" s="622" t="s">
        <v>1711</v>
      </c>
    </row>
    <row r="2515" spans="2:14" ht="29.1">
      <c r="B2515" s="513" t="s">
        <v>1563</v>
      </c>
      <c r="C2515" s="658">
        <v>2015</v>
      </c>
      <c r="D2515" s="513">
        <v>-404290.21158142388</v>
      </c>
      <c r="E2515" s="513">
        <v>341189.19650432281</v>
      </c>
      <c r="F2515" s="513">
        <v>341189.19650432281</v>
      </c>
      <c r="G2515" s="660">
        <v>-63101.015077101067</v>
      </c>
      <c r="H2515" s="660">
        <v>0</v>
      </c>
      <c r="I2515" s="659" t="s">
        <v>103</v>
      </c>
      <c r="J2515" s="513">
        <v>0</v>
      </c>
      <c r="K2515" s="513">
        <v>0</v>
      </c>
      <c r="L2515" s="513">
        <v>0</v>
      </c>
      <c r="M2515" s="513">
        <v>-63101.015077101067</v>
      </c>
      <c r="N2515" s="622" t="s">
        <v>1711</v>
      </c>
    </row>
    <row r="2516" spans="2:14">
      <c r="B2516" s="513" t="s">
        <v>1563</v>
      </c>
      <c r="C2516" s="658">
        <v>2016</v>
      </c>
      <c r="D2516" s="513">
        <v>-63101.015077101067</v>
      </c>
      <c r="E2516" s="513">
        <v>233026.79671585522</v>
      </c>
      <c r="F2516" s="513">
        <v>233026.79671585522</v>
      </c>
      <c r="G2516" s="660">
        <v>0</v>
      </c>
      <c r="H2516" s="660">
        <v>0</v>
      </c>
      <c r="I2516" s="659" t="s">
        <v>103</v>
      </c>
      <c r="J2516" s="513">
        <v>0</v>
      </c>
      <c r="K2516" s="513">
        <v>0</v>
      </c>
      <c r="L2516" s="513">
        <v>0</v>
      </c>
      <c r="M2516" s="513">
        <v>169925.78163875415</v>
      </c>
      <c r="N2516" s="622"/>
    </row>
    <row r="2517" spans="2:14">
      <c r="B2517" s="513" t="s">
        <v>1563</v>
      </c>
      <c r="C2517" s="658">
        <v>2017</v>
      </c>
      <c r="D2517" s="513">
        <v>169925.78163875453</v>
      </c>
      <c r="E2517" s="513">
        <v>211849.52114087867</v>
      </c>
      <c r="F2517" s="513">
        <v>211849.52114087867</v>
      </c>
      <c r="G2517" s="513">
        <v>0</v>
      </c>
      <c r="H2517" s="513">
        <v>0</v>
      </c>
      <c r="I2517" s="659" t="s">
        <v>103</v>
      </c>
      <c r="J2517" s="513">
        <v>0</v>
      </c>
      <c r="K2517" s="513">
        <v>0</v>
      </c>
      <c r="L2517" s="513">
        <v>0</v>
      </c>
      <c r="M2517" s="513">
        <v>381775.3027796332</v>
      </c>
      <c r="N2517" s="622"/>
    </row>
    <row r="2518" spans="2:14">
      <c r="B2518" s="513" t="s">
        <v>1563</v>
      </c>
      <c r="C2518" s="889">
        <v>2018</v>
      </c>
      <c r="D2518" s="513">
        <v>381775.3027796332</v>
      </c>
      <c r="E2518" s="513">
        <f>VLOOKUP(B2518,'[6]2018 allocation'!$A$11:$B$218,2, FALSE)</f>
        <v>230134.96819831367</v>
      </c>
      <c r="F2518" s="513">
        <f>E2518</f>
        <v>230134.96819831367</v>
      </c>
      <c r="G2518" s="513">
        <v>0</v>
      </c>
      <c r="H2518" s="513">
        <v>0</v>
      </c>
      <c r="I2518" s="622" t="s">
        <v>103</v>
      </c>
      <c r="J2518" s="513">
        <f>VLOOKUP(B2518,'[6]Annual Spending Worksheet '!$C$6:$AG$250,28,FALSE)</f>
        <v>0</v>
      </c>
      <c r="K2518" s="513">
        <f>VLOOKUP(B2518,'[6]Annual Spending Worksheet '!$C$6:$AG$250,29,FALSE)</f>
        <v>0</v>
      </c>
      <c r="L2518" s="513">
        <v>0</v>
      </c>
      <c r="M2518" s="513">
        <f>D2518+E2518+H2518-J2518</f>
        <v>611910.27097794693</v>
      </c>
      <c r="N2518" s="513"/>
    </row>
    <row r="2519" spans="2:14">
      <c r="B2519" s="513" t="s">
        <v>1563</v>
      </c>
      <c r="C2519" s="889">
        <v>2019</v>
      </c>
      <c r="D2519" s="513">
        <v>611910.27097794693</v>
      </c>
      <c r="E2519" s="513">
        <v>249184.44781430188</v>
      </c>
      <c r="F2519" s="513">
        <v>249184.44781430188</v>
      </c>
      <c r="G2519" s="513">
        <v>0</v>
      </c>
      <c r="H2519" s="513">
        <v>0</v>
      </c>
      <c r="I2519" s="622" t="s">
        <v>103</v>
      </c>
      <c r="J2519" s="513">
        <v>0</v>
      </c>
      <c r="K2519" s="513">
        <v>0</v>
      </c>
      <c r="L2519" s="513">
        <v>0</v>
      </c>
      <c r="M2519" s="513">
        <v>861094.71879224875</v>
      </c>
      <c r="N2519" s="513"/>
    </row>
    <row r="2520" spans="2:14">
      <c r="B2520" s="513" t="s">
        <v>973</v>
      </c>
      <c r="C2520" s="658">
        <v>2008</v>
      </c>
      <c r="D2520" s="513">
        <v>2729237.1330000004</v>
      </c>
      <c r="E2520" s="512">
        <v>392962.11251029553</v>
      </c>
      <c r="F2520" s="513">
        <v>392962.11251029553</v>
      </c>
      <c r="G2520" s="512">
        <v>0</v>
      </c>
      <c r="H2520" s="512">
        <v>0</v>
      </c>
      <c r="I2520" s="659" t="s">
        <v>103</v>
      </c>
      <c r="J2520" s="513">
        <v>294689.37</v>
      </c>
      <c r="K2520" s="513">
        <v>0</v>
      </c>
      <c r="L2520" s="513">
        <v>-29991</v>
      </c>
      <c r="M2520" s="513">
        <v>2857500.8755102959</v>
      </c>
      <c r="N2520" s="622"/>
    </row>
    <row r="2521" spans="2:14">
      <c r="B2521" s="513" t="s">
        <v>973</v>
      </c>
      <c r="C2521" s="658">
        <v>2009</v>
      </c>
      <c r="D2521" s="513">
        <v>2857501.1055102963</v>
      </c>
      <c r="E2521" s="512">
        <v>323365.32438128482</v>
      </c>
      <c r="F2521" s="513">
        <v>323365.32438128482</v>
      </c>
      <c r="G2521" s="512">
        <v>0</v>
      </c>
      <c r="H2521" s="512">
        <v>0</v>
      </c>
      <c r="I2521" s="659" t="s">
        <v>103</v>
      </c>
      <c r="J2521" s="513">
        <v>724092.68</v>
      </c>
      <c r="K2521" s="513">
        <v>0</v>
      </c>
      <c r="L2521" s="513">
        <v>0</v>
      </c>
      <c r="M2521" s="513">
        <v>2456773.749891581</v>
      </c>
      <c r="N2521" s="622"/>
    </row>
    <row r="2522" spans="2:14">
      <c r="B2522" s="513" t="s">
        <v>973</v>
      </c>
      <c r="C2522" s="658">
        <v>2010</v>
      </c>
      <c r="D2522" s="513">
        <v>2456773.749891581</v>
      </c>
      <c r="E2522" s="512">
        <v>322925.3</v>
      </c>
      <c r="F2522" s="513">
        <v>322925.3</v>
      </c>
      <c r="G2522" s="512">
        <v>0</v>
      </c>
      <c r="H2522" s="512">
        <v>0</v>
      </c>
      <c r="I2522" s="659" t="s">
        <v>103</v>
      </c>
      <c r="J2522" s="513">
        <v>2748199.87</v>
      </c>
      <c r="K2522" s="513">
        <v>4503016</v>
      </c>
      <c r="L2522" s="513">
        <v>0</v>
      </c>
      <c r="M2522" s="513">
        <v>31499.179891580716</v>
      </c>
      <c r="N2522" s="622"/>
    </row>
    <row r="2523" spans="2:14">
      <c r="B2523" s="513" t="s">
        <v>973</v>
      </c>
      <c r="C2523" s="658">
        <v>2011</v>
      </c>
      <c r="D2523" s="513">
        <v>31499.183566480875</v>
      </c>
      <c r="E2523" s="512">
        <v>327961.24067274178</v>
      </c>
      <c r="F2523" s="513">
        <v>327961.24067274178</v>
      </c>
      <c r="G2523" s="512">
        <v>0</v>
      </c>
      <c r="H2523" s="512">
        <v>0</v>
      </c>
      <c r="I2523" s="659" t="s">
        <v>103</v>
      </c>
      <c r="J2523" s="513">
        <v>18277.39000000001</v>
      </c>
      <c r="K2523" s="513">
        <v>0</v>
      </c>
      <c r="L2523" s="513">
        <v>18188.68</v>
      </c>
      <c r="M2523" s="513">
        <v>322994.35423922265</v>
      </c>
      <c r="N2523" s="622"/>
    </row>
    <row r="2524" spans="2:14">
      <c r="B2524" s="513" t="s">
        <v>973</v>
      </c>
      <c r="C2524" s="658">
        <v>2012</v>
      </c>
      <c r="D2524" s="513">
        <v>322994.35423922166</v>
      </c>
      <c r="E2524" s="513">
        <v>244766.81721232156</v>
      </c>
      <c r="F2524" s="513">
        <v>244766.81721232156</v>
      </c>
      <c r="G2524" s="512">
        <v>0</v>
      </c>
      <c r="H2524" s="512">
        <v>0</v>
      </c>
      <c r="I2524" s="659" t="s">
        <v>103</v>
      </c>
      <c r="J2524" s="513">
        <v>881.99999999999989</v>
      </c>
      <c r="K2524" s="513">
        <v>0</v>
      </c>
      <c r="L2524" s="513">
        <v>0</v>
      </c>
      <c r="M2524" s="513">
        <v>566879.17145154322</v>
      </c>
      <c r="N2524" s="622"/>
    </row>
    <row r="2525" spans="2:14">
      <c r="B2525" s="513" t="s">
        <v>973</v>
      </c>
      <c r="C2525" s="658">
        <v>2013</v>
      </c>
      <c r="D2525" s="513">
        <v>566879.17145154253</v>
      </c>
      <c r="E2525" s="513">
        <v>359589.84874320199</v>
      </c>
      <c r="F2525" s="513">
        <v>359589.84874320199</v>
      </c>
      <c r="G2525" s="512">
        <v>0</v>
      </c>
      <c r="H2525" s="512">
        <v>0</v>
      </c>
      <c r="I2525" s="659" t="s">
        <v>103</v>
      </c>
      <c r="J2525" s="513">
        <v>0</v>
      </c>
      <c r="K2525" s="513">
        <v>0</v>
      </c>
      <c r="L2525" s="513">
        <v>533.58000000000004</v>
      </c>
      <c r="M2525" s="513">
        <v>925935.4401947445</v>
      </c>
      <c r="N2525" s="622"/>
    </row>
    <row r="2526" spans="2:14">
      <c r="B2526" s="513" t="s">
        <v>973</v>
      </c>
      <c r="C2526" s="658">
        <v>2014</v>
      </c>
      <c r="D2526" s="513">
        <v>925935.44019474462</v>
      </c>
      <c r="E2526" s="513">
        <v>372648.34047646751</v>
      </c>
      <c r="F2526" s="513">
        <v>372648.34047646751</v>
      </c>
      <c r="G2526" s="512">
        <v>0</v>
      </c>
      <c r="H2526" s="512">
        <v>0</v>
      </c>
      <c r="I2526" s="659" t="s">
        <v>103</v>
      </c>
      <c r="J2526" s="513">
        <v>0</v>
      </c>
      <c r="K2526" s="513">
        <v>0</v>
      </c>
      <c r="L2526" s="513">
        <v>0</v>
      </c>
      <c r="M2526" s="513">
        <v>1298583.7806712121</v>
      </c>
      <c r="N2526" s="622"/>
    </row>
    <row r="2527" spans="2:14">
      <c r="B2527" s="513" t="s">
        <v>973</v>
      </c>
      <c r="C2527" s="658">
        <v>2015</v>
      </c>
      <c r="D2527" s="513">
        <v>1298583.7806712128</v>
      </c>
      <c r="E2527" s="513">
        <v>377944.13796918053</v>
      </c>
      <c r="F2527" s="513">
        <v>377944.13796918053</v>
      </c>
      <c r="G2527" s="660">
        <v>0</v>
      </c>
      <c r="H2527" s="660">
        <v>0</v>
      </c>
      <c r="I2527" s="659" t="s">
        <v>103</v>
      </c>
      <c r="J2527" s="513">
        <v>0</v>
      </c>
      <c r="K2527" s="513">
        <v>0</v>
      </c>
      <c r="L2527" s="513">
        <v>0</v>
      </c>
      <c r="M2527" s="513">
        <v>1676527.9186403933</v>
      </c>
      <c r="N2527" s="622"/>
    </row>
    <row r="2528" spans="2:14">
      <c r="B2528" s="513" t="s">
        <v>973</v>
      </c>
      <c r="C2528" s="658">
        <v>2016</v>
      </c>
      <c r="D2528" s="513">
        <v>1676527.9186403938</v>
      </c>
      <c r="E2528" s="513">
        <v>279952.4956288893</v>
      </c>
      <c r="F2528" s="513">
        <v>279952.4956288893</v>
      </c>
      <c r="G2528" s="660">
        <v>0</v>
      </c>
      <c r="H2528" s="660">
        <v>0</v>
      </c>
      <c r="I2528" s="659" t="s">
        <v>103</v>
      </c>
      <c r="J2528" s="513">
        <v>0</v>
      </c>
      <c r="K2528" s="513">
        <v>0</v>
      </c>
      <c r="L2528" s="513">
        <v>0</v>
      </c>
      <c r="M2528" s="513">
        <v>1956480.4142692829</v>
      </c>
      <c r="N2528" s="622"/>
    </row>
    <row r="2529" spans="2:18">
      <c r="B2529" s="513" t="s">
        <v>973</v>
      </c>
      <c r="C2529" s="658">
        <v>2017</v>
      </c>
      <c r="D2529" s="513">
        <v>1956480.4142692834</v>
      </c>
      <c r="E2529" s="513">
        <v>260964.8571788494</v>
      </c>
      <c r="F2529" s="513">
        <v>260964.8571788494</v>
      </c>
      <c r="G2529" s="513">
        <v>0</v>
      </c>
      <c r="H2529" s="513">
        <v>0</v>
      </c>
      <c r="I2529" s="659" t="s">
        <v>103</v>
      </c>
      <c r="J2529" s="513">
        <v>0</v>
      </c>
      <c r="K2529" s="513">
        <v>0</v>
      </c>
      <c r="L2529" s="513">
        <v>0</v>
      </c>
      <c r="M2529" s="513">
        <v>2217445.2714481326</v>
      </c>
      <c r="N2529" s="622"/>
    </row>
    <row r="2530" spans="2:18">
      <c r="B2530" s="513" t="s">
        <v>973</v>
      </c>
      <c r="C2530" s="889">
        <v>2018</v>
      </c>
      <c r="D2530" s="513">
        <v>2217445.2714481326</v>
      </c>
      <c r="E2530" s="513">
        <f>VLOOKUP(B2530,'[6]2018 allocation'!$A$11:$B$218,2, FALSE)</f>
        <v>277315.98694875103</v>
      </c>
      <c r="F2530" s="513">
        <f>E2530</f>
        <v>277315.98694875103</v>
      </c>
      <c r="G2530" s="513">
        <v>0</v>
      </c>
      <c r="H2530" s="513">
        <v>0</v>
      </c>
      <c r="I2530" s="622" t="s">
        <v>103</v>
      </c>
      <c r="J2530" s="513">
        <f>VLOOKUP(B2530,'[6]Annual Spending Worksheet '!$C$6:$AG$250,28,FALSE)</f>
        <v>0</v>
      </c>
      <c r="K2530" s="513">
        <f>VLOOKUP(B2530,'[6]Annual Spending Worksheet '!$C$6:$AG$250,29,FALSE)</f>
        <v>0</v>
      </c>
      <c r="L2530" s="513">
        <v>0</v>
      </c>
      <c r="M2530" s="513">
        <f>D2530+E2530+H2530-J2530</f>
        <v>2494761.2583968835</v>
      </c>
      <c r="N2530" s="513"/>
    </row>
    <row r="2531" spans="2:18">
      <c r="B2531" s="513" t="s">
        <v>973</v>
      </c>
      <c r="C2531" s="889">
        <v>2019</v>
      </c>
      <c r="D2531" s="513">
        <v>2494761.2583968835</v>
      </c>
      <c r="E2531" s="513">
        <v>294804.13752359577</v>
      </c>
      <c r="F2531" s="513">
        <v>294804.13752359577</v>
      </c>
      <c r="G2531" s="513">
        <v>0</v>
      </c>
      <c r="H2531" s="513">
        <v>0</v>
      </c>
      <c r="I2531" s="622" t="s">
        <v>103</v>
      </c>
      <c r="J2531" s="513">
        <v>0</v>
      </c>
      <c r="K2531" s="513">
        <v>0</v>
      </c>
      <c r="L2531" s="513">
        <v>0</v>
      </c>
      <c r="M2531" s="513">
        <v>2789565.3959204792</v>
      </c>
      <c r="N2531" s="513"/>
    </row>
    <row r="2532" spans="2:18">
      <c r="B2532" s="910" t="s">
        <v>1452</v>
      </c>
      <c r="C2532" s="911"/>
      <c r="D2532" s="907">
        <f>SUM(D2400:D2531)</f>
        <v>75955729.60931702</v>
      </c>
      <c r="E2532" s="907">
        <f t="shared" ref="E2532:H2532" si="35">SUM(E2400:E2531)</f>
        <v>19693453.386693742</v>
      </c>
      <c r="F2532" s="907">
        <f t="shared" si="35"/>
        <v>19693453.386693742</v>
      </c>
      <c r="G2532" s="907">
        <f t="shared" si="35"/>
        <v>-19921067.443519726</v>
      </c>
      <c r="H2532" s="907">
        <f t="shared" si="35"/>
        <v>0</v>
      </c>
      <c r="I2532" s="908">
        <f t="shared" ref="I2532" si="36">SUM(I2400:I2529)</f>
        <v>0</v>
      </c>
      <c r="J2532" s="907">
        <f t="shared" ref="J2532:M2532" si="37">SUM(J2400:J2531)</f>
        <v>9525703.6499999985</v>
      </c>
      <c r="K2532" s="907">
        <f t="shared" si="37"/>
        <v>10321979.35</v>
      </c>
      <c r="L2532" s="907">
        <f t="shared" si="37"/>
        <v>-489429.05000000051</v>
      </c>
      <c r="M2532" s="907">
        <f t="shared" si="37"/>
        <v>86614836.396010756</v>
      </c>
      <c r="N2532" s="909"/>
    </row>
    <row r="2533" spans="2:18" ht="15" thickBot="1">
      <c r="B2533" s="912"/>
    </row>
    <row r="2534" spans="2:18" ht="15" thickBot="1">
      <c r="B2534" s="663" t="s">
        <v>1465</v>
      </c>
      <c r="C2534" s="664"/>
      <c r="D2534" s="688">
        <f t="shared" ref="D2534:M2534" si="38">SUM(D6:D2532)/2</f>
        <v>2781478211.8539872</v>
      </c>
      <c r="E2534" s="665">
        <f t="shared" si="38"/>
        <v>397214561.91895497</v>
      </c>
      <c r="F2534" s="665">
        <f t="shared" si="38"/>
        <v>397214561.91895497</v>
      </c>
      <c r="G2534" s="665">
        <f t="shared" si="38"/>
        <v>-362728307.4428103</v>
      </c>
      <c r="H2534" s="665">
        <f t="shared" si="38"/>
        <v>0.46162863075733185</v>
      </c>
      <c r="I2534" s="689">
        <f t="shared" si="38"/>
        <v>0</v>
      </c>
      <c r="J2534" s="665">
        <f t="shared" si="38"/>
        <v>260882104.18999988</v>
      </c>
      <c r="K2534" s="665">
        <f t="shared" si="38"/>
        <v>265670030.56999984</v>
      </c>
      <c r="L2534" s="665">
        <f t="shared" si="38"/>
        <v>-749143.26568070496</v>
      </c>
      <c r="M2534" s="665">
        <f t="shared" si="38"/>
        <v>2918562129.3102527</v>
      </c>
      <c r="N2534" s="690"/>
    </row>
    <row r="2535" spans="2:18" ht="27" customHeight="1"/>
    <row r="2536" spans="2:18">
      <c r="B2536" s="648"/>
      <c r="D2536" s="648"/>
      <c r="E2536" s="666"/>
      <c r="F2536" s="666"/>
      <c r="G2536" s="666"/>
      <c r="H2536" s="666"/>
      <c r="I2536" s="667"/>
      <c r="J2536" s="666"/>
      <c r="K2536" s="666"/>
      <c r="L2536" s="666"/>
      <c r="M2536" s="666"/>
    </row>
    <row r="2542" spans="2:18">
      <c r="C2542" s="619"/>
      <c r="D2542" s="620"/>
      <c r="I2542" s="619"/>
      <c r="K2542" s="620"/>
      <c r="L2542" s="620"/>
      <c r="N2542" s="619"/>
      <c r="R2542" s="650"/>
    </row>
    <row r="2543" spans="2:18">
      <c r="C2543" s="619"/>
      <c r="D2543" s="620"/>
      <c r="I2543" s="619"/>
      <c r="J2543" s="650"/>
      <c r="N2543" s="619"/>
      <c r="P2543" s="687"/>
    </row>
  </sheetData>
  <autoFilter ref="B3:N2534" xr:uid="{00000000-0009-0000-0000-00000D000000}"/>
  <mergeCells count="2">
    <mergeCell ref="C2:M2"/>
    <mergeCell ref="B3:B4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A1D16-C611-49DD-9551-271964670454}">
  <dimension ref="A1:AG1048574"/>
  <sheetViews>
    <sheetView topLeftCell="B1" zoomScale="94" zoomScaleNormal="94" workbookViewId="0">
      <pane xSplit="2" ySplit="5" topLeftCell="X6" activePane="bottomRight" state="frozen"/>
      <selection pane="bottomRight" activeCell="AF234" activeCellId="31" sqref="AF35 AF37 AF43 AF48:AF49 AF57 AF69:AF70 AF75 AF82:AF84 AF91:AF92 AF95 AF99 AF105 AF107 AF109 AF112 AF114:AF115 AF127 AF132:AF134 AF138 AF145 AF147 AF149:AF151 AF154:AF156 AF163:AF164 AF176 AF189 AF193 AF198 AF200:AF204 AF209 AF218 AF234"/>
      <selection pane="bottomLeft" activeCell="B6" sqref="B6"/>
      <selection pane="topRight" activeCell="C1" sqref="C1"/>
    </sheetView>
  </sheetViews>
  <sheetFormatPr defaultColWidth="8.85546875" defaultRowHeight="14.45"/>
  <cols>
    <col min="1" max="1" width="9.140625" customWidth="1"/>
    <col min="3" max="3" width="27.140625" bestFit="1" customWidth="1"/>
    <col min="4" max="4" width="12.42578125" customWidth="1"/>
    <col min="5" max="5" width="17.42578125" style="619" customWidth="1"/>
    <col min="6" max="9" width="18" customWidth="1"/>
    <col min="10" max="10" width="18" bestFit="1" customWidth="1"/>
    <col min="11" max="11" width="15.5703125" customWidth="1"/>
    <col min="12" max="12" width="18" customWidth="1"/>
    <col min="13" max="13" width="15.5703125" customWidth="1"/>
    <col min="14" max="14" width="13.5703125" customWidth="1"/>
    <col min="15" max="15" width="15.5703125" customWidth="1"/>
    <col min="16" max="16" width="13.5703125" customWidth="1"/>
    <col min="17" max="17" width="15.5703125" customWidth="1"/>
    <col min="18" max="18" width="13.5703125" customWidth="1"/>
    <col min="19" max="19" width="15.5703125" customWidth="1"/>
    <col min="20" max="20" width="13.5703125" customWidth="1"/>
    <col min="21" max="21" width="15.5703125" customWidth="1"/>
    <col min="22" max="22" width="13.85546875" customWidth="1"/>
    <col min="23" max="23" width="16.5703125" customWidth="1"/>
    <col min="24" max="24" width="14.5703125" style="586" customWidth="1"/>
    <col min="25" max="25" width="13.5703125" style="619" customWidth="1"/>
    <col min="26" max="26" width="13" style="619" customWidth="1"/>
    <col min="27" max="27" width="17.42578125" style="619" customWidth="1"/>
    <col min="28" max="28" width="14.5703125" style="619" customWidth="1"/>
    <col min="29" max="29" width="12.5703125" style="619" customWidth="1"/>
    <col min="30" max="30" width="14.5703125" style="619" customWidth="1"/>
    <col min="31" max="31" width="12.5703125" style="619" customWidth="1"/>
    <col min="32" max="32" width="14.5703125" style="619" customWidth="1"/>
    <col min="33" max="33" width="12.5703125" style="619" customWidth="1"/>
  </cols>
  <sheetData>
    <row r="1" spans="1:33" ht="18.600000000000001" customHeight="1" thickBot="1">
      <c r="B1" s="842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20"/>
      <c r="W1" s="620"/>
      <c r="X1" s="620"/>
    </row>
    <row r="2" spans="1:33" ht="15" thickBot="1">
      <c r="C2" s="913" t="s">
        <v>1795</v>
      </c>
      <c r="D2" s="914"/>
      <c r="E2" s="914"/>
      <c r="F2" s="914"/>
      <c r="G2" s="914"/>
      <c r="H2" s="914"/>
      <c r="I2" s="914"/>
      <c r="J2" s="914"/>
      <c r="K2" s="914"/>
      <c r="L2" s="914"/>
      <c r="M2" s="914"/>
      <c r="N2" s="914"/>
      <c r="O2" s="914"/>
      <c r="P2" s="914"/>
      <c r="Q2" s="914"/>
      <c r="R2" s="914"/>
      <c r="S2" s="914"/>
      <c r="T2" s="914"/>
      <c r="U2" s="914"/>
      <c r="V2" s="915"/>
      <c r="W2" s="915"/>
      <c r="X2" s="915"/>
      <c r="Y2" s="916"/>
      <c r="Z2" s="916"/>
      <c r="AA2" s="916"/>
      <c r="AB2" s="916"/>
      <c r="AC2" s="917"/>
      <c r="AD2" s="916"/>
      <c r="AE2" s="917"/>
      <c r="AF2" s="916"/>
      <c r="AG2" s="917"/>
    </row>
    <row r="3" spans="1:33" s="101" customFormat="1" ht="15.75" customHeight="1" thickBot="1">
      <c r="D3" s="1179">
        <v>2005</v>
      </c>
      <c r="E3" s="1178"/>
      <c r="F3" s="1179">
        <v>2006</v>
      </c>
      <c r="G3" s="1178"/>
      <c r="H3" s="1177">
        <v>2007</v>
      </c>
      <c r="I3" s="1178"/>
      <c r="J3" s="1177">
        <v>2008</v>
      </c>
      <c r="K3" s="1178"/>
      <c r="L3" s="1177">
        <v>2009</v>
      </c>
      <c r="M3" s="1178"/>
      <c r="N3" s="1177">
        <v>2010</v>
      </c>
      <c r="O3" s="1178"/>
      <c r="P3" s="1177">
        <v>2011</v>
      </c>
      <c r="Q3" s="1178"/>
      <c r="R3" s="1177">
        <v>2012</v>
      </c>
      <c r="S3" s="1178"/>
      <c r="T3" s="1177">
        <v>2013</v>
      </c>
      <c r="U3" s="1178"/>
      <c r="V3" s="1180">
        <v>2014</v>
      </c>
      <c r="W3" s="1182"/>
      <c r="X3" s="1180">
        <v>2015</v>
      </c>
      <c r="Y3" s="1183"/>
      <c r="Z3" s="1180">
        <v>2016</v>
      </c>
      <c r="AA3" s="1182"/>
      <c r="AB3" s="1180">
        <v>2017</v>
      </c>
      <c r="AC3" s="1181"/>
      <c r="AD3" s="1180">
        <v>2018</v>
      </c>
      <c r="AE3" s="1181"/>
      <c r="AF3" s="1180">
        <v>2019</v>
      </c>
      <c r="AG3" s="1181"/>
    </row>
    <row r="4" spans="1:33" ht="57.95">
      <c r="C4" s="621" t="s">
        <v>3</v>
      </c>
      <c r="D4" s="77" t="s">
        <v>1796</v>
      </c>
      <c r="E4" s="622" t="s">
        <v>1797</v>
      </c>
      <c r="F4" s="2" t="s">
        <v>1796</v>
      </c>
      <c r="G4" s="2" t="s">
        <v>1797</v>
      </c>
      <c r="H4" s="2" t="s">
        <v>1796</v>
      </c>
      <c r="I4" s="2" t="s">
        <v>1797</v>
      </c>
      <c r="J4" s="2" t="s">
        <v>1796</v>
      </c>
      <c r="K4" s="2" t="s">
        <v>1797</v>
      </c>
      <c r="L4" s="2" t="s">
        <v>1796</v>
      </c>
      <c r="M4" s="2" t="s">
        <v>1797</v>
      </c>
      <c r="N4" s="2" t="s">
        <v>1796</v>
      </c>
      <c r="O4" s="2" t="s">
        <v>1797</v>
      </c>
      <c r="P4" s="2" t="s">
        <v>1796</v>
      </c>
      <c r="Q4" s="2" t="s">
        <v>1797</v>
      </c>
      <c r="R4" s="2" t="s">
        <v>1796</v>
      </c>
      <c r="S4" s="2" t="s">
        <v>1797</v>
      </c>
      <c r="T4" s="2" t="s">
        <v>1796</v>
      </c>
      <c r="U4" s="2" t="s">
        <v>1797</v>
      </c>
      <c r="V4" s="2" t="s">
        <v>1796</v>
      </c>
      <c r="W4" s="2" t="s">
        <v>1797</v>
      </c>
      <c r="X4" s="623" t="s">
        <v>1796</v>
      </c>
      <c r="Y4" s="622" t="s">
        <v>1797</v>
      </c>
      <c r="Z4" s="622" t="s">
        <v>1796</v>
      </c>
      <c r="AA4" s="622" t="s">
        <v>1797</v>
      </c>
      <c r="AB4" s="622" t="s">
        <v>1796</v>
      </c>
      <c r="AC4" s="624" t="s">
        <v>1797</v>
      </c>
      <c r="AD4" s="622" t="s">
        <v>1796</v>
      </c>
      <c r="AE4" s="624" t="s">
        <v>1797</v>
      </c>
      <c r="AF4" s="622" t="s">
        <v>1796</v>
      </c>
      <c r="AG4" s="624" t="s">
        <v>1797</v>
      </c>
    </row>
    <row r="5" spans="1:33" ht="15" thickBot="1">
      <c r="C5" s="625"/>
      <c r="D5" s="626" t="s">
        <v>99</v>
      </c>
      <c r="E5" s="627" t="s">
        <v>99</v>
      </c>
      <c r="F5" s="629" t="s">
        <v>99</v>
      </c>
      <c r="G5" s="629" t="s">
        <v>99</v>
      </c>
      <c r="H5" s="629" t="s">
        <v>99</v>
      </c>
      <c r="I5" s="629" t="s">
        <v>99</v>
      </c>
      <c r="J5" s="629" t="s">
        <v>99</v>
      </c>
      <c r="K5" s="629" t="s">
        <v>99</v>
      </c>
      <c r="L5" s="629" t="s">
        <v>99</v>
      </c>
      <c r="M5" s="629" t="s">
        <v>99</v>
      </c>
      <c r="N5" s="629" t="s">
        <v>99</v>
      </c>
      <c r="O5" s="629" t="s">
        <v>99</v>
      </c>
      <c r="P5" s="629" t="s">
        <v>99</v>
      </c>
      <c r="Q5" s="629" t="s">
        <v>99</v>
      </c>
      <c r="R5" s="629" t="s">
        <v>99</v>
      </c>
      <c r="S5" s="629" t="s">
        <v>99</v>
      </c>
      <c r="T5" s="629" t="s">
        <v>99</v>
      </c>
      <c r="U5" s="629" t="s">
        <v>99</v>
      </c>
      <c r="V5" s="629" t="s">
        <v>99</v>
      </c>
      <c r="W5" s="629" t="s">
        <v>99</v>
      </c>
      <c r="X5" s="630" t="s">
        <v>99</v>
      </c>
      <c r="Y5" s="628" t="s">
        <v>99</v>
      </c>
      <c r="Z5" s="628" t="s">
        <v>99</v>
      </c>
      <c r="AA5" s="628" t="s">
        <v>99</v>
      </c>
      <c r="AB5" s="628" t="s">
        <v>99</v>
      </c>
      <c r="AC5" s="631" t="s">
        <v>99</v>
      </c>
      <c r="AD5" s="628" t="s">
        <v>99</v>
      </c>
      <c r="AE5" s="631" t="s">
        <v>99</v>
      </c>
      <c r="AF5" s="628" t="s">
        <v>99</v>
      </c>
      <c r="AG5" s="631" t="s">
        <v>99</v>
      </c>
    </row>
    <row r="6" spans="1:33" s="101" customFormat="1">
      <c r="C6" s="632" t="s">
        <v>101</v>
      </c>
      <c r="D6" s="632"/>
      <c r="E6" s="633"/>
      <c r="F6" s="632"/>
      <c r="G6" s="632"/>
      <c r="H6" s="632"/>
      <c r="I6" s="632"/>
      <c r="J6" s="632"/>
      <c r="K6" s="633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3"/>
      <c r="AC6" s="634"/>
      <c r="AD6" s="633"/>
      <c r="AE6" s="634"/>
      <c r="AF6" s="633"/>
      <c r="AG6" s="634"/>
    </row>
    <row r="7" spans="1:33">
      <c r="C7" s="1" t="s">
        <v>102</v>
      </c>
      <c r="D7" s="1"/>
      <c r="E7" s="513">
        <v>0</v>
      </c>
      <c r="F7" s="513">
        <v>0</v>
      </c>
      <c r="G7" s="513">
        <v>0</v>
      </c>
      <c r="H7" s="513">
        <v>0</v>
      </c>
      <c r="I7" s="513">
        <v>0</v>
      </c>
      <c r="J7" s="513">
        <v>0</v>
      </c>
      <c r="K7" s="513">
        <v>0</v>
      </c>
      <c r="L7" s="513">
        <v>0</v>
      </c>
      <c r="M7" s="513">
        <v>0</v>
      </c>
      <c r="N7" s="4">
        <v>0</v>
      </c>
      <c r="O7" s="4">
        <v>0</v>
      </c>
      <c r="P7" s="635">
        <v>0</v>
      </c>
      <c r="Q7" s="635">
        <v>0</v>
      </c>
      <c r="R7" s="513">
        <v>0</v>
      </c>
      <c r="S7" s="635">
        <v>0</v>
      </c>
      <c r="T7" s="635">
        <v>0</v>
      </c>
      <c r="U7" s="513">
        <v>0</v>
      </c>
      <c r="V7" s="4">
        <v>0</v>
      </c>
      <c r="W7" s="512">
        <v>0</v>
      </c>
      <c r="X7" s="513">
        <v>0</v>
      </c>
      <c r="Y7" s="513">
        <v>0</v>
      </c>
      <c r="Z7" s="513">
        <v>0</v>
      </c>
      <c r="AA7" s="513">
        <v>0</v>
      </c>
      <c r="AB7" s="513">
        <v>0</v>
      </c>
      <c r="AC7" s="513">
        <v>0</v>
      </c>
      <c r="AD7" s="513">
        <v>0</v>
      </c>
      <c r="AE7" s="513">
        <v>0</v>
      </c>
      <c r="AF7" s="513">
        <v>0</v>
      </c>
      <c r="AG7" s="513">
        <v>0</v>
      </c>
    </row>
    <row r="8" spans="1:33" s="101" customFormat="1">
      <c r="A8" s="636"/>
      <c r="C8" s="637" t="s">
        <v>1471</v>
      </c>
      <c r="D8" s="480"/>
      <c r="E8" s="638"/>
      <c r="F8" s="638">
        <v>0</v>
      </c>
      <c r="G8" s="638">
        <v>0</v>
      </c>
      <c r="H8" s="638">
        <v>0</v>
      </c>
      <c r="I8" s="638">
        <v>0</v>
      </c>
      <c r="J8" s="638">
        <v>0</v>
      </c>
      <c r="K8" s="638">
        <v>0</v>
      </c>
      <c r="L8" s="638">
        <v>0</v>
      </c>
      <c r="M8" s="638">
        <v>0</v>
      </c>
      <c r="N8" s="639">
        <v>0</v>
      </c>
      <c r="O8" s="639">
        <v>0</v>
      </c>
      <c r="P8" s="639">
        <v>0</v>
      </c>
      <c r="Q8" s="639">
        <v>0</v>
      </c>
      <c r="R8" s="638">
        <v>0</v>
      </c>
      <c r="S8" s="638">
        <v>0</v>
      </c>
      <c r="T8" s="639">
        <v>0</v>
      </c>
      <c r="U8" s="639">
        <v>0</v>
      </c>
      <c r="V8" s="639">
        <v>0</v>
      </c>
      <c r="W8" s="639">
        <v>0</v>
      </c>
      <c r="X8" s="638">
        <v>0</v>
      </c>
      <c r="Y8" s="638">
        <v>0</v>
      </c>
      <c r="Z8" s="638">
        <v>0</v>
      </c>
      <c r="AA8" s="638">
        <v>0</v>
      </c>
      <c r="AB8" s="638">
        <v>0</v>
      </c>
      <c r="AC8" s="638">
        <v>0</v>
      </c>
      <c r="AD8" s="638">
        <f>SUM(AD7)</f>
        <v>0</v>
      </c>
      <c r="AE8" s="638">
        <f t="shared" ref="AE8:AG8" si="0">SUM(AE7)</f>
        <v>0</v>
      </c>
      <c r="AF8" s="638">
        <f t="shared" si="0"/>
        <v>0</v>
      </c>
      <c r="AG8" s="638">
        <f t="shared" si="0"/>
        <v>0</v>
      </c>
    </row>
    <row r="9" spans="1:33" s="101" customFormat="1">
      <c r="C9" s="640" t="s">
        <v>106</v>
      </c>
      <c r="D9" s="640"/>
      <c r="E9" s="641"/>
      <c r="F9" s="513"/>
      <c r="G9" s="513"/>
      <c r="H9" s="513"/>
      <c r="I9" s="513"/>
      <c r="J9" s="513"/>
      <c r="K9" s="641"/>
      <c r="L9" s="640"/>
      <c r="M9" s="513"/>
      <c r="N9" s="640"/>
      <c r="O9" s="4"/>
      <c r="P9" s="640"/>
      <c r="Q9" s="640"/>
      <c r="R9" s="640"/>
      <c r="S9" s="640"/>
      <c r="T9" s="640"/>
      <c r="U9" s="640"/>
      <c r="V9" s="640"/>
      <c r="W9" s="640"/>
      <c r="X9" s="640"/>
      <c r="Y9" s="640"/>
      <c r="Z9" s="640"/>
      <c r="AA9" s="640"/>
      <c r="AB9" s="641"/>
      <c r="AC9" s="641"/>
      <c r="AD9" s="641"/>
      <c r="AE9" s="641"/>
      <c r="AF9" s="641"/>
      <c r="AG9" s="641"/>
    </row>
    <row r="10" spans="1:33">
      <c r="C10" s="2" t="s">
        <v>107</v>
      </c>
      <c r="D10" s="1"/>
      <c r="E10" s="513">
        <v>0</v>
      </c>
      <c r="F10" s="513">
        <v>0</v>
      </c>
      <c r="G10" s="513">
        <v>0</v>
      </c>
      <c r="H10" s="513">
        <v>0</v>
      </c>
      <c r="I10" s="513">
        <v>0</v>
      </c>
      <c r="J10" s="513">
        <v>0</v>
      </c>
      <c r="K10" s="513">
        <v>0</v>
      </c>
      <c r="L10" s="513">
        <v>0</v>
      </c>
      <c r="M10" s="513">
        <v>0</v>
      </c>
      <c r="N10" s="513">
        <v>0</v>
      </c>
      <c r="O10" s="4">
        <v>0</v>
      </c>
      <c r="P10" s="513">
        <v>0</v>
      </c>
      <c r="Q10" s="635">
        <v>0</v>
      </c>
      <c r="R10" s="513">
        <v>0</v>
      </c>
      <c r="S10" s="635">
        <v>0</v>
      </c>
      <c r="T10" s="513">
        <v>0</v>
      </c>
      <c r="U10" s="513">
        <v>0</v>
      </c>
      <c r="V10" s="513">
        <v>0</v>
      </c>
      <c r="W10" s="512">
        <v>0</v>
      </c>
      <c r="X10" s="513">
        <v>0</v>
      </c>
      <c r="Y10" s="513">
        <v>0</v>
      </c>
      <c r="Z10" s="513">
        <v>0</v>
      </c>
      <c r="AA10" s="513">
        <v>0</v>
      </c>
      <c r="AB10" s="513">
        <v>0</v>
      </c>
      <c r="AC10" s="513">
        <v>0</v>
      </c>
      <c r="AD10" s="513">
        <v>0</v>
      </c>
      <c r="AE10" s="513">
        <v>0</v>
      </c>
      <c r="AF10" s="513">
        <v>0</v>
      </c>
      <c r="AG10" s="513">
        <v>0</v>
      </c>
    </row>
    <row r="11" spans="1:33" s="101" customFormat="1">
      <c r="A11" s="636"/>
      <c r="C11" s="637" t="s">
        <v>1594</v>
      </c>
      <c r="D11" s="480"/>
      <c r="E11" s="638"/>
      <c r="F11" s="642">
        <v>0</v>
      </c>
      <c r="G11" s="642">
        <v>0</v>
      </c>
      <c r="H11" s="642">
        <v>0</v>
      </c>
      <c r="I11" s="642">
        <v>0</v>
      </c>
      <c r="J11" s="642">
        <v>0</v>
      </c>
      <c r="K11" s="638">
        <v>0</v>
      </c>
      <c r="L11" s="638">
        <v>0</v>
      </c>
      <c r="M11" s="638">
        <v>0</v>
      </c>
      <c r="N11" s="639">
        <v>0</v>
      </c>
      <c r="O11" s="639">
        <v>0</v>
      </c>
      <c r="P11" s="638">
        <v>0</v>
      </c>
      <c r="Q11" s="638">
        <v>0</v>
      </c>
      <c r="R11" s="638">
        <v>0</v>
      </c>
      <c r="S11" s="638">
        <v>0</v>
      </c>
      <c r="T11" s="638">
        <v>0</v>
      </c>
      <c r="U11" s="638">
        <v>0</v>
      </c>
      <c r="V11" s="638">
        <v>0</v>
      </c>
      <c r="W11" s="638">
        <v>0</v>
      </c>
      <c r="X11" s="638">
        <v>0</v>
      </c>
      <c r="Y11" s="638">
        <v>0</v>
      </c>
      <c r="Z11" s="638">
        <v>0</v>
      </c>
      <c r="AA11" s="638">
        <v>0</v>
      </c>
      <c r="AB11" s="638">
        <v>0</v>
      </c>
      <c r="AC11" s="638">
        <v>0</v>
      </c>
      <c r="AD11" s="638">
        <f>SUM(AD10)</f>
        <v>0</v>
      </c>
      <c r="AE11" s="638">
        <v>0</v>
      </c>
      <c r="AF11" s="638">
        <v>0</v>
      </c>
      <c r="AG11" s="638">
        <v>0</v>
      </c>
    </row>
    <row r="12" spans="1:33" s="101" customFormat="1">
      <c r="C12" s="640" t="s">
        <v>108</v>
      </c>
      <c r="D12" s="640"/>
      <c r="E12" s="641"/>
      <c r="F12" s="513"/>
      <c r="G12" s="513"/>
      <c r="H12" s="513"/>
      <c r="I12" s="513"/>
      <c r="J12" s="513"/>
      <c r="K12" s="641"/>
      <c r="L12" s="640"/>
      <c r="M12" s="513"/>
      <c r="N12" s="640"/>
      <c r="O12" s="4"/>
      <c r="P12" s="640"/>
      <c r="Q12" s="640"/>
      <c r="R12" s="640"/>
      <c r="S12" s="640"/>
      <c r="T12" s="640"/>
      <c r="U12" s="640"/>
      <c r="V12" s="640"/>
      <c r="W12" s="640"/>
      <c r="X12" s="640"/>
      <c r="Y12" s="640"/>
      <c r="Z12" s="640"/>
      <c r="AA12" s="640"/>
      <c r="AB12" s="641"/>
      <c r="AC12" s="641"/>
      <c r="AD12" s="641"/>
      <c r="AE12" s="641"/>
      <c r="AF12" s="641"/>
      <c r="AG12" s="641"/>
    </row>
    <row r="13" spans="1:33">
      <c r="C13" s="1" t="s">
        <v>109</v>
      </c>
      <c r="D13" s="1"/>
      <c r="E13" s="513">
        <v>0</v>
      </c>
      <c r="F13" s="513">
        <v>0</v>
      </c>
      <c r="G13" s="513">
        <v>0</v>
      </c>
      <c r="H13" s="513">
        <v>0</v>
      </c>
      <c r="I13" s="513">
        <v>0</v>
      </c>
      <c r="J13" s="513">
        <v>0</v>
      </c>
      <c r="K13" s="513">
        <v>0</v>
      </c>
      <c r="L13" s="513">
        <v>0</v>
      </c>
      <c r="M13" s="513">
        <v>0</v>
      </c>
      <c r="N13" s="513">
        <v>0</v>
      </c>
      <c r="O13" s="4">
        <v>0</v>
      </c>
      <c r="P13" s="513">
        <v>0</v>
      </c>
      <c r="Q13" s="635">
        <v>0</v>
      </c>
      <c r="R13" s="513">
        <v>0</v>
      </c>
      <c r="S13" s="635">
        <v>0</v>
      </c>
      <c r="T13" s="513">
        <v>0</v>
      </c>
      <c r="U13" s="635">
        <v>0</v>
      </c>
      <c r="V13" s="513">
        <v>0</v>
      </c>
      <c r="W13" s="512">
        <v>0</v>
      </c>
      <c r="X13" s="513">
        <v>0</v>
      </c>
      <c r="Y13" s="513">
        <v>0</v>
      </c>
      <c r="Z13" s="513">
        <v>0</v>
      </c>
      <c r="AA13" s="513">
        <v>0</v>
      </c>
      <c r="AB13" s="513">
        <v>0</v>
      </c>
      <c r="AC13" s="513">
        <v>0</v>
      </c>
      <c r="AD13" s="513">
        <v>0</v>
      </c>
      <c r="AE13" s="513">
        <v>0</v>
      </c>
      <c r="AF13" s="513">
        <v>0</v>
      </c>
      <c r="AG13" s="513">
        <v>0</v>
      </c>
    </row>
    <row r="14" spans="1:33">
      <c r="C14" s="1" t="s">
        <v>111</v>
      </c>
      <c r="D14" s="1"/>
      <c r="E14" s="513">
        <v>0</v>
      </c>
      <c r="F14" s="513">
        <v>0</v>
      </c>
      <c r="G14" s="513">
        <v>0</v>
      </c>
      <c r="H14" s="513">
        <v>0</v>
      </c>
      <c r="I14" s="513">
        <v>0</v>
      </c>
      <c r="J14" s="513">
        <v>0</v>
      </c>
      <c r="K14" s="513">
        <v>0</v>
      </c>
      <c r="L14" s="513">
        <v>0</v>
      </c>
      <c r="M14" s="513">
        <v>0</v>
      </c>
      <c r="N14" s="513">
        <v>0</v>
      </c>
      <c r="O14" s="4">
        <v>0</v>
      </c>
      <c r="P14" s="513">
        <v>0</v>
      </c>
      <c r="Q14" s="635">
        <v>0</v>
      </c>
      <c r="R14" s="513">
        <v>0</v>
      </c>
      <c r="S14" s="635">
        <v>0</v>
      </c>
      <c r="T14" s="513">
        <v>0</v>
      </c>
      <c r="U14" s="635">
        <v>0</v>
      </c>
      <c r="V14" s="513">
        <v>0</v>
      </c>
      <c r="W14" s="512">
        <v>0</v>
      </c>
      <c r="X14" s="513">
        <v>0</v>
      </c>
      <c r="Y14" s="513">
        <v>0</v>
      </c>
      <c r="Z14" s="513">
        <v>0</v>
      </c>
      <c r="AA14" s="513">
        <v>0</v>
      </c>
      <c r="AB14" s="513">
        <v>0</v>
      </c>
      <c r="AC14" s="513">
        <v>0</v>
      </c>
      <c r="AD14" s="513">
        <v>0</v>
      </c>
      <c r="AE14" s="513">
        <v>0</v>
      </c>
      <c r="AF14" s="513">
        <v>0</v>
      </c>
      <c r="AG14" s="513">
        <v>0</v>
      </c>
    </row>
    <row r="15" spans="1:33" s="101" customFormat="1">
      <c r="A15" s="636"/>
      <c r="C15" s="480" t="s">
        <v>1798</v>
      </c>
      <c r="D15" s="480"/>
      <c r="E15" s="638"/>
      <c r="F15" s="638">
        <v>0</v>
      </c>
      <c r="G15" s="638">
        <v>0</v>
      </c>
      <c r="H15" s="638">
        <v>0</v>
      </c>
      <c r="I15" s="638">
        <v>0</v>
      </c>
      <c r="J15" s="638">
        <v>0</v>
      </c>
      <c r="K15" s="638">
        <v>0</v>
      </c>
      <c r="L15" s="638">
        <v>0</v>
      </c>
      <c r="M15" s="638">
        <v>0</v>
      </c>
      <c r="N15" s="638">
        <v>0</v>
      </c>
      <c r="O15" s="638">
        <v>0</v>
      </c>
      <c r="P15" s="638">
        <v>0</v>
      </c>
      <c r="Q15" s="638">
        <v>0</v>
      </c>
      <c r="R15" s="639">
        <v>0</v>
      </c>
      <c r="S15" s="639">
        <v>0</v>
      </c>
      <c r="T15" s="638">
        <v>0</v>
      </c>
      <c r="U15" s="638">
        <v>0</v>
      </c>
      <c r="V15" s="638">
        <v>0</v>
      </c>
      <c r="W15" s="638">
        <v>0</v>
      </c>
      <c r="X15" s="638">
        <v>0</v>
      </c>
      <c r="Y15" s="638">
        <v>0</v>
      </c>
      <c r="Z15" s="638">
        <v>0</v>
      </c>
      <c r="AA15" s="638">
        <v>0</v>
      </c>
      <c r="AB15" s="638">
        <v>0</v>
      </c>
      <c r="AC15" s="638">
        <v>0</v>
      </c>
      <c r="AD15" s="638">
        <f>SUM(AD13:AD14)</f>
        <v>0</v>
      </c>
      <c r="AE15" s="638">
        <v>0</v>
      </c>
      <c r="AF15" s="638">
        <v>0</v>
      </c>
      <c r="AG15" s="638">
        <v>0</v>
      </c>
    </row>
    <row r="16" spans="1:33" s="101" customFormat="1">
      <c r="C16" s="640" t="s">
        <v>112</v>
      </c>
      <c r="D16" s="640"/>
      <c r="E16" s="641"/>
      <c r="F16" s="513"/>
      <c r="G16" s="513"/>
      <c r="H16" s="513"/>
      <c r="I16" s="513"/>
      <c r="J16" s="513"/>
      <c r="K16" s="641"/>
      <c r="L16" s="640"/>
      <c r="M16" s="513"/>
      <c r="N16" s="640"/>
      <c r="O16" s="4"/>
      <c r="P16" s="640"/>
      <c r="Q16" s="640"/>
      <c r="R16" s="640"/>
      <c r="S16" s="640"/>
      <c r="T16" s="640"/>
      <c r="U16" s="640"/>
      <c r="V16" s="640"/>
      <c r="W16" s="640"/>
      <c r="X16" s="640"/>
      <c r="Y16" s="640"/>
      <c r="Z16" s="640"/>
      <c r="AA16" s="640"/>
      <c r="AB16" s="641"/>
      <c r="AC16" s="641"/>
      <c r="AD16" s="641"/>
      <c r="AE16" s="641"/>
      <c r="AF16" s="641"/>
      <c r="AG16" s="641"/>
    </row>
    <row r="17" spans="1:33">
      <c r="C17" s="1" t="s">
        <v>113</v>
      </c>
      <c r="D17" s="1"/>
      <c r="E17" s="513">
        <v>0</v>
      </c>
      <c r="F17" s="513">
        <v>0</v>
      </c>
      <c r="G17" s="513">
        <v>0</v>
      </c>
      <c r="H17" s="513">
        <v>0</v>
      </c>
      <c r="I17" s="513">
        <v>0</v>
      </c>
      <c r="J17" s="513">
        <v>0</v>
      </c>
      <c r="K17" s="513">
        <v>0</v>
      </c>
      <c r="L17" s="513">
        <v>0</v>
      </c>
      <c r="M17" s="513">
        <v>0</v>
      </c>
      <c r="N17" s="513">
        <v>0</v>
      </c>
      <c r="O17" s="4">
        <v>0</v>
      </c>
      <c r="P17" s="513">
        <v>0</v>
      </c>
      <c r="Q17" s="635">
        <v>0</v>
      </c>
      <c r="R17" s="513">
        <v>0</v>
      </c>
      <c r="S17" s="635">
        <v>0</v>
      </c>
      <c r="T17" s="513">
        <v>0</v>
      </c>
      <c r="U17" s="635">
        <v>0</v>
      </c>
      <c r="V17" s="513">
        <v>0</v>
      </c>
      <c r="W17" s="512">
        <v>0</v>
      </c>
      <c r="X17" s="513">
        <v>0</v>
      </c>
      <c r="Y17" s="513">
        <v>0</v>
      </c>
      <c r="Z17" s="513">
        <v>0</v>
      </c>
      <c r="AA17" s="513">
        <v>0</v>
      </c>
      <c r="AB17" s="513">
        <v>0</v>
      </c>
      <c r="AC17" s="513">
        <v>0</v>
      </c>
      <c r="AD17" s="513">
        <v>0</v>
      </c>
      <c r="AE17" s="513">
        <v>0</v>
      </c>
      <c r="AF17" s="513">
        <v>0</v>
      </c>
      <c r="AG17" s="513">
        <v>0</v>
      </c>
    </row>
    <row r="18" spans="1:33">
      <c r="C18" s="1" t="s">
        <v>126</v>
      </c>
      <c r="D18" s="1"/>
      <c r="E18" s="513">
        <v>0</v>
      </c>
      <c r="F18" s="513">
        <v>0</v>
      </c>
      <c r="G18" s="513">
        <v>0</v>
      </c>
      <c r="H18" s="513">
        <v>0</v>
      </c>
      <c r="I18" s="513">
        <v>0</v>
      </c>
      <c r="J18" s="513">
        <v>0</v>
      </c>
      <c r="K18" s="513">
        <v>0</v>
      </c>
      <c r="L18" s="513">
        <v>0</v>
      </c>
      <c r="M18" s="513">
        <v>0</v>
      </c>
      <c r="N18" s="513">
        <v>0</v>
      </c>
      <c r="O18" s="4">
        <v>0</v>
      </c>
      <c r="P18" s="513">
        <v>0</v>
      </c>
      <c r="Q18" s="635">
        <v>0</v>
      </c>
      <c r="R18" s="513">
        <v>0</v>
      </c>
      <c r="S18" s="635">
        <v>0</v>
      </c>
      <c r="T18" s="513">
        <v>0</v>
      </c>
      <c r="U18" s="635">
        <v>0</v>
      </c>
      <c r="V18" s="513">
        <v>0</v>
      </c>
      <c r="W18" s="512">
        <v>0</v>
      </c>
      <c r="X18" s="513">
        <v>2126.96</v>
      </c>
      <c r="Y18" s="513">
        <v>0</v>
      </c>
      <c r="Z18" s="513">
        <v>1548.88</v>
      </c>
      <c r="AA18" s="513">
        <v>0</v>
      </c>
      <c r="AB18" s="513">
        <v>1264141.97</v>
      </c>
      <c r="AC18" s="513">
        <v>1267817.81</v>
      </c>
      <c r="AD18" s="513">
        <v>91609.559999999983</v>
      </c>
      <c r="AE18" s="513">
        <v>0</v>
      </c>
      <c r="AF18" s="513">
        <v>0</v>
      </c>
      <c r="AG18" s="513">
        <v>0</v>
      </c>
    </row>
    <row r="19" spans="1:33">
      <c r="C19" s="1" t="s">
        <v>1707</v>
      </c>
      <c r="D19" s="1"/>
      <c r="E19" s="513">
        <v>0</v>
      </c>
      <c r="F19" s="513">
        <v>0</v>
      </c>
      <c r="G19" s="513">
        <v>0</v>
      </c>
      <c r="H19" s="513">
        <v>0</v>
      </c>
      <c r="I19" s="513">
        <v>0</v>
      </c>
      <c r="J19" s="513">
        <v>0</v>
      </c>
      <c r="K19" s="513">
        <v>0</v>
      </c>
      <c r="L19" s="513">
        <v>0</v>
      </c>
      <c r="M19" s="513">
        <v>0</v>
      </c>
      <c r="N19" s="513">
        <v>0</v>
      </c>
      <c r="O19" s="4">
        <v>0</v>
      </c>
      <c r="P19" s="513">
        <v>0</v>
      </c>
      <c r="Q19" s="635">
        <v>0</v>
      </c>
      <c r="R19" s="513">
        <v>0</v>
      </c>
      <c r="S19" s="635">
        <v>0</v>
      </c>
      <c r="T19" s="513">
        <v>0</v>
      </c>
      <c r="U19" s="635">
        <v>0</v>
      </c>
      <c r="V19" s="513">
        <v>0</v>
      </c>
      <c r="W19" s="512">
        <v>0</v>
      </c>
      <c r="X19" s="513">
        <v>0</v>
      </c>
      <c r="Y19" s="513">
        <v>0</v>
      </c>
      <c r="Z19" s="513">
        <v>0</v>
      </c>
      <c r="AA19" s="513">
        <v>0</v>
      </c>
      <c r="AB19" s="513">
        <v>0</v>
      </c>
      <c r="AC19" s="513">
        <v>0</v>
      </c>
      <c r="AD19" s="513">
        <v>0</v>
      </c>
      <c r="AE19" s="513">
        <v>0</v>
      </c>
      <c r="AF19" s="513">
        <v>0</v>
      </c>
      <c r="AG19" s="513">
        <v>0</v>
      </c>
    </row>
    <row r="20" spans="1:33">
      <c r="C20" s="1" t="s">
        <v>133</v>
      </c>
      <c r="D20" s="1"/>
      <c r="E20" s="513">
        <v>0</v>
      </c>
      <c r="F20" s="513">
        <v>0</v>
      </c>
      <c r="G20" s="513">
        <v>0</v>
      </c>
      <c r="H20" s="513">
        <v>0</v>
      </c>
      <c r="I20" s="513">
        <v>0</v>
      </c>
      <c r="J20" s="513">
        <v>0</v>
      </c>
      <c r="K20" s="513">
        <v>0</v>
      </c>
      <c r="L20" s="513">
        <v>0</v>
      </c>
      <c r="M20" s="513">
        <v>0</v>
      </c>
      <c r="N20" s="513">
        <v>0</v>
      </c>
      <c r="O20" s="4">
        <v>0</v>
      </c>
      <c r="P20" s="513">
        <v>0</v>
      </c>
      <c r="Q20" s="635">
        <v>0</v>
      </c>
      <c r="R20" s="513">
        <v>0</v>
      </c>
      <c r="S20" s="635">
        <v>0</v>
      </c>
      <c r="T20" s="513">
        <v>0</v>
      </c>
      <c r="U20" s="635">
        <v>0</v>
      </c>
      <c r="V20" s="513">
        <v>0</v>
      </c>
      <c r="W20" s="512">
        <v>0</v>
      </c>
      <c r="X20" s="513">
        <v>0</v>
      </c>
      <c r="Y20" s="513">
        <v>0</v>
      </c>
      <c r="Z20" s="513">
        <v>0</v>
      </c>
      <c r="AA20" s="513">
        <v>0</v>
      </c>
      <c r="AB20" s="513">
        <v>0</v>
      </c>
      <c r="AC20" s="513">
        <v>0</v>
      </c>
      <c r="AD20" s="513">
        <v>0</v>
      </c>
      <c r="AE20" s="513">
        <v>0</v>
      </c>
      <c r="AF20" s="513">
        <v>0</v>
      </c>
      <c r="AG20" s="513">
        <v>0</v>
      </c>
    </row>
    <row r="21" spans="1:33">
      <c r="C21" s="1" t="s">
        <v>134</v>
      </c>
      <c r="D21" s="1"/>
      <c r="E21" s="513">
        <v>0</v>
      </c>
      <c r="F21" s="513">
        <v>0</v>
      </c>
      <c r="G21" s="513">
        <v>0</v>
      </c>
      <c r="H21" s="513">
        <v>0</v>
      </c>
      <c r="I21" s="513">
        <v>0</v>
      </c>
      <c r="J21" s="513">
        <v>0</v>
      </c>
      <c r="K21" s="513">
        <v>0</v>
      </c>
      <c r="L21" s="513">
        <v>0</v>
      </c>
      <c r="M21" s="513">
        <v>0</v>
      </c>
      <c r="N21" s="513">
        <v>0</v>
      </c>
      <c r="O21" s="4">
        <v>0</v>
      </c>
      <c r="P21" s="513">
        <v>0</v>
      </c>
      <c r="Q21" s="635">
        <v>0</v>
      </c>
      <c r="R21" s="513">
        <v>0</v>
      </c>
      <c r="S21" s="635">
        <v>0</v>
      </c>
      <c r="T21" s="513">
        <v>0</v>
      </c>
      <c r="U21" s="635">
        <v>0</v>
      </c>
      <c r="V21" s="513">
        <v>0</v>
      </c>
      <c r="W21" s="512">
        <v>0</v>
      </c>
      <c r="X21" s="513">
        <v>0</v>
      </c>
      <c r="Y21" s="513">
        <v>0</v>
      </c>
      <c r="Z21" s="513">
        <v>0</v>
      </c>
      <c r="AA21" s="513">
        <v>0</v>
      </c>
      <c r="AB21" s="513">
        <v>0</v>
      </c>
      <c r="AC21" s="513">
        <v>0</v>
      </c>
      <c r="AD21" s="513">
        <v>0</v>
      </c>
      <c r="AE21" s="513">
        <v>0</v>
      </c>
      <c r="AF21" s="513">
        <v>0</v>
      </c>
      <c r="AG21" s="513">
        <v>0</v>
      </c>
    </row>
    <row r="22" spans="1:33">
      <c r="C22" s="1" t="s">
        <v>135</v>
      </c>
      <c r="D22" s="1"/>
      <c r="E22" s="513">
        <v>0</v>
      </c>
      <c r="F22" s="513">
        <v>101093.23999999999</v>
      </c>
      <c r="G22" s="513">
        <v>0</v>
      </c>
      <c r="H22" s="513">
        <v>46416.810000000005</v>
      </c>
      <c r="I22" s="513">
        <v>0</v>
      </c>
      <c r="J22" s="513">
        <v>149308.58000000002</v>
      </c>
      <c r="K22" s="513">
        <v>1523324</v>
      </c>
      <c r="L22" s="513">
        <v>1134570.4000000029</v>
      </c>
      <c r="M22" s="513">
        <v>1523324</v>
      </c>
      <c r="N22" s="513">
        <v>-154372.66999999998</v>
      </c>
      <c r="O22" s="4">
        <v>0</v>
      </c>
      <c r="P22" s="513">
        <v>0</v>
      </c>
      <c r="Q22" s="635">
        <v>0</v>
      </c>
      <c r="R22" s="513">
        <v>0</v>
      </c>
      <c r="S22" s="635">
        <v>0</v>
      </c>
      <c r="T22" s="513">
        <v>0</v>
      </c>
      <c r="U22" s="635">
        <v>0</v>
      </c>
      <c r="V22" s="513">
        <v>0</v>
      </c>
      <c r="W22" s="512">
        <v>0</v>
      </c>
      <c r="X22" s="513">
        <v>0</v>
      </c>
      <c r="Y22" s="513">
        <v>0</v>
      </c>
      <c r="Z22" s="513">
        <v>0</v>
      </c>
      <c r="AA22" s="513">
        <v>0</v>
      </c>
      <c r="AB22" s="513">
        <v>0</v>
      </c>
      <c r="AC22" s="513">
        <v>0</v>
      </c>
      <c r="AD22" s="513">
        <v>0</v>
      </c>
      <c r="AE22" s="513">
        <v>0</v>
      </c>
      <c r="AF22" s="513">
        <v>0</v>
      </c>
      <c r="AG22" s="513">
        <v>0</v>
      </c>
    </row>
    <row r="23" spans="1:33" s="101" customFormat="1">
      <c r="A23" s="636"/>
      <c r="C23" s="480" t="s">
        <v>1799</v>
      </c>
      <c r="D23" s="480"/>
      <c r="E23" s="638"/>
      <c r="F23" s="638">
        <v>101093.23999999999</v>
      </c>
      <c r="G23" s="638">
        <v>0</v>
      </c>
      <c r="H23" s="638">
        <v>46416.810000000005</v>
      </c>
      <c r="I23" s="638">
        <v>0</v>
      </c>
      <c r="J23" s="638">
        <v>149308.58000000002</v>
      </c>
      <c r="K23" s="638">
        <v>1523324</v>
      </c>
      <c r="L23" s="638">
        <v>1134570.4000000029</v>
      </c>
      <c r="M23" s="638">
        <v>1523324</v>
      </c>
      <c r="N23" s="638">
        <v>-154372.66999999998</v>
      </c>
      <c r="O23" s="638">
        <v>0</v>
      </c>
      <c r="P23" s="638">
        <v>0</v>
      </c>
      <c r="Q23" s="638">
        <v>0</v>
      </c>
      <c r="R23" s="638">
        <v>0</v>
      </c>
      <c r="S23" s="638">
        <v>0</v>
      </c>
      <c r="T23" s="638">
        <v>0</v>
      </c>
      <c r="U23" s="639">
        <v>0</v>
      </c>
      <c r="V23" s="638">
        <v>0</v>
      </c>
      <c r="W23" s="638">
        <v>0</v>
      </c>
      <c r="X23" s="638">
        <v>2126.96</v>
      </c>
      <c r="Y23" s="638">
        <v>0</v>
      </c>
      <c r="Z23" s="638">
        <v>1548.88</v>
      </c>
      <c r="AA23" s="638">
        <v>0</v>
      </c>
      <c r="AB23" s="638">
        <v>1264141.97</v>
      </c>
      <c r="AC23" s="638">
        <v>1267817.81</v>
      </c>
      <c r="AD23" s="638">
        <f>SUM(AD17:AD22)</f>
        <v>91609.559999999983</v>
      </c>
      <c r="AE23" s="638">
        <v>0</v>
      </c>
      <c r="AF23" s="638">
        <v>0</v>
      </c>
      <c r="AG23" s="638">
        <v>0</v>
      </c>
    </row>
    <row r="24" spans="1:33" s="101" customFormat="1">
      <c r="C24" s="640" t="s">
        <v>140</v>
      </c>
      <c r="D24" s="640"/>
      <c r="E24" s="641"/>
      <c r="F24" s="513"/>
      <c r="G24" s="513"/>
      <c r="H24" s="513"/>
      <c r="I24" s="513"/>
      <c r="J24" s="513"/>
      <c r="K24" s="641"/>
      <c r="L24" s="640"/>
      <c r="M24" s="513"/>
      <c r="N24" s="640"/>
      <c r="O24" s="4"/>
      <c r="P24" s="640"/>
      <c r="Q24" s="640"/>
      <c r="R24" s="640"/>
      <c r="S24" s="640"/>
      <c r="T24" s="640"/>
      <c r="U24" s="640"/>
      <c r="V24" s="640"/>
      <c r="W24" s="640"/>
      <c r="X24" s="640"/>
      <c r="Y24" s="640"/>
      <c r="Z24" s="640"/>
      <c r="AA24" s="640"/>
      <c r="AB24" s="641"/>
      <c r="AC24" s="641"/>
      <c r="AD24" s="641"/>
      <c r="AE24" s="641"/>
      <c r="AF24" s="641"/>
      <c r="AG24" s="641"/>
    </row>
    <row r="25" spans="1:33">
      <c r="C25" s="1" t="s">
        <v>141</v>
      </c>
      <c r="D25" s="1"/>
      <c r="E25" s="513">
        <v>0</v>
      </c>
      <c r="F25" s="513">
        <v>0</v>
      </c>
      <c r="G25" s="513">
        <v>0</v>
      </c>
      <c r="H25" s="513">
        <v>0</v>
      </c>
      <c r="I25" s="513">
        <v>0</v>
      </c>
      <c r="J25" s="513">
        <v>0</v>
      </c>
      <c r="K25" s="513">
        <v>0</v>
      </c>
      <c r="L25" s="513">
        <v>0</v>
      </c>
      <c r="M25" s="513">
        <v>0</v>
      </c>
      <c r="N25" s="513">
        <v>0</v>
      </c>
      <c r="O25" s="4">
        <v>0</v>
      </c>
      <c r="P25" s="513">
        <v>0</v>
      </c>
      <c r="Q25" s="635">
        <v>0</v>
      </c>
      <c r="R25" s="513">
        <v>0</v>
      </c>
      <c r="S25" s="635">
        <v>0</v>
      </c>
      <c r="T25" s="513">
        <v>0</v>
      </c>
      <c r="U25" s="635">
        <v>0</v>
      </c>
      <c r="V25" s="513">
        <v>0</v>
      </c>
      <c r="W25" s="512">
        <v>0</v>
      </c>
      <c r="X25" s="513">
        <v>0</v>
      </c>
      <c r="Y25" s="513">
        <v>0</v>
      </c>
      <c r="Z25" s="513">
        <v>0</v>
      </c>
      <c r="AA25" s="513">
        <v>0</v>
      </c>
      <c r="AB25" s="513">
        <v>0</v>
      </c>
      <c r="AC25" s="513">
        <v>0</v>
      </c>
      <c r="AD25" s="513">
        <v>0</v>
      </c>
      <c r="AE25" s="513">
        <v>0</v>
      </c>
      <c r="AF25" s="513">
        <v>0</v>
      </c>
      <c r="AG25" s="513">
        <v>0</v>
      </c>
    </row>
    <row r="26" spans="1:33">
      <c r="C26" s="1" t="s">
        <v>142</v>
      </c>
      <c r="D26" s="1"/>
      <c r="E26" s="513">
        <v>0</v>
      </c>
      <c r="F26" s="513">
        <v>0</v>
      </c>
      <c r="G26" s="513">
        <v>0</v>
      </c>
      <c r="H26" s="513">
        <v>0</v>
      </c>
      <c r="I26" s="513">
        <v>0</v>
      </c>
      <c r="J26" s="513">
        <v>0</v>
      </c>
      <c r="K26" s="513">
        <v>0</v>
      </c>
      <c r="L26" s="513">
        <v>0</v>
      </c>
      <c r="M26" s="513">
        <v>0</v>
      </c>
      <c r="N26" s="513">
        <v>0</v>
      </c>
      <c r="O26" s="4">
        <v>0</v>
      </c>
      <c r="P26" s="513">
        <v>0</v>
      </c>
      <c r="Q26" s="635">
        <v>0</v>
      </c>
      <c r="R26" s="513">
        <v>0</v>
      </c>
      <c r="S26" s="635">
        <v>0</v>
      </c>
      <c r="T26" s="513">
        <v>0</v>
      </c>
      <c r="U26" s="635">
        <v>0</v>
      </c>
      <c r="V26" s="513">
        <v>0</v>
      </c>
      <c r="W26" s="512">
        <v>0</v>
      </c>
      <c r="X26" s="513">
        <v>0</v>
      </c>
      <c r="Y26" s="513">
        <v>0</v>
      </c>
      <c r="Z26" s="513">
        <v>0</v>
      </c>
      <c r="AA26" s="513">
        <v>0</v>
      </c>
      <c r="AB26" s="513">
        <v>0</v>
      </c>
      <c r="AC26" s="513">
        <v>0</v>
      </c>
      <c r="AD26" s="513">
        <v>0</v>
      </c>
      <c r="AE26" s="513">
        <v>0</v>
      </c>
      <c r="AF26" s="513">
        <v>0</v>
      </c>
      <c r="AG26" s="513">
        <v>0</v>
      </c>
    </row>
    <row r="27" spans="1:33" s="101" customFormat="1">
      <c r="A27" s="636"/>
      <c r="C27" s="480" t="s">
        <v>1800</v>
      </c>
      <c r="D27" s="480"/>
      <c r="E27" s="638"/>
      <c r="F27" s="638">
        <v>0</v>
      </c>
      <c r="G27" s="638">
        <v>0</v>
      </c>
      <c r="H27" s="638">
        <v>0</v>
      </c>
      <c r="I27" s="638">
        <v>0</v>
      </c>
      <c r="J27" s="638">
        <v>0</v>
      </c>
      <c r="K27" s="638">
        <v>0</v>
      </c>
      <c r="L27" s="638">
        <v>0</v>
      </c>
      <c r="M27" s="638">
        <v>0</v>
      </c>
      <c r="N27" s="638">
        <v>0</v>
      </c>
      <c r="O27" s="639">
        <v>0</v>
      </c>
      <c r="P27" s="638">
        <v>0</v>
      </c>
      <c r="Q27" s="638">
        <v>0</v>
      </c>
      <c r="R27" s="638">
        <v>0</v>
      </c>
      <c r="S27" s="638">
        <v>0</v>
      </c>
      <c r="T27" s="638">
        <v>0</v>
      </c>
      <c r="U27" s="638">
        <v>0</v>
      </c>
      <c r="V27" s="638">
        <v>0</v>
      </c>
      <c r="W27" s="638">
        <v>0</v>
      </c>
      <c r="X27" s="638">
        <v>0</v>
      </c>
      <c r="Y27" s="638">
        <v>0</v>
      </c>
      <c r="Z27" s="638">
        <v>0</v>
      </c>
      <c r="AA27" s="638">
        <v>0</v>
      </c>
      <c r="AB27" s="638">
        <v>0</v>
      </c>
      <c r="AC27" s="638">
        <v>0</v>
      </c>
      <c r="AD27" s="638">
        <f>SUM(AD25:AD26)</f>
        <v>0</v>
      </c>
      <c r="AE27" s="638">
        <f t="shared" ref="AE27:AG27" si="1">SUM(AE25:AE26)</f>
        <v>0</v>
      </c>
      <c r="AF27" s="638">
        <f t="shared" si="1"/>
        <v>0</v>
      </c>
      <c r="AG27" s="638">
        <f t="shared" si="1"/>
        <v>0</v>
      </c>
    </row>
    <row r="28" spans="1:33" s="101" customFormat="1">
      <c r="C28" s="640" t="s">
        <v>143</v>
      </c>
      <c r="D28" s="640"/>
      <c r="E28" s="641"/>
      <c r="F28" s="513"/>
      <c r="G28" s="513"/>
      <c r="H28" s="513"/>
      <c r="I28" s="513"/>
      <c r="J28" s="513"/>
      <c r="K28" s="641"/>
      <c r="L28" s="640"/>
      <c r="M28" s="513"/>
      <c r="N28" s="640"/>
      <c r="O28" s="4"/>
      <c r="P28" s="640"/>
      <c r="Q28" s="640"/>
      <c r="R28" s="640"/>
      <c r="S28" s="640"/>
      <c r="T28" s="640"/>
      <c r="U28" s="640"/>
      <c r="V28" s="640"/>
      <c r="W28" s="640"/>
      <c r="X28" s="640"/>
      <c r="Y28" s="640"/>
      <c r="Z28" s="640"/>
      <c r="AA28" s="640"/>
      <c r="AB28" s="641"/>
      <c r="AC28" s="641"/>
      <c r="AD28" s="641"/>
      <c r="AE28" s="641"/>
      <c r="AF28" s="641"/>
      <c r="AG28" s="641"/>
    </row>
    <row r="29" spans="1:33">
      <c r="C29" s="1" t="s">
        <v>144</v>
      </c>
      <c r="D29" s="1"/>
      <c r="E29" s="513">
        <v>0</v>
      </c>
      <c r="F29" s="513">
        <v>0</v>
      </c>
      <c r="G29" s="513">
        <v>0</v>
      </c>
      <c r="H29" s="513">
        <v>0</v>
      </c>
      <c r="I29" s="513">
        <v>0</v>
      </c>
      <c r="J29" s="513">
        <v>0</v>
      </c>
      <c r="K29" s="513">
        <v>0</v>
      </c>
      <c r="L29" s="513">
        <v>0</v>
      </c>
      <c r="M29" s="513">
        <v>0</v>
      </c>
      <c r="N29" s="513">
        <v>0</v>
      </c>
      <c r="O29" s="4">
        <v>0</v>
      </c>
      <c r="P29" s="513">
        <v>0</v>
      </c>
      <c r="Q29" s="635">
        <v>0</v>
      </c>
      <c r="R29" s="513">
        <v>0</v>
      </c>
      <c r="S29" s="635">
        <v>0</v>
      </c>
      <c r="T29" s="513">
        <v>0</v>
      </c>
      <c r="U29" s="635">
        <v>0</v>
      </c>
      <c r="V29" s="513">
        <v>0</v>
      </c>
      <c r="W29" s="512">
        <v>0</v>
      </c>
      <c r="X29" s="513">
        <v>0</v>
      </c>
      <c r="Y29" s="513">
        <v>0</v>
      </c>
      <c r="Z29" s="513">
        <v>0</v>
      </c>
      <c r="AA29" s="513">
        <v>0</v>
      </c>
      <c r="AB29" s="513">
        <v>0</v>
      </c>
      <c r="AC29" s="513">
        <v>0</v>
      </c>
      <c r="AD29" s="513">
        <v>0</v>
      </c>
      <c r="AE29" s="513">
        <v>0</v>
      </c>
      <c r="AF29" s="513">
        <v>0</v>
      </c>
      <c r="AG29" s="513">
        <v>0</v>
      </c>
    </row>
    <row r="30" spans="1:33">
      <c r="C30" s="1" t="s">
        <v>145</v>
      </c>
      <c r="D30" s="1"/>
      <c r="E30" s="513">
        <v>398583.47</v>
      </c>
      <c r="F30" s="513">
        <v>24219.67</v>
      </c>
      <c r="G30" s="513">
        <v>0</v>
      </c>
      <c r="H30" s="513">
        <v>0</v>
      </c>
      <c r="I30" s="513">
        <v>0</v>
      </c>
      <c r="J30" s="513">
        <v>642949</v>
      </c>
      <c r="K30" s="513">
        <v>5187831</v>
      </c>
      <c r="L30" s="513">
        <v>138105.39000000016</v>
      </c>
      <c r="M30" s="513">
        <v>1369528</v>
      </c>
      <c r="N30" s="513">
        <v>22236.59</v>
      </c>
      <c r="O30" s="4">
        <v>0</v>
      </c>
      <c r="P30" s="513">
        <v>293301.42000000016</v>
      </c>
      <c r="Q30" s="635">
        <v>0</v>
      </c>
      <c r="R30" s="513">
        <v>3845.9499999999985</v>
      </c>
      <c r="S30" s="635">
        <v>0</v>
      </c>
      <c r="T30" s="513">
        <v>-97358.620000000039</v>
      </c>
      <c r="U30" s="635">
        <v>0</v>
      </c>
      <c r="V30" s="513">
        <v>0</v>
      </c>
      <c r="W30" s="512">
        <v>0</v>
      </c>
      <c r="X30" s="513">
        <v>0</v>
      </c>
      <c r="Y30" s="513">
        <v>0</v>
      </c>
      <c r="Z30" s="513">
        <v>0</v>
      </c>
      <c r="AA30" s="513">
        <v>0</v>
      </c>
      <c r="AB30" s="513">
        <v>0</v>
      </c>
      <c r="AC30" s="513">
        <v>0</v>
      </c>
      <c r="AD30" s="513">
        <v>0</v>
      </c>
      <c r="AE30" s="513">
        <v>0</v>
      </c>
      <c r="AF30" s="513">
        <v>0</v>
      </c>
      <c r="AG30" s="513">
        <v>0</v>
      </c>
    </row>
    <row r="31" spans="1:33">
      <c r="C31" s="1" t="s">
        <v>157</v>
      </c>
      <c r="D31" s="1"/>
      <c r="E31" s="513">
        <v>0</v>
      </c>
      <c r="F31" s="513">
        <v>459662.5</v>
      </c>
      <c r="G31" s="513">
        <v>0</v>
      </c>
      <c r="H31" s="513">
        <v>4108954.6</v>
      </c>
      <c r="I31" s="513">
        <v>0</v>
      </c>
      <c r="J31" s="513">
        <v>419971</v>
      </c>
      <c r="K31" s="513">
        <v>0</v>
      </c>
      <c r="L31" s="513">
        <v>4199.1200000000008</v>
      </c>
      <c r="M31" s="513">
        <v>0</v>
      </c>
      <c r="N31" s="513">
        <v>0</v>
      </c>
      <c r="O31" s="4">
        <v>0</v>
      </c>
      <c r="P31" s="513">
        <v>32.639999999999993</v>
      </c>
      <c r="Q31" s="635">
        <v>0</v>
      </c>
      <c r="R31" s="513">
        <v>0</v>
      </c>
      <c r="S31" s="635">
        <v>0</v>
      </c>
      <c r="T31" s="513">
        <v>0</v>
      </c>
      <c r="U31" s="635">
        <v>0</v>
      </c>
      <c r="V31" s="513">
        <v>0</v>
      </c>
      <c r="W31" s="512">
        <v>0</v>
      </c>
      <c r="X31" s="513">
        <v>0</v>
      </c>
      <c r="Y31" s="513">
        <v>0</v>
      </c>
      <c r="Z31" s="513">
        <v>0</v>
      </c>
      <c r="AA31" s="513">
        <v>0</v>
      </c>
      <c r="AB31" s="513">
        <v>0</v>
      </c>
      <c r="AC31" s="513">
        <v>0</v>
      </c>
      <c r="AD31" s="513">
        <v>0</v>
      </c>
      <c r="AE31" s="513">
        <v>0</v>
      </c>
      <c r="AF31" s="513">
        <v>0</v>
      </c>
      <c r="AG31" s="513">
        <v>0</v>
      </c>
    </row>
    <row r="32" spans="1:33">
      <c r="C32" s="1" t="s">
        <v>160</v>
      </c>
      <c r="D32" s="1"/>
      <c r="E32" s="513">
        <v>0</v>
      </c>
      <c r="F32" s="513">
        <v>0</v>
      </c>
      <c r="G32" s="513">
        <v>0</v>
      </c>
      <c r="H32" s="513">
        <v>0</v>
      </c>
      <c r="I32" s="513">
        <v>0</v>
      </c>
      <c r="J32" s="513">
        <v>0</v>
      </c>
      <c r="K32" s="513">
        <v>0</v>
      </c>
      <c r="L32" s="513">
        <v>0</v>
      </c>
      <c r="M32" s="513">
        <v>0</v>
      </c>
      <c r="N32" s="513">
        <v>0</v>
      </c>
      <c r="O32" s="4">
        <v>0</v>
      </c>
      <c r="P32" s="513">
        <v>0</v>
      </c>
      <c r="Q32" s="635">
        <v>0</v>
      </c>
      <c r="R32" s="513">
        <v>0</v>
      </c>
      <c r="S32" s="635">
        <v>0</v>
      </c>
      <c r="T32" s="513">
        <v>0</v>
      </c>
      <c r="U32" s="635">
        <v>0</v>
      </c>
      <c r="V32" s="513">
        <v>0</v>
      </c>
      <c r="W32" s="512">
        <v>0</v>
      </c>
      <c r="X32" s="513">
        <v>0</v>
      </c>
      <c r="Y32" s="513">
        <v>0</v>
      </c>
      <c r="Z32" s="513">
        <v>0</v>
      </c>
      <c r="AA32" s="513">
        <v>0</v>
      </c>
      <c r="AB32" s="513">
        <v>0</v>
      </c>
      <c r="AC32" s="513">
        <v>0</v>
      </c>
      <c r="AD32" s="513">
        <v>0</v>
      </c>
      <c r="AE32" s="513">
        <v>0</v>
      </c>
      <c r="AF32" s="513">
        <v>0</v>
      </c>
      <c r="AG32" s="513">
        <v>0</v>
      </c>
    </row>
    <row r="33" spans="3:33">
      <c r="C33" s="1" t="s">
        <v>161</v>
      </c>
      <c r="D33" s="1"/>
      <c r="E33" s="513">
        <v>0</v>
      </c>
      <c r="F33" s="513">
        <v>0</v>
      </c>
      <c r="G33" s="513">
        <v>0</v>
      </c>
      <c r="H33" s="513">
        <v>0</v>
      </c>
      <c r="I33" s="513">
        <v>0</v>
      </c>
      <c r="J33" s="513">
        <v>0</v>
      </c>
      <c r="K33" s="513">
        <v>0</v>
      </c>
      <c r="L33" s="513">
        <v>0</v>
      </c>
      <c r="M33" s="513">
        <v>0</v>
      </c>
      <c r="N33" s="513">
        <v>0</v>
      </c>
      <c r="O33" s="4">
        <v>0</v>
      </c>
      <c r="P33" s="513">
        <v>0</v>
      </c>
      <c r="Q33" s="635">
        <v>0</v>
      </c>
      <c r="R33" s="513">
        <v>0</v>
      </c>
      <c r="S33" s="635">
        <v>0</v>
      </c>
      <c r="T33" s="513">
        <v>0</v>
      </c>
      <c r="U33" s="635">
        <v>0</v>
      </c>
      <c r="V33" s="513">
        <v>0</v>
      </c>
      <c r="W33" s="512">
        <v>0</v>
      </c>
      <c r="X33" s="513">
        <v>0</v>
      </c>
      <c r="Y33" s="513">
        <v>0</v>
      </c>
      <c r="Z33" s="513">
        <v>0</v>
      </c>
      <c r="AA33" s="513">
        <v>0</v>
      </c>
      <c r="AB33" s="513">
        <v>0</v>
      </c>
      <c r="AC33" s="513">
        <v>0</v>
      </c>
      <c r="AD33" s="513">
        <v>0</v>
      </c>
      <c r="AE33" s="513">
        <v>0</v>
      </c>
      <c r="AF33" s="513">
        <v>0</v>
      </c>
      <c r="AG33" s="513">
        <v>0</v>
      </c>
    </row>
    <row r="34" spans="3:33">
      <c r="C34" s="1" t="s">
        <v>162</v>
      </c>
      <c r="D34" s="1"/>
      <c r="E34" s="513">
        <v>0</v>
      </c>
      <c r="F34" s="513">
        <v>0</v>
      </c>
      <c r="G34" s="513">
        <v>0</v>
      </c>
      <c r="H34" s="513">
        <v>0</v>
      </c>
      <c r="I34" s="513">
        <v>0</v>
      </c>
      <c r="J34" s="513">
        <v>0</v>
      </c>
      <c r="K34" s="513">
        <v>0</v>
      </c>
      <c r="L34" s="513">
        <v>0</v>
      </c>
      <c r="M34" s="513">
        <v>0</v>
      </c>
      <c r="N34" s="513">
        <v>0</v>
      </c>
      <c r="O34" s="4">
        <v>0</v>
      </c>
      <c r="P34" s="513">
        <v>0</v>
      </c>
      <c r="Q34" s="635">
        <v>0</v>
      </c>
      <c r="R34" s="513">
        <v>0</v>
      </c>
      <c r="S34" s="635">
        <v>0</v>
      </c>
      <c r="T34" s="513">
        <v>0</v>
      </c>
      <c r="U34" s="635">
        <v>0</v>
      </c>
      <c r="V34" s="513">
        <v>0</v>
      </c>
      <c r="W34" s="512">
        <v>0</v>
      </c>
      <c r="X34" s="513">
        <v>0</v>
      </c>
      <c r="Y34" s="513">
        <v>0</v>
      </c>
      <c r="Z34" s="513">
        <v>0</v>
      </c>
      <c r="AA34" s="513">
        <v>0</v>
      </c>
      <c r="AB34" s="513">
        <v>0</v>
      </c>
      <c r="AC34" s="513">
        <v>0</v>
      </c>
      <c r="AD34" s="513">
        <v>0</v>
      </c>
      <c r="AE34" s="513">
        <v>0</v>
      </c>
      <c r="AF34" s="513">
        <v>0</v>
      </c>
      <c r="AG34" s="513">
        <v>0</v>
      </c>
    </row>
    <row r="35" spans="3:33">
      <c r="C35" s="1" t="s">
        <v>163</v>
      </c>
      <c r="D35" s="1"/>
      <c r="E35" s="513">
        <v>0</v>
      </c>
      <c r="F35" s="513">
        <v>573443.19999999995</v>
      </c>
      <c r="G35" s="513">
        <v>0</v>
      </c>
      <c r="H35" s="513">
        <v>10781.849999999999</v>
      </c>
      <c r="I35" s="513">
        <v>0</v>
      </c>
      <c r="J35" s="513">
        <v>0</v>
      </c>
      <c r="K35" s="513">
        <v>0</v>
      </c>
      <c r="L35" s="513">
        <v>0</v>
      </c>
      <c r="M35" s="513">
        <v>0</v>
      </c>
      <c r="N35" s="513">
        <v>0</v>
      </c>
      <c r="O35" s="4">
        <v>0</v>
      </c>
      <c r="P35" s="513">
        <v>0</v>
      </c>
      <c r="Q35" s="635">
        <v>0</v>
      </c>
      <c r="R35" s="513">
        <v>0</v>
      </c>
      <c r="S35" s="635">
        <v>0</v>
      </c>
      <c r="T35" s="513">
        <v>0</v>
      </c>
      <c r="U35" s="635">
        <v>0</v>
      </c>
      <c r="V35" s="513">
        <v>0</v>
      </c>
      <c r="W35" s="512">
        <v>0</v>
      </c>
      <c r="X35" s="513">
        <v>0</v>
      </c>
      <c r="Y35" s="513">
        <v>0</v>
      </c>
      <c r="Z35" s="513">
        <v>32068.76</v>
      </c>
      <c r="AA35" s="513">
        <v>0</v>
      </c>
      <c r="AB35" s="513">
        <v>8251.9</v>
      </c>
      <c r="AC35" s="513">
        <v>0</v>
      </c>
      <c r="AD35" s="513">
        <v>1972.0699999999997</v>
      </c>
      <c r="AE35" s="513">
        <v>0</v>
      </c>
      <c r="AF35" s="1044">
        <v>13372.16</v>
      </c>
      <c r="AG35" s="513">
        <v>0</v>
      </c>
    </row>
    <row r="36" spans="3:33">
      <c r="C36" s="1" t="s">
        <v>168</v>
      </c>
      <c r="D36" s="1"/>
      <c r="E36" s="513">
        <v>0</v>
      </c>
      <c r="F36" s="513">
        <v>1308002.9800000002</v>
      </c>
      <c r="G36" s="513">
        <v>0</v>
      </c>
      <c r="H36" s="513">
        <v>546557.57999999996</v>
      </c>
      <c r="I36" s="513">
        <v>0</v>
      </c>
      <c r="J36" s="513">
        <v>174663</v>
      </c>
      <c r="K36" s="513">
        <v>1877845</v>
      </c>
      <c r="L36" s="513">
        <v>15709.220000000001</v>
      </c>
      <c r="M36" s="513">
        <v>0</v>
      </c>
      <c r="N36" s="513">
        <v>567898.66</v>
      </c>
      <c r="O36" s="4">
        <v>0</v>
      </c>
      <c r="P36" s="513">
        <v>585408.08000000007</v>
      </c>
      <c r="Q36" s="513">
        <v>1701176</v>
      </c>
      <c r="R36" s="513">
        <v>116572.29000000001</v>
      </c>
      <c r="S36" s="635">
        <v>0</v>
      </c>
      <c r="T36" s="513">
        <v>34.68</v>
      </c>
      <c r="U36" s="635">
        <v>0</v>
      </c>
      <c r="V36" s="513">
        <v>0</v>
      </c>
      <c r="W36" s="512">
        <v>0</v>
      </c>
      <c r="X36" s="513">
        <v>0</v>
      </c>
      <c r="Y36" s="513">
        <v>0</v>
      </c>
      <c r="Z36" s="513">
        <v>0</v>
      </c>
      <c r="AA36" s="513">
        <v>0</v>
      </c>
      <c r="AB36" s="513">
        <v>0</v>
      </c>
      <c r="AC36" s="513">
        <v>0</v>
      </c>
      <c r="AD36" s="513">
        <v>0</v>
      </c>
      <c r="AE36" s="513">
        <v>0</v>
      </c>
      <c r="AF36" s="513">
        <v>0</v>
      </c>
      <c r="AG36" s="513">
        <v>0</v>
      </c>
    </row>
    <row r="37" spans="3:33">
      <c r="C37" s="1" t="s">
        <v>174</v>
      </c>
      <c r="D37" s="1"/>
      <c r="E37" s="513">
        <v>0</v>
      </c>
      <c r="F37" s="513">
        <v>0</v>
      </c>
      <c r="G37" s="513">
        <v>0</v>
      </c>
      <c r="H37" s="513">
        <v>0</v>
      </c>
      <c r="I37" s="513">
        <v>0</v>
      </c>
      <c r="J37" s="513">
        <v>0</v>
      </c>
      <c r="K37" s="513">
        <v>0</v>
      </c>
      <c r="L37" s="513">
        <v>0</v>
      </c>
      <c r="M37" s="513">
        <v>0</v>
      </c>
      <c r="N37" s="513">
        <v>0</v>
      </c>
      <c r="O37" s="4">
        <v>0</v>
      </c>
      <c r="P37" s="513">
        <v>43731.019999999968</v>
      </c>
      <c r="Q37" s="635">
        <v>0</v>
      </c>
      <c r="R37" s="513">
        <v>55154.699999999968</v>
      </c>
      <c r="S37" s="635">
        <v>0</v>
      </c>
      <c r="T37" s="513">
        <v>41162.649999999936</v>
      </c>
      <c r="U37" s="635">
        <v>0</v>
      </c>
      <c r="V37" s="513">
        <v>16540.590000000015</v>
      </c>
      <c r="W37" s="512">
        <v>0</v>
      </c>
      <c r="X37" s="513">
        <v>11455.85</v>
      </c>
      <c r="Y37" s="513">
        <v>0</v>
      </c>
      <c r="Z37" s="513">
        <v>8694.0499999999993</v>
      </c>
      <c r="AA37" s="513">
        <v>0</v>
      </c>
      <c r="AB37" s="513">
        <v>8145.3200000000043</v>
      </c>
      <c r="AC37" s="513">
        <v>0</v>
      </c>
      <c r="AD37" s="513">
        <v>1486589.52</v>
      </c>
      <c r="AE37" s="513">
        <v>0</v>
      </c>
      <c r="AF37" s="1044">
        <v>534225.27</v>
      </c>
      <c r="AG37" s="513">
        <v>2071075.5</v>
      </c>
    </row>
    <row r="38" spans="3:33">
      <c r="C38" s="1" t="s">
        <v>179</v>
      </c>
      <c r="D38" s="1"/>
      <c r="E38" s="513">
        <v>0</v>
      </c>
      <c r="F38" s="513">
        <v>0</v>
      </c>
      <c r="G38" s="513">
        <v>0</v>
      </c>
      <c r="H38" s="513">
        <v>1356.37</v>
      </c>
      <c r="I38" s="513">
        <v>0</v>
      </c>
      <c r="J38" s="513">
        <v>360883</v>
      </c>
      <c r="K38" s="513">
        <v>0</v>
      </c>
      <c r="L38" s="513">
        <v>158904.06</v>
      </c>
      <c r="M38" s="513">
        <v>0</v>
      </c>
      <c r="N38" s="513">
        <v>37493.22</v>
      </c>
      <c r="O38" s="4">
        <v>0</v>
      </c>
      <c r="P38" s="513">
        <v>47110.79</v>
      </c>
      <c r="Q38" s="635">
        <v>0</v>
      </c>
      <c r="R38" s="513">
        <v>82575.5</v>
      </c>
      <c r="S38" s="635">
        <v>0</v>
      </c>
      <c r="T38" s="513">
        <v>81427.859999999957</v>
      </c>
      <c r="U38" s="635">
        <v>0</v>
      </c>
      <c r="V38" s="513">
        <v>581798.36000000103</v>
      </c>
      <c r="W38" s="512">
        <v>0</v>
      </c>
      <c r="X38" s="513">
        <v>2041321.1200000003</v>
      </c>
      <c r="Y38" s="513">
        <v>0</v>
      </c>
      <c r="Z38" s="513">
        <v>54554.03</v>
      </c>
      <c r="AA38" s="513">
        <v>3511691.9199999636</v>
      </c>
      <c r="AB38" s="513">
        <v>16453.849999999991</v>
      </c>
      <c r="AC38" s="513">
        <v>0</v>
      </c>
      <c r="AD38" s="513">
        <v>8146.54</v>
      </c>
      <c r="AE38" s="513">
        <v>0</v>
      </c>
      <c r="AF38" s="513">
        <v>0</v>
      </c>
      <c r="AG38" s="513">
        <v>0</v>
      </c>
    </row>
    <row r="39" spans="3:33">
      <c r="C39" s="1" t="s">
        <v>184</v>
      </c>
      <c r="D39" s="1"/>
      <c r="E39" s="513">
        <v>0</v>
      </c>
      <c r="F39" s="513">
        <v>0</v>
      </c>
      <c r="G39" s="513">
        <v>0</v>
      </c>
      <c r="H39" s="513">
        <v>0</v>
      </c>
      <c r="I39" s="513">
        <v>0</v>
      </c>
      <c r="J39" s="513">
        <v>0</v>
      </c>
      <c r="K39" s="513">
        <v>0</v>
      </c>
      <c r="L39" s="513">
        <v>0</v>
      </c>
      <c r="M39" s="513">
        <v>0</v>
      </c>
      <c r="N39" s="513">
        <v>73475.19</v>
      </c>
      <c r="O39" s="4">
        <v>0</v>
      </c>
      <c r="P39" s="513">
        <v>30240.15999999996</v>
      </c>
      <c r="Q39" s="635">
        <v>0</v>
      </c>
      <c r="R39" s="513">
        <v>72476.239999999918</v>
      </c>
      <c r="S39" s="635">
        <v>0</v>
      </c>
      <c r="T39" s="513">
        <v>62604.279999999992</v>
      </c>
      <c r="U39" s="635">
        <v>0</v>
      </c>
      <c r="V39" s="513">
        <v>1620376.6000000008</v>
      </c>
      <c r="W39" s="512">
        <v>0</v>
      </c>
      <c r="X39" s="513">
        <v>836095.75</v>
      </c>
      <c r="Y39" s="513">
        <v>2695268.22</v>
      </c>
      <c r="Z39" s="513">
        <v>113.95</v>
      </c>
      <c r="AA39" s="513">
        <v>0</v>
      </c>
      <c r="AB39" s="513">
        <v>0</v>
      </c>
      <c r="AC39" s="513">
        <v>0</v>
      </c>
      <c r="AD39" s="513">
        <v>0</v>
      </c>
      <c r="AE39" s="513">
        <v>0</v>
      </c>
      <c r="AF39" s="513">
        <v>0</v>
      </c>
      <c r="AG39" s="513">
        <v>0</v>
      </c>
    </row>
    <row r="40" spans="3:33">
      <c r="C40" s="1" t="s">
        <v>188</v>
      </c>
      <c r="D40" s="1"/>
      <c r="E40" s="513">
        <v>0</v>
      </c>
      <c r="F40" s="513">
        <v>0</v>
      </c>
      <c r="G40" s="513">
        <v>0</v>
      </c>
      <c r="H40" s="513">
        <v>0</v>
      </c>
      <c r="I40" s="513">
        <v>0</v>
      </c>
      <c r="J40" s="513">
        <v>0</v>
      </c>
      <c r="K40" s="513">
        <v>0</v>
      </c>
      <c r="L40" s="513">
        <v>0</v>
      </c>
      <c r="M40" s="513">
        <v>0</v>
      </c>
      <c r="N40" s="513">
        <v>0</v>
      </c>
      <c r="O40" s="4">
        <v>0</v>
      </c>
      <c r="P40" s="513">
        <v>0</v>
      </c>
      <c r="Q40" s="635">
        <v>0</v>
      </c>
      <c r="R40" s="513">
        <v>0</v>
      </c>
      <c r="S40" s="635">
        <v>0</v>
      </c>
      <c r="T40" s="513">
        <v>0</v>
      </c>
      <c r="U40" s="635">
        <v>0</v>
      </c>
      <c r="V40" s="513">
        <v>0</v>
      </c>
      <c r="W40" s="512">
        <v>0</v>
      </c>
      <c r="X40" s="513">
        <v>0</v>
      </c>
      <c r="Y40" s="513">
        <v>0</v>
      </c>
      <c r="Z40" s="513">
        <v>0</v>
      </c>
      <c r="AA40" s="513">
        <v>0</v>
      </c>
      <c r="AB40" s="513">
        <v>0</v>
      </c>
      <c r="AC40" s="513">
        <v>0</v>
      </c>
      <c r="AD40" s="513">
        <v>0</v>
      </c>
      <c r="AE40" s="513">
        <v>0</v>
      </c>
      <c r="AF40" s="513">
        <v>0</v>
      </c>
      <c r="AG40" s="513">
        <v>0</v>
      </c>
    </row>
    <row r="41" spans="3:33">
      <c r="C41" s="1" t="s">
        <v>189</v>
      </c>
      <c r="D41" s="1"/>
      <c r="E41" s="513">
        <v>0</v>
      </c>
      <c r="F41" s="513">
        <v>0</v>
      </c>
      <c r="G41" s="513">
        <v>0</v>
      </c>
      <c r="H41" s="513">
        <v>0</v>
      </c>
      <c r="I41" s="513">
        <v>0</v>
      </c>
      <c r="J41" s="513">
        <v>0</v>
      </c>
      <c r="K41" s="513">
        <v>0</v>
      </c>
      <c r="L41" s="513">
        <v>0</v>
      </c>
      <c r="M41" s="513">
        <v>0</v>
      </c>
      <c r="N41" s="513">
        <v>0</v>
      </c>
      <c r="O41" s="4">
        <v>0</v>
      </c>
      <c r="P41" s="513">
        <v>0</v>
      </c>
      <c r="Q41" s="635">
        <v>0</v>
      </c>
      <c r="R41" s="513">
        <v>0</v>
      </c>
      <c r="S41" s="635">
        <v>0</v>
      </c>
      <c r="T41" s="513">
        <v>0</v>
      </c>
      <c r="U41" s="635">
        <v>0</v>
      </c>
      <c r="V41" s="513">
        <v>0</v>
      </c>
      <c r="W41" s="512">
        <v>0</v>
      </c>
      <c r="X41" s="513">
        <v>0</v>
      </c>
      <c r="Y41" s="513">
        <v>0</v>
      </c>
      <c r="Z41" s="513">
        <v>0</v>
      </c>
      <c r="AA41" s="513">
        <v>0</v>
      </c>
      <c r="AB41" s="513">
        <v>0</v>
      </c>
      <c r="AC41" s="513">
        <v>0</v>
      </c>
      <c r="AD41" s="513">
        <v>0</v>
      </c>
      <c r="AE41" s="513">
        <v>0</v>
      </c>
      <c r="AF41" s="513">
        <v>0</v>
      </c>
      <c r="AG41" s="513">
        <v>0</v>
      </c>
    </row>
    <row r="42" spans="3:33">
      <c r="C42" s="1" t="s">
        <v>190</v>
      </c>
      <c r="D42" s="1"/>
      <c r="E42" s="513">
        <v>0</v>
      </c>
      <c r="F42" s="513">
        <v>40658.67</v>
      </c>
      <c r="G42" s="513">
        <v>0</v>
      </c>
      <c r="H42" s="513">
        <v>69586.549999999988</v>
      </c>
      <c r="I42" s="513">
        <v>0</v>
      </c>
      <c r="J42" s="513">
        <v>38048</v>
      </c>
      <c r="K42" s="513">
        <v>0</v>
      </c>
      <c r="L42" s="513">
        <v>61393.07</v>
      </c>
      <c r="M42" s="513">
        <v>0</v>
      </c>
      <c r="N42" s="513">
        <v>384469.1100000001</v>
      </c>
      <c r="O42" s="4">
        <v>0</v>
      </c>
      <c r="P42" s="513">
        <v>3274536.6600000029</v>
      </c>
      <c r="Q42" s="513">
        <v>1075643</v>
      </c>
      <c r="R42" s="513">
        <v>1140237.8499999999</v>
      </c>
      <c r="S42" s="513">
        <v>3877519</v>
      </c>
      <c r="T42" s="513">
        <v>2683711.5999999978</v>
      </c>
      <c r="U42" s="513">
        <v>3561518</v>
      </c>
      <c r="V42" s="513">
        <v>296591.18999999994</v>
      </c>
      <c r="W42" s="512">
        <v>0</v>
      </c>
      <c r="X42" s="513">
        <v>125395.68000000001</v>
      </c>
      <c r="Y42" s="513">
        <v>0</v>
      </c>
      <c r="Z42" s="513">
        <v>-204836.46000000011</v>
      </c>
      <c r="AA42" s="513">
        <v>0</v>
      </c>
      <c r="AB42" s="513">
        <v>0</v>
      </c>
      <c r="AC42" s="513">
        <v>0</v>
      </c>
      <c r="AD42" s="513">
        <v>0</v>
      </c>
      <c r="AE42" s="513">
        <v>0</v>
      </c>
      <c r="AF42" s="513">
        <v>0</v>
      </c>
      <c r="AG42" s="513">
        <v>0</v>
      </c>
    </row>
    <row r="43" spans="3:33">
      <c r="C43" s="1" t="s">
        <v>201</v>
      </c>
      <c r="D43" s="1"/>
      <c r="E43" s="513">
        <v>0</v>
      </c>
      <c r="F43" s="513">
        <v>0</v>
      </c>
      <c r="G43" s="513">
        <v>0</v>
      </c>
      <c r="H43" s="513">
        <v>3575.55</v>
      </c>
      <c r="I43" s="513">
        <v>0</v>
      </c>
      <c r="J43" s="513">
        <v>0</v>
      </c>
      <c r="K43" s="513">
        <v>0</v>
      </c>
      <c r="L43" s="513">
        <v>0</v>
      </c>
      <c r="M43" s="513">
        <v>0</v>
      </c>
      <c r="N43" s="513">
        <v>0</v>
      </c>
      <c r="O43" s="4">
        <v>0</v>
      </c>
      <c r="P43" s="513">
        <v>0</v>
      </c>
      <c r="Q43" s="635">
        <v>0</v>
      </c>
      <c r="R43" s="513">
        <v>0</v>
      </c>
      <c r="S43" s="635">
        <v>0</v>
      </c>
      <c r="T43" s="513">
        <v>0</v>
      </c>
      <c r="U43" s="635">
        <v>0</v>
      </c>
      <c r="V43" s="513">
        <v>45103.789999999986</v>
      </c>
      <c r="W43" s="512">
        <v>0</v>
      </c>
      <c r="X43" s="513">
        <v>8083.43</v>
      </c>
      <c r="Y43" s="513">
        <v>0</v>
      </c>
      <c r="Z43" s="513">
        <v>4546.93</v>
      </c>
      <c r="AA43" s="513">
        <v>0</v>
      </c>
      <c r="AB43" s="513">
        <v>55259.680000000015</v>
      </c>
      <c r="AC43" s="513">
        <v>0</v>
      </c>
      <c r="AD43" s="513">
        <v>56838.260000000009</v>
      </c>
      <c r="AE43" s="513">
        <v>0</v>
      </c>
      <c r="AF43" s="1044">
        <v>10870.02</v>
      </c>
      <c r="AG43" s="513">
        <v>0</v>
      </c>
    </row>
    <row r="44" spans="3:33">
      <c r="C44" s="1" t="s">
        <v>206</v>
      </c>
      <c r="D44" s="1"/>
      <c r="E44" s="513">
        <v>0</v>
      </c>
      <c r="F44" s="513">
        <v>0</v>
      </c>
      <c r="G44" s="513">
        <v>0</v>
      </c>
      <c r="H44" s="513">
        <v>0</v>
      </c>
      <c r="I44" s="513">
        <v>0</v>
      </c>
      <c r="J44" s="513">
        <v>0</v>
      </c>
      <c r="K44" s="513">
        <v>0</v>
      </c>
      <c r="L44" s="513">
        <v>0</v>
      </c>
      <c r="M44" s="513">
        <v>0</v>
      </c>
      <c r="N44" s="513">
        <v>0</v>
      </c>
      <c r="O44" s="4">
        <v>0</v>
      </c>
      <c r="P44" s="513">
        <v>0</v>
      </c>
      <c r="Q44" s="635">
        <v>0</v>
      </c>
      <c r="R44" s="513">
        <v>0</v>
      </c>
      <c r="S44" s="635">
        <v>0</v>
      </c>
      <c r="T44" s="513">
        <v>0</v>
      </c>
      <c r="U44" s="635">
        <v>0</v>
      </c>
      <c r="V44" s="513">
        <v>0</v>
      </c>
      <c r="W44" s="512">
        <v>0</v>
      </c>
      <c r="X44" s="513">
        <v>0</v>
      </c>
      <c r="Y44" s="513">
        <v>0</v>
      </c>
      <c r="Z44" s="513">
        <v>0</v>
      </c>
      <c r="AA44" s="513">
        <v>0</v>
      </c>
      <c r="AB44" s="513">
        <v>0</v>
      </c>
      <c r="AC44" s="513">
        <v>0</v>
      </c>
      <c r="AD44" s="513">
        <v>0</v>
      </c>
      <c r="AE44" s="513">
        <v>0</v>
      </c>
      <c r="AF44" s="513">
        <v>0</v>
      </c>
      <c r="AG44" s="513">
        <v>0</v>
      </c>
    </row>
    <row r="45" spans="3:33">
      <c r="C45" s="1" t="s">
        <v>207</v>
      </c>
      <c r="D45" s="1"/>
      <c r="E45" s="513">
        <v>0</v>
      </c>
      <c r="F45" s="513">
        <v>0</v>
      </c>
      <c r="G45" s="513">
        <v>0</v>
      </c>
      <c r="H45" s="513">
        <v>0</v>
      </c>
      <c r="I45" s="513">
        <v>0</v>
      </c>
      <c r="J45" s="513">
        <v>0</v>
      </c>
      <c r="K45" s="513">
        <v>0</v>
      </c>
      <c r="L45" s="513">
        <v>0</v>
      </c>
      <c r="M45" s="513">
        <v>0</v>
      </c>
      <c r="N45" s="513">
        <v>0</v>
      </c>
      <c r="O45" s="4">
        <v>0</v>
      </c>
      <c r="P45" s="513">
        <v>0</v>
      </c>
      <c r="Q45" s="635">
        <v>0</v>
      </c>
      <c r="R45" s="513">
        <v>0</v>
      </c>
      <c r="S45" s="635">
        <v>0</v>
      </c>
      <c r="T45" s="513">
        <v>0</v>
      </c>
      <c r="U45" s="635">
        <v>0</v>
      </c>
      <c r="V45" s="513">
        <v>0</v>
      </c>
      <c r="W45" s="512">
        <v>0</v>
      </c>
      <c r="X45" s="513">
        <v>0</v>
      </c>
      <c r="Y45" s="513">
        <v>0</v>
      </c>
      <c r="Z45" s="513">
        <v>0</v>
      </c>
      <c r="AA45" s="513">
        <v>0</v>
      </c>
      <c r="AB45" s="513">
        <v>0</v>
      </c>
      <c r="AC45" s="513">
        <v>0</v>
      </c>
      <c r="AD45" s="513">
        <v>0</v>
      </c>
      <c r="AE45" s="513">
        <v>0</v>
      </c>
      <c r="AF45" s="513">
        <v>0</v>
      </c>
      <c r="AG45" s="513">
        <v>0</v>
      </c>
    </row>
    <row r="46" spans="3:33">
      <c r="C46" s="1" t="s">
        <v>208</v>
      </c>
      <c r="D46" s="1"/>
      <c r="E46" s="513">
        <v>0</v>
      </c>
      <c r="F46" s="513">
        <v>584540.27</v>
      </c>
      <c r="G46" s="513">
        <v>0</v>
      </c>
      <c r="H46" s="513">
        <v>2891786.99</v>
      </c>
      <c r="I46" s="513">
        <v>5660935</v>
      </c>
      <c r="J46" s="513">
        <v>-42056</v>
      </c>
      <c r="K46" s="513">
        <v>0</v>
      </c>
      <c r="L46" s="513">
        <v>0</v>
      </c>
      <c r="M46" s="513">
        <v>0</v>
      </c>
      <c r="N46" s="513">
        <v>10317.86</v>
      </c>
      <c r="O46" s="4">
        <v>0</v>
      </c>
      <c r="P46" s="513">
        <v>47.350000000000009</v>
      </c>
      <c r="Q46" s="635">
        <v>0</v>
      </c>
      <c r="R46" s="513">
        <v>0</v>
      </c>
      <c r="S46" s="635">
        <v>0</v>
      </c>
      <c r="T46" s="513">
        <v>0</v>
      </c>
      <c r="U46" s="635">
        <v>0</v>
      </c>
      <c r="V46" s="513">
        <v>0</v>
      </c>
      <c r="W46" s="512">
        <v>0</v>
      </c>
      <c r="X46" s="513">
        <v>0</v>
      </c>
      <c r="Y46" s="513">
        <v>0</v>
      </c>
      <c r="Z46" s="513">
        <v>0</v>
      </c>
      <c r="AA46" s="513">
        <v>0</v>
      </c>
      <c r="AB46" s="513">
        <v>0</v>
      </c>
      <c r="AC46" s="513">
        <v>0</v>
      </c>
      <c r="AD46" s="513">
        <v>0</v>
      </c>
      <c r="AE46" s="513">
        <v>0</v>
      </c>
      <c r="AF46" s="513">
        <v>0</v>
      </c>
      <c r="AG46" s="513">
        <v>0</v>
      </c>
    </row>
    <row r="47" spans="3:33">
      <c r="C47" s="1" t="s">
        <v>211</v>
      </c>
      <c r="D47" s="1"/>
      <c r="E47" s="513">
        <v>0</v>
      </c>
      <c r="F47" s="513">
        <v>0</v>
      </c>
      <c r="G47" s="513">
        <v>0</v>
      </c>
      <c r="H47" s="513">
        <v>0</v>
      </c>
      <c r="I47" s="513">
        <v>0</v>
      </c>
      <c r="J47" s="513">
        <v>0</v>
      </c>
      <c r="K47" s="513">
        <v>0</v>
      </c>
      <c r="L47" s="513">
        <v>0</v>
      </c>
      <c r="M47" s="513">
        <v>0</v>
      </c>
      <c r="N47" s="513">
        <v>0</v>
      </c>
      <c r="O47" s="4">
        <v>0</v>
      </c>
      <c r="P47" s="513">
        <v>0</v>
      </c>
      <c r="Q47" s="635">
        <v>0</v>
      </c>
      <c r="R47" s="513">
        <v>0</v>
      </c>
      <c r="S47" s="635">
        <v>0</v>
      </c>
      <c r="T47" s="513">
        <v>0</v>
      </c>
      <c r="U47" s="635">
        <v>0</v>
      </c>
      <c r="V47" s="513">
        <v>0</v>
      </c>
      <c r="W47" s="512">
        <v>0</v>
      </c>
      <c r="X47" s="513">
        <v>0</v>
      </c>
      <c r="Y47" s="513">
        <v>0</v>
      </c>
      <c r="Z47" s="513">
        <v>0</v>
      </c>
      <c r="AA47" s="513">
        <v>0</v>
      </c>
      <c r="AB47" s="513">
        <v>0</v>
      </c>
      <c r="AC47" s="513">
        <v>0</v>
      </c>
      <c r="AD47" s="513">
        <v>0</v>
      </c>
      <c r="AE47" s="513">
        <v>0</v>
      </c>
      <c r="AF47" s="513">
        <v>0</v>
      </c>
      <c r="AG47" s="513">
        <v>0</v>
      </c>
    </row>
    <row r="48" spans="3:33">
      <c r="C48" s="1" t="s">
        <v>212</v>
      </c>
      <c r="D48" s="1"/>
      <c r="E48" s="513">
        <v>0</v>
      </c>
      <c r="F48" s="513">
        <v>53288.91</v>
      </c>
      <c r="G48" s="513">
        <v>0</v>
      </c>
      <c r="H48" s="513">
        <v>12423.39</v>
      </c>
      <c r="I48" s="513">
        <v>0</v>
      </c>
      <c r="J48" s="513">
        <v>4008.4800000000068</v>
      </c>
      <c r="K48" s="513">
        <v>0</v>
      </c>
      <c r="L48" s="513">
        <v>3582.94</v>
      </c>
      <c r="M48" s="513">
        <v>0</v>
      </c>
      <c r="N48" s="513">
        <v>1672.19</v>
      </c>
      <c r="O48" s="4">
        <v>0</v>
      </c>
      <c r="P48" s="513">
        <v>10676.920000000013</v>
      </c>
      <c r="Q48" s="635">
        <v>0</v>
      </c>
      <c r="R48" s="513">
        <v>26180.019999999997</v>
      </c>
      <c r="S48" s="635">
        <v>0</v>
      </c>
      <c r="T48" s="513">
        <v>12768.46000000001</v>
      </c>
      <c r="U48" s="635">
        <v>0</v>
      </c>
      <c r="V48" s="513">
        <v>12782.759999999998</v>
      </c>
      <c r="W48" s="512">
        <v>0</v>
      </c>
      <c r="X48" s="513">
        <v>2074.4700000000003</v>
      </c>
      <c r="Y48" s="513">
        <v>0</v>
      </c>
      <c r="Z48" s="513">
        <v>2626.06</v>
      </c>
      <c r="AA48" s="513">
        <v>0</v>
      </c>
      <c r="AB48" s="513">
        <v>1969.95</v>
      </c>
      <c r="AC48" s="513">
        <v>0</v>
      </c>
      <c r="AD48" s="513">
        <v>1680.8400000000001</v>
      </c>
      <c r="AE48" s="513">
        <v>0</v>
      </c>
      <c r="AF48" s="1044">
        <v>1942.67</v>
      </c>
      <c r="AG48" s="513">
        <v>0</v>
      </c>
    </row>
    <row r="49" spans="3:33">
      <c r="C49" s="1" t="s">
        <v>218</v>
      </c>
      <c r="D49" s="1"/>
      <c r="E49" s="513">
        <v>0</v>
      </c>
      <c r="F49" s="513">
        <v>0</v>
      </c>
      <c r="G49" s="513">
        <v>0</v>
      </c>
      <c r="H49" s="513">
        <v>34885.440000000002</v>
      </c>
      <c r="I49" s="513">
        <v>0</v>
      </c>
      <c r="J49" s="513">
        <v>229111.25</v>
      </c>
      <c r="K49" s="513">
        <v>0</v>
      </c>
      <c r="L49" s="513">
        <v>1480235.68</v>
      </c>
      <c r="M49" s="513">
        <v>0</v>
      </c>
      <c r="N49" s="513">
        <v>177184.25</v>
      </c>
      <c r="O49" s="512">
        <v>1920221</v>
      </c>
      <c r="P49" s="513">
        <v>2656.7500000000005</v>
      </c>
      <c r="Q49" s="635">
        <v>0</v>
      </c>
      <c r="R49" s="513">
        <v>0</v>
      </c>
      <c r="S49" s="635">
        <v>0</v>
      </c>
      <c r="T49" s="513">
        <v>0</v>
      </c>
      <c r="U49" s="635">
        <v>0</v>
      </c>
      <c r="V49" s="513">
        <v>0</v>
      </c>
      <c r="W49" s="512">
        <v>0</v>
      </c>
      <c r="X49" s="513">
        <v>0</v>
      </c>
      <c r="Y49" s="513">
        <v>0</v>
      </c>
      <c r="Z49" s="513">
        <v>0</v>
      </c>
      <c r="AA49" s="513">
        <v>0</v>
      </c>
      <c r="AB49" s="513">
        <v>73337.549999999988</v>
      </c>
      <c r="AC49" s="513">
        <v>0</v>
      </c>
      <c r="AD49" s="513">
        <v>8281.9600000000009</v>
      </c>
      <c r="AE49" s="513">
        <v>0</v>
      </c>
      <c r="AF49" s="1044">
        <v>31770.019999999997</v>
      </c>
      <c r="AG49" s="513">
        <v>0</v>
      </c>
    </row>
    <row r="50" spans="3:33">
      <c r="C50" s="1" t="s">
        <v>226</v>
      </c>
      <c r="D50" s="1"/>
      <c r="E50" s="513">
        <v>0</v>
      </c>
      <c r="F50" s="513">
        <v>0</v>
      </c>
      <c r="G50" s="513">
        <v>0</v>
      </c>
      <c r="H50" s="513">
        <v>0</v>
      </c>
      <c r="I50" s="513">
        <v>0</v>
      </c>
      <c r="J50" s="513">
        <v>0</v>
      </c>
      <c r="K50" s="513">
        <v>0</v>
      </c>
      <c r="L50" s="513">
        <v>0</v>
      </c>
      <c r="M50" s="513">
        <v>0</v>
      </c>
      <c r="N50" s="513">
        <v>0</v>
      </c>
      <c r="O50" s="4">
        <v>0</v>
      </c>
      <c r="P50" s="513">
        <v>0</v>
      </c>
      <c r="Q50" s="635">
        <v>0</v>
      </c>
      <c r="R50" s="513">
        <v>0</v>
      </c>
      <c r="S50" s="635">
        <v>0</v>
      </c>
      <c r="T50" s="513">
        <v>0</v>
      </c>
      <c r="U50" s="635">
        <v>0</v>
      </c>
      <c r="V50" s="513">
        <v>0</v>
      </c>
      <c r="W50" s="512">
        <v>0</v>
      </c>
      <c r="X50" s="513">
        <v>0</v>
      </c>
      <c r="Y50" s="513">
        <v>0</v>
      </c>
      <c r="Z50" s="513">
        <v>0</v>
      </c>
      <c r="AA50" s="513">
        <v>0</v>
      </c>
      <c r="AB50" s="513">
        <v>0</v>
      </c>
      <c r="AC50" s="513">
        <v>0</v>
      </c>
      <c r="AD50" s="513">
        <v>0</v>
      </c>
      <c r="AE50" s="513">
        <v>0</v>
      </c>
      <c r="AF50" s="513">
        <v>0</v>
      </c>
      <c r="AG50" s="513">
        <v>0</v>
      </c>
    </row>
    <row r="51" spans="3:33">
      <c r="C51" s="1" t="s">
        <v>227</v>
      </c>
      <c r="D51" s="1"/>
      <c r="E51" s="513">
        <v>0</v>
      </c>
      <c r="F51" s="513">
        <v>27160.58</v>
      </c>
      <c r="G51" s="513">
        <v>0</v>
      </c>
      <c r="H51" s="513">
        <v>602160.38000000012</v>
      </c>
      <c r="I51" s="513">
        <v>685314.73</v>
      </c>
      <c r="J51" s="513">
        <v>216906.98999999996</v>
      </c>
      <c r="K51" s="513">
        <v>0</v>
      </c>
      <c r="L51" s="513">
        <v>577298.74000000011</v>
      </c>
      <c r="M51" s="513">
        <v>0</v>
      </c>
      <c r="N51" s="513">
        <v>1599876.4600000002</v>
      </c>
      <c r="O51" s="4">
        <v>0</v>
      </c>
      <c r="P51" s="513">
        <v>937408.17999999912</v>
      </c>
      <c r="Q51" s="513">
        <v>1493888</v>
      </c>
      <c r="R51" s="513">
        <v>-13376.550000000001</v>
      </c>
      <c r="S51" s="635">
        <v>0</v>
      </c>
      <c r="T51" s="513">
        <v>-235.44999999999993</v>
      </c>
      <c r="U51" s="635">
        <v>0</v>
      </c>
      <c r="V51" s="513">
        <v>-656.78000000000111</v>
      </c>
      <c r="W51" s="512">
        <v>0</v>
      </c>
      <c r="X51" s="513">
        <v>804.05</v>
      </c>
      <c r="Y51" s="513">
        <v>0</v>
      </c>
      <c r="Z51" s="513">
        <v>1422.67</v>
      </c>
      <c r="AA51" s="513">
        <v>0</v>
      </c>
      <c r="AB51" s="513">
        <v>763.54</v>
      </c>
      <c r="AC51" s="513">
        <v>0</v>
      </c>
      <c r="AD51" s="513">
        <v>2080.7199999999998</v>
      </c>
      <c r="AE51" s="513">
        <v>0</v>
      </c>
      <c r="AF51" s="513">
        <v>0</v>
      </c>
      <c r="AG51" s="513">
        <v>0</v>
      </c>
    </row>
    <row r="52" spans="3:33">
      <c r="C52" s="1" t="s">
        <v>235</v>
      </c>
      <c r="D52" s="1"/>
      <c r="E52" s="513">
        <v>0</v>
      </c>
      <c r="F52" s="513">
        <v>4205.43</v>
      </c>
      <c r="G52" s="513">
        <v>0</v>
      </c>
      <c r="H52" s="513">
        <v>14906</v>
      </c>
      <c r="I52" s="513">
        <v>0</v>
      </c>
      <c r="J52" s="513">
        <v>0</v>
      </c>
      <c r="K52" s="513">
        <v>0</v>
      </c>
      <c r="L52" s="513">
        <v>0</v>
      </c>
      <c r="M52" s="513">
        <v>0</v>
      </c>
      <c r="N52" s="513">
        <v>0</v>
      </c>
      <c r="O52" s="4">
        <v>0</v>
      </c>
      <c r="P52" s="513">
        <v>0</v>
      </c>
      <c r="Q52" s="635">
        <v>0</v>
      </c>
      <c r="R52" s="513">
        <v>0</v>
      </c>
      <c r="S52" s="635">
        <v>0</v>
      </c>
      <c r="T52" s="513">
        <v>0</v>
      </c>
      <c r="U52" s="635">
        <v>0</v>
      </c>
      <c r="V52" s="513">
        <v>0</v>
      </c>
      <c r="W52" s="512">
        <v>0</v>
      </c>
      <c r="X52" s="513">
        <v>0</v>
      </c>
      <c r="Y52" s="513">
        <v>0</v>
      </c>
      <c r="Z52" s="513">
        <v>0</v>
      </c>
      <c r="AA52" s="513">
        <v>0</v>
      </c>
      <c r="AB52" s="513">
        <v>0</v>
      </c>
      <c r="AC52" s="513">
        <v>0</v>
      </c>
      <c r="AD52" s="513">
        <v>0</v>
      </c>
      <c r="AE52" s="513">
        <v>0</v>
      </c>
      <c r="AF52" s="513">
        <v>0</v>
      </c>
      <c r="AG52" s="513">
        <v>0</v>
      </c>
    </row>
    <row r="53" spans="3:33">
      <c r="C53" s="1" t="s">
        <v>236</v>
      </c>
      <c r="D53" s="1"/>
      <c r="E53" s="513">
        <v>0</v>
      </c>
      <c r="F53" s="513">
        <v>-208594.97000000003</v>
      </c>
      <c r="G53" s="513">
        <v>0</v>
      </c>
      <c r="H53" s="513">
        <v>0</v>
      </c>
      <c r="I53" s="513">
        <v>0</v>
      </c>
      <c r="J53" s="513">
        <v>0</v>
      </c>
      <c r="K53" s="513">
        <v>0</v>
      </c>
      <c r="L53" s="513">
        <v>0</v>
      </c>
      <c r="M53" s="513">
        <v>0</v>
      </c>
      <c r="N53" s="513">
        <v>0</v>
      </c>
      <c r="O53" s="4">
        <v>0</v>
      </c>
      <c r="P53" s="513">
        <v>0</v>
      </c>
      <c r="Q53" s="635">
        <v>0</v>
      </c>
      <c r="R53" s="513">
        <v>0</v>
      </c>
      <c r="S53" s="635">
        <v>0</v>
      </c>
      <c r="T53" s="513">
        <v>0</v>
      </c>
      <c r="U53" s="635">
        <v>0</v>
      </c>
      <c r="V53" s="513">
        <v>0</v>
      </c>
      <c r="W53" s="512">
        <v>0</v>
      </c>
      <c r="X53" s="513">
        <v>0</v>
      </c>
      <c r="Y53" s="513">
        <v>0</v>
      </c>
      <c r="Z53" s="513">
        <v>0</v>
      </c>
      <c r="AA53" s="513">
        <v>0</v>
      </c>
      <c r="AB53" s="513">
        <v>0</v>
      </c>
      <c r="AC53" s="513">
        <v>0</v>
      </c>
      <c r="AD53" s="513">
        <v>0</v>
      </c>
      <c r="AE53" s="513">
        <v>0</v>
      </c>
      <c r="AF53" s="513">
        <v>0</v>
      </c>
      <c r="AG53" s="513">
        <v>0</v>
      </c>
    </row>
    <row r="54" spans="3:33">
      <c r="C54" s="1" t="s">
        <v>237</v>
      </c>
      <c r="D54" s="1"/>
      <c r="E54" s="513">
        <v>0</v>
      </c>
      <c r="F54" s="513">
        <v>0</v>
      </c>
      <c r="G54" s="513">
        <v>0</v>
      </c>
      <c r="H54" s="513">
        <v>0</v>
      </c>
      <c r="I54" s="513">
        <v>0</v>
      </c>
      <c r="J54" s="513">
        <v>0</v>
      </c>
      <c r="K54" s="513">
        <v>0</v>
      </c>
      <c r="L54" s="513">
        <v>0</v>
      </c>
      <c r="M54" s="513">
        <v>0</v>
      </c>
      <c r="N54" s="513">
        <v>0</v>
      </c>
      <c r="O54" s="4">
        <v>0</v>
      </c>
      <c r="P54" s="513">
        <v>0</v>
      </c>
      <c r="Q54" s="635">
        <v>0</v>
      </c>
      <c r="R54" s="513">
        <v>0</v>
      </c>
      <c r="S54" s="635">
        <v>0</v>
      </c>
      <c r="T54" s="513">
        <v>0</v>
      </c>
      <c r="U54" s="635">
        <v>0</v>
      </c>
      <c r="V54" s="513">
        <v>0</v>
      </c>
      <c r="W54" s="512">
        <v>0</v>
      </c>
      <c r="X54" s="513">
        <v>0</v>
      </c>
      <c r="Y54" s="513">
        <v>0</v>
      </c>
      <c r="Z54" s="513">
        <v>0</v>
      </c>
      <c r="AA54" s="513">
        <v>0</v>
      </c>
      <c r="AB54" s="513">
        <v>0</v>
      </c>
      <c r="AC54" s="513">
        <v>0</v>
      </c>
      <c r="AD54" s="513">
        <v>0</v>
      </c>
      <c r="AE54" s="513">
        <v>0</v>
      </c>
      <c r="AF54" s="513">
        <v>0</v>
      </c>
      <c r="AG54" s="513">
        <v>0</v>
      </c>
    </row>
    <row r="55" spans="3:33">
      <c r="C55" s="1" t="s">
        <v>238</v>
      </c>
      <c r="D55" s="1"/>
      <c r="E55" s="513">
        <v>0</v>
      </c>
      <c r="F55" s="513">
        <v>132499.51</v>
      </c>
      <c r="G55" s="513">
        <v>0</v>
      </c>
      <c r="H55" s="513">
        <v>588999.99</v>
      </c>
      <c r="I55" s="513">
        <v>0</v>
      </c>
      <c r="J55" s="513">
        <v>-194176.23</v>
      </c>
      <c r="K55" s="513">
        <v>0</v>
      </c>
      <c r="L55" s="513">
        <v>-352315.8</v>
      </c>
      <c r="M55" s="513">
        <v>0</v>
      </c>
      <c r="N55" s="513">
        <v>-158744.76000000004</v>
      </c>
      <c r="O55" s="4">
        <v>0</v>
      </c>
      <c r="P55" s="513">
        <v>72207.489999999918</v>
      </c>
      <c r="Q55" s="635">
        <v>0</v>
      </c>
      <c r="R55" s="513">
        <v>188992.07999999987</v>
      </c>
      <c r="S55" s="635">
        <v>0</v>
      </c>
      <c r="T55" s="513">
        <v>6964406.8599999994</v>
      </c>
      <c r="U55" s="513">
        <v>0</v>
      </c>
      <c r="V55" s="513">
        <v>1681914.530000001</v>
      </c>
      <c r="W55" s="512">
        <v>9025315</v>
      </c>
      <c r="X55" s="513">
        <v>-478879.26999999996</v>
      </c>
      <c r="Y55" s="513">
        <v>0</v>
      </c>
      <c r="Z55" s="513">
        <v>0</v>
      </c>
      <c r="AA55" s="513">
        <v>0</v>
      </c>
      <c r="AB55" s="513">
        <v>0</v>
      </c>
      <c r="AC55" s="513">
        <v>0</v>
      </c>
      <c r="AD55" s="513">
        <v>0</v>
      </c>
      <c r="AE55" s="513">
        <v>0</v>
      </c>
      <c r="AF55" s="513">
        <v>0</v>
      </c>
      <c r="AG55" s="513">
        <v>0</v>
      </c>
    </row>
    <row r="56" spans="3:33">
      <c r="C56" s="1" t="s">
        <v>247</v>
      </c>
      <c r="D56" s="1"/>
      <c r="E56" s="513">
        <v>0</v>
      </c>
      <c r="F56" s="513">
        <v>0</v>
      </c>
      <c r="G56" s="513">
        <v>0</v>
      </c>
      <c r="H56" s="513">
        <v>0</v>
      </c>
      <c r="I56" s="513">
        <v>0</v>
      </c>
      <c r="J56" s="513">
        <v>0</v>
      </c>
      <c r="K56" s="513">
        <v>0</v>
      </c>
      <c r="L56" s="513">
        <v>0</v>
      </c>
      <c r="M56" s="513">
        <v>0</v>
      </c>
      <c r="N56" s="513">
        <v>0</v>
      </c>
      <c r="O56" s="4">
        <v>0</v>
      </c>
      <c r="P56" s="513">
        <v>0</v>
      </c>
      <c r="Q56" s="635">
        <v>0</v>
      </c>
      <c r="R56" s="513">
        <v>0</v>
      </c>
      <c r="S56" s="635">
        <v>0</v>
      </c>
      <c r="T56" s="513">
        <v>0</v>
      </c>
      <c r="U56" s="635">
        <v>0</v>
      </c>
      <c r="V56" s="513">
        <v>0</v>
      </c>
      <c r="W56" s="512">
        <v>0</v>
      </c>
      <c r="X56" s="513">
        <v>0</v>
      </c>
      <c r="Y56" s="513">
        <v>0</v>
      </c>
      <c r="Z56" s="513">
        <v>0</v>
      </c>
      <c r="AA56" s="513">
        <v>0</v>
      </c>
      <c r="AB56" s="513">
        <v>0</v>
      </c>
      <c r="AC56" s="513">
        <v>0</v>
      </c>
      <c r="AD56" s="513">
        <v>0</v>
      </c>
      <c r="AE56" s="513">
        <v>0</v>
      </c>
      <c r="AF56" s="513">
        <v>0</v>
      </c>
      <c r="AG56" s="513">
        <v>0</v>
      </c>
    </row>
    <row r="57" spans="3:33">
      <c r="C57" s="1" t="s">
        <v>248</v>
      </c>
      <c r="D57" s="1"/>
      <c r="E57" s="513">
        <v>0</v>
      </c>
      <c r="F57" s="513">
        <v>87285.28</v>
      </c>
      <c r="G57" s="513">
        <v>3392541</v>
      </c>
      <c r="H57" s="513">
        <v>53173.64</v>
      </c>
      <c r="I57" s="513">
        <v>0</v>
      </c>
      <c r="J57" s="513">
        <v>0</v>
      </c>
      <c r="K57" s="513">
        <v>0</v>
      </c>
      <c r="L57" s="513">
        <v>0</v>
      </c>
      <c r="M57" s="513">
        <v>0</v>
      </c>
      <c r="N57" s="513">
        <v>0</v>
      </c>
      <c r="O57" s="4">
        <v>0</v>
      </c>
      <c r="P57" s="513">
        <v>0</v>
      </c>
      <c r="Q57" s="635">
        <v>0</v>
      </c>
      <c r="R57" s="513">
        <v>0</v>
      </c>
      <c r="S57" s="635">
        <v>0</v>
      </c>
      <c r="T57" s="513">
        <v>0</v>
      </c>
      <c r="U57" s="635">
        <v>0</v>
      </c>
      <c r="V57" s="513">
        <v>0</v>
      </c>
      <c r="W57" s="512">
        <v>0</v>
      </c>
      <c r="X57" s="513">
        <v>42624.74</v>
      </c>
      <c r="Y57" s="513">
        <v>0</v>
      </c>
      <c r="Z57" s="513">
        <v>56146.78</v>
      </c>
      <c r="AA57" s="513">
        <v>0</v>
      </c>
      <c r="AB57" s="513">
        <v>9638.6299999999992</v>
      </c>
      <c r="AC57" s="513">
        <v>0</v>
      </c>
      <c r="AD57" s="513">
        <v>45660.14</v>
      </c>
      <c r="AE57" s="513">
        <v>0</v>
      </c>
      <c r="AF57" s="1044">
        <v>1012336.69</v>
      </c>
      <c r="AG57" s="513">
        <v>1166406.98</v>
      </c>
    </row>
    <row r="58" spans="3:33">
      <c r="C58" s="1" t="s">
        <v>259</v>
      </c>
      <c r="D58" s="1"/>
      <c r="E58" s="513">
        <v>0</v>
      </c>
      <c r="F58" s="513">
        <v>0</v>
      </c>
      <c r="G58" s="513">
        <v>0</v>
      </c>
      <c r="H58" s="513">
        <v>0</v>
      </c>
      <c r="I58" s="513">
        <v>0</v>
      </c>
      <c r="J58" s="513">
        <v>0</v>
      </c>
      <c r="K58" s="513">
        <v>0</v>
      </c>
      <c r="L58" s="513">
        <v>0</v>
      </c>
      <c r="M58" s="513">
        <v>0</v>
      </c>
      <c r="N58" s="513">
        <v>0</v>
      </c>
      <c r="O58" s="4">
        <v>0</v>
      </c>
      <c r="P58" s="513">
        <v>0</v>
      </c>
      <c r="Q58" s="635">
        <v>0</v>
      </c>
      <c r="R58" s="513">
        <v>0</v>
      </c>
      <c r="S58" s="635">
        <v>0</v>
      </c>
      <c r="T58" s="513">
        <v>0</v>
      </c>
      <c r="U58" s="635">
        <v>0</v>
      </c>
      <c r="V58" s="513">
        <v>0</v>
      </c>
      <c r="W58" s="512">
        <v>0</v>
      </c>
      <c r="X58" s="513">
        <v>0</v>
      </c>
      <c r="Y58" s="513">
        <v>0</v>
      </c>
      <c r="Z58" s="513">
        <v>0</v>
      </c>
      <c r="AA58" s="513">
        <v>0</v>
      </c>
      <c r="AB58" s="513">
        <v>0</v>
      </c>
      <c r="AC58" s="513">
        <v>0</v>
      </c>
      <c r="AD58" s="513">
        <v>0</v>
      </c>
      <c r="AE58" s="513">
        <v>0</v>
      </c>
      <c r="AF58" s="513">
        <v>0</v>
      </c>
      <c r="AG58" s="513">
        <v>0</v>
      </c>
    </row>
    <row r="59" spans="3:33">
      <c r="C59" s="1" t="s">
        <v>260</v>
      </c>
      <c r="D59" s="1"/>
      <c r="E59" s="513">
        <v>0</v>
      </c>
      <c r="F59" s="513">
        <v>432751.13</v>
      </c>
      <c r="G59" s="513">
        <v>1420483</v>
      </c>
      <c r="H59" s="513">
        <v>189679.74999999997</v>
      </c>
      <c r="I59" s="513">
        <v>0</v>
      </c>
      <c r="J59" s="513">
        <v>549586.9</v>
      </c>
      <c r="K59" s="513">
        <v>0</v>
      </c>
      <c r="L59" s="513">
        <v>3327879.0800000005</v>
      </c>
      <c r="M59" s="513">
        <v>0</v>
      </c>
      <c r="N59" s="513">
        <v>1061487.5</v>
      </c>
      <c r="O59" s="512">
        <v>4927524</v>
      </c>
      <c r="P59" s="513">
        <v>-100323.37999999999</v>
      </c>
      <c r="Q59" s="635">
        <v>0</v>
      </c>
      <c r="R59" s="513">
        <v>-29545.51999999999</v>
      </c>
      <c r="S59" s="635">
        <v>0</v>
      </c>
      <c r="T59" s="513">
        <v>0</v>
      </c>
      <c r="U59" s="635">
        <v>0</v>
      </c>
      <c r="V59" s="513">
        <v>0</v>
      </c>
      <c r="W59" s="512">
        <v>0</v>
      </c>
      <c r="X59" s="513">
        <v>0</v>
      </c>
      <c r="Y59" s="513">
        <v>0</v>
      </c>
      <c r="Z59" s="513">
        <v>0</v>
      </c>
      <c r="AA59" s="513">
        <v>0</v>
      </c>
      <c r="AB59" s="513">
        <v>0</v>
      </c>
      <c r="AC59" s="513">
        <v>0</v>
      </c>
      <c r="AD59" s="513">
        <v>0</v>
      </c>
      <c r="AE59" s="513">
        <v>0</v>
      </c>
      <c r="AF59" s="513">
        <v>0</v>
      </c>
      <c r="AG59" s="513">
        <v>0</v>
      </c>
    </row>
    <row r="60" spans="3:33">
      <c r="C60" s="1" t="s">
        <v>264</v>
      </c>
      <c r="D60" s="1"/>
      <c r="E60" s="513">
        <v>0</v>
      </c>
      <c r="F60" s="513">
        <v>0</v>
      </c>
      <c r="G60" s="513">
        <v>0</v>
      </c>
      <c r="H60" s="513">
        <v>0</v>
      </c>
      <c r="I60" s="513">
        <v>0</v>
      </c>
      <c r="J60" s="513">
        <v>0</v>
      </c>
      <c r="K60" s="513">
        <v>0</v>
      </c>
      <c r="L60" s="513">
        <v>0</v>
      </c>
      <c r="M60" s="513">
        <v>0</v>
      </c>
      <c r="N60" s="513">
        <v>0</v>
      </c>
      <c r="O60" s="4">
        <v>0</v>
      </c>
      <c r="P60" s="513">
        <v>0</v>
      </c>
      <c r="Q60" s="635">
        <v>0</v>
      </c>
      <c r="R60" s="513">
        <v>0</v>
      </c>
      <c r="S60" s="635">
        <v>0</v>
      </c>
      <c r="T60" s="513">
        <v>0</v>
      </c>
      <c r="U60" s="635">
        <v>0</v>
      </c>
      <c r="V60" s="513">
        <v>0</v>
      </c>
      <c r="W60" s="512">
        <v>0</v>
      </c>
      <c r="X60" s="513">
        <v>0</v>
      </c>
      <c r="Y60" s="513">
        <v>0</v>
      </c>
      <c r="Z60" s="513">
        <v>0</v>
      </c>
      <c r="AA60" s="513">
        <v>0</v>
      </c>
      <c r="AB60" s="513">
        <v>0</v>
      </c>
      <c r="AC60" s="513">
        <v>0</v>
      </c>
      <c r="AD60" s="513">
        <v>0</v>
      </c>
      <c r="AE60" s="513">
        <v>0</v>
      </c>
      <c r="AF60" s="513">
        <v>0</v>
      </c>
      <c r="AG60" s="513">
        <v>0</v>
      </c>
    </row>
    <row r="61" spans="3:33">
      <c r="C61" s="1" t="s">
        <v>265</v>
      </c>
      <c r="D61" s="1"/>
      <c r="E61" s="513">
        <v>0</v>
      </c>
      <c r="F61" s="513">
        <v>0</v>
      </c>
      <c r="G61" s="513">
        <v>0</v>
      </c>
      <c r="H61" s="513">
        <v>0</v>
      </c>
      <c r="I61" s="513">
        <v>0</v>
      </c>
      <c r="J61" s="513">
        <v>0</v>
      </c>
      <c r="K61" s="513">
        <v>0</v>
      </c>
      <c r="L61" s="513">
        <v>0</v>
      </c>
      <c r="M61" s="513">
        <v>0</v>
      </c>
      <c r="N61" s="513">
        <v>0</v>
      </c>
      <c r="O61" s="4">
        <v>0</v>
      </c>
      <c r="P61" s="513">
        <v>0</v>
      </c>
      <c r="Q61" s="635">
        <v>0</v>
      </c>
      <c r="R61" s="513">
        <v>0</v>
      </c>
      <c r="S61" s="635">
        <v>0</v>
      </c>
      <c r="T61" s="513">
        <v>0</v>
      </c>
      <c r="U61" s="635">
        <v>0</v>
      </c>
      <c r="V61" s="513">
        <v>0</v>
      </c>
      <c r="W61" s="512">
        <v>0</v>
      </c>
      <c r="X61" s="513">
        <v>0</v>
      </c>
      <c r="Y61" s="513">
        <v>0</v>
      </c>
      <c r="Z61" s="513">
        <v>0</v>
      </c>
      <c r="AA61" s="513">
        <v>0</v>
      </c>
      <c r="AB61" s="513">
        <v>0</v>
      </c>
      <c r="AC61" s="513">
        <v>0</v>
      </c>
      <c r="AD61" s="513">
        <v>0</v>
      </c>
      <c r="AE61" s="513">
        <v>0</v>
      </c>
      <c r="AF61" s="513">
        <v>0</v>
      </c>
      <c r="AG61" s="513">
        <v>0</v>
      </c>
    </row>
    <row r="62" spans="3:33">
      <c r="C62" s="1" t="s">
        <v>266</v>
      </c>
      <c r="D62" s="1"/>
      <c r="E62" s="513">
        <v>0</v>
      </c>
      <c r="F62" s="513">
        <v>39596.07</v>
      </c>
      <c r="G62" s="513">
        <v>0</v>
      </c>
      <c r="H62" s="513">
        <v>38683.4</v>
      </c>
      <c r="I62" s="513">
        <v>0</v>
      </c>
      <c r="J62" s="513">
        <v>13767.51999999999</v>
      </c>
      <c r="K62" s="513">
        <v>0</v>
      </c>
      <c r="L62" s="513">
        <v>32722.46</v>
      </c>
      <c r="M62" s="513">
        <v>0</v>
      </c>
      <c r="N62" s="513">
        <v>109819.97</v>
      </c>
      <c r="O62" s="4">
        <v>0</v>
      </c>
      <c r="P62" s="513">
        <v>438647.8299999999</v>
      </c>
      <c r="Q62" s="635">
        <v>0</v>
      </c>
      <c r="R62" s="513">
        <v>322582.18000000005</v>
      </c>
      <c r="S62" s="513">
        <v>993591</v>
      </c>
      <c r="T62" s="513">
        <v>0</v>
      </c>
      <c r="U62" s="635">
        <v>0</v>
      </c>
      <c r="V62" s="513">
        <v>0</v>
      </c>
      <c r="W62" s="512">
        <v>0</v>
      </c>
      <c r="X62" s="513">
        <v>0</v>
      </c>
      <c r="Y62" s="513">
        <v>0</v>
      </c>
      <c r="Z62" s="513">
        <v>0.1</v>
      </c>
      <c r="AA62" s="513">
        <v>0</v>
      </c>
      <c r="AB62" s="513">
        <v>0</v>
      </c>
      <c r="AC62" s="513">
        <v>0</v>
      </c>
      <c r="AD62" s="513">
        <v>41307.56</v>
      </c>
      <c r="AE62" s="513">
        <v>0</v>
      </c>
      <c r="AF62" s="513">
        <v>0</v>
      </c>
      <c r="AG62" s="513">
        <v>0</v>
      </c>
    </row>
    <row r="63" spans="3:33">
      <c r="C63" s="1" t="s">
        <v>271</v>
      </c>
      <c r="D63" s="1"/>
      <c r="E63" s="513">
        <v>0</v>
      </c>
      <c r="F63" s="513">
        <v>0</v>
      </c>
      <c r="G63" s="513">
        <v>0</v>
      </c>
      <c r="H63" s="513">
        <v>0</v>
      </c>
      <c r="I63" s="513">
        <v>0</v>
      </c>
      <c r="J63" s="513">
        <v>0</v>
      </c>
      <c r="K63" s="513">
        <v>0</v>
      </c>
      <c r="L63" s="513">
        <v>0</v>
      </c>
      <c r="M63" s="513">
        <v>0</v>
      </c>
      <c r="N63" s="513">
        <v>0</v>
      </c>
      <c r="O63" s="4">
        <v>0</v>
      </c>
      <c r="P63" s="513">
        <v>0</v>
      </c>
      <c r="Q63" s="635">
        <v>0</v>
      </c>
      <c r="R63" s="513">
        <v>0</v>
      </c>
      <c r="S63" s="635">
        <v>0</v>
      </c>
      <c r="T63" s="513">
        <v>0</v>
      </c>
      <c r="U63" s="635">
        <v>0</v>
      </c>
      <c r="V63" s="513">
        <v>0</v>
      </c>
      <c r="W63" s="512">
        <v>0</v>
      </c>
      <c r="X63" s="513">
        <v>0</v>
      </c>
      <c r="Y63" s="513">
        <v>0</v>
      </c>
      <c r="Z63" s="513">
        <v>0</v>
      </c>
      <c r="AA63" s="513">
        <v>0</v>
      </c>
      <c r="AB63" s="513">
        <v>0</v>
      </c>
      <c r="AC63" s="513">
        <v>0</v>
      </c>
      <c r="AD63" s="513">
        <v>0</v>
      </c>
      <c r="AE63" s="513">
        <v>0</v>
      </c>
      <c r="AF63" s="513">
        <v>0</v>
      </c>
      <c r="AG63" s="513">
        <v>0</v>
      </c>
    </row>
    <row r="64" spans="3:33">
      <c r="C64" s="1" t="s">
        <v>272</v>
      </c>
      <c r="D64" s="1"/>
      <c r="E64" s="513">
        <v>0</v>
      </c>
      <c r="F64" s="513">
        <v>1895556.96</v>
      </c>
      <c r="G64" s="513">
        <v>0</v>
      </c>
      <c r="H64" s="513">
        <v>570285.17999999993</v>
      </c>
      <c r="I64" s="513">
        <v>6548605</v>
      </c>
      <c r="J64" s="513">
        <v>-511.54000000003725</v>
      </c>
      <c r="K64" s="513">
        <v>0</v>
      </c>
      <c r="L64" s="513">
        <v>9115.5499999999993</v>
      </c>
      <c r="M64" s="513">
        <v>0</v>
      </c>
      <c r="N64" s="513">
        <v>9208.32</v>
      </c>
      <c r="O64" s="4">
        <v>0</v>
      </c>
      <c r="P64" s="513">
        <v>0</v>
      </c>
      <c r="Q64" s="635">
        <v>0</v>
      </c>
      <c r="R64" s="513">
        <v>0</v>
      </c>
      <c r="S64" s="635">
        <v>0</v>
      </c>
      <c r="T64" s="513">
        <v>0</v>
      </c>
      <c r="U64" s="635">
        <v>0</v>
      </c>
      <c r="V64" s="513">
        <v>0</v>
      </c>
      <c r="W64" s="512">
        <v>0</v>
      </c>
      <c r="X64" s="513">
        <v>0</v>
      </c>
      <c r="Y64" s="513">
        <v>0</v>
      </c>
      <c r="Z64" s="513">
        <v>0</v>
      </c>
      <c r="AA64" s="513">
        <v>0</v>
      </c>
      <c r="AB64" s="513">
        <v>0</v>
      </c>
      <c r="AC64" s="513">
        <v>0</v>
      </c>
      <c r="AD64" s="513">
        <v>0</v>
      </c>
      <c r="AE64" s="513">
        <v>0</v>
      </c>
      <c r="AF64" s="513">
        <v>0</v>
      </c>
      <c r="AG64" s="513">
        <v>0</v>
      </c>
    </row>
    <row r="65" spans="3:33">
      <c r="C65" s="1" t="s">
        <v>276</v>
      </c>
      <c r="D65" s="1"/>
      <c r="E65" s="513">
        <v>0</v>
      </c>
      <c r="F65" s="513">
        <v>0</v>
      </c>
      <c r="G65" s="513">
        <v>0</v>
      </c>
      <c r="H65" s="513">
        <v>0</v>
      </c>
      <c r="I65" s="513">
        <v>0</v>
      </c>
      <c r="J65" s="513">
        <v>0</v>
      </c>
      <c r="K65" s="513">
        <v>0</v>
      </c>
      <c r="L65" s="513">
        <v>0</v>
      </c>
      <c r="M65" s="513">
        <v>0</v>
      </c>
      <c r="N65" s="513">
        <v>0</v>
      </c>
      <c r="O65" s="4">
        <v>0</v>
      </c>
      <c r="P65" s="513">
        <v>0</v>
      </c>
      <c r="Q65" s="635">
        <v>0</v>
      </c>
      <c r="R65" s="513">
        <v>0</v>
      </c>
      <c r="S65" s="635">
        <v>0</v>
      </c>
      <c r="T65" s="513">
        <v>0</v>
      </c>
      <c r="U65" s="635">
        <v>0</v>
      </c>
      <c r="V65" s="513">
        <v>0</v>
      </c>
      <c r="W65" s="512">
        <v>0</v>
      </c>
      <c r="X65" s="513">
        <v>0</v>
      </c>
      <c r="Y65" s="513">
        <v>0</v>
      </c>
      <c r="Z65" s="513">
        <v>0</v>
      </c>
      <c r="AA65" s="513">
        <v>0</v>
      </c>
      <c r="AB65" s="513">
        <v>0</v>
      </c>
      <c r="AC65" s="513">
        <v>0</v>
      </c>
      <c r="AD65" s="513">
        <v>0</v>
      </c>
      <c r="AE65" s="513">
        <v>0</v>
      </c>
      <c r="AF65" s="513">
        <v>0</v>
      </c>
      <c r="AG65" s="513">
        <v>0</v>
      </c>
    </row>
    <row r="66" spans="3:33">
      <c r="C66" s="1" t="s">
        <v>277</v>
      </c>
      <c r="D66" s="1"/>
      <c r="E66" s="513">
        <v>0</v>
      </c>
      <c r="F66" s="643">
        <v>0</v>
      </c>
      <c r="G66" s="643">
        <v>0</v>
      </c>
      <c r="H66" s="643">
        <v>0</v>
      </c>
      <c r="I66" s="643">
        <v>0</v>
      </c>
      <c r="J66" s="643">
        <v>0</v>
      </c>
      <c r="K66" s="643">
        <v>0</v>
      </c>
      <c r="L66" s="643">
        <v>0</v>
      </c>
      <c r="M66" s="643">
        <v>0</v>
      </c>
      <c r="N66" s="513">
        <v>0</v>
      </c>
      <c r="O66" s="4">
        <v>0</v>
      </c>
      <c r="P66" s="513">
        <v>0</v>
      </c>
      <c r="Q66" s="635">
        <v>0</v>
      </c>
      <c r="R66" s="513">
        <v>0</v>
      </c>
      <c r="S66" s="635">
        <v>0</v>
      </c>
      <c r="T66" s="513">
        <v>0</v>
      </c>
      <c r="U66" s="635">
        <v>0</v>
      </c>
      <c r="V66" s="513">
        <v>0</v>
      </c>
      <c r="W66" s="512">
        <v>0</v>
      </c>
      <c r="X66" s="513">
        <v>0</v>
      </c>
      <c r="Y66" s="513">
        <v>0</v>
      </c>
      <c r="Z66" s="513">
        <v>0</v>
      </c>
      <c r="AA66" s="513">
        <v>0</v>
      </c>
      <c r="AB66" s="513">
        <v>0</v>
      </c>
      <c r="AC66" s="513">
        <v>0</v>
      </c>
      <c r="AD66" s="513">
        <v>0</v>
      </c>
      <c r="AE66" s="513">
        <v>0</v>
      </c>
      <c r="AF66" s="513">
        <v>0</v>
      </c>
      <c r="AG66" s="513">
        <v>0</v>
      </c>
    </row>
    <row r="67" spans="3:33">
      <c r="C67" s="1" t="s">
        <v>278</v>
      </c>
      <c r="D67" s="1"/>
      <c r="E67" s="513">
        <v>0</v>
      </c>
      <c r="F67" s="513">
        <v>0</v>
      </c>
      <c r="G67" s="513">
        <v>0</v>
      </c>
      <c r="H67" s="513">
        <v>0</v>
      </c>
      <c r="I67" s="513">
        <v>0</v>
      </c>
      <c r="J67" s="513">
        <v>47016.09</v>
      </c>
      <c r="K67" s="513">
        <v>0</v>
      </c>
      <c r="L67" s="513">
        <v>31721.739999999998</v>
      </c>
      <c r="M67" s="513">
        <v>0</v>
      </c>
      <c r="N67" s="513">
        <v>2455.25</v>
      </c>
      <c r="O67" s="4">
        <v>0</v>
      </c>
      <c r="P67" s="513">
        <v>535332.23999999976</v>
      </c>
      <c r="Q67" s="513">
        <v>636723</v>
      </c>
      <c r="R67" s="513">
        <v>11611.100000000002</v>
      </c>
      <c r="S67" s="635">
        <v>0</v>
      </c>
      <c r="T67" s="513">
        <v>-323.82999999999981</v>
      </c>
      <c r="U67" s="635">
        <v>0</v>
      </c>
      <c r="V67" s="513">
        <v>0</v>
      </c>
      <c r="W67" s="512">
        <v>0</v>
      </c>
      <c r="X67" s="513">
        <v>0</v>
      </c>
      <c r="Y67" s="513">
        <v>0</v>
      </c>
      <c r="Z67" s="513">
        <v>0</v>
      </c>
      <c r="AA67" s="513">
        <v>0</v>
      </c>
      <c r="AB67" s="513">
        <v>0</v>
      </c>
      <c r="AC67" s="513">
        <v>0</v>
      </c>
      <c r="AD67" s="513">
        <v>0</v>
      </c>
      <c r="AE67" s="513">
        <v>0</v>
      </c>
      <c r="AF67" s="513">
        <v>0</v>
      </c>
      <c r="AG67" s="513">
        <v>0</v>
      </c>
    </row>
    <row r="68" spans="3:33">
      <c r="C68" s="1" t="s">
        <v>284</v>
      </c>
      <c r="D68" s="1"/>
      <c r="E68" s="513">
        <v>0</v>
      </c>
      <c r="F68" s="513">
        <v>35120.92</v>
      </c>
      <c r="G68" s="513">
        <v>0</v>
      </c>
      <c r="H68" s="513">
        <v>319.85000000000002</v>
      </c>
      <c r="I68" s="513">
        <v>0</v>
      </c>
      <c r="J68" s="513">
        <v>0</v>
      </c>
      <c r="K68" s="513">
        <v>0</v>
      </c>
      <c r="L68" s="513">
        <v>0</v>
      </c>
      <c r="M68" s="513">
        <v>0</v>
      </c>
      <c r="N68" s="513">
        <v>0</v>
      </c>
      <c r="O68" s="4">
        <v>0</v>
      </c>
      <c r="P68" s="513">
        <v>0</v>
      </c>
      <c r="Q68" s="635">
        <v>0</v>
      </c>
      <c r="R68" s="513">
        <v>0</v>
      </c>
      <c r="S68" s="635">
        <v>0</v>
      </c>
      <c r="T68" s="513">
        <v>0</v>
      </c>
      <c r="U68" s="635">
        <v>0</v>
      </c>
      <c r="V68" s="513">
        <v>0</v>
      </c>
      <c r="W68" s="512">
        <v>0</v>
      </c>
      <c r="X68" s="513">
        <v>0</v>
      </c>
      <c r="Y68" s="513">
        <v>0</v>
      </c>
      <c r="Z68" s="513">
        <v>0</v>
      </c>
      <c r="AA68" s="513">
        <v>0</v>
      </c>
      <c r="AB68" s="513">
        <v>0</v>
      </c>
      <c r="AC68" s="513">
        <v>0</v>
      </c>
      <c r="AD68" s="513">
        <v>0</v>
      </c>
      <c r="AE68" s="513">
        <v>0</v>
      </c>
      <c r="AF68" s="513">
        <v>0</v>
      </c>
      <c r="AG68" s="513">
        <v>0</v>
      </c>
    </row>
    <row r="69" spans="3:33">
      <c r="C69" s="1" t="s">
        <v>285</v>
      </c>
      <c r="D69" s="1"/>
      <c r="E69" s="513">
        <v>0</v>
      </c>
      <c r="F69" s="513">
        <v>0</v>
      </c>
      <c r="G69" s="513">
        <v>0</v>
      </c>
      <c r="H69" s="513">
        <v>0</v>
      </c>
      <c r="I69" s="513">
        <v>0</v>
      </c>
      <c r="J69" s="513">
        <v>0</v>
      </c>
      <c r="K69" s="513">
        <v>0</v>
      </c>
      <c r="L69" s="513">
        <v>0</v>
      </c>
      <c r="M69" s="513">
        <v>0</v>
      </c>
      <c r="N69" s="513">
        <v>0</v>
      </c>
      <c r="O69" s="4">
        <v>0</v>
      </c>
      <c r="P69" s="513">
        <v>0</v>
      </c>
      <c r="Q69" s="635">
        <v>0</v>
      </c>
      <c r="R69" s="513">
        <v>0</v>
      </c>
      <c r="S69" s="635">
        <v>0</v>
      </c>
      <c r="T69" s="513">
        <v>0</v>
      </c>
      <c r="U69" s="635">
        <v>0</v>
      </c>
      <c r="V69" s="513">
        <v>0</v>
      </c>
      <c r="W69" s="512">
        <v>0</v>
      </c>
      <c r="X69" s="513">
        <v>13074.619999999999</v>
      </c>
      <c r="Y69" s="513">
        <v>0</v>
      </c>
      <c r="Z69" s="513">
        <v>24905.470000000005</v>
      </c>
      <c r="AA69" s="513">
        <v>0</v>
      </c>
      <c r="AB69" s="513">
        <v>11526.47</v>
      </c>
      <c r="AC69" s="513">
        <v>0</v>
      </c>
      <c r="AD69" s="513">
        <v>1155693.3600000001</v>
      </c>
      <c r="AE69" s="513">
        <v>0</v>
      </c>
      <c r="AF69" s="1044">
        <v>555171.8899999999</v>
      </c>
      <c r="AG69" s="513">
        <v>1760371.81</v>
      </c>
    </row>
    <row r="70" spans="3:33">
      <c r="C70" s="1" t="s">
        <v>289</v>
      </c>
      <c r="D70" s="1"/>
      <c r="E70" s="513">
        <v>0</v>
      </c>
      <c r="F70" s="513">
        <v>0</v>
      </c>
      <c r="G70" s="513">
        <v>0</v>
      </c>
      <c r="H70" s="513">
        <v>0</v>
      </c>
      <c r="I70" s="513">
        <v>0</v>
      </c>
      <c r="J70" s="513">
        <v>0</v>
      </c>
      <c r="K70" s="513">
        <v>0</v>
      </c>
      <c r="L70" s="513">
        <v>0</v>
      </c>
      <c r="M70" s="513">
        <v>0</v>
      </c>
      <c r="N70" s="513">
        <v>0</v>
      </c>
      <c r="O70" s="4">
        <v>0</v>
      </c>
      <c r="P70" s="513">
        <v>0</v>
      </c>
      <c r="Q70" s="635">
        <v>0</v>
      </c>
      <c r="R70" s="513">
        <v>0</v>
      </c>
      <c r="S70" s="635">
        <v>0</v>
      </c>
      <c r="T70" s="513">
        <v>0</v>
      </c>
      <c r="U70" s="635">
        <v>0</v>
      </c>
      <c r="V70" s="513">
        <v>0</v>
      </c>
      <c r="W70" s="512">
        <v>0</v>
      </c>
      <c r="X70" s="513">
        <v>0</v>
      </c>
      <c r="Y70" s="513">
        <v>0</v>
      </c>
      <c r="Z70" s="513">
        <v>151653.44</v>
      </c>
      <c r="AA70" s="513">
        <v>0</v>
      </c>
      <c r="AB70" s="513">
        <v>31002.010000000002</v>
      </c>
      <c r="AC70" s="513">
        <v>0</v>
      </c>
      <c r="AD70" s="513">
        <v>19588.079999999998</v>
      </c>
      <c r="AE70" s="513">
        <v>0</v>
      </c>
      <c r="AF70" s="1044">
        <v>8451.9699999999993</v>
      </c>
      <c r="AG70" s="513">
        <v>0</v>
      </c>
    </row>
    <row r="71" spans="3:33">
      <c r="C71" s="1" t="s">
        <v>295</v>
      </c>
      <c r="D71" s="1"/>
      <c r="E71" s="513">
        <v>3549013</v>
      </c>
      <c r="F71" s="513">
        <v>49783.92</v>
      </c>
      <c r="G71" s="513">
        <v>0</v>
      </c>
      <c r="H71" s="513">
        <v>92287.24</v>
      </c>
      <c r="I71" s="513">
        <v>0</v>
      </c>
      <c r="J71" s="513">
        <v>681409.80999999994</v>
      </c>
      <c r="K71" s="513">
        <v>0</v>
      </c>
      <c r="L71" s="513">
        <v>628847.91</v>
      </c>
      <c r="M71" s="513">
        <v>0</v>
      </c>
      <c r="N71" s="513">
        <v>667765.30000000005</v>
      </c>
      <c r="O71" s="4">
        <v>0</v>
      </c>
      <c r="P71" s="513">
        <v>250581.84000000003</v>
      </c>
      <c r="Q71" s="635">
        <v>0</v>
      </c>
      <c r="R71" s="513">
        <v>-24361.569999999996</v>
      </c>
      <c r="S71" s="635">
        <v>0</v>
      </c>
      <c r="T71" s="513">
        <v>-52460.380000000012</v>
      </c>
      <c r="U71" s="513">
        <v>2576332</v>
      </c>
      <c r="V71" s="513">
        <v>0</v>
      </c>
      <c r="W71" s="512">
        <v>0</v>
      </c>
      <c r="X71" s="513">
        <v>0</v>
      </c>
      <c r="Y71" s="513">
        <v>0</v>
      </c>
      <c r="Z71" s="513">
        <v>0</v>
      </c>
      <c r="AA71" s="513">
        <v>0</v>
      </c>
      <c r="AB71" s="513">
        <v>0</v>
      </c>
      <c r="AC71" s="513">
        <v>0</v>
      </c>
      <c r="AD71" s="513">
        <v>0</v>
      </c>
      <c r="AE71" s="513">
        <v>0</v>
      </c>
      <c r="AF71" s="513">
        <v>0</v>
      </c>
      <c r="AG71" s="513">
        <v>0</v>
      </c>
    </row>
    <row r="72" spans="3:33">
      <c r="C72" s="1" t="s">
        <v>303</v>
      </c>
      <c r="D72" s="1"/>
      <c r="E72" s="513">
        <v>0</v>
      </c>
      <c r="F72" s="513">
        <v>0</v>
      </c>
      <c r="G72" s="513">
        <v>0</v>
      </c>
      <c r="H72" s="513">
        <v>0</v>
      </c>
      <c r="I72" s="513">
        <v>0</v>
      </c>
      <c r="J72" s="513">
        <v>0</v>
      </c>
      <c r="K72" s="513">
        <v>0</v>
      </c>
      <c r="L72" s="513">
        <v>110217.5</v>
      </c>
      <c r="M72" s="513">
        <v>0</v>
      </c>
      <c r="N72" s="513">
        <v>44049.74</v>
      </c>
      <c r="O72" s="4">
        <v>0</v>
      </c>
      <c r="P72" s="513">
        <v>75328.460000000006</v>
      </c>
      <c r="Q72" s="635">
        <v>0</v>
      </c>
      <c r="R72" s="513">
        <v>1464647.2100000042</v>
      </c>
      <c r="S72" s="513">
        <v>1698447</v>
      </c>
      <c r="T72" s="513">
        <v>17382.57</v>
      </c>
      <c r="U72" s="635">
        <v>0</v>
      </c>
      <c r="V72" s="513">
        <v>0</v>
      </c>
      <c r="W72" s="512">
        <v>0</v>
      </c>
      <c r="X72" s="513">
        <v>0</v>
      </c>
      <c r="Y72" s="513">
        <v>0</v>
      </c>
      <c r="Z72" s="513">
        <v>0</v>
      </c>
      <c r="AA72" s="513">
        <v>0</v>
      </c>
      <c r="AB72" s="513">
        <v>0</v>
      </c>
      <c r="AC72" s="513">
        <v>0</v>
      </c>
      <c r="AD72" s="513">
        <v>0</v>
      </c>
      <c r="AE72" s="513">
        <v>0</v>
      </c>
      <c r="AF72" s="513">
        <v>0</v>
      </c>
      <c r="AG72" s="513">
        <v>0</v>
      </c>
    </row>
    <row r="73" spans="3:33">
      <c r="C73" s="1" t="s">
        <v>309</v>
      </c>
      <c r="D73" s="1"/>
      <c r="E73" s="513">
        <v>5129512.88</v>
      </c>
      <c r="F73" s="513">
        <v>104715.6</v>
      </c>
      <c r="G73" s="513">
        <v>0</v>
      </c>
      <c r="H73" s="513">
        <v>46390.539999999994</v>
      </c>
      <c r="I73" s="513">
        <v>0</v>
      </c>
      <c r="J73" s="513">
        <v>-11951</v>
      </c>
      <c r="K73" s="513">
        <v>0</v>
      </c>
      <c r="L73" s="513">
        <v>0</v>
      </c>
      <c r="M73" s="513">
        <v>0</v>
      </c>
      <c r="N73" s="513">
        <v>0</v>
      </c>
      <c r="O73" s="4">
        <v>0</v>
      </c>
      <c r="P73" s="513">
        <v>0</v>
      </c>
      <c r="Q73" s="635">
        <v>0</v>
      </c>
      <c r="R73" s="513">
        <v>0</v>
      </c>
      <c r="S73" s="635">
        <v>0</v>
      </c>
      <c r="T73" s="513">
        <v>0</v>
      </c>
      <c r="U73" s="635">
        <v>0</v>
      </c>
      <c r="V73" s="513">
        <v>0</v>
      </c>
      <c r="W73" s="512">
        <v>0</v>
      </c>
      <c r="X73" s="513">
        <v>0</v>
      </c>
      <c r="Y73" s="513">
        <v>0</v>
      </c>
      <c r="Z73" s="513">
        <v>0</v>
      </c>
      <c r="AA73" s="513">
        <v>0</v>
      </c>
      <c r="AB73" s="513">
        <v>0</v>
      </c>
      <c r="AC73" s="513">
        <v>0</v>
      </c>
      <c r="AD73" s="513">
        <v>0</v>
      </c>
      <c r="AE73" s="513">
        <v>0</v>
      </c>
      <c r="AF73" s="513">
        <v>0</v>
      </c>
      <c r="AG73" s="513">
        <v>0</v>
      </c>
    </row>
    <row r="74" spans="3:33">
      <c r="C74" s="1" t="s">
        <v>313</v>
      </c>
      <c r="D74" s="1"/>
      <c r="E74" s="513">
        <v>0</v>
      </c>
      <c r="F74" s="513">
        <v>0</v>
      </c>
      <c r="G74" s="513">
        <v>0</v>
      </c>
      <c r="H74" s="513">
        <v>0</v>
      </c>
      <c r="I74" s="513">
        <v>0</v>
      </c>
      <c r="J74" s="513">
        <v>0</v>
      </c>
      <c r="K74" s="513">
        <v>0</v>
      </c>
      <c r="L74" s="513">
        <v>0</v>
      </c>
      <c r="M74" s="513">
        <v>0</v>
      </c>
      <c r="N74" s="513">
        <v>0</v>
      </c>
      <c r="O74" s="4">
        <v>0</v>
      </c>
      <c r="P74" s="513">
        <v>0</v>
      </c>
      <c r="Q74" s="635">
        <v>0</v>
      </c>
      <c r="R74" s="513">
        <v>0</v>
      </c>
      <c r="S74" s="635">
        <v>0</v>
      </c>
      <c r="T74" s="513">
        <v>0</v>
      </c>
      <c r="U74" s="635">
        <v>0</v>
      </c>
      <c r="V74" s="513">
        <v>0</v>
      </c>
      <c r="W74" s="512">
        <v>0</v>
      </c>
      <c r="X74" s="513">
        <v>0</v>
      </c>
      <c r="Y74" s="513">
        <v>0</v>
      </c>
      <c r="Z74" s="513">
        <v>0</v>
      </c>
      <c r="AA74" s="513">
        <v>0</v>
      </c>
      <c r="AB74" s="513">
        <v>0</v>
      </c>
      <c r="AC74" s="513">
        <v>0</v>
      </c>
      <c r="AD74" s="513">
        <v>0</v>
      </c>
      <c r="AE74" s="513">
        <v>0</v>
      </c>
      <c r="AF74" s="513">
        <v>0</v>
      </c>
      <c r="AG74" s="513">
        <v>0</v>
      </c>
    </row>
    <row r="75" spans="3:33">
      <c r="C75" s="1" t="s">
        <v>314</v>
      </c>
      <c r="D75" s="1"/>
      <c r="E75" s="513">
        <v>0</v>
      </c>
      <c r="F75" s="513">
        <v>830834.3600000001</v>
      </c>
      <c r="G75" s="513">
        <v>0</v>
      </c>
      <c r="H75" s="513">
        <v>875082.21999999986</v>
      </c>
      <c r="I75" s="513">
        <v>0</v>
      </c>
      <c r="J75" s="513">
        <v>56333.850000000006</v>
      </c>
      <c r="K75" s="513">
        <v>12786024</v>
      </c>
      <c r="L75" s="513">
        <v>40161.079999999987</v>
      </c>
      <c r="M75" s="513">
        <v>0</v>
      </c>
      <c r="N75" s="513">
        <v>48360.009999999995</v>
      </c>
      <c r="O75" s="4">
        <v>0</v>
      </c>
      <c r="P75" s="513">
        <v>18906.799999999959</v>
      </c>
      <c r="Q75" s="635">
        <v>0</v>
      </c>
      <c r="R75" s="513">
        <v>168940.85000000027</v>
      </c>
      <c r="S75" s="635">
        <v>0</v>
      </c>
      <c r="T75" s="513">
        <v>3156075.0599999968</v>
      </c>
      <c r="U75" s="635">
        <v>0</v>
      </c>
      <c r="V75" s="513">
        <v>2846417.5499999966</v>
      </c>
      <c r="W75" s="512">
        <v>0</v>
      </c>
      <c r="X75" s="513">
        <v>-462820.05000000005</v>
      </c>
      <c r="Y75" s="513">
        <v>5221752</v>
      </c>
      <c r="Z75" s="513">
        <v>5632679.0300000012</v>
      </c>
      <c r="AA75" s="513">
        <v>0</v>
      </c>
      <c r="AB75" s="513">
        <v>621320.32999999996</v>
      </c>
      <c r="AC75" s="513">
        <v>0</v>
      </c>
      <c r="AD75" s="513">
        <v>568374.9</v>
      </c>
      <c r="AE75" s="513">
        <v>0</v>
      </c>
      <c r="AF75" s="1044">
        <v>42994.65</v>
      </c>
      <c r="AG75" s="513">
        <v>0</v>
      </c>
    </row>
    <row r="76" spans="3:33">
      <c r="C76" s="1" t="s">
        <v>324</v>
      </c>
      <c r="D76" s="1"/>
      <c r="E76" s="513">
        <v>0</v>
      </c>
      <c r="F76" s="643">
        <v>0</v>
      </c>
      <c r="G76" s="643">
        <v>0</v>
      </c>
      <c r="H76" s="643">
        <v>0</v>
      </c>
      <c r="I76" s="643">
        <v>0</v>
      </c>
      <c r="J76" s="643">
        <v>0</v>
      </c>
      <c r="K76" s="643">
        <v>0</v>
      </c>
      <c r="L76" s="643">
        <v>0</v>
      </c>
      <c r="M76" s="643">
        <v>0</v>
      </c>
      <c r="N76" s="513">
        <v>0</v>
      </c>
      <c r="O76" s="4">
        <v>0</v>
      </c>
      <c r="P76" s="513">
        <v>0</v>
      </c>
      <c r="Q76" s="635">
        <v>0</v>
      </c>
      <c r="R76" s="513">
        <v>0</v>
      </c>
      <c r="S76" s="635">
        <v>0</v>
      </c>
      <c r="T76" s="513">
        <v>0</v>
      </c>
      <c r="U76" s="635">
        <v>0</v>
      </c>
      <c r="V76" s="513">
        <v>0</v>
      </c>
      <c r="W76" s="512">
        <v>0</v>
      </c>
      <c r="X76" s="513">
        <v>0</v>
      </c>
      <c r="Y76" s="513">
        <v>0</v>
      </c>
      <c r="Z76" s="513">
        <v>0</v>
      </c>
      <c r="AA76" s="513">
        <v>0</v>
      </c>
      <c r="AB76" s="513">
        <v>0</v>
      </c>
      <c r="AC76" s="513">
        <v>0</v>
      </c>
      <c r="AD76" s="513">
        <v>0</v>
      </c>
      <c r="AE76" s="513">
        <v>0</v>
      </c>
      <c r="AF76" s="513">
        <v>0</v>
      </c>
      <c r="AG76" s="513">
        <v>0</v>
      </c>
    </row>
    <row r="77" spans="3:33">
      <c r="C77" s="1" t="s">
        <v>325</v>
      </c>
      <c r="D77" s="1"/>
      <c r="E77" s="513">
        <v>0</v>
      </c>
      <c r="F77" s="513">
        <v>24605.53</v>
      </c>
      <c r="G77" s="513">
        <v>0</v>
      </c>
      <c r="H77" s="513">
        <v>9370.77</v>
      </c>
      <c r="I77" s="513">
        <v>0</v>
      </c>
      <c r="J77" s="513">
        <v>-2923.7599999999925</v>
      </c>
      <c r="K77" s="513">
        <v>0</v>
      </c>
      <c r="L77" s="513">
        <v>313109.25999999995</v>
      </c>
      <c r="M77" s="513">
        <v>0</v>
      </c>
      <c r="N77" s="513">
        <v>38846.859999999993</v>
      </c>
      <c r="O77" s="4">
        <v>0</v>
      </c>
      <c r="P77" s="513">
        <v>115074.57999999984</v>
      </c>
      <c r="Q77" s="635">
        <v>0</v>
      </c>
      <c r="R77" s="513">
        <v>1542115.2899999954</v>
      </c>
      <c r="S77" s="513">
        <v>2290697.27</v>
      </c>
      <c r="T77" s="513">
        <v>209549.8</v>
      </c>
      <c r="U77" s="635">
        <v>0</v>
      </c>
      <c r="V77" s="513">
        <v>3506.9499999999953</v>
      </c>
      <c r="W77" s="512">
        <v>0</v>
      </c>
      <c r="X77" s="513">
        <v>48864.02</v>
      </c>
      <c r="Y77" s="513">
        <v>0</v>
      </c>
      <c r="Z77" s="513">
        <v>-3978.07</v>
      </c>
      <c r="AA77" s="513">
        <v>0</v>
      </c>
      <c r="AB77" s="513">
        <v>0</v>
      </c>
      <c r="AC77" s="513">
        <v>0</v>
      </c>
      <c r="AD77" s="513">
        <v>0</v>
      </c>
      <c r="AE77" s="513">
        <v>0</v>
      </c>
      <c r="AF77" s="513">
        <v>0</v>
      </c>
      <c r="AG77" s="513">
        <v>0</v>
      </c>
    </row>
    <row r="78" spans="3:33">
      <c r="C78" s="1" t="s">
        <v>330</v>
      </c>
      <c r="D78" s="1"/>
      <c r="E78" s="513">
        <v>0</v>
      </c>
      <c r="F78" s="513">
        <v>-11638</v>
      </c>
      <c r="G78" s="513">
        <v>0</v>
      </c>
      <c r="H78" s="513">
        <v>860.78</v>
      </c>
      <c r="I78" s="513">
        <v>0</v>
      </c>
      <c r="J78" s="513">
        <v>0</v>
      </c>
      <c r="K78" s="513">
        <v>0</v>
      </c>
      <c r="L78" s="513">
        <v>0</v>
      </c>
      <c r="M78" s="513">
        <v>0</v>
      </c>
      <c r="N78" s="513">
        <v>0</v>
      </c>
      <c r="O78" s="4">
        <v>0</v>
      </c>
      <c r="P78" s="513">
        <v>0</v>
      </c>
      <c r="Q78" s="635">
        <v>0</v>
      </c>
      <c r="R78" s="513">
        <v>0</v>
      </c>
      <c r="S78" s="635">
        <v>0</v>
      </c>
      <c r="T78" s="513">
        <v>0</v>
      </c>
      <c r="U78" s="635">
        <v>0</v>
      </c>
      <c r="V78" s="513">
        <v>0</v>
      </c>
      <c r="W78" s="512">
        <v>0</v>
      </c>
      <c r="X78" s="513">
        <v>0</v>
      </c>
      <c r="Y78" s="513">
        <v>0</v>
      </c>
      <c r="Z78" s="513">
        <v>0</v>
      </c>
      <c r="AA78" s="513">
        <v>0</v>
      </c>
      <c r="AB78" s="513">
        <v>0</v>
      </c>
      <c r="AC78" s="513">
        <v>0</v>
      </c>
      <c r="AD78" s="513">
        <v>0</v>
      </c>
      <c r="AE78" s="513">
        <v>0</v>
      </c>
      <c r="AF78" s="513">
        <v>0</v>
      </c>
      <c r="AG78" s="513">
        <v>0</v>
      </c>
    </row>
    <row r="79" spans="3:33">
      <c r="C79" s="1" t="s">
        <v>331</v>
      </c>
      <c r="D79" s="1"/>
      <c r="E79" s="513">
        <v>0</v>
      </c>
      <c r="F79" s="513">
        <v>4650462.92</v>
      </c>
      <c r="G79" s="513">
        <v>0</v>
      </c>
      <c r="H79" s="513">
        <v>4334923.91</v>
      </c>
      <c r="I79" s="513">
        <v>9520594</v>
      </c>
      <c r="J79" s="513">
        <v>49927.240000000165</v>
      </c>
      <c r="K79" s="513">
        <v>0</v>
      </c>
      <c r="L79" s="513">
        <v>8289.0400000000081</v>
      </c>
      <c r="M79" s="513">
        <v>0</v>
      </c>
      <c r="N79" s="513">
        <v>315.51</v>
      </c>
      <c r="O79" s="4">
        <v>0</v>
      </c>
      <c r="P79" s="513">
        <v>0</v>
      </c>
      <c r="Q79" s="635">
        <v>0</v>
      </c>
      <c r="R79" s="513">
        <v>0</v>
      </c>
      <c r="S79" s="635">
        <v>0</v>
      </c>
      <c r="T79" s="513">
        <v>-0.03</v>
      </c>
      <c r="U79" s="635">
        <v>0</v>
      </c>
      <c r="V79" s="513">
        <v>0</v>
      </c>
      <c r="W79" s="512">
        <v>0</v>
      </c>
      <c r="X79" s="513">
        <v>0</v>
      </c>
      <c r="Y79" s="513">
        <v>0</v>
      </c>
      <c r="Z79" s="513">
        <v>0</v>
      </c>
      <c r="AA79" s="513">
        <v>0</v>
      </c>
      <c r="AB79" s="513">
        <v>0</v>
      </c>
      <c r="AC79" s="513">
        <v>0</v>
      </c>
      <c r="AD79" s="513">
        <v>0</v>
      </c>
      <c r="AE79" s="513">
        <v>0</v>
      </c>
      <c r="AF79" s="513">
        <v>0</v>
      </c>
      <c r="AG79" s="513">
        <v>0</v>
      </c>
    </row>
    <row r="80" spans="3:33">
      <c r="C80" s="1" t="s">
        <v>335</v>
      </c>
      <c r="D80" s="1"/>
      <c r="E80" s="513">
        <v>0</v>
      </c>
      <c r="F80" s="513">
        <v>0</v>
      </c>
      <c r="G80" s="513">
        <v>0</v>
      </c>
      <c r="H80" s="513">
        <v>0</v>
      </c>
      <c r="I80" s="513">
        <v>0</v>
      </c>
      <c r="J80" s="513">
        <v>0</v>
      </c>
      <c r="K80" s="513">
        <v>0</v>
      </c>
      <c r="L80" s="513">
        <v>0</v>
      </c>
      <c r="M80" s="513">
        <v>0</v>
      </c>
      <c r="N80" s="513">
        <v>0</v>
      </c>
      <c r="O80" s="4">
        <v>0</v>
      </c>
      <c r="P80" s="513">
        <v>0</v>
      </c>
      <c r="Q80" s="635">
        <v>0</v>
      </c>
      <c r="R80" s="513">
        <v>0</v>
      </c>
      <c r="S80" s="635">
        <v>0</v>
      </c>
      <c r="T80" s="513">
        <v>0</v>
      </c>
      <c r="U80" s="635">
        <v>0</v>
      </c>
      <c r="V80" s="513">
        <v>0</v>
      </c>
      <c r="W80" s="512">
        <v>0</v>
      </c>
      <c r="X80" s="513">
        <v>0</v>
      </c>
      <c r="Y80" s="513">
        <v>0</v>
      </c>
      <c r="Z80" s="513">
        <v>0</v>
      </c>
      <c r="AA80" s="513">
        <v>0</v>
      </c>
      <c r="AB80" s="513">
        <v>0</v>
      </c>
      <c r="AC80" s="513">
        <v>0</v>
      </c>
      <c r="AD80" s="513">
        <v>0</v>
      </c>
      <c r="AE80" s="513">
        <v>0</v>
      </c>
      <c r="AF80" s="513">
        <v>0</v>
      </c>
      <c r="AG80" s="513">
        <v>0</v>
      </c>
    </row>
    <row r="81" spans="3:33">
      <c r="C81" s="1" t="s">
        <v>336</v>
      </c>
      <c r="D81" s="1"/>
      <c r="E81" s="513">
        <v>0</v>
      </c>
      <c r="F81" s="513">
        <v>88942.82</v>
      </c>
      <c r="G81" s="513">
        <v>0</v>
      </c>
      <c r="H81" s="513">
        <v>70252.98</v>
      </c>
      <c r="I81" s="513">
        <v>0</v>
      </c>
      <c r="J81" s="513">
        <v>1484689.46</v>
      </c>
      <c r="K81" s="513">
        <v>0</v>
      </c>
      <c r="L81" s="513">
        <v>2021900.29</v>
      </c>
      <c r="M81" s="513">
        <v>1731971</v>
      </c>
      <c r="N81" s="513">
        <v>1301682.04</v>
      </c>
      <c r="O81" s="4">
        <v>0</v>
      </c>
      <c r="P81" s="513">
        <v>4437.5299999998442</v>
      </c>
      <c r="Q81" s="635">
        <v>0</v>
      </c>
      <c r="R81" s="513">
        <v>85848</v>
      </c>
      <c r="S81" s="635">
        <v>0</v>
      </c>
      <c r="T81" s="513">
        <v>319497.60999999993</v>
      </c>
      <c r="U81" s="513">
        <v>0</v>
      </c>
      <c r="V81" s="513">
        <v>0</v>
      </c>
      <c r="W81" s="512">
        <v>3734440</v>
      </c>
      <c r="X81" s="513">
        <v>0</v>
      </c>
      <c r="Y81" s="513">
        <v>0</v>
      </c>
      <c r="Z81" s="513">
        <v>0</v>
      </c>
      <c r="AA81" s="513">
        <v>0</v>
      </c>
      <c r="AB81" s="513">
        <v>0</v>
      </c>
      <c r="AC81" s="513">
        <v>0</v>
      </c>
      <c r="AD81" s="513">
        <v>0</v>
      </c>
      <c r="AE81" s="513">
        <v>0</v>
      </c>
      <c r="AF81" s="513">
        <v>0</v>
      </c>
      <c r="AG81" s="513">
        <v>0</v>
      </c>
    </row>
    <row r="82" spans="3:33">
      <c r="C82" s="1" t="s">
        <v>341</v>
      </c>
      <c r="D82" s="1"/>
      <c r="E82" s="513">
        <v>0</v>
      </c>
      <c r="F82" s="513">
        <v>565244.87</v>
      </c>
      <c r="G82" s="513">
        <v>776380.49999999988</v>
      </c>
      <c r="H82" s="513">
        <v>1239237.5899999999</v>
      </c>
      <c r="I82" s="513">
        <v>1536556</v>
      </c>
      <c r="J82" s="513">
        <v>10103.439999999979</v>
      </c>
      <c r="K82" s="513">
        <v>0</v>
      </c>
      <c r="L82" s="513">
        <v>941.6000000000015</v>
      </c>
      <c r="M82" s="513">
        <v>0</v>
      </c>
      <c r="N82" s="513">
        <v>19516.220000000012</v>
      </c>
      <c r="O82" s="4">
        <v>0</v>
      </c>
      <c r="P82" s="513">
        <v>47470.610000000008</v>
      </c>
      <c r="Q82" s="635">
        <v>0</v>
      </c>
      <c r="R82" s="513">
        <v>20543.219999999998</v>
      </c>
      <c r="S82" s="635">
        <v>0</v>
      </c>
      <c r="T82" s="513">
        <v>10679.729999999998</v>
      </c>
      <c r="U82" s="635">
        <v>0</v>
      </c>
      <c r="V82" s="513">
        <v>18838.419999999998</v>
      </c>
      <c r="W82" s="512">
        <v>0</v>
      </c>
      <c r="X82" s="513">
        <v>10547.84</v>
      </c>
      <c r="Y82" s="513">
        <v>0</v>
      </c>
      <c r="Z82" s="513">
        <v>13400.49</v>
      </c>
      <c r="AA82" s="513">
        <v>0</v>
      </c>
      <c r="AB82" s="513">
        <v>2300.7600000000002</v>
      </c>
      <c r="AC82" s="513">
        <v>0</v>
      </c>
      <c r="AD82" s="513">
        <v>1963.1100000000001</v>
      </c>
      <c r="AE82" s="513">
        <v>0</v>
      </c>
      <c r="AF82" s="1044">
        <v>2268.91</v>
      </c>
      <c r="AG82" s="513">
        <v>0</v>
      </c>
    </row>
    <row r="83" spans="3:33">
      <c r="C83" s="1" t="s">
        <v>352</v>
      </c>
      <c r="D83" s="1"/>
      <c r="E83" s="513">
        <v>0</v>
      </c>
      <c r="F83" s="513">
        <v>0</v>
      </c>
      <c r="G83" s="513">
        <v>0</v>
      </c>
      <c r="H83" s="513">
        <v>0</v>
      </c>
      <c r="I83" s="513">
        <v>0</v>
      </c>
      <c r="J83" s="513">
        <v>0</v>
      </c>
      <c r="K83" s="513">
        <v>0</v>
      </c>
      <c r="L83" s="513">
        <v>91930.77</v>
      </c>
      <c r="M83" s="513">
        <v>0</v>
      </c>
      <c r="N83" s="513">
        <v>7443.93</v>
      </c>
      <c r="O83" s="4">
        <v>0</v>
      </c>
      <c r="P83" s="513">
        <v>15508.950000000003</v>
      </c>
      <c r="Q83" s="635">
        <v>0</v>
      </c>
      <c r="R83" s="513">
        <v>6778.6899999999987</v>
      </c>
      <c r="S83" s="635">
        <v>0</v>
      </c>
      <c r="T83" s="513">
        <v>7520.4800000000005</v>
      </c>
      <c r="U83" s="635">
        <v>0</v>
      </c>
      <c r="V83" s="513">
        <v>11166.28</v>
      </c>
      <c r="W83" s="512">
        <v>0</v>
      </c>
      <c r="X83" s="513">
        <v>2212.4700000000003</v>
      </c>
      <c r="Y83" s="513">
        <v>0</v>
      </c>
      <c r="Z83" s="513">
        <v>7982.95</v>
      </c>
      <c r="AA83" s="513">
        <v>0</v>
      </c>
      <c r="AB83" s="513">
        <v>1370.62</v>
      </c>
      <c r="AC83" s="513">
        <v>0</v>
      </c>
      <c r="AD83" s="513">
        <v>1169.47</v>
      </c>
      <c r="AE83" s="513">
        <v>0</v>
      </c>
      <c r="AF83" s="1044">
        <v>1351.6399999999999</v>
      </c>
      <c r="AG83" s="513">
        <v>0</v>
      </c>
    </row>
    <row r="84" spans="3:33">
      <c r="C84" s="1" t="s">
        <v>356</v>
      </c>
      <c r="D84" s="1"/>
      <c r="E84" s="513">
        <v>0</v>
      </c>
      <c r="F84" s="513">
        <v>121136.97999999998</v>
      </c>
      <c r="G84" s="513">
        <v>0</v>
      </c>
      <c r="H84" s="513">
        <v>192151.95</v>
      </c>
      <c r="I84" s="513">
        <v>0</v>
      </c>
      <c r="J84" s="513">
        <v>40528.36</v>
      </c>
      <c r="K84" s="513">
        <v>0</v>
      </c>
      <c r="L84" s="513">
        <v>25715.09</v>
      </c>
      <c r="M84" s="513">
        <v>0</v>
      </c>
      <c r="N84" s="513">
        <v>283044.16000000003</v>
      </c>
      <c r="O84" s="4">
        <v>0</v>
      </c>
      <c r="P84" s="513">
        <v>1272157.1699999997</v>
      </c>
      <c r="Q84" s="635">
        <v>0</v>
      </c>
      <c r="R84" s="513">
        <v>230115.8299999999</v>
      </c>
      <c r="S84" s="635">
        <v>0</v>
      </c>
      <c r="T84" s="513">
        <v>192390.93999999983</v>
      </c>
      <c r="U84" s="635">
        <v>0</v>
      </c>
      <c r="V84" s="513">
        <v>166956.57999999996</v>
      </c>
      <c r="W84" s="512">
        <v>0</v>
      </c>
      <c r="X84" s="513">
        <v>197088.63</v>
      </c>
      <c r="Y84" s="513">
        <v>0</v>
      </c>
      <c r="Z84" s="513">
        <v>187861.33999999997</v>
      </c>
      <c r="AA84" s="513">
        <v>0</v>
      </c>
      <c r="AB84" s="513">
        <v>485653.97999999992</v>
      </c>
      <c r="AC84" s="513">
        <v>0</v>
      </c>
      <c r="AD84" s="513">
        <v>1709537.3000000003</v>
      </c>
      <c r="AE84" s="513">
        <v>0</v>
      </c>
      <c r="AF84" s="1044">
        <v>252774.48000000004</v>
      </c>
      <c r="AG84" s="513">
        <v>0</v>
      </c>
    </row>
    <row r="85" spans="3:33">
      <c r="C85" s="1" t="s">
        <v>362</v>
      </c>
      <c r="D85" s="1"/>
      <c r="E85" s="513">
        <v>0</v>
      </c>
      <c r="F85" s="513">
        <v>0</v>
      </c>
      <c r="G85" s="513">
        <v>0</v>
      </c>
      <c r="H85" s="513">
        <v>0</v>
      </c>
      <c r="I85" s="513">
        <v>0</v>
      </c>
      <c r="J85" s="513">
        <v>0</v>
      </c>
      <c r="K85" s="513">
        <v>0</v>
      </c>
      <c r="L85" s="513">
        <v>0</v>
      </c>
      <c r="M85" s="513">
        <v>0</v>
      </c>
      <c r="N85" s="513">
        <v>0</v>
      </c>
      <c r="O85" s="4">
        <v>0</v>
      </c>
      <c r="P85" s="513">
        <v>0</v>
      </c>
      <c r="Q85" s="635">
        <v>0</v>
      </c>
      <c r="R85" s="513">
        <v>0</v>
      </c>
      <c r="S85" s="635">
        <v>0</v>
      </c>
      <c r="T85" s="513">
        <v>0</v>
      </c>
      <c r="U85" s="635">
        <v>0</v>
      </c>
      <c r="V85" s="513">
        <v>0</v>
      </c>
      <c r="W85" s="512">
        <v>0</v>
      </c>
      <c r="X85" s="513">
        <v>0</v>
      </c>
      <c r="Y85" s="513">
        <v>0</v>
      </c>
      <c r="Z85" s="513">
        <v>0</v>
      </c>
      <c r="AA85" s="513">
        <v>0</v>
      </c>
      <c r="AB85" s="513">
        <v>0</v>
      </c>
      <c r="AC85" s="513">
        <v>0</v>
      </c>
      <c r="AD85" s="513">
        <v>0</v>
      </c>
      <c r="AE85" s="513">
        <v>0</v>
      </c>
      <c r="AF85" s="513">
        <v>0</v>
      </c>
      <c r="AG85" s="513">
        <v>0</v>
      </c>
    </row>
    <row r="86" spans="3:33">
      <c r="C86" s="1" t="s">
        <v>363</v>
      </c>
      <c r="D86" s="1"/>
      <c r="E86" s="513">
        <v>0</v>
      </c>
      <c r="F86" s="513">
        <v>0</v>
      </c>
      <c r="G86" s="513">
        <v>0</v>
      </c>
      <c r="H86" s="513">
        <v>238568</v>
      </c>
      <c r="I86" s="513">
        <v>0</v>
      </c>
      <c r="J86" s="513">
        <v>0</v>
      </c>
      <c r="K86" s="513">
        <v>0</v>
      </c>
      <c r="L86" s="513">
        <v>0</v>
      </c>
      <c r="M86" s="513">
        <v>0</v>
      </c>
      <c r="N86" s="513">
        <v>0</v>
      </c>
      <c r="O86" s="4">
        <v>0</v>
      </c>
      <c r="P86" s="513">
        <v>0</v>
      </c>
      <c r="Q86" s="635">
        <v>0</v>
      </c>
      <c r="R86" s="513">
        <v>0</v>
      </c>
      <c r="S86" s="635">
        <v>0</v>
      </c>
      <c r="T86" s="513">
        <v>0</v>
      </c>
      <c r="U86" s="635">
        <v>0</v>
      </c>
      <c r="V86" s="513">
        <v>0</v>
      </c>
      <c r="W86" s="512">
        <v>0</v>
      </c>
      <c r="X86" s="513">
        <v>0</v>
      </c>
      <c r="Y86" s="513">
        <v>0</v>
      </c>
      <c r="Z86" s="513">
        <v>0</v>
      </c>
      <c r="AA86" s="513">
        <v>0</v>
      </c>
      <c r="AB86" s="513">
        <v>0</v>
      </c>
      <c r="AC86" s="513">
        <v>0</v>
      </c>
      <c r="AD86" s="513">
        <v>0</v>
      </c>
      <c r="AE86" s="513">
        <v>0</v>
      </c>
      <c r="AF86" s="513">
        <v>0</v>
      </c>
      <c r="AG86" s="513">
        <v>0</v>
      </c>
    </row>
    <row r="87" spans="3:33">
      <c r="C87" s="1" t="s">
        <v>364</v>
      </c>
      <c r="D87" s="1"/>
      <c r="E87" s="513">
        <v>0</v>
      </c>
      <c r="F87" s="513">
        <v>0</v>
      </c>
      <c r="G87" s="513">
        <v>0</v>
      </c>
      <c r="H87" s="513">
        <v>0</v>
      </c>
      <c r="I87" s="513">
        <v>0</v>
      </c>
      <c r="J87" s="513">
        <v>0</v>
      </c>
      <c r="K87" s="513">
        <v>0</v>
      </c>
      <c r="L87" s="513">
        <v>0</v>
      </c>
      <c r="M87" s="513">
        <v>0</v>
      </c>
      <c r="N87" s="513">
        <v>0</v>
      </c>
      <c r="O87" s="4">
        <v>0</v>
      </c>
      <c r="P87" s="513">
        <v>0</v>
      </c>
      <c r="Q87" s="635">
        <v>0</v>
      </c>
      <c r="R87" s="513">
        <v>0</v>
      </c>
      <c r="S87" s="635">
        <v>0</v>
      </c>
      <c r="T87" s="513">
        <v>0</v>
      </c>
      <c r="U87" s="635">
        <v>0</v>
      </c>
      <c r="V87" s="513">
        <v>0</v>
      </c>
      <c r="W87" s="512">
        <v>0</v>
      </c>
      <c r="X87" s="513">
        <v>0</v>
      </c>
      <c r="Y87" s="513">
        <v>0</v>
      </c>
      <c r="Z87" s="513">
        <v>0</v>
      </c>
      <c r="AA87" s="513">
        <v>0</v>
      </c>
      <c r="AB87" s="513">
        <v>0</v>
      </c>
      <c r="AC87" s="513">
        <v>0</v>
      </c>
      <c r="AD87" s="513">
        <v>0</v>
      </c>
      <c r="AE87" s="513">
        <v>0</v>
      </c>
      <c r="AF87" s="513">
        <v>0</v>
      </c>
      <c r="AG87" s="513">
        <v>0</v>
      </c>
    </row>
    <row r="88" spans="3:33">
      <c r="C88" s="1" t="s">
        <v>365</v>
      </c>
      <c r="D88" s="1"/>
      <c r="E88" s="513">
        <v>0</v>
      </c>
      <c r="F88" s="513">
        <v>0</v>
      </c>
      <c r="G88" s="513">
        <v>0</v>
      </c>
      <c r="H88" s="513">
        <v>0</v>
      </c>
      <c r="I88" s="513">
        <v>0</v>
      </c>
      <c r="J88" s="513">
        <v>0</v>
      </c>
      <c r="K88" s="513">
        <v>0</v>
      </c>
      <c r="L88" s="513">
        <v>0</v>
      </c>
      <c r="M88" s="513">
        <v>0</v>
      </c>
      <c r="N88" s="513">
        <v>0</v>
      </c>
      <c r="O88" s="4">
        <v>0</v>
      </c>
      <c r="P88" s="513">
        <v>0</v>
      </c>
      <c r="Q88" s="635">
        <v>0</v>
      </c>
      <c r="R88" s="513">
        <v>0</v>
      </c>
      <c r="S88" s="635">
        <v>0</v>
      </c>
      <c r="T88" s="513">
        <v>0</v>
      </c>
      <c r="U88" s="635">
        <v>0</v>
      </c>
      <c r="V88" s="513">
        <v>0</v>
      </c>
      <c r="W88" s="512">
        <v>0</v>
      </c>
      <c r="X88" s="513">
        <v>0</v>
      </c>
      <c r="Y88" s="513">
        <v>0</v>
      </c>
      <c r="Z88" s="513">
        <v>0</v>
      </c>
      <c r="AA88" s="513">
        <v>0</v>
      </c>
      <c r="AB88" s="513">
        <v>0</v>
      </c>
      <c r="AC88" s="513">
        <v>0</v>
      </c>
      <c r="AD88" s="513">
        <v>0</v>
      </c>
      <c r="AE88" s="513">
        <v>0</v>
      </c>
      <c r="AF88" s="513">
        <v>0</v>
      </c>
      <c r="AG88" s="513">
        <v>0</v>
      </c>
    </row>
    <row r="89" spans="3:33">
      <c r="C89" s="1" t="s">
        <v>366</v>
      </c>
      <c r="D89" s="1"/>
      <c r="E89" s="513">
        <v>1285973</v>
      </c>
      <c r="F89" s="513">
        <v>609339.07999999996</v>
      </c>
      <c r="G89" s="513">
        <v>0</v>
      </c>
      <c r="H89" s="513">
        <v>334665.77999999991</v>
      </c>
      <c r="I89" s="513">
        <v>691755.05</v>
      </c>
      <c r="J89" s="513">
        <v>3100.5599999999436</v>
      </c>
      <c r="K89" s="513">
        <v>0</v>
      </c>
      <c r="L89" s="513">
        <v>86.42999999999995</v>
      </c>
      <c r="M89" s="513">
        <v>0</v>
      </c>
      <c r="N89" s="513">
        <v>2773.44</v>
      </c>
      <c r="O89" s="4">
        <v>0</v>
      </c>
      <c r="P89" s="513">
        <v>-1.9900000000000002</v>
      </c>
      <c r="Q89" s="635">
        <v>0</v>
      </c>
      <c r="R89" s="513">
        <v>0</v>
      </c>
      <c r="S89" s="635">
        <v>0</v>
      </c>
      <c r="T89" s="513">
        <v>0</v>
      </c>
      <c r="U89" s="635">
        <v>0</v>
      </c>
      <c r="V89" s="513">
        <v>0</v>
      </c>
      <c r="W89" s="512">
        <v>0</v>
      </c>
      <c r="X89" s="513">
        <v>0</v>
      </c>
      <c r="Y89" s="513">
        <v>0</v>
      </c>
      <c r="Z89" s="513">
        <v>0</v>
      </c>
      <c r="AA89" s="513">
        <v>0</v>
      </c>
      <c r="AB89" s="513">
        <v>0</v>
      </c>
      <c r="AC89" s="513">
        <v>0</v>
      </c>
      <c r="AD89" s="513">
        <v>0</v>
      </c>
      <c r="AE89" s="513">
        <v>0</v>
      </c>
      <c r="AF89" s="513">
        <v>0</v>
      </c>
      <c r="AG89" s="513">
        <v>0</v>
      </c>
    </row>
    <row r="90" spans="3:33">
      <c r="C90" s="1" t="s">
        <v>371</v>
      </c>
      <c r="D90" s="1"/>
      <c r="E90" s="513">
        <v>0</v>
      </c>
      <c r="F90" s="513">
        <v>24707.120000000003</v>
      </c>
      <c r="G90" s="513">
        <v>0</v>
      </c>
      <c r="H90" s="513">
        <v>4558.5700000000052</v>
      </c>
      <c r="I90" s="513">
        <v>0</v>
      </c>
      <c r="J90" s="513">
        <v>10698.849999999991</v>
      </c>
      <c r="K90" s="513">
        <v>0</v>
      </c>
      <c r="L90" s="513">
        <v>-312392.24</v>
      </c>
      <c r="M90" s="513">
        <v>0</v>
      </c>
      <c r="N90" s="513">
        <v>-11546.759999999998</v>
      </c>
      <c r="O90" s="4">
        <v>0</v>
      </c>
      <c r="P90" s="513">
        <v>919341.46</v>
      </c>
      <c r="Q90" s="513">
        <v>926832</v>
      </c>
      <c r="R90" s="513">
        <v>-11738.619999999999</v>
      </c>
      <c r="S90" s="635">
        <v>0</v>
      </c>
      <c r="T90" s="513">
        <v>0</v>
      </c>
      <c r="U90" s="635">
        <v>0</v>
      </c>
      <c r="V90" s="513">
        <v>0</v>
      </c>
      <c r="W90" s="512">
        <v>0</v>
      </c>
      <c r="X90" s="513">
        <v>0</v>
      </c>
      <c r="Y90" s="513">
        <v>0</v>
      </c>
      <c r="Z90" s="513">
        <v>0</v>
      </c>
      <c r="AA90" s="513">
        <v>0</v>
      </c>
      <c r="AB90" s="513">
        <v>0</v>
      </c>
      <c r="AC90" s="513">
        <v>0</v>
      </c>
      <c r="AD90" s="513">
        <v>0</v>
      </c>
      <c r="AE90" s="513">
        <v>0</v>
      </c>
      <c r="AF90" s="513">
        <v>0</v>
      </c>
      <c r="AG90" s="513">
        <v>0</v>
      </c>
    </row>
    <row r="91" spans="3:33">
      <c r="C91" s="1" t="s">
        <v>378</v>
      </c>
      <c r="D91" s="1"/>
      <c r="E91" s="513">
        <v>0</v>
      </c>
      <c r="F91" s="513">
        <v>0</v>
      </c>
      <c r="G91" s="513">
        <v>0</v>
      </c>
      <c r="H91" s="513">
        <v>0</v>
      </c>
      <c r="I91" s="513">
        <v>0</v>
      </c>
      <c r="J91" s="513">
        <v>0</v>
      </c>
      <c r="K91" s="513">
        <v>0</v>
      </c>
      <c r="L91" s="513">
        <v>0</v>
      </c>
      <c r="M91" s="513">
        <v>0</v>
      </c>
      <c r="N91" s="513">
        <v>0</v>
      </c>
      <c r="O91" s="4">
        <v>0</v>
      </c>
      <c r="P91" s="513">
        <v>0</v>
      </c>
      <c r="Q91" s="635">
        <v>0</v>
      </c>
      <c r="R91" s="513">
        <v>0</v>
      </c>
      <c r="S91" s="635">
        <v>0</v>
      </c>
      <c r="T91" s="513">
        <v>0</v>
      </c>
      <c r="U91" s="635">
        <v>0</v>
      </c>
      <c r="V91" s="513">
        <v>0</v>
      </c>
      <c r="W91" s="512">
        <v>0</v>
      </c>
      <c r="X91" s="513">
        <v>0</v>
      </c>
      <c r="Y91" s="513">
        <v>0</v>
      </c>
      <c r="Z91" s="513">
        <v>0</v>
      </c>
      <c r="AA91" s="513">
        <v>0</v>
      </c>
      <c r="AB91" s="513">
        <v>29162.559999999998</v>
      </c>
      <c r="AC91" s="513">
        <v>0</v>
      </c>
      <c r="AD91" s="513">
        <v>15777.49</v>
      </c>
      <c r="AE91" s="513">
        <v>0</v>
      </c>
      <c r="AF91" s="1044">
        <v>17261.61</v>
      </c>
      <c r="AG91" s="513">
        <v>0</v>
      </c>
    </row>
    <row r="92" spans="3:33">
      <c r="C92" s="1" t="s">
        <v>384</v>
      </c>
      <c r="D92" s="1"/>
      <c r="E92" s="513">
        <v>0</v>
      </c>
      <c r="F92" s="513">
        <v>0</v>
      </c>
      <c r="G92" s="513">
        <v>0</v>
      </c>
      <c r="H92" s="513">
        <v>0</v>
      </c>
      <c r="I92" s="513">
        <v>0</v>
      </c>
      <c r="J92" s="513">
        <v>0</v>
      </c>
      <c r="K92" s="513">
        <v>0</v>
      </c>
      <c r="L92" s="513">
        <v>0</v>
      </c>
      <c r="M92" s="513">
        <v>0</v>
      </c>
      <c r="N92" s="513">
        <v>0</v>
      </c>
      <c r="O92" s="4">
        <v>0</v>
      </c>
      <c r="P92" s="513">
        <v>0</v>
      </c>
      <c r="Q92" s="635">
        <v>0</v>
      </c>
      <c r="R92" s="513">
        <v>0</v>
      </c>
      <c r="S92" s="635">
        <v>0</v>
      </c>
      <c r="T92" s="513">
        <v>0</v>
      </c>
      <c r="U92" s="635">
        <v>0</v>
      </c>
      <c r="V92" s="513">
        <v>48244.78000000005</v>
      </c>
      <c r="W92" s="512">
        <v>0</v>
      </c>
      <c r="X92" s="513">
        <v>4911.3099999999995</v>
      </c>
      <c r="Y92" s="513">
        <v>0</v>
      </c>
      <c r="Z92" s="513">
        <v>17103.89</v>
      </c>
      <c r="AA92" s="513">
        <v>0</v>
      </c>
      <c r="AB92" s="513">
        <v>6121.6</v>
      </c>
      <c r="AC92" s="513">
        <v>0</v>
      </c>
      <c r="AD92" s="513">
        <v>80138.22</v>
      </c>
      <c r="AE92" s="513">
        <v>0</v>
      </c>
      <c r="AF92" s="1044">
        <v>102822.53</v>
      </c>
      <c r="AG92" s="513">
        <v>0</v>
      </c>
    </row>
    <row r="93" spans="3:33">
      <c r="C93" s="1" t="s">
        <v>388</v>
      </c>
      <c r="D93" s="1"/>
      <c r="E93" s="513">
        <v>0</v>
      </c>
      <c r="F93" s="513">
        <v>0</v>
      </c>
      <c r="G93" s="513">
        <v>0</v>
      </c>
      <c r="H93" s="513">
        <v>0</v>
      </c>
      <c r="I93" s="513">
        <v>0</v>
      </c>
      <c r="J93" s="513">
        <v>0</v>
      </c>
      <c r="K93" s="513">
        <v>0</v>
      </c>
      <c r="L93" s="513">
        <v>0</v>
      </c>
      <c r="M93" s="513">
        <v>0</v>
      </c>
      <c r="N93" s="513">
        <v>0</v>
      </c>
      <c r="O93" s="4">
        <v>0</v>
      </c>
      <c r="P93" s="513">
        <v>0</v>
      </c>
      <c r="Q93" s="635">
        <v>0</v>
      </c>
      <c r="R93" s="513">
        <v>0</v>
      </c>
      <c r="S93" s="635">
        <v>0</v>
      </c>
      <c r="T93" s="513">
        <v>0</v>
      </c>
      <c r="U93" s="635">
        <v>0</v>
      </c>
      <c r="V93" s="513">
        <v>0</v>
      </c>
      <c r="W93" s="512">
        <v>0</v>
      </c>
      <c r="X93" s="513">
        <v>0</v>
      </c>
      <c r="Y93" s="513">
        <v>0</v>
      </c>
      <c r="Z93" s="513">
        <v>0</v>
      </c>
      <c r="AA93" s="513">
        <v>0</v>
      </c>
      <c r="AB93" s="513">
        <v>0</v>
      </c>
      <c r="AC93" s="513">
        <v>0</v>
      </c>
      <c r="AD93" s="513">
        <v>0</v>
      </c>
      <c r="AE93" s="513">
        <v>0</v>
      </c>
      <c r="AF93" s="513">
        <v>0</v>
      </c>
      <c r="AG93" s="513">
        <v>0</v>
      </c>
    </row>
    <row r="94" spans="3:33">
      <c r="C94" s="1" t="s">
        <v>389</v>
      </c>
      <c r="D94" s="1"/>
      <c r="E94" s="513">
        <v>0</v>
      </c>
      <c r="F94" s="513">
        <v>1310</v>
      </c>
      <c r="G94" s="513">
        <v>0</v>
      </c>
      <c r="H94" s="513">
        <v>17592.329999999994</v>
      </c>
      <c r="I94" s="513">
        <v>0</v>
      </c>
      <c r="J94" s="513">
        <v>17150.089999999997</v>
      </c>
      <c r="K94" s="513">
        <v>0</v>
      </c>
      <c r="L94" s="513">
        <v>43745.549999999981</v>
      </c>
      <c r="M94" s="513">
        <v>0</v>
      </c>
      <c r="N94" s="513">
        <v>107996.58</v>
      </c>
      <c r="O94" s="4">
        <v>0</v>
      </c>
      <c r="P94" s="513">
        <v>92565.430000000051</v>
      </c>
      <c r="Q94" s="635">
        <v>0</v>
      </c>
      <c r="R94" s="513">
        <v>43570.239999999954</v>
      </c>
      <c r="S94" s="635">
        <v>0</v>
      </c>
      <c r="T94" s="513">
        <v>48396.579999999965</v>
      </c>
      <c r="U94" s="635">
        <v>0</v>
      </c>
      <c r="V94" s="513">
        <v>393034.64999999979</v>
      </c>
      <c r="W94" s="512">
        <v>0</v>
      </c>
      <c r="X94" s="513">
        <v>851866.53</v>
      </c>
      <c r="Y94" s="513">
        <v>1714981</v>
      </c>
      <c r="Z94" s="513">
        <v>6249.5599999999986</v>
      </c>
      <c r="AA94" s="513">
        <v>0</v>
      </c>
      <c r="AB94" s="513">
        <v>0</v>
      </c>
      <c r="AC94" s="513">
        <v>0</v>
      </c>
      <c r="AD94" s="513">
        <v>0</v>
      </c>
      <c r="AE94" s="513">
        <v>0</v>
      </c>
      <c r="AF94" s="513">
        <v>0</v>
      </c>
      <c r="AG94" s="513">
        <v>0</v>
      </c>
    </row>
    <row r="95" spans="3:33">
      <c r="C95" s="1" t="s">
        <v>392</v>
      </c>
      <c r="D95" s="1"/>
      <c r="E95" s="513">
        <v>0</v>
      </c>
      <c r="F95" s="513">
        <v>0</v>
      </c>
      <c r="G95" s="513">
        <v>0</v>
      </c>
      <c r="H95" s="513">
        <v>0</v>
      </c>
      <c r="I95" s="513">
        <v>0</v>
      </c>
      <c r="J95" s="513">
        <v>0</v>
      </c>
      <c r="K95" s="513">
        <v>0</v>
      </c>
      <c r="L95" s="513">
        <v>0</v>
      </c>
      <c r="M95" s="513">
        <v>0</v>
      </c>
      <c r="N95" s="513">
        <v>0</v>
      </c>
      <c r="O95" s="4">
        <v>0</v>
      </c>
      <c r="P95" s="513">
        <v>0</v>
      </c>
      <c r="Q95" s="635">
        <v>0</v>
      </c>
      <c r="R95" s="513">
        <v>0</v>
      </c>
      <c r="S95" s="635">
        <v>0</v>
      </c>
      <c r="T95" s="513">
        <v>0</v>
      </c>
      <c r="U95" s="635">
        <v>0</v>
      </c>
      <c r="V95" s="513">
        <v>0</v>
      </c>
      <c r="W95" s="512">
        <v>0</v>
      </c>
      <c r="X95" s="513">
        <v>0</v>
      </c>
      <c r="Y95" s="513">
        <v>0</v>
      </c>
      <c r="Z95" s="513">
        <v>163697.62</v>
      </c>
      <c r="AA95" s="513">
        <v>0</v>
      </c>
      <c r="AB95" s="513">
        <v>93903.76</v>
      </c>
      <c r="AC95" s="513">
        <v>0</v>
      </c>
      <c r="AD95" s="513">
        <v>43431.710000000006</v>
      </c>
      <c r="AE95" s="513">
        <v>0</v>
      </c>
      <c r="AF95" s="1044">
        <v>756103.34</v>
      </c>
      <c r="AG95" s="513">
        <v>0</v>
      </c>
    </row>
    <row r="96" spans="3:33">
      <c r="C96" s="1" t="s">
        <v>396</v>
      </c>
      <c r="D96" s="1"/>
      <c r="E96" s="513">
        <v>0</v>
      </c>
      <c r="F96" s="513">
        <v>0</v>
      </c>
      <c r="G96" s="513">
        <v>0</v>
      </c>
      <c r="H96" s="513">
        <v>0</v>
      </c>
      <c r="I96" s="513">
        <v>0</v>
      </c>
      <c r="J96" s="513">
        <v>0</v>
      </c>
      <c r="K96" s="513">
        <v>0</v>
      </c>
      <c r="L96" s="513">
        <v>0</v>
      </c>
      <c r="M96" s="513">
        <v>0</v>
      </c>
      <c r="N96" s="513">
        <v>0</v>
      </c>
      <c r="O96" s="4">
        <v>0</v>
      </c>
      <c r="P96" s="513">
        <v>0</v>
      </c>
      <c r="Q96" s="635">
        <v>0</v>
      </c>
      <c r="R96" s="513">
        <v>0</v>
      </c>
      <c r="S96" s="635">
        <v>0</v>
      </c>
      <c r="T96" s="513">
        <v>0</v>
      </c>
      <c r="U96" s="635">
        <v>0</v>
      </c>
      <c r="V96" s="513">
        <v>0</v>
      </c>
      <c r="W96" s="512">
        <v>0</v>
      </c>
      <c r="X96" s="513">
        <v>0</v>
      </c>
      <c r="Y96" s="513">
        <v>0</v>
      </c>
      <c r="Z96" s="513">
        <v>0</v>
      </c>
      <c r="AA96" s="513">
        <v>0</v>
      </c>
      <c r="AB96" s="513">
        <v>0</v>
      </c>
      <c r="AC96" s="513">
        <v>0</v>
      </c>
      <c r="AD96" s="513">
        <v>0</v>
      </c>
      <c r="AE96" s="513">
        <v>0</v>
      </c>
      <c r="AF96" s="513">
        <v>0</v>
      </c>
      <c r="AG96" s="513">
        <v>0</v>
      </c>
    </row>
    <row r="97" spans="3:33">
      <c r="C97" s="1" t="s">
        <v>397</v>
      </c>
      <c r="D97" s="1"/>
      <c r="E97" s="513">
        <v>0</v>
      </c>
      <c r="F97" s="513">
        <v>0</v>
      </c>
      <c r="G97" s="513">
        <v>0</v>
      </c>
      <c r="H97" s="513">
        <v>0</v>
      </c>
      <c r="I97" s="513">
        <v>0</v>
      </c>
      <c r="J97" s="513">
        <v>0</v>
      </c>
      <c r="K97" s="513">
        <v>0</v>
      </c>
      <c r="L97" s="513">
        <v>0</v>
      </c>
      <c r="M97" s="513">
        <v>0</v>
      </c>
      <c r="N97" s="513">
        <v>0</v>
      </c>
      <c r="O97" s="4">
        <v>0</v>
      </c>
      <c r="P97" s="513">
        <v>0</v>
      </c>
      <c r="Q97" s="635">
        <v>0</v>
      </c>
      <c r="R97" s="513">
        <v>0</v>
      </c>
      <c r="S97" s="635">
        <v>0</v>
      </c>
      <c r="T97" s="513">
        <v>0</v>
      </c>
      <c r="U97" s="635">
        <v>0</v>
      </c>
      <c r="V97" s="513">
        <v>0</v>
      </c>
      <c r="W97" s="512">
        <v>0</v>
      </c>
      <c r="X97" s="513">
        <v>0</v>
      </c>
      <c r="Y97" s="513">
        <v>0</v>
      </c>
      <c r="Z97" s="513">
        <v>0</v>
      </c>
      <c r="AA97" s="513">
        <v>0</v>
      </c>
      <c r="AB97" s="513">
        <v>0</v>
      </c>
      <c r="AC97" s="513">
        <v>0</v>
      </c>
      <c r="AD97" s="513">
        <v>0</v>
      </c>
      <c r="AE97" s="513">
        <v>0</v>
      </c>
      <c r="AF97" s="513">
        <v>0</v>
      </c>
      <c r="AG97" s="513">
        <v>0</v>
      </c>
    </row>
    <row r="98" spans="3:33">
      <c r="C98" s="1" t="s">
        <v>398</v>
      </c>
      <c r="D98" s="1"/>
      <c r="E98" s="513">
        <v>0</v>
      </c>
      <c r="F98" s="513">
        <v>0</v>
      </c>
      <c r="G98" s="513">
        <v>0</v>
      </c>
      <c r="H98" s="513">
        <v>0</v>
      </c>
      <c r="I98" s="513">
        <v>0</v>
      </c>
      <c r="J98" s="513">
        <v>0</v>
      </c>
      <c r="K98" s="513">
        <v>0</v>
      </c>
      <c r="L98" s="513">
        <v>0</v>
      </c>
      <c r="M98" s="513">
        <v>0</v>
      </c>
      <c r="N98" s="513">
        <v>0</v>
      </c>
      <c r="O98" s="4">
        <v>0</v>
      </c>
      <c r="P98" s="513">
        <v>170423.68999999997</v>
      </c>
      <c r="Q98" s="635">
        <v>0</v>
      </c>
      <c r="R98" s="513">
        <v>474160.37999999989</v>
      </c>
      <c r="S98" s="635">
        <v>0</v>
      </c>
      <c r="T98" s="513">
        <v>184542.51000000007</v>
      </c>
      <c r="U98" s="635">
        <v>0</v>
      </c>
      <c r="V98" s="513">
        <v>3867389.0899999598</v>
      </c>
      <c r="W98" s="512">
        <v>0</v>
      </c>
      <c r="X98" s="513">
        <v>778852.12</v>
      </c>
      <c r="Y98" s="513">
        <v>0</v>
      </c>
      <c r="Z98" s="513">
        <v>-390892.49</v>
      </c>
      <c r="AA98" s="513">
        <v>5075864.8599999594</v>
      </c>
      <c r="AB98" s="513">
        <v>-8698.5999999999985</v>
      </c>
      <c r="AC98" s="513">
        <v>0</v>
      </c>
      <c r="AD98" s="513">
        <v>53.22</v>
      </c>
      <c r="AE98" s="513">
        <v>0</v>
      </c>
      <c r="AF98" s="513">
        <v>0</v>
      </c>
      <c r="AG98" s="513">
        <v>0</v>
      </c>
    </row>
    <row r="99" spans="3:33">
      <c r="C99" s="1" t="s">
        <v>405</v>
      </c>
      <c r="D99" s="1"/>
      <c r="E99" s="513">
        <v>0</v>
      </c>
      <c r="F99" s="513">
        <v>16020.58</v>
      </c>
      <c r="G99" s="513">
        <v>0</v>
      </c>
      <c r="H99" s="513">
        <v>22438.250000000004</v>
      </c>
      <c r="I99" s="513">
        <v>0</v>
      </c>
      <c r="J99" s="513">
        <v>734682.62</v>
      </c>
      <c r="K99" s="513">
        <v>0</v>
      </c>
      <c r="L99" s="513">
        <v>65838.859999999986</v>
      </c>
      <c r="M99" s="513">
        <v>0</v>
      </c>
      <c r="N99" s="513">
        <v>4636.9699999999984</v>
      </c>
      <c r="O99" s="4">
        <v>0</v>
      </c>
      <c r="P99" s="513">
        <v>669.21</v>
      </c>
      <c r="Q99" s="635">
        <v>0</v>
      </c>
      <c r="R99" s="513">
        <v>25161.049999999985</v>
      </c>
      <c r="S99" s="635">
        <v>0</v>
      </c>
      <c r="T99" s="513">
        <v>8260.4699999999975</v>
      </c>
      <c r="U99" s="635">
        <v>0</v>
      </c>
      <c r="V99" s="513">
        <v>12280</v>
      </c>
      <c r="W99" s="512">
        <v>0</v>
      </c>
      <c r="X99" s="513">
        <v>2457</v>
      </c>
      <c r="Y99" s="513">
        <v>0</v>
      </c>
      <c r="Z99" s="513">
        <v>106828.40000000002</v>
      </c>
      <c r="AA99" s="513">
        <v>0</v>
      </c>
      <c r="AB99" s="513">
        <v>9312.5799999999981</v>
      </c>
      <c r="AC99" s="513">
        <v>0</v>
      </c>
      <c r="AD99" s="513">
        <v>122674.11000000004</v>
      </c>
      <c r="AE99" s="513">
        <v>0</v>
      </c>
      <c r="AF99" s="1044">
        <v>2211.65</v>
      </c>
      <c r="AG99" s="513">
        <v>0</v>
      </c>
    </row>
    <row r="100" spans="3:33">
      <c r="C100" s="1" t="s">
        <v>409</v>
      </c>
      <c r="D100" s="1"/>
      <c r="E100" s="513">
        <v>0</v>
      </c>
      <c r="F100" s="513">
        <v>1818345.96</v>
      </c>
      <c r="G100" s="513">
        <v>0</v>
      </c>
      <c r="H100" s="513">
        <v>76493.720000000409</v>
      </c>
      <c r="I100" s="513">
        <v>0</v>
      </c>
      <c r="J100" s="513">
        <v>0</v>
      </c>
      <c r="K100" s="513">
        <v>0</v>
      </c>
      <c r="L100" s="513">
        <v>0</v>
      </c>
      <c r="M100" s="513">
        <v>0</v>
      </c>
      <c r="N100" s="513">
        <v>0</v>
      </c>
      <c r="O100" s="4">
        <v>0</v>
      </c>
      <c r="P100" s="513">
        <v>0</v>
      </c>
      <c r="Q100" s="635">
        <v>0</v>
      </c>
      <c r="R100" s="513">
        <v>0</v>
      </c>
      <c r="S100" s="635">
        <v>0</v>
      </c>
      <c r="T100" s="513">
        <v>0</v>
      </c>
      <c r="U100" s="635">
        <v>0</v>
      </c>
      <c r="V100" s="513">
        <v>0</v>
      </c>
      <c r="W100" s="512">
        <v>0</v>
      </c>
      <c r="X100" s="513">
        <v>0</v>
      </c>
      <c r="Y100" s="513">
        <v>0</v>
      </c>
      <c r="Z100" s="513">
        <v>0</v>
      </c>
      <c r="AA100" s="513">
        <v>0</v>
      </c>
      <c r="AB100" s="513">
        <v>0</v>
      </c>
      <c r="AC100" s="513">
        <v>0</v>
      </c>
      <c r="AD100" s="513">
        <v>0</v>
      </c>
      <c r="AE100" s="513">
        <v>0</v>
      </c>
      <c r="AF100" s="513">
        <v>0</v>
      </c>
      <c r="AG100" s="513">
        <v>0</v>
      </c>
    </row>
    <row r="101" spans="3:33">
      <c r="C101" s="1" t="s">
        <v>410</v>
      </c>
      <c r="D101" s="1"/>
      <c r="E101" s="513">
        <v>0</v>
      </c>
      <c r="F101" s="513">
        <v>0</v>
      </c>
      <c r="G101" s="513">
        <v>0</v>
      </c>
      <c r="H101" s="513">
        <v>0</v>
      </c>
      <c r="I101" s="513">
        <v>0</v>
      </c>
      <c r="J101" s="513">
        <v>0</v>
      </c>
      <c r="K101" s="513">
        <v>0</v>
      </c>
      <c r="L101" s="513">
        <v>0</v>
      </c>
      <c r="M101" s="513">
        <v>0</v>
      </c>
      <c r="N101" s="513">
        <v>0</v>
      </c>
      <c r="O101" s="4">
        <v>0</v>
      </c>
      <c r="P101" s="513">
        <v>0</v>
      </c>
      <c r="Q101" s="635">
        <v>0</v>
      </c>
      <c r="R101" s="513">
        <v>0</v>
      </c>
      <c r="S101" s="635">
        <v>0</v>
      </c>
      <c r="T101" s="513">
        <v>0</v>
      </c>
      <c r="U101" s="635">
        <v>0</v>
      </c>
      <c r="V101" s="513">
        <v>0</v>
      </c>
      <c r="W101" s="512">
        <v>0</v>
      </c>
      <c r="X101" s="513">
        <v>0</v>
      </c>
      <c r="Y101" s="513">
        <v>0</v>
      </c>
      <c r="Z101" s="513">
        <v>0</v>
      </c>
      <c r="AA101" s="513">
        <v>0</v>
      </c>
      <c r="AB101" s="513">
        <v>0</v>
      </c>
      <c r="AC101" s="513">
        <v>0</v>
      </c>
      <c r="AD101" s="513">
        <v>0</v>
      </c>
      <c r="AE101" s="513">
        <v>0</v>
      </c>
      <c r="AF101" s="513">
        <v>0</v>
      </c>
      <c r="AG101" s="513">
        <v>0</v>
      </c>
    </row>
    <row r="102" spans="3:33">
      <c r="C102" s="1" t="s">
        <v>411</v>
      </c>
      <c r="D102" s="1"/>
      <c r="E102" s="513">
        <v>0</v>
      </c>
      <c r="F102" s="513">
        <v>1655903.9500000002</v>
      </c>
      <c r="G102" s="513">
        <v>0</v>
      </c>
      <c r="H102" s="513">
        <v>848495.53</v>
      </c>
      <c r="I102" s="513">
        <v>0</v>
      </c>
      <c r="J102" s="513">
        <v>35037.66999999986</v>
      </c>
      <c r="K102" s="513">
        <v>0</v>
      </c>
      <c r="L102" s="513">
        <v>70230.210000000006</v>
      </c>
      <c r="M102" s="513">
        <v>0</v>
      </c>
      <c r="N102" s="513">
        <v>7544.0599999999995</v>
      </c>
      <c r="O102" s="4">
        <v>0</v>
      </c>
      <c r="P102" s="513">
        <v>4767672.1299999757</v>
      </c>
      <c r="Q102" s="635">
        <v>0</v>
      </c>
      <c r="R102" s="513">
        <v>865096.40000000142</v>
      </c>
      <c r="S102" s="513">
        <v>5947824</v>
      </c>
      <c r="T102" s="513">
        <v>51390.280000000021</v>
      </c>
      <c r="U102" s="635">
        <v>0</v>
      </c>
      <c r="V102" s="513">
        <v>139791.88999999996</v>
      </c>
      <c r="W102" s="512">
        <v>0</v>
      </c>
      <c r="X102" s="513">
        <v>481459.07000000012</v>
      </c>
      <c r="Y102" s="513">
        <v>0</v>
      </c>
      <c r="Z102" s="513">
        <v>1704855.9100000001</v>
      </c>
      <c r="AA102" s="513">
        <v>2362639</v>
      </c>
      <c r="AB102" s="513">
        <v>66880.06</v>
      </c>
      <c r="AC102" s="513">
        <v>0</v>
      </c>
      <c r="AD102" s="513">
        <v>0</v>
      </c>
      <c r="AE102" s="513">
        <v>0</v>
      </c>
      <c r="AF102" s="513">
        <v>0</v>
      </c>
      <c r="AG102" s="513">
        <v>0</v>
      </c>
    </row>
    <row r="103" spans="3:33">
      <c r="C103" s="1" t="s">
        <v>417</v>
      </c>
      <c r="D103" s="1"/>
      <c r="E103" s="513">
        <v>0</v>
      </c>
      <c r="F103" s="513">
        <v>0</v>
      </c>
      <c r="G103" s="513">
        <v>0</v>
      </c>
      <c r="H103" s="513">
        <v>0</v>
      </c>
      <c r="I103" s="513">
        <v>0</v>
      </c>
      <c r="J103" s="513">
        <v>0</v>
      </c>
      <c r="K103" s="513">
        <v>0</v>
      </c>
      <c r="L103" s="513">
        <v>0</v>
      </c>
      <c r="M103" s="513">
        <v>0</v>
      </c>
      <c r="N103" s="513">
        <v>0</v>
      </c>
      <c r="O103" s="4">
        <v>0</v>
      </c>
      <c r="P103" s="513">
        <v>0</v>
      </c>
      <c r="Q103" s="635">
        <v>0</v>
      </c>
      <c r="R103" s="513">
        <v>0</v>
      </c>
      <c r="S103" s="635">
        <v>0</v>
      </c>
      <c r="T103" s="513">
        <v>0</v>
      </c>
      <c r="U103" s="635">
        <v>0</v>
      </c>
      <c r="V103" s="513">
        <v>0</v>
      </c>
      <c r="W103" s="512">
        <v>0</v>
      </c>
      <c r="X103" s="513">
        <v>0</v>
      </c>
      <c r="Y103" s="513">
        <v>0</v>
      </c>
      <c r="Z103" s="513">
        <v>0</v>
      </c>
      <c r="AA103" s="513">
        <v>0</v>
      </c>
      <c r="AB103" s="513">
        <v>0</v>
      </c>
      <c r="AC103" s="513">
        <v>0</v>
      </c>
      <c r="AD103" s="513">
        <v>0</v>
      </c>
      <c r="AE103" s="513">
        <v>0</v>
      </c>
      <c r="AF103" s="513">
        <v>0</v>
      </c>
      <c r="AG103" s="513">
        <v>0</v>
      </c>
    </row>
    <row r="104" spans="3:33">
      <c r="C104" s="1" t="s">
        <v>418</v>
      </c>
      <c r="D104" s="1"/>
      <c r="E104" s="513">
        <v>0</v>
      </c>
      <c r="F104" s="513">
        <v>0</v>
      </c>
      <c r="G104" s="513">
        <v>0</v>
      </c>
      <c r="H104" s="513">
        <v>0</v>
      </c>
      <c r="I104" s="513">
        <v>0</v>
      </c>
      <c r="J104" s="513">
        <v>0</v>
      </c>
      <c r="K104" s="513">
        <v>0</v>
      </c>
      <c r="L104" s="513">
        <v>0</v>
      </c>
      <c r="M104" s="513">
        <v>0</v>
      </c>
      <c r="N104" s="513">
        <v>0</v>
      </c>
      <c r="O104" s="4">
        <v>0</v>
      </c>
      <c r="P104" s="513">
        <v>0</v>
      </c>
      <c r="Q104" s="635">
        <v>0</v>
      </c>
      <c r="R104" s="513">
        <v>0</v>
      </c>
      <c r="S104" s="635">
        <v>0</v>
      </c>
      <c r="T104" s="513">
        <v>0</v>
      </c>
      <c r="U104" s="635">
        <v>0</v>
      </c>
      <c r="V104" s="513">
        <v>0</v>
      </c>
      <c r="W104" s="512">
        <v>0</v>
      </c>
      <c r="X104" s="513">
        <v>0</v>
      </c>
      <c r="Y104" s="513">
        <v>0</v>
      </c>
      <c r="Z104" s="513">
        <v>0</v>
      </c>
      <c r="AA104" s="513">
        <v>0</v>
      </c>
      <c r="AB104" s="513">
        <v>0</v>
      </c>
      <c r="AC104" s="513">
        <v>0</v>
      </c>
      <c r="AD104" s="513">
        <v>0</v>
      </c>
      <c r="AE104" s="513">
        <v>0</v>
      </c>
      <c r="AF104" s="513">
        <v>0</v>
      </c>
      <c r="AG104" s="513">
        <v>0</v>
      </c>
    </row>
    <row r="105" spans="3:33">
      <c r="C105" s="1" t="s">
        <v>419</v>
      </c>
      <c r="D105" s="1"/>
      <c r="E105" s="513">
        <v>0</v>
      </c>
      <c r="F105" s="513">
        <v>0</v>
      </c>
      <c r="G105" s="513">
        <v>0</v>
      </c>
      <c r="H105" s="513">
        <v>0</v>
      </c>
      <c r="I105" s="513">
        <v>0</v>
      </c>
      <c r="J105" s="513">
        <v>0</v>
      </c>
      <c r="K105" s="513">
        <v>0</v>
      </c>
      <c r="L105" s="513">
        <v>32908.230000000003</v>
      </c>
      <c r="M105" s="513">
        <v>0</v>
      </c>
      <c r="N105" s="513">
        <v>2905.7000000000003</v>
      </c>
      <c r="O105" s="4">
        <v>0</v>
      </c>
      <c r="P105" s="513">
        <v>9182.4499999999971</v>
      </c>
      <c r="Q105" s="635">
        <v>0</v>
      </c>
      <c r="R105" s="513">
        <v>34062.489999999969</v>
      </c>
      <c r="S105" s="635">
        <v>0</v>
      </c>
      <c r="T105" s="513">
        <v>12332.940000000008</v>
      </c>
      <c r="U105" s="635">
        <v>0</v>
      </c>
      <c r="V105" s="513">
        <v>10873.38</v>
      </c>
      <c r="W105" s="512">
        <v>0</v>
      </c>
      <c r="X105" s="513">
        <v>4126.5300000000007</v>
      </c>
      <c r="Y105" s="513">
        <v>0</v>
      </c>
      <c r="Z105" s="513">
        <v>-13459.160000000007</v>
      </c>
      <c r="AA105" s="513">
        <v>0</v>
      </c>
      <c r="AB105" s="513">
        <v>766.01</v>
      </c>
      <c r="AC105" s="513">
        <v>0</v>
      </c>
      <c r="AD105" s="513">
        <v>119.62</v>
      </c>
      <c r="AE105" s="513">
        <v>0</v>
      </c>
      <c r="AF105" s="1044">
        <v>755.39</v>
      </c>
      <c r="AG105" s="513">
        <v>0</v>
      </c>
    </row>
    <row r="106" spans="3:33">
      <c r="C106" s="1" t="s">
        <v>423</v>
      </c>
      <c r="D106" s="1"/>
      <c r="E106" s="513">
        <v>0</v>
      </c>
      <c r="F106" s="513">
        <v>79240.070000000007</v>
      </c>
      <c r="G106" s="513">
        <v>0</v>
      </c>
      <c r="H106" s="513">
        <v>46870.310000000005</v>
      </c>
      <c r="I106" s="513">
        <v>0</v>
      </c>
      <c r="J106" s="513">
        <v>14769.560000000005</v>
      </c>
      <c r="K106" s="513">
        <v>0</v>
      </c>
      <c r="L106" s="513">
        <v>39956.35</v>
      </c>
      <c r="M106" s="513">
        <v>0</v>
      </c>
      <c r="N106" s="513">
        <v>1405205.4499999997</v>
      </c>
      <c r="O106" s="512">
        <v>1577649</v>
      </c>
      <c r="P106" s="513">
        <v>234451.42999999991</v>
      </c>
      <c r="Q106" s="635">
        <v>0</v>
      </c>
      <c r="R106" s="513">
        <v>-148547.80999999997</v>
      </c>
      <c r="S106" s="635">
        <v>0</v>
      </c>
      <c r="T106" s="513">
        <v>0</v>
      </c>
      <c r="U106" s="635">
        <v>0</v>
      </c>
      <c r="V106" s="513">
        <v>0</v>
      </c>
      <c r="W106" s="512">
        <v>0</v>
      </c>
      <c r="X106" s="513">
        <v>0</v>
      </c>
      <c r="Y106" s="513">
        <v>0</v>
      </c>
      <c r="Z106" s="513">
        <v>0</v>
      </c>
      <c r="AA106" s="513">
        <v>0</v>
      </c>
      <c r="AB106" s="513">
        <v>0</v>
      </c>
      <c r="AC106" s="513">
        <v>0</v>
      </c>
      <c r="AD106" s="513">
        <v>0</v>
      </c>
      <c r="AE106" s="513">
        <v>0</v>
      </c>
      <c r="AF106" s="513">
        <v>0</v>
      </c>
      <c r="AG106" s="513">
        <v>0</v>
      </c>
    </row>
    <row r="107" spans="3:33">
      <c r="C107" s="1" t="s">
        <v>429</v>
      </c>
      <c r="D107" s="1"/>
      <c r="E107" s="513">
        <v>0</v>
      </c>
      <c r="F107" s="513">
        <v>918288.54999999993</v>
      </c>
      <c r="G107" s="513">
        <v>1075430</v>
      </c>
      <c r="H107" s="513">
        <v>2042.26</v>
      </c>
      <c r="I107" s="513">
        <v>0</v>
      </c>
      <c r="J107" s="513">
        <v>-1149.3800000000001</v>
      </c>
      <c r="K107" s="513">
        <v>0</v>
      </c>
      <c r="L107" s="513">
        <v>2811.17</v>
      </c>
      <c r="M107" s="513">
        <v>0</v>
      </c>
      <c r="N107" s="513">
        <v>0</v>
      </c>
      <c r="O107" s="4">
        <v>0</v>
      </c>
      <c r="P107" s="513">
        <v>0</v>
      </c>
      <c r="Q107" s="635">
        <v>0</v>
      </c>
      <c r="R107" s="513">
        <v>-3100.85</v>
      </c>
      <c r="S107" s="635">
        <v>0</v>
      </c>
      <c r="T107" s="513">
        <v>-1237.07</v>
      </c>
      <c r="U107" s="635">
        <v>0</v>
      </c>
      <c r="V107" s="513">
        <v>0</v>
      </c>
      <c r="W107" s="512">
        <v>0</v>
      </c>
      <c r="X107" s="513">
        <v>0</v>
      </c>
      <c r="Y107" s="513">
        <v>0</v>
      </c>
      <c r="Z107" s="513">
        <v>702795.79</v>
      </c>
      <c r="AA107" s="513">
        <v>0</v>
      </c>
      <c r="AB107" s="513">
        <v>197909.3</v>
      </c>
      <c r="AC107" s="513">
        <v>0</v>
      </c>
      <c r="AD107" s="513">
        <v>40270.879999999997</v>
      </c>
      <c r="AE107" s="513">
        <v>0</v>
      </c>
      <c r="AF107" s="1044">
        <v>7957.03</v>
      </c>
      <c r="AG107" s="513">
        <v>0</v>
      </c>
    </row>
    <row r="108" spans="3:33">
      <c r="C108" s="1" t="s">
        <v>433</v>
      </c>
      <c r="D108" s="1"/>
      <c r="E108" s="513">
        <v>0</v>
      </c>
      <c r="F108" s="513">
        <v>4205415.66</v>
      </c>
      <c r="G108" s="513">
        <v>6081727.0899999999</v>
      </c>
      <c r="H108" s="513">
        <v>364043.68</v>
      </c>
      <c r="I108" s="513">
        <v>0</v>
      </c>
      <c r="J108" s="513">
        <v>6698.1</v>
      </c>
      <c r="K108" s="513">
        <v>0</v>
      </c>
      <c r="L108" s="513">
        <v>0</v>
      </c>
      <c r="M108" s="513">
        <v>0</v>
      </c>
      <c r="N108" s="513">
        <v>0</v>
      </c>
      <c r="O108" s="4">
        <v>0</v>
      </c>
      <c r="P108" s="513">
        <v>0</v>
      </c>
      <c r="Q108" s="635">
        <v>0</v>
      </c>
      <c r="R108" s="513">
        <v>0</v>
      </c>
      <c r="S108" s="635">
        <v>0</v>
      </c>
      <c r="T108" s="513">
        <v>0</v>
      </c>
      <c r="U108" s="635">
        <v>0</v>
      </c>
      <c r="V108" s="513">
        <v>0</v>
      </c>
      <c r="W108" s="512">
        <v>0</v>
      </c>
      <c r="X108" s="513">
        <v>0</v>
      </c>
      <c r="Y108" s="513">
        <v>0</v>
      </c>
      <c r="Z108" s="513">
        <v>0</v>
      </c>
      <c r="AA108" s="513">
        <v>0</v>
      </c>
      <c r="AB108" s="513">
        <v>0</v>
      </c>
      <c r="AC108" s="513">
        <v>0</v>
      </c>
      <c r="AD108" s="513">
        <v>0</v>
      </c>
      <c r="AE108" s="513">
        <v>0</v>
      </c>
      <c r="AF108" s="513">
        <v>0</v>
      </c>
      <c r="AG108" s="513">
        <v>0</v>
      </c>
    </row>
    <row r="109" spans="3:33">
      <c r="C109" s="1" t="s">
        <v>438</v>
      </c>
      <c r="D109" s="1"/>
      <c r="E109" s="513">
        <v>0</v>
      </c>
      <c r="F109" s="513">
        <v>0</v>
      </c>
      <c r="G109" s="513">
        <v>0</v>
      </c>
      <c r="H109" s="513">
        <v>0</v>
      </c>
      <c r="I109" s="513">
        <v>0</v>
      </c>
      <c r="J109" s="513">
        <v>0</v>
      </c>
      <c r="K109" s="513">
        <v>0</v>
      </c>
      <c r="L109" s="513">
        <v>0</v>
      </c>
      <c r="M109" s="513">
        <v>0</v>
      </c>
      <c r="N109" s="513">
        <v>0</v>
      </c>
      <c r="O109" s="4">
        <v>0</v>
      </c>
      <c r="P109" s="513">
        <v>90685.150000000023</v>
      </c>
      <c r="Q109" s="635">
        <v>0</v>
      </c>
      <c r="R109" s="513">
        <v>38084.57</v>
      </c>
      <c r="S109" s="635">
        <v>0</v>
      </c>
      <c r="T109" s="513">
        <v>29981.85</v>
      </c>
      <c r="U109" s="635">
        <v>0</v>
      </c>
      <c r="V109" s="513">
        <v>36653.540000000023</v>
      </c>
      <c r="W109" s="512">
        <v>0</v>
      </c>
      <c r="X109" s="513">
        <v>184568.78999999998</v>
      </c>
      <c r="Y109" s="513">
        <v>0</v>
      </c>
      <c r="Z109" s="513">
        <v>63327.959999999992</v>
      </c>
      <c r="AA109" s="513">
        <v>0</v>
      </c>
      <c r="AB109" s="513">
        <v>116848.25999999998</v>
      </c>
      <c r="AC109" s="513">
        <v>0</v>
      </c>
      <c r="AD109" s="513">
        <v>441980.41</v>
      </c>
      <c r="AE109" s="513">
        <v>0</v>
      </c>
      <c r="AF109" s="1044">
        <v>1624942.13</v>
      </c>
      <c r="AG109" s="513">
        <v>0</v>
      </c>
    </row>
    <row r="110" spans="3:33">
      <c r="C110" s="1" t="s">
        <v>444</v>
      </c>
      <c r="D110" s="1"/>
      <c r="E110" s="513">
        <v>0</v>
      </c>
      <c r="F110" s="513">
        <v>19025.52</v>
      </c>
      <c r="G110" s="513">
        <v>0</v>
      </c>
      <c r="H110" s="513">
        <v>668418.75000000012</v>
      </c>
      <c r="I110" s="513">
        <v>847461</v>
      </c>
      <c r="J110" s="513">
        <v>5868.949999999928</v>
      </c>
      <c r="K110" s="513">
        <v>0</v>
      </c>
      <c r="L110" s="513">
        <v>-1392.4</v>
      </c>
      <c r="M110" s="513">
        <v>0</v>
      </c>
      <c r="N110" s="513">
        <v>-12978.56</v>
      </c>
      <c r="O110" s="4">
        <v>0</v>
      </c>
      <c r="P110" s="513">
        <v>0</v>
      </c>
      <c r="Q110" s="635">
        <v>0</v>
      </c>
      <c r="R110" s="513">
        <v>0</v>
      </c>
      <c r="S110" s="635">
        <v>0</v>
      </c>
      <c r="T110" s="513">
        <v>0</v>
      </c>
      <c r="U110" s="635">
        <v>0</v>
      </c>
      <c r="V110" s="513">
        <v>0</v>
      </c>
      <c r="W110" s="512">
        <v>0</v>
      </c>
      <c r="X110" s="513">
        <v>0</v>
      </c>
      <c r="Y110" s="513">
        <v>0</v>
      </c>
      <c r="Z110" s="513">
        <v>0</v>
      </c>
      <c r="AA110" s="513">
        <v>0</v>
      </c>
      <c r="AB110" s="513">
        <v>0</v>
      </c>
      <c r="AC110" s="513">
        <v>0</v>
      </c>
      <c r="AD110" s="513">
        <v>0</v>
      </c>
      <c r="AE110" s="513">
        <v>0</v>
      </c>
      <c r="AF110" s="513">
        <v>0</v>
      </c>
      <c r="AG110" s="513">
        <v>0</v>
      </c>
    </row>
    <row r="111" spans="3:33">
      <c r="C111" s="1" t="s">
        <v>448</v>
      </c>
      <c r="D111" s="1"/>
      <c r="E111" s="513">
        <v>0</v>
      </c>
      <c r="F111" s="513">
        <v>312216.70000000007</v>
      </c>
      <c r="G111" s="513">
        <v>0</v>
      </c>
      <c r="H111" s="513">
        <v>20891.490000000002</v>
      </c>
      <c r="I111" s="513">
        <v>0</v>
      </c>
      <c r="J111" s="513">
        <v>298.54000000000002</v>
      </c>
      <c r="K111" s="513">
        <v>0</v>
      </c>
      <c r="L111" s="513">
        <v>0</v>
      </c>
      <c r="M111" s="513">
        <v>0</v>
      </c>
      <c r="N111" s="513">
        <v>0</v>
      </c>
      <c r="O111" s="4">
        <v>0</v>
      </c>
      <c r="P111" s="513">
        <v>0</v>
      </c>
      <c r="Q111" s="635">
        <v>0</v>
      </c>
      <c r="R111" s="513">
        <v>0</v>
      </c>
      <c r="S111" s="635">
        <v>0</v>
      </c>
      <c r="T111" s="513">
        <v>0</v>
      </c>
      <c r="U111" s="635">
        <v>0</v>
      </c>
      <c r="V111" s="513">
        <v>0</v>
      </c>
      <c r="W111" s="512">
        <v>0</v>
      </c>
      <c r="X111" s="513">
        <v>0</v>
      </c>
      <c r="Y111" s="513">
        <v>0</v>
      </c>
      <c r="Z111" s="513">
        <v>0</v>
      </c>
      <c r="AA111" s="513">
        <v>0</v>
      </c>
      <c r="AB111" s="513">
        <v>0</v>
      </c>
      <c r="AC111" s="513">
        <v>0</v>
      </c>
      <c r="AD111" s="513">
        <v>0</v>
      </c>
      <c r="AE111" s="513">
        <v>0</v>
      </c>
      <c r="AF111" s="513">
        <v>0</v>
      </c>
      <c r="AG111" s="513">
        <v>0</v>
      </c>
    </row>
    <row r="112" spans="3:33">
      <c r="C112" s="1" t="s">
        <v>449</v>
      </c>
      <c r="D112" s="1"/>
      <c r="E112" s="513">
        <v>0</v>
      </c>
      <c r="F112" s="513">
        <v>0</v>
      </c>
      <c r="G112" s="513">
        <v>0</v>
      </c>
      <c r="H112" s="513">
        <v>0</v>
      </c>
      <c r="I112" s="513">
        <v>0</v>
      </c>
      <c r="J112" s="513">
        <v>0</v>
      </c>
      <c r="K112" s="513">
        <v>0</v>
      </c>
      <c r="L112" s="513">
        <v>0</v>
      </c>
      <c r="M112" s="513">
        <v>0</v>
      </c>
      <c r="N112" s="513">
        <v>0</v>
      </c>
      <c r="O112" s="4">
        <v>0</v>
      </c>
      <c r="P112" s="513">
        <v>0</v>
      </c>
      <c r="Q112" s="635">
        <v>0</v>
      </c>
      <c r="R112" s="513">
        <v>47611.039999999979</v>
      </c>
      <c r="S112" s="635">
        <v>0</v>
      </c>
      <c r="T112" s="513">
        <v>14255.210000000012</v>
      </c>
      <c r="U112" s="635">
        <v>0</v>
      </c>
      <c r="V112" s="513">
        <v>30838.149999999987</v>
      </c>
      <c r="W112" s="512">
        <v>0</v>
      </c>
      <c r="X112" s="513">
        <v>10047.839999999998</v>
      </c>
      <c r="Y112" s="513">
        <v>0</v>
      </c>
      <c r="Z112" s="513">
        <v>892326.03999999992</v>
      </c>
      <c r="AA112" s="513">
        <v>0</v>
      </c>
      <c r="AB112" s="513">
        <v>1223628.3700000001</v>
      </c>
      <c r="AC112" s="513">
        <v>0</v>
      </c>
      <c r="AD112" s="513">
        <v>195072.34</v>
      </c>
      <c r="AE112" s="513">
        <v>2323250.4299999983</v>
      </c>
      <c r="AF112" s="1044">
        <v>99321.2</v>
      </c>
      <c r="AG112" s="513">
        <v>0</v>
      </c>
    </row>
    <row r="113" spans="1:33">
      <c r="C113" s="1" t="s">
        <v>456</v>
      </c>
      <c r="D113" s="1"/>
      <c r="E113" s="513">
        <v>0</v>
      </c>
      <c r="F113" s="513">
        <v>299054.27</v>
      </c>
      <c r="G113" s="513">
        <v>0</v>
      </c>
      <c r="H113" s="513">
        <v>-187873.06</v>
      </c>
      <c r="I113" s="513">
        <v>0</v>
      </c>
      <c r="J113" s="513">
        <v>3646.3</v>
      </c>
      <c r="K113" s="513">
        <v>0</v>
      </c>
      <c r="L113" s="513">
        <v>0</v>
      </c>
      <c r="M113" s="513">
        <v>0</v>
      </c>
      <c r="N113" s="513">
        <v>0</v>
      </c>
      <c r="O113" s="4">
        <v>0</v>
      </c>
      <c r="P113" s="513">
        <v>0</v>
      </c>
      <c r="Q113" s="635">
        <v>0</v>
      </c>
      <c r="R113" s="513">
        <v>0</v>
      </c>
      <c r="S113" s="635">
        <v>0</v>
      </c>
      <c r="T113" s="513">
        <v>0</v>
      </c>
      <c r="U113" s="635">
        <v>0</v>
      </c>
      <c r="V113" s="513">
        <v>0</v>
      </c>
      <c r="W113" s="512">
        <v>0</v>
      </c>
      <c r="X113" s="513">
        <v>0</v>
      </c>
      <c r="Y113" s="513">
        <v>0</v>
      </c>
      <c r="Z113" s="513">
        <v>0</v>
      </c>
      <c r="AA113" s="513">
        <v>0</v>
      </c>
      <c r="AB113" s="513">
        <v>0</v>
      </c>
      <c r="AC113" s="513">
        <v>0</v>
      </c>
      <c r="AD113" s="513">
        <v>0</v>
      </c>
      <c r="AE113" s="513">
        <v>0</v>
      </c>
      <c r="AF113" s="513"/>
      <c r="AG113" s="513">
        <v>0</v>
      </c>
    </row>
    <row r="114" spans="1:33">
      <c r="C114" s="1" t="s">
        <v>457</v>
      </c>
      <c r="D114" s="1"/>
      <c r="E114" s="513">
        <v>0</v>
      </c>
      <c r="F114" s="513">
        <v>67536.11</v>
      </c>
      <c r="G114" s="513">
        <v>0</v>
      </c>
      <c r="H114" s="513">
        <v>130278.00000000001</v>
      </c>
      <c r="I114" s="513">
        <v>0</v>
      </c>
      <c r="J114" s="513">
        <v>103587.20000000003</v>
      </c>
      <c r="K114" s="513">
        <v>0</v>
      </c>
      <c r="L114" s="513">
        <v>1733361.06</v>
      </c>
      <c r="M114" s="513">
        <v>0</v>
      </c>
      <c r="N114" s="513">
        <v>400049.74</v>
      </c>
      <c r="O114" s="512">
        <v>2479259</v>
      </c>
      <c r="P114" s="513">
        <v>39178.450000000084</v>
      </c>
      <c r="Q114" s="635">
        <v>0</v>
      </c>
      <c r="R114" s="513">
        <v>28500.500000000018</v>
      </c>
      <c r="S114" s="635">
        <v>0</v>
      </c>
      <c r="T114" s="513">
        <v>-108316.86</v>
      </c>
      <c r="U114" s="635">
        <v>0</v>
      </c>
      <c r="V114" s="513">
        <v>30829.059999999998</v>
      </c>
      <c r="W114" s="512">
        <v>0</v>
      </c>
      <c r="X114" s="513">
        <v>16222.75</v>
      </c>
      <c r="Y114" s="513">
        <v>0</v>
      </c>
      <c r="Z114" s="513">
        <v>121505.34999999999</v>
      </c>
      <c r="AA114" s="513">
        <v>0</v>
      </c>
      <c r="AB114" s="513">
        <v>36208.86</v>
      </c>
      <c r="AC114" s="513">
        <v>0</v>
      </c>
      <c r="AD114" s="513">
        <v>52985.15</v>
      </c>
      <c r="AE114" s="513">
        <v>0</v>
      </c>
      <c r="AF114" s="1044">
        <v>1720100.04</v>
      </c>
      <c r="AG114" s="513">
        <v>0</v>
      </c>
    </row>
    <row r="115" spans="1:33">
      <c r="C115" s="1" t="s">
        <v>469</v>
      </c>
      <c r="D115" s="1"/>
      <c r="E115" s="513">
        <v>1226293</v>
      </c>
      <c r="F115" s="513">
        <v>1274696.21</v>
      </c>
      <c r="G115" s="513">
        <v>0</v>
      </c>
      <c r="H115" s="513">
        <v>1943188.77</v>
      </c>
      <c r="I115" s="513">
        <v>4507113</v>
      </c>
      <c r="J115" s="513">
        <v>6243623.0600000005</v>
      </c>
      <c r="K115" s="513">
        <v>3116086</v>
      </c>
      <c r="L115" s="513">
        <v>3598576.8699999996</v>
      </c>
      <c r="M115" s="513">
        <v>3116086</v>
      </c>
      <c r="N115" s="513">
        <v>928720.23</v>
      </c>
      <c r="O115" s="512">
        <v>0</v>
      </c>
      <c r="P115" s="513">
        <v>890881.85999999964</v>
      </c>
      <c r="Q115" s="512">
        <v>10757297</v>
      </c>
      <c r="R115" s="513">
        <v>158277.46999999991</v>
      </c>
      <c r="S115" s="635">
        <v>0</v>
      </c>
      <c r="T115" s="513">
        <v>340930.63000000018</v>
      </c>
      <c r="U115" s="635">
        <v>0</v>
      </c>
      <c r="V115" s="513">
        <v>233391.47999999992</v>
      </c>
      <c r="W115" s="512">
        <v>0</v>
      </c>
      <c r="X115" s="513">
        <v>1739283.2100000004</v>
      </c>
      <c r="Y115" s="513">
        <v>0</v>
      </c>
      <c r="Z115" s="513">
        <v>3194320.9399999995</v>
      </c>
      <c r="AA115" s="513">
        <v>3192566.41</v>
      </c>
      <c r="AB115" s="513">
        <v>1290332.8199999998</v>
      </c>
      <c r="AC115" s="513">
        <v>0</v>
      </c>
      <c r="AD115" s="513">
        <v>567739.94999999995</v>
      </c>
      <c r="AE115" s="513">
        <v>0</v>
      </c>
      <c r="AF115" s="1044">
        <v>1403336.52</v>
      </c>
      <c r="AG115" s="513">
        <v>1494757</v>
      </c>
    </row>
    <row r="116" spans="1:33" s="101" customFormat="1">
      <c r="A116" s="636"/>
      <c r="C116" s="480" t="s">
        <v>1801</v>
      </c>
      <c r="D116" s="480"/>
      <c r="E116" s="638"/>
      <c r="F116" s="638">
        <v>23214585.889999997</v>
      </c>
      <c r="G116" s="638">
        <v>12746561.59</v>
      </c>
      <c r="H116" s="638">
        <v>21129346.869999997</v>
      </c>
      <c r="I116" s="638">
        <v>29998333.780000001</v>
      </c>
      <c r="J116" s="638">
        <v>11946296.98</v>
      </c>
      <c r="K116" s="638">
        <v>22967786</v>
      </c>
      <c r="L116" s="638">
        <v>14003393.880000001</v>
      </c>
      <c r="M116" s="638">
        <v>6217585</v>
      </c>
      <c r="N116" s="638">
        <v>9145180.4299999997</v>
      </c>
      <c r="O116" s="638">
        <v>10904653</v>
      </c>
      <c r="P116" s="638">
        <v>15185529.359999975</v>
      </c>
      <c r="Q116" s="638">
        <v>16591559</v>
      </c>
      <c r="R116" s="638">
        <v>7023070.2200000016</v>
      </c>
      <c r="S116" s="638">
        <v>14808078.27</v>
      </c>
      <c r="T116" s="638">
        <v>14189370.809999995</v>
      </c>
      <c r="U116" s="639">
        <v>6137850</v>
      </c>
      <c r="V116" s="638">
        <v>12104662.839999961</v>
      </c>
      <c r="W116" s="638">
        <v>12759755</v>
      </c>
      <c r="X116" s="638">
        <v>6471738.5000000019</v>
      </c>
      <c r="Y116" s="638">
        <v>9632001.2200000007</v>
      </c>
      <c r="Z116" s="638">
        <v>12538501.33</v>
      </c>
      <c r="AA116" s="638">
        <v>14142762.189999923</v>
      </c>
      <c r="AB116" s="638">
        <v>4389370.17</v>
      </c>
      <c r="AC116" s="638">
        <v>0</v>
      </c>
      <c r="AD116" s="638">
        <f>SUM(AD29:AD115)</f>
        <v>6669126.9300000006</v>
      </c>
      <c r="AE116" s="638">
        <f t="shared" ref="AE116:AG116" si="2">SUM(AE29:AE115)</f>
        <v>2323250.4299999983</v>
      </c>
      <c r="AF116" s="638">
        <f t="shared" si="2"/>
        <v>8202341.8099999987</v>
      </c>
      <c r="AG116" s="638">
        <f t="shared" si="2"/>
        <v>6492611.29</v>
      </c>
    </row>
    <row r="117" spans="1:33">
      <c r="C117" s="640" t="s">
        <v>502</v>
      </c>
      <c r="D117" s="1"/>
      <c r="E117" s="513"/>
      <c r="F117" s="513"/>
      <c r="G117" s="513"/>
      <c r="H117" s="513"/>
      <c r="I117" s="513"/>
      <c r="J117" s="513"/>
      <c r="K117" s="513"/>
      <c r="L117" s="1"/>
      <c r="M117" s="513"/>
      <c r="N117" s="1"/>
      <c r="O117" s="4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513"/>
      <c r="AC117" s="513"/>
      <c r="AD117" s="513"/>
      <c r="AE117" s="513"/>
      <c r="AF117" s="513"/>
      <c r="AG117" s="513"/>
    </row>
    <row r="118" spans="1:33">
      <c r="C118" s="1" t="s">
        <v>503</v>
      </c>
      <c r="D118" s="1"/>
      <c r="E118" s="513">
        <v>0</v>
      </c>
      <c r="F118" s="513">
        <v>0</v>
      </c>
      <c r="G118" s="513">
        <v>0</v>
      </c>
      <c r="H118" s="513">
        <v>0</v>
      </c>
      <c r="I118" s="513">
        <v>0</v>
      </c>
      <c r="J118" s="513">
        <v>0</v>
      </c>
      <c r="K118" s="513">
        <v>0</v>
      </c>
      <c r="L118" s="513">
        <v>0</v>
      </c>
      <c r="M118" s="513">
        <v>0</v>
      </c>
      <c r="N118" s="513">
        <v>0</v>
      </c>
      <c r="O118" s="4">
        <v>0</v>
      </c>
      <c r="P118" s="513">
        <v>0</v>
      </c>
      <c r="Q118" s="635">
        <v>0</v>
      </c>
      <c r="R118" s="513">
        <v>0</v>
      </c>
      <c r="S118" s="635">
        <v>0</v>
      </c>
      <c r="T118" s="513">
        <v>0</v>
      </c>
      <c r="U118" s="635">
        <v>0</v>
      </c>
      <c r="V118" s="513">
        <v>0</v>
      </c>
      <c r="W118" s="512">
        <v>0</v>
      </c>
      <c r="X118" s="513">
        <v>0</v>
      </c>
      <c r="Y118" s="513">
        <v>0</v>
      </c>
      <c r="Z118" s="513">
        <v>0</v>
      </c>
      <c r="AA118" s="513">
        <v>0</v>
      </c>
      <c r="AB118" s="513">
        <v>0</v>
      </c>
      <c r="AC118" s="513">
        <v>0</v>
      </c>
      <c r="AD118" s="513">
        <v>0</v>
      </c>
      <c r="AE118" s="513">
        <v>0</v>
      </c>
      <c r="AF118" s="513">
        <v>0</v>
      </c>
      <c r="AG118" s="513">
        <v>0</v>
      </c>
    </row>
    <row r="119" spans="1:33" s="101" customFormat="1">
      <c r="A119" s="636"/>
      <c r="C119" s="480" t="s">
        <v>1802</v>
      </c>
      <c r="D119" s="480"/>
      <c r="E119" s="638"/>
      <c r="F119" s="638">
        <v>0</v>
      </c>
      <c r="G119" s="638">
        <v>0</v>
      </c>
      <c r="H119" s="638">
        <v>0</v>
      </c>
      <c r="I119" s="638">
        <v>0</v>
      </c>
      <c r="J119" s="638">
        <v>0</v>
      </c>
      <c r="K119" s="638">
        <v>0</v>
      </c>
      <c r="L119" s="638">
        <v>0</v>
      </c>
      <c r="M119" s="638">
        <v>0</v>
      </c>
      <c r="N119" s="638">
        <v>0</v>
      </c>
      <c r="O119" s="638">
        <v>0</v>
      </c>
      <c r="P119" s="638">
        <v>0</v>
      </c>
      <c r="Q119" s="638">
        <v>0</v>
      </c>
      <c r="R119" s="638">
        <v>0</v>
      </c>
      <c r="S119" s="638">
        <v>0</v>
      </c>
      <c r="T119" s="638">
        <v>0</v>
      </c>
      <c r="U119" s="638">
        <v>0</v>
      </c>
      <c r="V119" s="638">
        <v>0</v>
      </c>
      <c r="W119" s="638">
        <v>0</v>
      </c>
      <c r="X119" s="638">
        <v>0</v>
      </c>
      <c r="Y119" s="638">
        <v>0</v>
      </c>
      <c r="Z119" s="638">
        <v>0</v>
      </c>
      <c r="AA119" s="638">
        <v>0</v>
      </c>
      <c r="AB119" s="638">
        <v>0</v>
      </c>
      <c r="AC119" s="638">
        <v>0</v>
      </c>
      <c r="AD119" s="638">
        <f>SUM(AD118)</f>
        <v>0</v>
      </c>
      <c r="AE119" s="638">
        <f t="shared" ref="AE119:AG119" si="3">SUM(AE118)</f>
        <v>0</v>
      </c>
      <c r="AF119" s="638">
        <f t="shared" si="3"/>
        <v>0</v>
      </c>
      <c r="AG119" s="638">
        <f t="shared" si="3"/>
        <v>0</v>
      </c>
    </row>
    <row r="120" spans="1:33">
      <c r="C120" s="640" t="s">
        <v>504</v>
      </c>
      <c r="D120" s="1"/>
      <c r="E120" s="513"/>
      <c r="F120" s="513"/>
      <c r="G120" s="513"/>
      <c r="H120" s="513"/>
      <c r="I120" s="513"/>
      <c r="J120" s="513"/>
      <c r="K120" s="513"/>
      <c r="L120" s="1"/>
      <c r="M120" s="513"/>
      <c r="N120" s="1"/>
      <c r="O120" s="4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513"/>
      <c r="AC120" s="513"/>
      <c r="AD120" s="513"/>
      <c r="AE120" s="513"/>
      <c r="AF120" s="513"/>
      <c r="AG120" s="513"/>
    </row>
    <row r="121" spans="1:33">
      <c r="C121" s="1" t="s">
        <v>505</v>
      </c>
      <c r="D121" s="1"/>
      <c r="E121" s="513">
        <v>0</v>
      </c>
      <c r="F121" s="513">
        <v>0</v>
      </c>
      <c r="G121" s="513">
        <v>0</v>
      </c>
      <c r="H121" s="513">
        <v>0</v>
      </c>
      <c r="I121" s="513">
        <v>0</v>
      </c>
      <c r="J121" s="513">
        <v>0</v>
      </c>
      <c r="K121" s="513">
        <v>0</v>
      </c>
      <c r="L121" s="513">
        <v>0</v>
      </c>
      <c r="M121" s="513">
        <v>0</v>
      </c>
      <c r="N121" s="513">
        <v>0</v>
      </c>
      <c r="O121" s="4">
        <v>0</v>
      </c>
      <c r="P121" s="513">
        <v>0</v>
      </c>
      <c r="Q121" s="635">
        <v>0</v>
      </c>
      <c r="R121" s="513">
        <v>0</v>
      </c>
      <c r="S121" s="635">
        <v>0</v>
      </c>
      <c r="T121" s="513">
        <v>0</v>
      </c>
      <c r="U121" s="635">
        <v>0</v>
      </c>
      <c r="V121" s="513">
        <v>8617.1700000000019</v>
      </c>
      <c r="W121" s="512">
        <v>0</v>
      </c>
      <c r="X121" s="513">
        <v>220487.63999999998</v>
      </c>
      <c r="Y121" s="513">
        <v>0</v>
      </c>
      <c r="Z121" s="513">
        <v>360911.61000000004</v>
      </c>
      <c r="AA121" s="513">
        <v>473446.0400000005</v>
      </c>
      <c r="AB121" s="513">
        <v>-130452.98999999999</v>
      </c>
      <c r="AC121" s="513">
        <v>0</v>
      </c>
      <c r="AD121" s="513">
        <v>0</v>
      </c>
      <c r="AE121" s="513">
        <v>0</v>
      </c>
      <c r="AF121" s="513">
        <v>0</v>
      </c>
      <c r="AG121" s="513">
        <v>0</v>
      </c>
    </row>
    <row r="122" spans="1:33">
      <c r="C122" s="1" t="s">
        <v>510</v>
      </c>
      <c r="D122" s="1"/>
      <c r="E122" s="513">
        <v>518951</v>
      </c>
      <c r="F122" s="513">
        <v>-27225.47</v>
      </c>
      <c r="G122" s="513">
        <v>0</v>
      </c>
      <c r="H122" s="513">
        <v>0</v>
      </c>
      <c r="I122" s="513">
        <v>0</v>
      </c>
      <c r="J122" s="513">
        <v>0</v>
      </c>
      <c r="K122" s="513">
        <v>0</v>
      </c>
      <c r="L122" s="513">
        <v>0</v>
      </c>
      <c r="M122" s="513">
        <v>0</v>
      </c>
      <c r="N122" s="513">
        <v>0</v>
      </c>
      <c r="O122" s="4">
        <v>0</v>
      </c>
      <c r="P122" s="513">
        <v>0</v>
      </c>
      <c r="Q122" s="635">
        <v>0</v>
      </c>
      <c r="R122" s="513">
        <v>0</v>
      </c>
      <c r="S122" s="635">
        <v>0</v>
      </c>
      <c r="T122" s="513">
        <v>0</v>
      </c>
      <c r="U122" s="635">
        <v>0</v>
      </c>
      <c r="V122" s="513">
        <v>0</v>
      </c>
      <c r="W122" s="512">
        <v>0</v>
      </c>
      <c r="X122" s="513">
        <v>0</v>
      </c>
      <c r="Y122" s="513">
        <v>0</v>
      </c>
      <c r="Z122" s="513">
        <v>0</v>
      </c>
      <c r="AA122" s="513">
        <v>0</v>
      </c>
      <c r="AB122" s="513">
        <v>0</v>
      </c>
      <c r="AC122" s="513">
        <v>0</v>
      </c>
      <c r="AD122" s="513">
        <v>0</v>
      </c>
      <c r="AE122" s="513">
        <v>0</v>
      </c>
      <c r="AF122" s="513">
        <v>0</v>
      </c>
      <c r="AG122" s="513">
        <v>0</v>
      </c>
    </row>
    <row r="123" spans="1:33" s="101" customFormat="1">
      <c r="A123" s="636"/>
      <c r="C123" s="480" t="s">
        <v>1803</v>
      </c>
      <c r="D123" s="480"/>
      <c r="E123" s="638"/>
      <c r="F123" s="638">
        <v>-27225.47</v>
      </c>
      <c r="G123" s="638">
        <v>0</v>
      </c>
      <c r="H123" s="638">
        <v>0</v>
      </c>
      <c r="I123" s="638">
        <v>0</v>
      </c>
      <c r="J123" s="638">
        <v>0</v>
      </c>
      <c r="K123" s="638">
        <v>0</v>
      </c>
      <c r="L123" s="638">
        <v>0</v>
      </c>
      <c r="M123" s="638">
        <v>0</v>
      </c>
      <c r="N123" s="638">
        <v>0</v>
      </c>
      <c r="O123" s="638">
        <v>0</v>
      </c>
      <c r="P123" s="638">
        <v>0</v>
      </c>
      <c r="Q123" s="638">
        <v>0</v>
      </c>
      <c r="R123" s="638">
        <v>0</v>
      </c>
      <c r="S123" s="638">
        <v>0</v>
      </c>
      <c r="T123" s="638">
        <v>0</v>
      </c>
      <c r="U123" s="638">
        <v>0</v>
      </c>
      <c r="V123" s="638">
        <v>8617.1700000000019</v>
      </c>
      <c r="W123" s="638">
        <v>0</v>
      </c>
      <c r="X123" s="638">
        <v>220487.63999999998</v>
      </c>
      <c r="Y123" s="638">
        <v>0</v>
      </c>
      <c r="Z123" s="638">
        <v>360911.61000000004</v>
      </c>
      <c r="AA123" s="638">
        <v>473446.0400000005</v>
      </c>
      <c r="AB123" s="638">
        <v>-130452.98999999999</v>
      </c>
      <c r="AC123" s="638">
        <v>0</v>
      </c>
      <c r="AD123" s="638">
        <f>SUM(AD121:AD122)</f>
        <v>0</v>
      </c>
      <c r="AE123" s="638">
        <f t="shared" ref="AE123:AG123" si="4">SUM(AE121:AE122)</f>
        <v>0</v>
      </c>
      <c r="AF123" s="638">
        <f t="shared" si="4"/>
        <v>0</v>
      </c>
      <c r="AG123" s="638">
        <f t="shared" si="4"/>
        <v>0</v>
      </c>
    </row>
    <row r="124" spans="1:33">
      <c r="C124" s="640" t="s">
        <v>514</v>
      </c>
      <c r="D124" s="1"/>
      <c r="E124" s="513"/>
      <c r="F124" s="513"/>
      <c r="G124" s="513"/>
      <c r="H124" s="513"/>
      <c r="I124" s="513"/>
      <c r="J124" s="513"/>
      <c r="K124" s="513"/>
      <c r="L124" s="1"/>
      <c r="M124" s="513"/>
      <c r="N124" s="1"/>
      <c r="O124" s="4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513"/>
      <c r="AC124" s="513"/>
      <c r="AD124" s="513"/>
      <c r="AE124" s="513"/>
      <c r="AF124" s="513"/>
      <c r="AG124" s="513"/>
    </row>
    <row r="125" spans="1:33">
      <c r="C125" s="1" t="s">
        <v>515</v>
      </c>
      <c r="D125" s="1"/>
      <c r="E125" s="513">
        <v>0</v>
      </c>
      <c r="F125" s="513">
        <v>0</v>
      </c>
      <c r="G125" s="513">
        <v>0</v>
      </c>
      <c r="H125" s="513">
        <v>0</v>
      </c>
      <c r="I125" s="513">
        <v>0</v>
      </c>
      <c r="J125" s="513">
        <v>0</v>
      </c>
      <c r="K125" s="513">
        <v>0</v>
      </c>
      <c r="L125" s="513">
        <v>0</v>
      </c>
      <c r="M125" s="513">
        <v>0</v>
      </c>
      <c r="N125" s="513">
        <v>0</v>
      </c>
      <c r="O125" s="4">
        <v>0</v>
      </c>
      <c r="P125" s="513">
        <v>0</v>
      </c>
      <c r="Q125" s="635">
        <v>0</v>
      </c>
      <c r="R125" s="513">
        <v>0</v>
      </c>
      <c r="S125" s="635">
        <v>0</v>
      </c>
      <c r="T125" s="513">
        <v>0</v>
      </c>
      <c r="U125" s="635">
        <v>0</v>
      </c>
      <c r="V125" s="513">
        <v>0</v>
      </c>
      <c r="W125" s="512">
        <v>0</v>
      </c>
      <c r="X125" s="513">
        <v>0</v>
      </c>
      <c r="Y125" s="513">
        <v>0</v>
      </c>
      <c r="Z125" s="513">
        <v>0</v>
      </c>
      <c r="AA125" s="513">
        <v>0</v>
      </c>
      <c r="AB125" s="513">
        <v>0</v>
      </c>
      <c r="AC125" s="513">
        <v>0</v>
      </c>
      <c r="AD125" s="513">
        <v>0</v>
      </c>
      <c r="AE125" s="513">
        <v>0</v>
      </c>
      <c r="AF125" s="513">
        <v>0</v>
      </c>
      <c r="AG125" s="513">
        <v>0</v>
      </c>
    </row>
    <row r="126" spans="1:33">
      <c r="C126" s="1" t="s">
        <v>516</v>
      </c>
      <c r="D126" s="1"/>
      <c r="E126" s="513">
        <v>0</v>
      </c>
      <c r="F126" s="513">
        <v>0</v>
      </c>
      <c r="G126" s="513">
        <v>0</v>
      </c>
      <c r="H126" s="513">
        <v>0</v>
      </c>
      <c r="I126" s="513">
        <v>0</v>
      </c>
      <c r="J126" s="513">
        <v>0</v>
      </c>
      <c r="K126" s="513">
        <v>0</v>
      </c>
      <c r="L126" s="513">
        <v>0</v>
      </c>
      <c r="M126" s="513">
        <v>0</v>
      </c>
      <c r="N126" s="513">
        <v>0</v>
      </c>
      <c r="O126" s="4">
        <v>0</v>
      </c>
      <c r="P126" s="513">
        <v>0</v>
      </c>
      <c r="Q126" s="635">
        <v>0</v>
      </c>
      <c r="R126" s="513">
        <v>0</v>
      </c>
      <c r="S126" s="635">
        <v>0</v>
      </c>
      <c r="T126" s="513">
        <v>0</v>
      </c>
      <c r="U126" s="635">
        <v>0</v>
      </c>
      <c r="V126" s="513">
        <v>0</v>
      </c>
      <c r="W126" s="512">
        <v>0</v>
      </c>
      <c r="X126" s="513">
        <v>0</v>
      </c>
      <c r="Y126" s="513">
        <v>0</v>
      </c>
      <c r="Z126" s="513">
        <v>0</v>
      </c>
      <c r="AA126" s="513">
        <v>0</v>
      </c>
      <c r="AB126" s="513">
        <v>0</v>
      </c>
      <c r="AC126" s="513">
        <v>0</v>
      </c>
      <c r="AD126" s="513">
        <v>0</v>
      </c>
      <c r="AE126" s="513">
        <v>0</v>
      </c>
      <c r="AF126" s="513">
        <v>0</v>
      </c>
      <c r="AG126" s="513">
        <v>0</v>
      </c>
    </row>
    <row r="127" spans="1:33">
      <c r="C127" s="1" t="s">
        <v>517</v>
      </c>
      <c r="D127" s="1"/>
      <c r="E127" s="513">
        <v>0</v>
      </c>
      <c r="F127" s="513">
        <v>0</v>
      </c>
      <c r="G127" s="513">
        <v>0</v>
      </c>
      <c r="H127" s="513">
        <v>0</v>
      </c>
      <c r="I127" s="513">
        <v>0</v>
      </c>
      <c r="J127" s="513">
        <v>0</v>
      </c>
      <c r="K127" s="513">
        <v>0</v>
      </c>
      <c r="L127" s="513">
        <v>0</v>
      </c>
      <c r="M127" s="513">
        <v>0</v>
      </c>
      <c r="N127" s="513">
        <v>0</v>
      </c>
      <c r="O127" s="4">
        <v>0</v>
      </c>
      <c r="P127" s="513">
        <v>0</v>
      </c>
      <c r="Q127" s="635">
        <v>0</v>
      </c>
      <c r="R127" s="513">
        <v>0</v>
      </c>
      <c r="S127" s="635">
        <v>0</v>
      </c>
      <c r="T127" s="513">
        <v>0</v>
      </c>
      <c r="U127" s="635">
        <v>0</v>
      </c>
      <c r="V127" s="513">
        <v>65821.699999999983</v>
      </c>
      <c r="W127" s="512">
        <v>0</v>
      </c>
      <c r="X127" s="513">
        <v>38391.539999999994</v>
      </c>
      <c r="Y127" s="513">
        <v>0</v>
      </c>
      <c r="Z127" s="513">
        <v>66160.23</v>
      </c>
      <c r="AA127" s="513">
        <v>0</v>
      </c>
      <c r="AB127" s="513">
        <v>3063898.18</v>
      </c>
      <c r="AC127" s="513">
        <v>0</v>
      </c>
      <c r="AD127" s="513">
        <v>496614.83999999997</v>
      </c>
      <c r="AE127" s="513">
        <v>3738154.5699999589</v>
      </c>
      <c r="AF127" s="1044">
        <v>-3158.2</v>
      </c>
      <c r="AG127" s="513">
        <v>0</v>
      </c>
    </row>
    <row r="128" spans="1:33">
      <c r="C128" s="1" t="s">
        <v>521</v>
      </c>
      <c r="D128" s="1"/>
      <c r="E128" s="513">
        <v>0</v>
      </c>
      <c r="F128" s="513">
        <v>0</v>
      </c>
      <c r="G128" s="513">
        <v>0</v>
      </c>
      <c r="H128" s="513">
        <v>0</v>
      </c>
      <c r="I128" s="513">
        <v>0</v>
      </c>
      <c r="J128" s="513">
        <v>0</v>
      </c>
      <c r="K128" s="513">
        <v>0</v>
      </c>
      <c r="L128" s="513">
        <v>0</v>
      </c>
      <c r="M128" s="513">
        <v>0</v>
      </c>
      <c r="N128" s="513">
        <v>51401.509999999995</v>
      </c>
      <c r="O128" s="4">
        <v>0</v>
      </c>
      <c r="P128" s="513">
        <v>47367.450000000004</v>
      </c>
      <c r="Q128" s="635">
        <v>0</v>
      </c>
      <c r="R128" s="513">
        <v>101531.07000000002</v>
      </c>
      <c r="S128" s="635">
        <v>0</v>
      </c>
      <c r="T128" s="513">
        <v>2175694.9799999972</v>
      </c>
      <c r="U128" s="513">
        <v>2646995</v>
      </c>
      <c r="V128" s="513">
        <v>193410.33999999997</v>
      </c>
      <c r="W128" s="512">
        <v>0</v>
      </c>
      <c r="X128" s="513">
        <v>6173.6500000000005</v>
      </c>
      <c r="Y128" s="513">
        <v>0</v>
      </c>
      <c r="Z128" s="513">
        <v>4193.07</v>
      </c>
      <c r="AA128" s="513">
        <v>0</v>
      </c>
      <c r="AB128" s="513">
        <v>0</v>
      </c>
      <c r="AC128" s="513">
        <v>0</v>
      </c>
      <c r="AD128" s="513">
        <v>0</v>
      </c>
      <c r="AE128" s="513">
        <v>0</v>
      </c>
      <c r="AF128" s="513">
        <v>0</v>
      </c>
      <c r="AG128" s="513">
        <v>0</v>
      </c>
    </row>
    <row r="129" spans="3:33">
      <c r="C129" s="1" t="s">
        <v>525</v>
      </c>
      <c r="D129" s="1"/>
      <c r="E129" s="513">
        <v>0</v>
      </c>
      <c r="F129" s="513">
        <v>162413.23000000001</v>
      </c>
      <c r="G129" s="513">
        <v>0</v>
      </c>
      <c r="H129" s="513">
        <v>0</v>
      </c>
      <c r="I129" s="513">
        <v>0</v>
      </c>
      <c r="J129" s="513">
        <v>0</v>
      </c>
      <c r="K129" s="513">
        <v>0</v>
      </c>
      <c r="L129" s="513">
        <v>0</v>
      </c>
      <c r="M129" s="513">
        <v>0</v>
      </c>
      <c r="N129" s="513">
        <v>0</v>
      </c>
      <c r="O129" s="4">
        <v>0</v>
      </c>
      <c r="P129" s="513">
        <v>0</v>
      </c>
      <c r="Q129" s="635">
        <v>0</v>
      </c>
      <c r="R129" s="513">
        <v>0</v>
      </c>
      <c r="S129" s="635">
        <v>0</v>
      </c>
      <c r="T129" s="513">
        <v>0</v>
      </c>
      <c r="U129" s="635">
        <v>0</v>
      </c>
      <c r="V129" s="513">
        <v>0</v>
      </c>
      <c r="W129" s="512">
        <v>0</v>
      </c>
      <c r="X129" s="513">
        <v>0</v>
      </c>
      <c r="Y129" s="513">
        <v>0</v>
      </c>
      <c r="Z129" s="513">
        <v>0</v>
      </c>
      <c r="AA129" s="513">
        <v>0</v>
      </c>
      <c r="AB129" s="513">
        <v>0</v>
      </c>
      <c r="AC129" s="513">
        <v>0</v>
      </c>
      <c r="AD129" s="513">
        <v>0</v>
      </c>
      <c r="AE129" s="513">
        <v>0</v>
      </c>
      <c r="AF129" s="513">
        <v>0</v>
      </c>
      <c r="AG129" s="513">
        <v>0</v>
      </c>
    </row>
    <row r="130" spans="3:33">
      <c r="C130" s="1" t="s">
        <v>526</v>
      </c>
      <c r="D130" s="1"/>
      <c r="E130" s="513">
        <v>0</v>
      </c>
      <c r="F130" s="513">
        <v>4877</v>
      </c>
      <c r="G130" s="513">
        <v>0</v>
      </c>
      <c r="H130" s="513">
        <v>0</v>
      </c>
      <c r="I130" s="513">
        <v>0</v>
      </c>
      <c r="J130" s="513">
        <v>0</v>
      </c>
      <c r="K130" s="513">
        <v>0</v>
      </c>
      <c r="L130" s="513">
        <v>0</v>
      </c>
      <c r="M130" s="513">
        <v>0</v>
      </c>
      <c r="N130" s="513">
        <v>0</v>
      </c>
      <c r="O130" s="4">
        <v>0</v>
      </c>
      <c r="P130" s="513">
        <v>0</v>
      </c>
      <c r="Q130" s="635">
        <v>0</v>
      </c>
      <c r="R130" s="513">
        <v>0</v>
      </c>
      <c r="S130" s="635">
        <v>0</v>
      </c>
      <c r="T130" s="513">
        <v>0</v>
      </c>
      <c r="U130" s="635">
        <v>0</v>
      </c>
      <c r="V130" s="513">
        <v>0</v>
      </c>
      <c r="W130" s="512">
        <v>0</v>
      </c>
      <c r="X130" s="513">
        <v>0</v>
      </c>
      <c r="Y130" s="513">
        <v>0</v>
      </c>
      <c r="Z130" s="513">
        <v>0</v>
      </c>
      <c r="AA130" s="513">
        <v>0</v>
      </c>
      <c r="AB130" s="513">
        <v>0</v>
      </c>
      <c r="AC130" s="513">
        <v>0</v>
      </c>
      <c r="AD130" s="513">
        <v>0</v>
      </c>
      <c r="AE130" s="513">
        <v>0</v>
      </c>
      <c r="AF130" s="513">
        <v>0</v>
      </c>
      <c r="AG130" s="513">
        <v>0</v>
      </c>
    </row>
    <row r="131" spans="3:33">
      <c r="C131" s="1" t="s">
        <v>527</v>
      </c>
      <c r="D131" s="1"/>
      <c r="E131" s="513">
        <v>0</v>
      </c>
      <c r="F131" s="513">
        <v>75372.800000000003</v>
      </c>
      <c r="G131" s="513">
        <v>0</v>
      </c>
      <c r="H131" s="513">
        <v>52703.679999999993</v>
      </c>
      <c r="I131" s="513">
        <v>0</v>
      </c>
      <c r="J131" s="513">
        <v>130250.31999999995</v>
      </c>
      <c r="K131" s="513">
        <v>0</v>
      </c>
      <c r="L131" s="513">
        <v>654113.52</v>
      </c>
      <c r="M131" s="513">
        <v>1047062</v>
      </c>
      <c r="N131" s="513">
        <v>-39565.040000000001</v>
      </c>
      <c r="O131" s="4">
        <v>0</v>
      </c>
      <c r="P131" s="513">
        <v>0</v>
      </c>
      <c r="Q131" s="635">
        <v>0</v>
      </c>
      <c r="R131" s="513">
        <v>0</v>
      </c>
      <c r="S131" s="635">
        <v>0</v>
      </c>
      <c r="T131" s="513">
        <v>0</v>
      </c>
      <c r="U131" s="635">
        <v>0</v>
      </c>
      <c r="V131" s="513">
        <v>0</v>
      </c>
      <c r="W131" s="512">
        <v>0</v>
      </c>
      <c r="X131" s="513">
        <v>0</v>
      </c>
      <c r="Y131" s="513">
        <v>0</v>
      </c>
      <c r="Z131" s="513">
        <v>0</v>
      </c>
      <c r="AA131" s="513">
        <v>0</v>
      </c>
      <c r="AB131" s="513">
        <v>0</v>
      </c>
      <c r="AC131" s="513">
        <v>0</v>
      </c>
      <c r="AD131" s="513">
        <v>0</v>
      </c>
      <c r="AE131" s="513">
        <v>0</v>
      </c>
      <c r="AF131" s="513">
        <v>0</v>
      </c>
      <c r="AG131" s="513">
        <v>0</v>
      </c>
    </row>
    <row r="132" spans="3:33">
      <c r="C132" s="1" t="s">
        <v>530</v>
      </c>
      <c r="D132" s="1"/>
      <c r="E132" s="513">
        <v>0</v>
      </c>
      <c r="F132" s="513">
        <v>0</v>
      </c>
      <c r="G132" s="513">
        <v>0</v>
      </c>
      <c r="H132" s="513">
        <v>0</v>
      </c>
      <c r="I132" s="513">
        <v>0</v>
      </c>
      <c r="J132" s="513">
        <v>0</v>
      </c>
      <c r="K132" s="513">
        <v>0</v>
      </c>
      <c r="L132" s="513">
        <v>0</v>
      </c>
      <c r="M132" s="513">
        <v>0</v>
      </c>
      <c r="N132" s="513">
        <v>13088.279999999999</v>
      </c>
      <c r="O132" s="4">
        <v>0</v>
      </c>
      <c r="P132" s="513">
        <v>178344.38999999996</v>
      </c>
      <c r="Q132" s="635">
        <v>0</v>
      </c>
      <c r="R132" s="513">
        <v>396346.62</v>
      </c>
      <c r="S132" s="635">
        <v>0</v>
      </c>
      <c r="T132" s="513">
        <v>179620.31000000003</v>
      </c>
      <c r="U132" s="635">
        <v>0</v>
      </c>
      <c r="V132" s="513">
        <v>866917.84000000008</v>
      </c>
      <c r="W132" s="512">
        <v>733204</v>
      </c>
      <c r="X132" s="513">
        <v>1888695.2300000002</v>
      </c>
      <c r="Y132" s="513">
        <v>2348409.4400000004</v>
      </c>
      <c r="Z132" s="513">
        <v>141750.01999999999</v>
      </c>
      <c r="AA132" s="513">
        <v>0</v>
      </c>
      <c r="AB132" s="513">
        <v>857388.16999999993</v>
      </c>
      <c r="AC132" s="513">
        <v>1386625.0299999998</v>
      </c>
      <c r="AD132" s="513">
        <v>-4806.54</v>
      </c>
      <c r="AE132" s="513">
        <v>0</v>
      </c>
      <c r="AF132" s="1044">
        <v>-33318.78</v>
      </c>
      <c r="AG132" s="513">
        <v>0</v>
      </c>
    </row>
    <row r="133" spans="3:33">
      <c r="C133" s="1" t="s">
        <v>540</v>
      </c>
      <c r="D133" s="1"/>
      <c r="E133" s="513">
        <v>0</v>
      </c>
      <c r="F133" s="513">
        <v>0</v>
      </c>
      <c r="G133" s="513">
        <v>0</v>
      </c>
      <c r="H133" s="513">
        <v>-4356</v>
      </c>
      <c r="I133" s="513">
        <v>0</v>
      </c>
      <c r="J133" s="513">
        <v>60852.28</v>
      </c>
      <c r="K133" s="513">
        <v>0</v>
      </c>
      <c r="L133" s="513">
        <v>315020.58999999997</v>
      </c>
      <c r="M133" s="513">
        <v>0</v>
      </c>
      <c r="N133" s="513">
        <v>438636.28</v>
      </c>
      <c r="O133" s="512">
        <v>814917</v>
      </c>
      <c r="P133" s="513">
        <v>170341.18000000002</v>
      </c>
      <c r="Q133" s="635">
        <v>0</v>
      </c>
      <c r="R133" s="513">
        <v>53822.01999999999</v>
      </c>
      <c r="S133" s="635">
        <v>0</v>
      </c>
      <c r="T133" s="513">
        <v>2711098.4399999985</v>
      </c>
      <c r="U133" s="513">
        <v>3552072</v>
      </c>
      <c r="V133" s="513">
        <v>569386.3899999992</v>
      </c>
      <c r="W133" s="512">
        <v>0</v>
      </c>
      <c r="X133" s="513">
        <v>1039.3900000000001</v>
      </c>
      <c r="Y133" s="513">
        <v>0</v>
      </c>
      <c r="Z133" s="513">
        <v>0</v>
      </c>
      <c r="AA133" s="513">
        <v>0</v>
      </c>
      <c r="AB133" s="513">
        <v>279918</v>
      </c>
      <c r="AC133" s="513">
        <v>0</v>
      </c>
      <c r="AD133" s="513">
        <v>47454.130000000005</v>
      </c>
      <c r="AE133" s="513">
        <v>0</v>
      </c>
      <c r="AF133" s="1044">
        <v>38495.090000000004</v>
      </c>
      <c r="AG133" s="513">
        <v>0</v>
      </c>
    </row>
    <row r="134" spans="3:33">
      <c r="C134" s="1" t="s">
        <v>552</v>
      </c>
      <c r="D134" s="1"/>
      <c r="E134" s="513">
        <v>0</v>
      </c>
      <c r="F134" s="513">
        <v>88963.209999999992</v>
      </c>
      <c r="G134" s="513">
        <v>0</v>
      </c>
      <c r="H134" s="513">
        <v>105561.87999999996</v>
      </c>
      <c r="I134" s="513">
        <v>0</v>
      </c>
      <c r="J134" s="513">
        <v>679222.45</v>
      </c>
      <c r="K134" s="513">
        <v>0</v>
      </c>
      <c r="L134" s="513">
        <v>4981298.2</v>
      </c>
      <c r="M134" s="513">
        <v>0</v>
      </c>
      <c r="N134" s="513">
        <v>-82720.409999999974</v>
      </c>
      <c r="O134" s="4">
        <v>0</v>
      </c>
      <c r="P134" s="513">
        <v>55972.66</v>
      </c>
      <c r="Q134" s="513">
        <v>6224124</v>
      </c>
      <c r="R134" s="513">
        <v>98621.25</v>
      </c>
      <c r="S134" s="635">
        <v>0</v>
      </c>
      <c r="T134" s="513">
        <v>41997.36</v>
      </c>
      <c r="U134" s="635">
        <v>0</v>
      </c>
      <c r="V134" s="513">
        <v>253305.61000000004</v>
      </c>
      <c r="W134" s="512">
        <v>0</v>
      </c>
      <c r="X134" s="513">
        <v>239064.31999999998</v>
      </c>
      <c r="Y134" s="513">
        <v>0</v>
      </c>
      <c r="Z134" s="513">
        <v>3668432.11</v>
      </c>
      <c r="AA134" s="513">
        <v>0</v>
      </c>
      <c r="AB134" s="513">
        <v>3701959.1700000004</v>
      </c>
      <c r="AC134" s="513">
        <v>7576596.370000001</v>
      </c>
      <c r="AD134" s="513">
        <v>7919.86</v>
      </c>
      <c r="AE134" s="513">
        <v>0</v>
      </c>
      <c r="AF134" s="1044">
        <v>2557.7799999999997</v>
      </c>
      <c r="AG134" s="513">
        <v>0</v>
      </c>
    </row>
    <row r="135" spans="3:33">
      <c r="C135" s="1" t="s">
        <v>561</v>
      </c>
      <c r="D135" s="1"/>
      <c r="E135" s="513">
        <v>0</v>
      </c>
      <c r="F135" s="513">
        <v>9522.66</v>
      </c>
      <c r="G135" s="513">
        <v>0</v>
      </c>
      <c r="H135" s="513">
        <v>4037.42</v>
      </c>
      <c r="I135" s="513">
        <v>0</v>
      </c>
      <c r="J135" s="513">
        <v>7442.78</v>
      </c>
      <c r="K135" s="513">
        <v>0</v>
      </c>
      <c r="L135" s="513">
        <v>0</v>
      </c>
      <c r="M135" s="513">
        <v>0</v>
      </c>
      <c r="N135" s="513">
        <v>0</v>
      </c>
      <c r="O135" s="4">
        <v>0</v>
      </c>
      <c r="P135" s="513">
        <v>0</v>
      </c>
      <c r="Q135" s="635">
        <v>0</v>
      </c>
      <c r="R135" s="513">
        <v>0</v>
      </c>
      <c r="S135" s="635">
        <v>0</v>
      </c>
      <c r="T135" s="513">
        <v>0</v>
      </c>
      <c r="U135" s="635">
        <v>0</v>
      </c>
      <c r="V135" s="513">
        <v>0</v>
      </c>
      <c r="W135" s="512">
        <v>0</v>
      </c>
      <c r="X135" s="513">
        <v>0</v>
      </c>
      <c r="Y135" s="513">
        <v>0</v>
      </c>
      <c r="Z135" s="513">
        <v>0</v>
      </c>
      <c r="AA135" s="513">
        <v>0</v>
      </c>
      <c r="AB135" s="513">
        <v>0</v>
      </c>
      <c r="AC135" s="513">
        <v>0</v>
      </c>
      <c r="AD135" s="513">
        <v>0</v>
      </c>
      <c r="AE135" s="513">
        <v>0</v>
      </c>
      <c r="AF135" s="513">
        <v>0</v>
      </c>
      <c r="AG135" s="513">
        <v>0</v>
      </c>
    </row>
    <row r="136" spans="3:33">
      <c r="C136" s="1" t="s">
        <v>562</v>
      </c>
      <c r="D136" s="1"/>
      <c r="E136" s="513">
        <v>0</v>
      </c>
      <c r="F136" s="513">
        <v>131528.55000000002</v>
      </c>
      <c r="G136" s="513">
        <v>0</v>
      </c>
      <c r="H136" s="513">
        <v>761439.19000000006</v>
      </c>
      <c r="I136" s="513">
        <v>0</v>
      </c>
      <c r="J136" s="513">
        <v>569126.99</v>
      </c>
      <c r="K136" s="513">
        <v>0</v>
      </c>
      <c r="L136" s="513">
        <v>1023562.58</v>
      </c>
      <c r="M136" s="513">
        <v>0</v>
      </c>
      <c r="N136" s="513">
        <v>4410.87</v>
      </c>
      <c r="O136" s="512">
        <v>2725454</v>
      </c>
      <c r="P136" s="513">
        <v>1223.3000000000002</v>
      </c>
      <c r="Q136" s="635">
        <v>0</v>
      </c>
      <c r="R136" s="513">
        <v>120782.08999999985</v>
      </c>
      <c r="S136" s="635">
        <v>0</v>
      </c>
      <c r="T136" s="513">
        <v>0</v>
      </c>
      <c r="U136" s="635">
        <v>0</v>
      </c>
      <c r="V136" s="513">
        <v>0</v>
      </c>
      <c r="W136" s="512">
        <v>0</v>
      </c>
      <c r="X136" s="513">
        <v>0</v>
      </c>
      <c r="Y136" s="513">
        <v>0</v>
      </c>
      <c r="Z136" s="513">
        <v>0</v>
      </c>
      <c r="AA136" s="513">
        <v>0</v>
      </c>
      <c r="AB136" s="513">
        <v>0</v>
      </c>
      <c r="AC136" s="513">
        <v>0</v>
      </c>
      <c r="AD136" s="513">
        <v>0</v>
      </c>
      <c r="AE136" s="513">
        <v>0</v>
      </c>
      <c r="AF136" s="513">
        <v>0</v>
      </c>
      <c r="AG136" s="513">
        <v>0</v>
      </c>
    </row>
    <row r="137" spans="3:33">
      <c r="C137" s="1" t="s">
        <v>567</v>
      </c>
      <c r="D137" s="1"/>
      <c r="E137" s="513">
        <v>0</v>
      </c>
      <c r="F137" s="513">
        <v>0</v>
      </c>
      <c r="G137" s="513">
        <v>0</v>
      </c>
      <c r="H137" s="513">
        <v>0</v>
      </c>
      <c r="I137" s="513">
        <v>0</v>
      </c>
      <c r="J137" s="513">
        <v>0</v>
      </c>
      <c r="K137" s="513">
        <v>0</v>
      </c>
      <c r="L137" s="513">
        <v>22932.3</v>
      </c>
      <c r="M137" s="513">
        <v>0</v>
      </c>
      <c r="N137" s="513">
        <v>199034.05</v>
      </c>
      <c r="O137" s="4">
        <v>0</v>
      </c>
      <c r="P137" s="513">
        <v>426166.3</v>
      </c>
      <c r="Q137" s="513">
        <v>655824</v>
      </c>
      <c r="R137" s="513">
        <v>365.93000000000006</v>
      </c>
      <c r="S137" s="635">
        <v>0</v>
      </c>
      <c r="T137" s="513">
        <v>0</v>
      </c>
      <c r="U137" s="635">
        <v>0</v>
      </c>
      <c r="V137" s="513">
        <v>0</v>
      </c>
      <c r="W137" s="512">
        <v>0</v>
      </c>
      <c r="X137" s="513">
        <v>0</v>
      </c>
      <c r="Y137" s="513">
        <v>0</v>
      </c>
      <c r="Z137" s="513">
        <v>0</v>
      </c>
      <c r="AA137" s="513">
        <v>0</v>
      </c>
      <c r="AB137" s="513">
        <v>0</v>
      </c>
      <c r="AC137" s="513">
        <v>0</v>
      </c>
      <c r="AD137" s="513">
        <v>0</v>
      </c>
      <c r="AE137" s="513">
        <v>0</v>
      </c>
      <c r="AF137" s="513">
        <v>0</v>
      </c>
      <c r="AG137" s="513">
        <v>0</v>
      </c>
    </row>
    <row r="138" spans="3:33">
      <c r="C138" s="1" t="s">
        <v>571</v>
      </c>
      <c r="D138" s="1"/>
      <c r="E138" s="513">
        <v>0</v>
      </c>
      <c r="F138" s="513">
        <v>0</v>
      </c>
      <c r="G138" s="513">
        <v>0</v>
      </c>
      <c r="H138" s="513">
        <v>-408558</v>
      </c>
      <c r="I138" s="513">
        <v>0</v>
      </c>
      <c r="J138" s="513">
        <v>0</v>
      </c>
      <c r="K138" s="513">
        <v>0</v>
      </c>
      <c r="L138" s="513">
        <v>0</v>
      </c>
      <c r="M138" s="513">
        <v>0</v>
      </c>
      <c r="N138" s="513">
        <v>0</v>
      </c>
      <c r="O138" s="4">
        <v>0</v>
      </c>
      <c r="P138" s="513">
        <v>45608.500000000022</v>
      </c>
      <c r="Q138" s="635">
        <v>0</v>
      </c>
      <c r="R138" s="513">
        <v>109642.45999999988</v>
      </c>
      <c r="S138" s="635">
        <v>0</v>
      </c>
      <c r="T138" s="513">
        <v>68755.960000000021</v>
      </c>
      <c r="U138" s="635">
        <v>0</v>
      </c>
      <c r="V138" s="513">
        <v>90457.03999999995</v>
      </c>
      <c r="W138" s="512">
        <v>0</v>
      </c>
      <c r="X138" s="513">
        <v>101476.83000000002</v>
      </c>
      <c r="Y138" s="513">
        <v>0</v>
      </c>
      <c r="Z138" s="513">
        <v>1417997.8900000001</v>
      </c>
      <c r="AA138" s="513">
        <v>1842408.17</v>
      </c>
      <c r="AB138" s="513">
        <v>8469.49</v>
      </c>
      <c r="AC138" s="513">
        <v>0</v>
      </c>
      <c r="AD138" s="513">
        <v>-26095.21999999999</v>
      </c>
      <c r="AE138" s="513">
        <v>0</v>
      </c>
      <c r="AF138" s="1044">
        <v>213.37</v>
      </c>
      <c r="AG138" s="513">
        <v>0</v>
      </c>
    </row>
    <row r="139" spans="3:33">
      <c r="C139" s="1" t="s">
        <v>578</v>
      </c>
      <c r="D139" s="1"/>
      <c r="E139" s="513">
        <v>0</v>
      </c>
      <c r="F139" s="513">
        <v>0</v>
      </c>
      <c r="G139" s="513">
        <v>0</v>
      </c>
      <c r="H139" s="513">
        <v>0</v>
      </c>
      <c r="I139" s="513">
        <v>0</v>
      </c>
      <c r="J139" s="513">
        <v>0</v>
      </c>
      <c r="K139" s="513">
        <v>0</v>
      </c>
      <c r="L139" s="513">
        <v>0</v>
      </c>
      <c r="M139" s="513">
        <v>0</v>
      </c>
      <c r="N139" s="513">
        <v>0</v>
      </c>
      <c r="O139" s="4">
        <v>0</v>
      </c>
      <c r="P139" s="513">
        <v>0</v>
      </c>
      <c r="Q139" s="635">
        <v>0</v>
      </c>
      <c r="R139" s="513">
        <v>0</v>
      </c>
      <c r="S139" s="635">
        <v>0</v>
      </c>
      <c r="T139" s="513">
        <v>0</v>
      </c>
      <c r="U139" s="635">
        <v>0</v>
      </c>
      <c r="V139" s="513">
        <v>0</v>
      </c>
      <c r="W139" s="512">
        <v>0</v>
      </c>
      <c r="X139" s="513">
        <v>0</v>
      </c>
      <c r="Y139" s="513">
        <v>0</v>
      </c>
      <c r="Z139" s="513">
        <v>0</v>
      </c>
      <c r="AA139" s="513">
        <v>0</v>
      </c>
      <c r="AB139" s="513">
        <v>0</v>
      </c>
      <c r="AC139" s="513">
        <v>0</v>
      </c>
      <c r="AD139" s="513">
        <v>0</v>
      </c>
      <c r="AE139" s="513">
        <v>0</v>
      </c>
      <c r="AF139" s="513">
        <v>0</v>
      </c>
      <c r="AG139" s="513">
        <v>0</v>
      </c>
    </row>
    <row r="140" spans="3:33">
      <c r="C140" s="1" t="s">
        <v>579</v>
      </c>
      <c r="D140" s="1"/>
      <c r="E140" s="513">
        <v>0</v>
      </c>
      <c r="F140" s="513">
        <v>0</v>
      </c>
      <c r="G140" s="513">
        <v>0</v>
      </c>
      <c r="H140" s="513">
        <v>0</v>
      </c>
      <c r="I140" s="513">
        <v>0</v>
      </c>
      <c r="J140" s="513">
        <v>0</v>
      </c>
      <c r="K140" s="513">
        <v>0</v>
      </c>
      <c r="L140" s="513">
        <v>0</v>
      </c>
      <c r="M140" s="513">
        <v>0</v>
      </c>
      <c r="N140" s="513">
        <v>0</v>
      </c>
      <c r="O140" s="4">
        <v>0</v>
      </c>
      <c r="P140" s="513">
        <v>0</v>
      </c>
      <c r="Q140" s="635">
        <v>0</v>
      </c>
      <c r="R140" s="513">
        <v>0</v>
      </c>
      <c r="S140" s="635">
        <v>0</v>
      </c>
      <c r="T140" s="513">
        <v>0</v>
      </c>
      <c r="U140" s="635">
        <v>0</v>
      </c>
      <c r="V140" s="513">
        <v>0</v>
      </c>
      <c r="W140" s="512">
        <v>0</v>
      </c>
      <c r="X140" s="513">
        <v>0</v>
      </c>
      <c r="Y140" s="513">
        <v>0</v>
      </c>
      <c r="Z140" s="513">
        <v>0</v>
      </c>
      <c r="AA140" s="513">
        <v>0</v>
      </c>
      <c r="AB140" s="513">
        <v>0</v>
      </c>
      <c r="AC140" s="513">
        <v>0</v>
      </c>
      <c r="AD140" s="513">
        <v>0</v>
      </c>
      <c r="AE140" s="513">
        <v>0</v>
      </c>
      <c r="AF140" s="513">
        <v>0</v>
      </c>
      <c r="AG140" s="513">
        <v>0</v>
      </c>
    </row>
    <row r="141" spans="3:33">
      <c r="C141" s="1" t="s">
        <v>580</v>
      </c>
      <c r="D141" s="1"/>
      <c r="E141" s="513">
        <v>0</v>
      </c>
      <c r="F141" s="513">
        <v>0</v>
      </c>
      <c r="G141" s="513">
        <v>0</v>
      </c>
      <c r="H141" s="513">
        <v>0</v>
      </c>
      <c r="I141" s="513">
        <v>0</v>
      </c>
      <c r="J141" s="513">
        <v>0</v>
      </c>
      <c r="K141" s="513">
        <v>0</v>
      </c>
      <c r="L141" s="513">
        <v>0</v>
      </c>
      <c r="M141" s="513">
        <v>0</v>
      </c>
      <c r="N141" s="513">
        <v>0</v>
      </c>
      <c r="O141" s="4">
        <v>0</v>
      </c>
      <c r="P141" s="513">
        <v>0</v>
      </c>
      <c r="Q141" s="635">
        <v>0</v>
      </c>
      <c r="R141" s="513">
        <v>0</v>
      </c>
      <c r="S141" s="635">
        <v>0</v>
      </c>
      <c r="T141" s="513">
        <v>0</v>
      </c>
      <c r="U141" s="635">
        <v>0</v>
      </c>
      <c r="V141" s="513">
        <v>0</v>
      </c>
      <c r="W141" s="512">
        <v>0</v>
      </c>
      <c r="X141" s="513">
        <v>0</v>
      </c>
      <c r="Y141" s="513">
        <v>0</v>
      </c>
      <c r="Z141" s="513">
        <v>0</v>
      </c>
      <c r="AA141" s="513">
        <v>0</v>
      </c>
      <c r="AB141" s="513">
        <v>0</v>
      </c>
      <c r="AC141" s="513">
        <v>0</v>
      </c>
      <c r="AD141" s="513">
        <v>0</v>
      </c>
      <c r="AE141" s="513">
        <v>0</v>
      </c>
      <c r="AF141" s="513">
        <v>0</v>
      </c>
      <c r="AG141" s="513">
        <v>0</v>
      </c>
    </row>
    <row r="142" spans="3:33">
      <c r="C142" s="1" t="s">
        <v>581</v>
      </c>
      <c r="D142" s="1"/>
      <c r="E142" s="513">
        <v>0</v>
      </c>
      <c r="F142" s="513">
        <v>0</v>
      </c>
      <c r="G142" s="513">
        <v>0</v>
      </c>
      <c r="H142" s="513">
        <v>0</v>
      </c>
      <c r="I142" s="513">
        <v>0</v>
      </c>
      <c r="J142" s="513">
        <v>0</v>
      </c>
      <c r="K142" s="513">
        <v>0</v>
      </c>
      <c r="L142" s="513">
        <v>0</v>
      </c>
      <c r="M142" s="513">
        <v>0</v>
      </c>
      <c r="N142" s="513">
        <v>0</v>
      </c>
      <c r="O142" s="4">
        <v>0</v>
      </c>
      <c r="P142" s="513">
        <v>0</v>
      </c>
      <c r="Q142" s="635">
        <v>0</v>
      </c>
      <c r="R142" s="513">
        <v>0</v>
      </c>
      <c r="S142" s="635">
        <v>0</v>
      </c>
      <c r="T142" s="513">
        <v>0</v>
      </c>
      <c r="U142" s="635">
        <v>0</v>
      </c>
      <c r="V142" s="513">
        <v>0</v>
      </c>
      <c r="W142" s="512">
        <v>0</v>
      </c>
      <c r="X142" s="513">
        <v>0</v>
      </c>
      <c r="Y142" s="513">
        <v>0</v>
      </c>
      <c r="Z142" s="513">
        <v>0</v>
      </c>
      <c r="AA142" s="513">
        <v>0</v>
      </c>
      <c r="AB142" s="513">
        <v>0</v>
      </c>
      <c r="AC142" s="513">
        <v>0</v>
      </c>
      <c r="AD142" s="513">
        <v>0</v>
      </c>
      <c r="AE142" s="513">
        <v>0</v>
      </c>
      <c r="AF142" s="513">
        <v>0</v>
      </c>
      <c r="AG142" s="513">
        <v>0</v>
      </c>
    </row>
    <row r="143" spans="3:33">
      <c r="C143" s="1" t="s">
        <v>582</v>
      </c>
      <c r="D143" s="1"/>
      <c r="E143" s="513">
        <v>0</v>
      </c>
      <c r="F143" s="513">
        <v>8196.5300000000007</v>
      </c>
      <c r="G143" s="513">
        <v>0</v>
      </c>
      <c r="H143" s="513">
        <v>33088.729999999996</v>
      </c>
      <c r="I143" s="513">
        <v>0</v>
      </c>
      <c r="J143" s="513">
        <v>488678.18</v>
      </c>
      <c r="K143" s="513">
        <v>0</v>
      </c>
      <c r="L143" s="513">
        <v>825314.4</v>
      </c>
      <c r="M143" s="513">
        <v>0</v>
      </c>
      <c r="N143" s="513">
        <v>3798.2300000000009</v>
      </c>
      <c r="O143" s="4">
        <v>0</v>
      </c>
      <c r="P143" s="513">
        <v>-238.85</v>
      </c>
      <c r="Q143" s="635">
        <v>0</v>
      </c>
      <c r="R143" s="513">
        <v>-1412.5700000000004</v>
      </c>
      <c r="S143" s="635">
        <v>0</v>
      </c>
      <c r="T143" s="513">
        <v>0</v>
      </c>
      <c r="U143" s="635">
        <v>0</v>
      </c>
      <c r="V143" s="513">
        <v>0</v>
      </c>
      <c r="W143" s="512">
        <v>0</v>
      </c>
      <c r="X143" s="513">
        <v>0</v>
      </c>
      <c r="Y143" s="513">
        <v>1530842.87</v>
      </c>
      <c r="Z143" s="513">
        <v>1026.8699999999999</v>
      </c>
      <c r="AA143" s="513">
        <v>0</v>
      </c>
      <c r="AB143" s="513">
        <v>0</v>
      </c>
      <c r="AC143" s="513">
        <v>0</v>
      </c>
      <c r="AD143" s="513">
        <v>0</v>
      </c>
      <c r="AE143" s="513">
        <v>0</v>
      </c>
      <c r="AF143" s="513">
        <v>0</v>
      </c>
      <c r="AG143" s="513">
        <v>0</v>
      </c>
    </row>
    <row r="144" spans="3:33">
      <c r="C144" s="1" t="s">
        <v>585</v>
      </c>
      <c r="D144" s="1"/>
      <c r="E144" s="513">
        <v>0</v>
      </c>
      <c r="F144" s="513">
        <v>461593.99</v>
      </c>
      <c r="G144" s="513">
        <v>0</v>
      </c>
      <c r="H144" s="513">
        <v>352264.36</v>
      </c>
      <c r="I144" s="513">
        <v>0</v>
      </c>
      <c r="J144" s="513">
        <v>828040.86</v>
      </c>
      <c r="K144" s="513">
        <v>0</v>
      </c>
      <c r="L144" s="513">
        <v>-106501.31999999999</v>
      </c>
      <c r="M144" s="513">
        <v>0</v>
      </c>
      <c r="N144" s="513">
        <v>0</v>
      </c>
      <c r="O144" s="4">
        <v>0</v>
      </c>
      <c r="P144" s="513">
        <v>95145.72</v>
      </c>
      <c r="Q144" s="635">
        <v>0</v>
      </c>
      <c r="R144" s="513">
        <v>0</v>
      </c>
      <c r="S144" s="635">
        <v>0</v>
      </c>
      <c r="T144" s="513">
        <v>0</v>
      </c>
      <c r="U144" s="635">
        <v>0</v>
      </c>
      <c r="V144" s="513">
        <v>0</v>
      </c>
      <c r="W144" s="512">
        <v>0</v>
      </c>
      <c r="X144" s="513">
        <v>0</v>
      </c>
      <c r="Y144" s="513">
        <v>0</v>
      </c>
      <c r="Z144" s="513">
        <v>0</v>
      </c>
      <c r="AA144" s="513">
        <v>0</v>
      </c>
      <c r="AB144" s="513">
        <v>0</v>
      </c>
      <c r="AC144" s="513">
        <v>0</v>
      </c>
      <c r="AD144" s="513">
        <v>0</v>
      </c>
      <c r="AE144" s="513">
        <v>0</v>
      </c>
      <c r="AF144" s="513">
        <v>0</v>
      </c>
      <c r="AG144" s="513">
        <v>0</v>
      </c>
    </row>
    <row r="145" spans="1:33">
      <c r="C145" s="1" t="s">
        <v>589</v>
      </c>
      <c r="D145" s="1"/>
      <c r="E145" s="513">
        <v>0</v>
      </c>
      <c r="F145" s="513">
        <v>1210716.3300000003</v>
      </c>
      <c r="G145" s="513">
        <v>1339034</v>
      </c>
      <c r="H145" s="513">
        <v>29238.48</v>
      </c>
      <c r="I145" s="513">
        <v>0</v>
      </c>
      <c r="J145" s="513">
        <v>-2184.08</v>
      </c>
      <c r="K145" s="513">
        <v>0</v>
      </c>
      <c r="L145" s="513">
        <v>26.81</v>
      </c>
      <c r="M145" s="513">
        <v>0</v>
      </c>
      <c r="N145" s="513">
        <v>0</v>
      </c>
      <c r="O145" s="4">
        <v>0</v>
      </c>
      <c r="P145" s="513">
        <v>0</v>
      </c>
      <c r="Q145" s="635">
        <v>0</v>
      </c>
      <c r="R145" s="513">
        <v>-0.14000000000000001</v>
      </c>
      <c r="S145" s="635">
        <v>0</v>
      </c>
      <c r="T145" s="513">
        <v>0</v>
      </c>
      <c r="U145" s="635">
        <v>0</v>
      </c>
      <c r="V145" s="513">
        <v>261417.93000000011</v>
      </c>
      <c r="W145" s="512">
        <v>0</v>
      </c>
      <c r="X145" s="513">
        <v>68506.459999999992</v>
      </c>
      <c r="Y145" s="513">
        <v>0</v>
      </c>
      <c r="Z145" s="513">
        <v>542262.78999999992</v>
      </c>
      <c r="AA145" s="513">
        <v>0</v>
      </c>
      <c r="AB145" s="513">
        <v>155429.19</v>
      </c>
      <c r="AC145" s="513">
        <v>0</v>
      </c>
      <c r="AD145" s="513">
        <v>133836.18999999997</v>
      </c>
      <c r="AE145" s="513">
        <v>0</v>
      </c>
      <c r="AF145" s="1044">
        <v>409359.78</v>
      </c>
      <c r="AG145" s="513">
        <v>0</v>
      </c>
    </row>
    <row r="146" spans="1:33">
      <c r="C146" s="1" t="s">
        <v>596</v>
      </c>
      <c r="D146" s="1"/>
      <c r="E146" s="513">
        <v>0</v>
      </c>
      <c r="F146" s="513">
        <v>0</v>
      </c>
      <c r="G146" s="513">
        <v>0</v>
      </c>
      <c r="H146" s="513">
        <v>0</v>
      </c>
      <c r="I146" s="513">
        <v>0</v>
      </c>
      <c r="J146" s="513">
        <v>0</v>
      </c>
      <c r="K146" s="513">
        <v>0</v>
      </c>
      <c r="L146" s="513">
        <v>0</v>
      </c>
      <c r="M146" s="513">
        <v>0</v>
      </c>
      <c r="N146" s="513">
        <v>0</v>
      </c>
      <c r="O146" s="4">
        <v>0</v>
      </c>
      <c r="P146" s="513">
        <v>187168.74999999997</v>
      </c>
      <c r="Q146" s="635">
        <v>0</v>
      </c>
      <c r="R146" s="513">
        <v>299067.69000000012</v>
      </c>
      <c r="S146" s="635">
        <v>0</v>
      </c>
      <c r="T146" s="513">
        <v>1995279.87</v>
      </c>
      <c r="U146" s="513">
        <v>0</v>
      </c>
      <c r="V146" s="513">
        <v>2711039.4200000023</v>
      </c>
      <c r="W146" s="512">
        <v>5286650</v>
      </c>
      <c r="X146" s="513">
        <v>-35391.17</v>
      </c>
      <c r="Y146" s="513">
        <v>0</v>
      </c>
      <c r="Z146" s="513">
        <v>0</v>
      </c>
      <c r="AA146" s="513">
        <v>0</v>
      </c>
      <c r="AB146" s="513">
        <v>0</v>
      </c>
      <c r="AC146" s="513">
        <v>0</v>
      </c>
      <c r="AD146" s="513">
        <v>0</v>
      </c>
      <c r="AE146" s="513">
        <v>0</v>
      </c>
      <c r="AF146" s="513">
        <v>0</v>
      </c>
      <c r="AG146" s="513">
        <v>0</v>
      </c>
    </row>
    <row r="147" spans="1:33">
      <c r="C147" s="1" t="s">
        <v>599</v>
      </c>
      <c r="D147" s="1"/>
      <c r="E147" s="513">
        <v>0</v>
      </c>
      <c r="F147" s="513">
        <v>0</v>
      </c>
      <c r="G147" s="513">
        <v>0</v>
      </c>
      <c r="H147" s="513">
        <v>0</v>
      </c>
      <c r="I147" s="513">
        <v>0</v>
      </c>
      <c r="J147" s="513">
        <v>0</v>
      </c>
      <c r="K147" s="513">
        <v>0</v>
      </c>
      <c r="L147" s="513">
        <v>0</v>
      </c>
      <c r="M147" s="513">
        <v>0</v>
      </c>
      <c r="N147" s="513">
        <v>0</v>
      </c>
      <c r="O147" s="4">
        <v>0</v>
      </c>
      <c r="P147" s="513">
        <v>0</v>
      </c>
      <c r="Q147" s="635">
        <v>0</v>
      </c>
      <c r="R147" s="513">
        <v>0</v>
      </c>
      <c r="S147" s="635">
        <v>0</v>
      </c>
      <c r="T147" s="513">
        <v>0</v>
      </c>
      <c r="U147" s="635">
        <v>0</v>
      </c>
      <c r="V147" s="513">
        <v>0</v>
      </c>
      <c r="W147" s="512">
        <v>0</v>
      </c>
      <c r="X147" s="513">
        <v>0</v>
      </c>
      <c r="Y147" s="513">
        <v>0</v>
      </c>
      <c r="Z147" s="513">
        <v>0</v>
      </c>
      <c r="AA147" s="513">
        <v>0</v>
      </c>
      <c r="AB147" s="513">
        <v>0</v>
      </c>
      <c r="AC147" s="513">
        <v>0</v>
      </c>
      <c r="AD147" s="513">
        <v>31445.590000000004</v>
      </c>
      <c r="AE147" s="513">
        <v>0</v>
      </c>
      <c r="AF147" s="1044">
        <v>32461.510000000002</v>
      </c>
      <c r="AG147" s="513">
        <v>0</v>
      </c>
    </row>
    <row r="148" spans="1:33">
      <c r="C148" s="1" t="s">
        <v>603</v>
      </c>
      <c r="D148" s="1"/>
      <c r="E148" s="513">
        <v>0</v>
      </c>
      <c r="F148" s="513">
        <v>0</v>
      </c>
      <c r="G148" s="513">
        <v>0</v>
      </c>
      <c r="H148" s="513">
        <v>0</v>
      </c>
      <c r="I148" s="513">
        <v>0</v>
      </c>
      <c r="J148" s="513">
        <v>0</v>
      </c>
      <c r="K148" s="513">
        <v>0</v>
      </c>
      <c r="L148" s="513">
        <v>0</v>
      </c>
      <c r="M148" s="513">
        <v>0</v>
      </c>
      <c r="N148" s="513">
        <v>0</v>
      </c>
      <c r="O148" s="4">
        <v>0</v>
      </c>
      <c r="P148" s="513">
        <v>0</v>
      </c>
      <c r="Q148" s="635">
        <v>0</v>
      </c>
      <c r="R148" s="513">
        <v>0</v>
      </c>
      <c r="S148" s="635">
        <v>0</v>
      </c>
      <c r="T148" s="513">
        <v>0</v>
      </c>
      <c r="U148" s="635">
        <v>0</v>
      </c>
      <c r="V148" s="513">
        <v>0</v>
      </c>
      <c r="W148" s="512">
        <v>0</v>
      </c>
      <c r="X148" s="513">
        <v>0</v>
      </c>
      <c r="Y148" s="513">
        <v>0</v>
      </c>
      <c r="Z148" s="513">
        <v>0</v>
      </c>
      <c r="AA148" s="513">
        <v>0</v>
      </c>
      <c r="AB148" s="513">
        <v>0</v>
      </c>
      <c r="AC148" s="513">
        <v>0</v>
      </c>
      <c r="AD148" s="513">
        <v>0</v>
      </c>
      <c r="AE148" s="513">
        <v>0</v>
      </c>
      <c r="AF148" s="513">
        <v>0</v>
      </c>
      <c r="AG148" s="513">
        <v>0</v>
      </c>
    </row>
    <row r="149" spans="1:33">
      <c r="C149" s="1" t="s">
        <v>604</v>
      </c>
      <c r="D149" s="1"/>
      <c r="E149" s="513">
        <v>0</v>
      </c>
      <c r="F149" s="513">
        <v>1257082.3899999999</v>
      </c>
      <c r="G149" s="513">
        <v>0</v>
      </c>
      <c r="H149" s="513">
        <v>1369068</v>
      </c>
      <c r="I149" s="513">
        <v>0</v>
      </c>
      <c r="J149" s="513">
        <v>953889.54999999993</v>
      </c>
      <c r="K149" s="513">
        <v>2428301</v>
      </c>
      <c r="L149" s="513">
        <v>1284119.7000000002</v>
      </c>
      <c r="M149" s="513">
        <v>2428301</v>
      </c>
      <c r="N149" s="513">
        <v>166205.25</v>
      </c>
      <c r="O149" s="512">
        <v>2498464</v>
      </c>
      <c r="P149" s="513">
        <v>32188.510000000017</v>
      </c>
      <c r="Q149" s="635">
        <v>0</v>
      </c>
      <c r="R149" s="513">
        <v>-14256.51</v>
      </c>
      <c r="S149" s="635">
        <v>0</v>
      </c>
      <c r="T149" s="513">
        <v>0</v>
      </c>
      <c r="U149" s="635">
        <v>0</v>
      </c>
      <c r="V149" s="513">
        <v>0</v>
      </c>
      <c r="W149" s="512">
        <v>0</v>
      </c>
      <c r="X149" s="513">
        <v>0</v>
      </c>
      <c r="Y149" s="513">
        <v>0</v>
      </c>
      <c r="Z149" s="513">
        <v>0</v>
      </c>
      <c r="AA149" s="513">
        <v>0</v>
      </c>
      <c r="AB149" s="513">
        <v>0</v>
      </c>
      <c r="AC149" s="513">
        <v>0</v>
      </c>
      <c r="AD149" s="513">
        <v>0</v>
      </c>
      <c r="AE149" s="513">
        <v>0</v>
      </c>
      <c r="AF149" s="1044">
        <v>44394.94</v>
      </c>
      <c r="AG149" s="513">
        <v>0</v>
      </c>
    </row>
    <row r="150" spans="1:33">
      <c r="C150" s="1" t="s">
        <v>622</v>
      </c>
      <c r="D150" s="1"/>
      <c r="E150" s="513">
        <v>0</v>
      </c>
      <c r="F150" s="513">
        <v>422.79</v>
      </c>
      <c r="G150" s="513">
        <v>0</v>
      </c>
      <c r="H150" s="513">
        <v>178061.96</v>
      </c>
      <c r="I150" s="513">
        <v>0</v>
      </c>
      <c r="J150" s="513">
        <v>24058.310000000019</v>
      </c>
      <c r="K150" s="513">
        <v>0</v>
      </c>
      <c r="L150" s="513">
        <v>62227.44000000001</v>
      </c>
      <c r="M150" s="513">
        <v>0</v>
      </c>
      <c r="N150" s="513">
        <v>1238376.5799999998</v>
      </c>
      <c r="O150" s="512">
        <v>959707.61</v>
      </c>
      <c r="P150" s="513">
        <v>-139775.37999999998</v>
      </c>
      <c r="Q150" s="635">
        <v>0</v>
      </c>
      <c r="R150" s="513">
        <v>-416.40999999999968</v>
      </c>
      <c r="S150" s="635">
        <v>0</v>
      </c>
      <c r="T150" s="513">
        <v>0</v>
      </c>
      <c r="U150" s="635">
        <v>0</v>
      </c>
      <c r="V150" s="513">
        <v>0</v>
      </c>
      <c r="W150" s="512">
        <v>0</v>
      </c>
      <c r="X150" s="513">
        <v>51519.98</v>
      </c>
      <c r="Y150" s="513">
        <v>0</v>
      </c>
      <c r="Z150" s="513">
        <v>53862.11</v>
      </c>
      <c r="AA150" s="513">
        <v>0</v>
      </c>
      <c r="AB150" s="513">
        <v>749724.77</v>
      </c>
      <c r="AC150" s="513">
        <v>0</v>
      </c>
      <c r="AD150" s="513">
        <v>480554.57000000012</v>
      </c>
      <c r="AE150" s="513">
        <v>1338551.6099999964</v>
      </c>
      <c r="AF150" s="1044">
        <v>360.95000000000005</v>
      </c>
      <c r="AG150" s="513">
        <v>0</v>
      </c>
    </row>
    <row r="151" spans="1:33">
      <c r="C151" s="1" t="s">
        <v>629</v>
      </c>
      <c r="D151" s="1"/>
      <c r="E151" s="513">
        <v>0</v>
      </c>
      <c r="F151" s="513">
        <v>0</v>
      </c>
      <c r="G151" s="513">
        <v>0</v>
      </c>
      <c r="H151" s="513">
        <v>0</v>
      </c>
      <c r="I151" s="513">
        <v>0</v>
      </c>
      <c r="J151" s="513">
        <v>0</v>
      </c>
      <c r="K151" s="513">
        <v>0</v>
      </c>
      <c r="L151" s="513">
        <v>0</v>
      </c>
      <c r="M151" s="513">
        <v>0</v>
      </c>
      <c r="N151" s="513">
        <v>0</v>
      </c>
      <c r="O151" s="4">
        <v>0</v>
      </c>
      <c r="P151" s="513">
        <v>0</v>
      </c>
      <c r="Q151" s="635">
        <v>0</v>
      </c>
      <c r="R151" s="513">
        <v>0</v>
      </c>
      <c r="S151" s="635">
        <v>0</v>
      </c>
      <c r="T151" s="513">
        <v>0</v>
      </c>
      <c r="U151" s="635">
        <v>0</v>
      </c>
      <c r="V151" s="513">
        <v>0</v>
      </c>
      <c r="W151" s="512">
        <v>0</v>
      </c>
      <c r="X151" s="513">
        <v>33055.550000000003</v>
      </c>
      <c r="Y151" s="513">
        <v>0</v>
      </c>
      <c r="Z151" s="513">
        <v>279112.92</v>
      </c>
      <c r="AA151" s="513">
        <v>0</v>
      </c>
      <c r="AB151" s="513">
        <v>43208.590000000004</v>
      </c>
      <c r="AC151" s="513">
        <v>0</v>
      </c>
      <c r="AD151" s="513">
        <v>31819.42</v>
      </c>
      <c r="AE151" s="513">
        <v>0</v>
      </c>
      <c r="AF151" s="1044">
        <v>21017.45</v>
      </c>
      <c r="AG151" s="513">
        <v>0</v>
      </c>
    </row>
    <row r="152" spans="1:33">
      <c r="C152" s="1" t="s">
        <v>633</v>
      </c>
      <c r="D152" s="1"/>
      <c r="E152" s="513">
        <v>0</v>
      </c>
      <c r="F152" s="513">
        <v>789030.64</v>
      </c>
      <c r="G152" s="513">
        <v>0</v>
      </c>
      <c r="H152" s="513">
        <v>92295.320000000065</v>
      </c>
      <c r="I152" s="513">
        <v>0</v>
      </c>
      <c r="J152" s="513">
        <v>0</v>
      </c>
      <c r="K152" s="513">
        <v>0</v>
      </c>
      <c r="L152" s="513">
        <v>0</v>
      </c>
      <c r="M152" s="513">
        <v>0</v>
      </c>
      <c r="N152" s="513">
        <v>0</v>
      </c>
      <c r="O152" s="4">
        <v>0</v>
      </c>
      <c r="P152" s="513">
        <v>0</v>
      </c>
      <c r="Q152" s="635">
        <v>0</v>
      </c>
      <c r="R152" s="513">
        <v>0</v>
      </c>
      <c r="S152" s="635">
        <v>0</v>
      </c>
      <c r="T152" s="513">
        <v>0</v>
      </c>
      <c r="U152" s="635">
        <v>0</v>
      </c>
      <c r="V152" s="513">
        <v>0</v>
      </c>
      <c r="W152" s="512">
        <v>0</v>
      </c>
      <c r="X152" s="513">
        <v>0</v>
      </c>
      <c r="Y152" s="513">
        <v>0</v>
      </c>
      <c r="Z152" s="513">
        <v>0</v>
      </c>
      <c r="AA152" s="513">
        <v>0</v>
      </c>
      <c r="AB152" s="513">
        <v>0</v>
      </c>
      <c r="AC152" s="513">
        <v>0</v>
      </c>
      <c r="AD152" s="513">
        <v>0</v>
      </c>
      <c r="AE152" s="513">
        <v>0</v>
      </c>
      <c r="AF152" s="513">
        <v>0</v>
      </c>
      <c r="AG152" s="513">
        <v>0</v>
      </c>
    </row>
    <row r="153" spans="1:33">
      <c r="C153" s="1" t="s">
        <v>634</v>
      </c>
      <c r="D153" s="1"/>
      <c r="E153" s="513">
        <v>0</v>
      </c>
      <c r="F153" s="513">
        <v>0</v>
      </c>
      <c r="G153" s="513">
        <v>0</v>
      </c>
      <c r="H153" s="513">
        <v>0</v>
      </c>
      <c r="I153" s="513">
        <v>0</v>
      </c>
      <c r="J153" s="513">
        <v>0</v>
      </c>
      <c r="K153" s="513">
        <v>0</v>
      </c>
      <c r="L153" s="513">
        <v>0</v>
      </c>
      <c r="M153" s="513">
        <v>0</v>
      </c>
      <c r="N153" s="513">
        <v>53651.56</v>
      </c>
      <c r="O153" s="4">
        <v>0</v>
      </c>
      <c r="P153" s="513">
        <v>340103.54000000161</v>
      </c>
      <c r="Q153" s="513">
        <v>395357</v>
      </c>
      <c r="R153" s="513">
        <v>4554.9100000000017</v>
      </c>
      <c r="S153" s="635">
        <v>0</v>
      </c>
      <c r="T153" s="513">
        <v>0</v>
      </c>
      <c r="U153" s="635">
        <v>0</v>
      </c>
      <c r="V153" s="513">
        <v>-2175.9899999999998</v>
      </c>
      <c r="W153" s="512">
        <v>0</v>
      </c>
      <c r="X153" s="513">
        <v>0</v>
      </c>
      <c r="Y153" s="513">
        <v>0</v>
      </c>
      <c r="Z153" s="513">
        <v>0</v>
      </c>
      <c r="AA153" s="513">
        <v>0</v>
      </c>
      <c r="AB153" s="513">
        <v>0</v>
      </c>
      <c r="AC153" s="513">
        <v>0</v>
      </c>
      <c r="AD153" s="513">
        <v>0</v>
      </c>
      <c r="AE153" s="513">
        <v>0</v>
      </c>
      <c r="AF153" s="513">
        <v>0</v>
      </c>
      <c r="AG153" s="513">
        <v>0</v>
      </c>
    </row>
    <row r="154" spans="1:33">
      <c r="C154" s="1" t="s">
        <v>638</v>
      </c>
      <c r="D154" s="1"/>
      <c r="E154" s="513">
        <v>0</v>
      </c>
      <c r="F154" s="513">
        <v>56185.3</v>
      </c>
      <c r="G154" s="513">
        <v>0</v>
      </c>
      <c r="H154" s="513">
        <v>28373.089999999989</v>
      </c>
      <c r="I154" s="513">
        <v>0</v>
      </c>
      <c r="J154" s="513">
        <v>91120.66</v>
      </c>
      <c r="K154" s="513">
        <v>0</v>
      </c>
      <c r="L154" s="513">
        <v>369567.98</v>
      </c>
      <c r="M154" s="513">
        <v>0</v>
      </c>
      <c r="N154" s="513">
        <v>470959.51</v>
      </c>
      <c r="O154" s="4">
        <v>0</v>
      </c>
      <c r="P154" s="513">
        <v>3471902.3699999992</v>
      </c>
      <c r="Q154" s="513">
        <v>4730150</v>
      </c>
      <c r="R154" s="513">
        <v>3129.0099999999952</v>
      </c>
      <c r="S154" s="635">
        <v>0</v>
      </c>
      <c r="T154" s="513">
        <v>-8561.159999999998</v>
      </c>
      <c r="U154" s="635">
        <v>0</v>
      </c>
      <c r="V154" s="513">
        <v>0</v>
      </c>
      <c r="W154" s="512">
        <v>0</v>
      </c>
      <c r="X154" s="513">
        <v>0</v>
      </c>
      <c r="Y154" s="513">
        <v>0</v>
      </c>
      <c r="Z154" s="513">
        <v>0</v>
      </c>
      <c r="AA154" s="513">
        <v>0</v>
      </c>
      <c r="AB154" s="513">
        <v>0</v>
      </c>
      <c r="AC154" s="513">
        <v>0</v>
      </c>
      <c r="AD154" s="513">
        <v>0</v>
      </c>
      <c r="AE154" s="513">
        <v>0</v>
      </c>
      <c r="AF154" s="1044">
        <v>88433.67</v>
      </c>
      <c r="AG154" s="513">
        <v>0</v>
      </c>
    </row>
    <row r="155" spans="1:33">
      <c r="C155" s="1" t="s">
        <v>643</v>
      </c>
      <c r="D155" s="1"/>
      <c r="E155" s="513">
        <v>0</v>
      </c>
      <c r="F155" s="513">
        <v>0</v>
      </c>
      <c r="G155" s="513">
        <v>0</v>
      </c>
      <c r="H155" s="513">
        <v>0</v>
      </c>
      <c r="I155" s="513">
        <v>0</v>
      </c>
      <c r="J155" s="513">
        <v>0</v>
      </c>
      <c r="K155" s="513">
        <v>0</v>
      </c>
      <c r="L155" s="513">
        <v>0</v>
      </c>
      <c r="M155" s="513">
        <v>0</v>
      </c>
      <c r="N155" s="513">
        <v>0</v>
      </c>
      <c r="O155" s="4">
        <v>0</v>
      </c>
      <c r="P155" s="513">
        <v>0</v>
      </c>
      <c r="Q155" s="635">
        <v>0</v>
      </c>
      <c r="R155" s="513">
        <v>0</v>
      </c>
      <c r="S155" s="635">
        <v>0</v>
      </c>
      <c r="T155" s="513">
        <v>0</v>
      </c>
      <c r="U155" s="635">
        <v>0</v>
      </c>
      <c r="V155" s="513">
        <v>0</v>
      </c>
      <c r="W155" s="512">
        <v>0</v>
      </c>
      <c r="X155" s="513">
        <v>0</v>
      </c>
      <c r="Y155" s="513">
        <v>0</v>
      </c>
      <c r="Z155" s="513">
        <v>0</v>
      </c>
      <c r="AA155" s="513">
        <v>0</v>
      </c>
      <c r="AB155" s="513">
        <v>0</v>
      </c>
      <c r="AC155" s="513">
        <v>0</v>
      </c>
      <c r="AD155" s="513">
        <v>107220.23999999999</v>
      </c>
      <c r="AE155" s="513">
        <v>0</v>
      </c>
      <c r="AF155" s="1044">
        <v>760453.57000000007</v>
      </c>
      <c r="AG155" s="513">
        <v>0</v>
      </c>
    </row>
    <row r="156" spans="1:33">
      <c r="C156" s="1" t="s">
        <v>647</v>
      </c>
      <c r="D156" s="1"/>
      <c r="E156" s="513">
        <v>0</v>
      </c>
      <c r="F156" s="513">
        <v>34851.83</v>
      </c>
      <c r="G156" s="513">
        <v>0</v>
      </c>
      <c r="H156" s="513">
        <v>167863.69999999998</v>
      </c>
      <c r="I156" s="513">
        <v>0</v>
      </c>
      <c r="J156" s="513">
        <v>149435.83000000002</v>
      </c>
      <c r="K156" s="513">
        <v>0</v>
      </c>
      <c r="L156" s="513">
        <v>40411.590000000004</v>
      </c>
      <c r="M156" s="513">
        <v>0</v>
      </c>
      <c r="N156" s="513">
        <v>203273.58999999997</v>
      </c>
      <c r="O156" s="4">
        <v>0</v>
      </c>
      <c r="P156" s="513">
        <v>142299.72999999998</v>
      </c>
      <c r="Q156" s="635">
        <v>0</v>
      </c>
      <c r="R156" s="513">
        <v>169401.37</v>
      </c>
      <c r="S156" s="635">
        <v>0</v>
      </c>
      <c r="T156" s="513">
        <v>2978982.0599999977</v>
      </c>
      <c r="U156" s="635">
        <v>0</v>
      </c>
      <c r="V156" s="513">
        <v>171354.84999999995</v>
      </c>
      <c r="W156" s="512">
        <v>3692398</v>
      </c>
      <c r="X156" s="513">
        <v>53342.710000000006</v>
      </c>
      <c r="Y156" s="513">
        <v>0</v>
      </c>
      <c r="Z156" s="513">
        <v>30823.43</v>
      </c>
      <c r="AA156" s="513">
        <v>0</v>
      </c>
      <c r="AB156" s="513">
        <v>19207.349999999999</v>
      </c>
      <c r="AC156" s="513">
        <v>0</v>
      </c>
      <c r="AD156" s="513">
        <v>16383.22</v>
      </c>
      <c r="AE156" s="513">
        <v>0</v>
      </c>
      <c r="AF156" s="1044">
        <v>26406.21</v>
      </c>
      <c r="AG156" s="513">
        <v>0</v>
      </c>
    </row>
    <row r="157" spans="1:33" s="101" customFormat="1">
      <c r="A157" s="636"/>
      <c r="C157" s="480" t="s">
        <v>1503</v>
      </c>
      <c r="D157" s="480"/>
      <c r="E157" s="638"/>
      <c r="F157" s="638">
        <v>4290757.25</v>
      </c>
      <c r="G157" s="638">
        <v>1339034</v>
      </c>
      <c r="H157" s="638">
        <v>2761081.8100000005</v>
      </c>
      <c r="I157" s="638">
        <v>0</v>
      </c>
      <c r="J157" s="638">
        <v>3979934.13</v>
      </c>
      <c r="K157" s="638">
        <v>2428301</v>
      </c>
      <c r="L157" s="638">
        <v>9472093.790000001</v>
      </c>
      <c r="M157" s="638">
        <v>3475363</v>
      </c>
      <c r="N157" s="638">
        <v>2720550.26</v>
      </c>
      <c r="O157" s="638">
        <v>6998542.6100000003</v>
      </c>
      <c r="P157" s="638">
        <v>5053818.1700000018</v>
      </c>
      <c r="Q157" s="638">
        <v>12005455</v>
      </c>
      <c r="R157" s="638">
        <v>1341178.79</v>
      </c>
      <c r="S157" s="638">
        <v>0</v>
      </c>
      <c r="T157" s="638">
        <v>10142867.819999993</v>
      </c>
      <c r="U157" s="638">
        <v>6199067</v>
      </c>
      <c r="V157" s="638">
        <v>5180935.1300000008</v>
      </c>
      <c r="W157" s="638">
        <v>9712252</v>
      </c>
      <c r="X157" s="638">
        <v>2445874.4899999998</v>
      </c>
      <c r="Y157" s="638">
        <v>3879252.3100000005</v>
      </c>
      <c r="Z157" s="638">
        <v>6205621.4400000004</v>
      </c>
      <c r="AA157" s="638">
        <v>1842408.17</v>
      </c>
      <c r="AB157" s="638">
        <v>8879202.9100000001</v>
      </c>
      <c r="AC157" s="638">
        <v>8963221.4000000004</v>
      </c>
      <c r="AD157" s="638">
        <f>SUM(AD125:AD156)</f>
        <v>1322346.2999999998</v>
      </c>
      <c r="AE157" s="638">
        <f t="shared" ref="AE157:AG157" si="5">SUM(AE125:AE156)</f>
        <v>5076706.179999955</v>
      </c>
      <c r="AF157" s="638">
        <f t="shared" si="5"/>
        <v>1387677.34</v>
      </c>
      <c r="AG157" s="638">
        <f t="shared" si="5"/>
        <v>0</v>
      </c>
    </row>
    <row r="158" spans="1:33">
      <c r="C158" s="640" t="s">
        <v>658</v>
      </c>
      <c r="D158" s="1"/>
      <c r="E158" s="513"/>
      <c r="F158" s="513"/>
      <c r="G158" s="513"/>
      <c r="H158" s="513"/>
      <c r="I158" s="513"/>
      <c r="J158" s="513"/>
      <c r="K158" s="513"/>
      <c r="L158" s="1"/>
      <c r="M158" s="513"/>
      <c r="N158" s="1"/>
      <c r="O158" s="4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513"/>
      <c r="AC158" s="513"/>
      <c r="AD158" s="513"/>
      <c r="AE158" s="513"/>
      <c r="AF158" s="513"/>
      <c r="AG158" s="513"/>
    </row>
    <row r="159" spans="1:33">
      <c r="C159" s="1" t="s">
        <v>659</v>
      </c>
      <c r="D159" s="1"/>
      <c r="E159" s="513">
        <v>0</v>
      </c>
      <c r="F159" s="513">
        <v>55331.67</v>
      </c>
      <c r="G159" s="513">
        <v>0</v>
      </c>
      <c r="H159" s="513">
        <v>907.3</v>
      </c>
      <c r="I159" s="513">
        <v>0</v>
      </c>
      <c r="J159" s="513">
        <v>4770</v>
      </c>
      <c r="K159" s="513">
        <v>0</v>
      </c>
      <c r="L159" s="513">
        <v>25489.709999999995</v>
      </c>
      <c r="M159" s="513">
        <v>0</v>
      </c>
      <c r="N159" s="513">
        <v>11799.19</v>
      </c>
      <c r="O159" s="4">
        <v>0</v>
      </c>
      <c r="P159" s="513">
        <v>499017.62000000034</v>
      </c>
      <c r="Q159" s="513">
        <v>605874</v>
      </c>
      <c r="R159" s="513">
        <v>-22511.370000000003</v>
      </c>
      <c r="S159" s="635">
        <v>0</v>
      </c>
      <c r="T159" s="513">
        <v>-1623.5799999999981</v>
      </c>
      <c r="U159" s="635">
        <v>0</v>
      </c>
      <c r="V159" s="513">
        <v>-147.88999999999999</v>
      </c>
      <c r="W159" s="512">
        <v>0</v>
      </c>
      <c r="X159" s="513">
        <v>0</v>
      </c>
      <c r="Y159" s="513">
        <v>0</v>
      </c>
      <c r="Z159" s="513">
        <v>0</v>
      </c>
      <c r="AA159" s="513">
        <v>0</v>
      </c>
      <c r="AB159" s="513">
        <v>0</v>
      </c>
      <c r="AC159" s="513">
        <v>0</v>
      </c>
      <c r="AD159" s="513">
        <v>0</v>
      </c>
      <c r="AE159" s="513">
        <v>0</v>
      </c>
      <c r="AF159" s="513">
        <v>0</v>
      </c>
      <c r="AG159" s="513">
        <v>0</v>
      </c>
    </row>
    <row r="160" spans="1:33">
      <c r="C160" s="1" t="s">
        <v>664</v>
      </c>
      <c r="D160" s="1"/>
      <c r="E160" s="513">
        <v>0</v>
      </c>
      <c r="F160" s="513">
        <v>0</v>
      </c>
      <c r="G160" s="513">
        <v>0</v>
      </c>
      <c r="H160" s="513">
        <v>0</v>
      </c>
      <c r="I160" s="513">
        <v>0</v>
      </c>
      <c r="J160" s="513">
        <v>0</v>
      </c>
      <c r="K160" s="513">
        <v>0</v>
      </c>
      <c r="L160" s="513">
        <v>0</v>
      </c>
      <c r="M160" s="513">
        <v>0</v>
      </c>
      <c r="N160" s="513">
        <v>0</v>
      </c>
      <c r="O160" s="4">
        <v>0</v>
      </c>
      <c r="P160" s="513">
        <v>0</v>
      </c>
      <c r="Q160" s="635">
        <v>0</v>
      </c>
      <c r="R160" s="513">
        <v>0</v>
      </c>
      <c r="S160" s="635">
        <v>0</v>
      </c>
      <c r="T160" s="513">
        <v>0</v>
      </c>
      <c r="U160" s="635">
        <v>0</v>
      </c>
      <c r="V160" s="513">
        <v>0</v>
      </c>
      <c r="W160" s="512">
        <v>0</v>
      </c>
      <c r="X160" s="513">
        <v>0</v>
      </c>
      <c r="Y160" s="513">
        <v>0</v>
      </c>
      <c r="Z160" s="513">
        <v>0</v>
      </c>
      <c r="AA160" s="513">
        <v>0</v>
      </c>
      <c r="AB160" s="513">
        <v>0</v>
      </c>
      <c r="AC160" s="513">
        <v>0</v>
      </c>
      <c r="AD160" s="513">
        <v>0</v>
      </c>
      <c r="AE160" s="513">
        <v>0</v>
      </c>
      <c r="AF160" s="513">
        <v>0</v>
      </c>
      <c r="AG160" s="513">
        <v>0</v>
      </c>
    </row>
    <row r="161" spans="3:33">
      <c r="C161" s="1" t="s">
        <v>665</v>
      </c>
      <c r="D161" s="1"/>
      <c r="E161" s="513">
        <v>0</v>
      </c>
      <c r="F161" s="513">
        <v>0</v>
      </c>
      <c r="G161" s="513">
        <v>0</v>
      </c>
      <c r="H161" s="513">
        <v>-1806</v>
      </c>
      <c r="I161" s="513">
        <v>0</v>
      </c>
      <c r="J161" s="513">
        <v>0</v>
      </c>
      <c r="K161" s="513">
        <v>0</v>
      </c>
      <c r="L161" s="513">
        <v>0</v>
      </c>
      <c r="M161" s="513">
        <v>0</v>
      </c>
      <c r="N161" s="513">
        <v>0</v>
      </c>
      <c r="O161" s="4">
        <v>0</v>
      </c>
      <c r="P161" s="513">
        <v>0</v>
      </c>
      <c r="Q161" s="635">
        <v>0</v>
      </c>
      <c r="R161" s="513">
        <v>0</v>
      </c>
      <c r="S161" s="635">
        <v>0</v>
      </c>
      <c r="T161" s="513">
        <v>0</v>
      </c>
      <c r="U161" s="635">
        <v>0</v>
      </c>
      <c r="V161" s="513">
        <v>0</v>
      </c>
      <c r="W161" s="512">
        <v>0</v>
      </c>
      <c r="X161" s="513">
        <v>0</v>
      </c>
      <c r="Y161" s="513">
        <v>0</v>
      </c>
      <c r="Z161" s="513">
        <v>0</v>
      </c>
      <c r="AA161" s="513">
        <v>0</v>
      </c>
      <c r="AB161" s="513">
        <v>0</v>
      </c>
      <c r="AC161" s="513">
        <v>0</v>
      </c>
      <c r="AD161" s="513">
        <v>0</v>
      </c>
      <c r="AE161" s="513">
        <v>0</v>
      </c>
      <c r="AF161" s="513">
        <v>0</v>
      </c>
      <c r="AG161" s="513">
        <v>0</v>
      </c>
    </row>
    <row r="162" spans="3:33">
      <c r="C162" s="1" t="s">
        <v>666</v>
      </c>
      <c r="D162" s="1"/>
      <c r="E162" s="513">
        <v>0</v>
      </c>
      <c r="F162" s="513">
        <v>237.43</v>
      </c>
      <c r="G162" s="513">
        <v>0</v>
      </c>
      <c r="H162" s="513">
        <v>63310.65</v>
      </c>
      <c r="I162" s="513">
        <v>0</v>
      </c>
      <c r="J162" s="513">
        <v>28148</v>
      </c>
      <c r="K162" s="513">
        <v>0</v>
      </c>
      <c r="L162" s="513">
        <v>32124.35</v>
      </c>
      <c r="M162" s="513">
        <v>0</v>
      </c>
      <c r="N162" s="513">
        <v>9805.73</v>
      </c>
      <c r="O162" s="4">
        <v>0</v>
      </c>
      <c r="P162" s="513">
        <v>352391.87000000058</v>
      </c>
      <c r="Q162" s="513">
        <v>478821</v>
      </c>
      <c r="R162" s="513">
        <v>10539.360000000002</v>
      </c>
      <c r="S162" s="635">
        <v>0</v>
      </c>
      <c r="T162" s="513">
        <v>464.31999999999556</v>
      </c>
      <c r="U162" s="635">
        <v>0</v>
      </c>
      <c r="V162" s="513">
        <v>-968.73</v>
      </c>
      <c r="W162" s="512">
        <v>0</v>
      </c>
      <c r="X162" s="513">
        <v>0</v>
      </c>
      <c r="Y162" s="513">
        <v>0</v>
      </c>
      <c r="Z162" s="513">
        <v>0</v>
      </c>
      <c r="AA162" s="513">
        <v>0</v>
      </c>
      <c r="AB162" s="513">
        <v>0</v>
      </c>
      <c r="AC162" s="513">
        <v>0</v>
      </c>
      <c r="AD162" s="513">
        <v>0</v>
      </c>
      <c r="AE162" s="513">
        <v>0</v>
      </c>
      <c r="AF162" s="513">
        <v>0</v>
      </c>
      <c r="AG162" s="513">
        <v>0</v>
      </c>
    </row>
    <row r="163" spans="3:33">
      <c r="C163" s="1" t="s">
        <v>670</v>
      </c>
      <c r="D163" s="1"/>
      <c r="E163" s="513">
        <v>0</v>
      </c>
      <c r="F163" s="513">
        <v>1265210.1300000001</v>
      </c>
      <c r="G163" s="513">
        <v>2357476</v>
      </c>
      <c r="H163" s="513">
        <v>86396.45</v>
      </c>
      <c r="I163" s="513">
        <v>0</v>
      </c>
      <c r="J163" s="513">
        <v>121515</v>
      </c>
      <c r="K163" s="513">
        <v>0</v>
      </c>
      <c r="L163" s="513">
        <v>721.9</v>
      </c>
      <c r="M163" s="513">
        <v>0</v>
      </c>
      <c r="N163" s="513">
        <v>0</v>
      </c>
      <c r="O163" s="4">
        <v>0</v>
      </c>
      <c r="P163" s="513">
        <v>0</v>
      </c>
      <c r="Q163" s="635">
        <v>0</v>
      </c>
      <c r="R163" s="513">
        <v>0</v>
      </c>
      <c r="S163" s="635">
        <v>0</v>
      </c>
      <c r="T163" s="513">
        <v>0</v>
      </c>
      <c r="U163" s="635">
        <v>0</v>
      </c>
      <c r="V163" s="513">
        <v>0</v>
      </c>
      <c r="W163" s="512">
        <v>0</v>
      </c>
      <c r="X163" s="513">
        <v>0</v>
      </c>
      <c r="Y163" s="513">
        <v>0</v>
      </c>
      <c r="Z163" s="513">
        <v>0</v>
      </c>
      <c r="AA163" s="513">
        <v>0</v>
      </c>
      <c r="AB163" s="513">
        <v>9896.2099999999991</v>
      </c>
      <c r="AC163" s="513">
        <v>0</v>
      </c>
      <c r="AD163" s="513">
        <v>253832.10000000003</v>
      </c>
      <c r="AE163" s="513">
        <v>0</v>
      </c>
      <c r="AF163" s="1044">
        <v>335843.49</v>
      </c>
      <c r="AG163" s="513">
        <v>616808.95999999996</v>
      </c>
    </row>
    <row r="164" spans="3:33">
      <c r="C164" s="1" t="s">
        <v>678</v>
      </c>
      <c r="D164" s="1"/>
      <c r="E164" s="513">
        <v>0</v>
      </c>
      <c r="F164" s="513">
        <v>7889.8</v>
      </c>
      <c r="G164" s="513">
        <v>0</v>
      </c>
      <c r="H164" s="513">
        <v>643.53</v>
      </c>
      <c r="I164" s="513">
        <v>0</v>
      </c>
      <c r="J164" s="513">
        <v>12431</v>
      </c>
      <c r="K164" s="513">
        <v>0</v>
      </c>
      <c r="L164" s="513">
        <v>0</v>
      </c>
      <c r="M164" s="513">
        <v>0</v>
      </c>
      <c r="N164" s="513">
        <v>0</v>
      </c>
      <c r="O164" s="4">
        <v>0</v>
      </c>
      <c r="P164" s="513">
        <v>156.82000000000002</v>
      </c>
      <c r="Q164" s="635">
        <v>0</v>
      </c>
      <c r="R164" s="513">
        <v>0</v>
      </c>
      <c r="S164" s="635">
        <v>0</v>
      </c>
      <c r="T164" s="513">
        <v>0</v>
      </c>
      <c r="U164" s="635">
        <v>0</v>
      </c>
      <c r="V164" s="513">
        <v>0</v>
      </c>
      <c r="W164" s="635">
        <v>0</v>
      </c>
      <c r="X164" s="513">
        <v>0</v>
      </c>
      <c r="Y164" s="513">
        <v>0</v>
      </c>
      <c r="Z164" s="513">
        <v>0</v>
      </c>
      <c r="AA164" s="513">
        <v>0</v>
      </c>
      <c r="AB164" s="513">
        <v>0</v>
      </c>
      <c r="AC164" s="513">
        <v>0</v>
      </c>
      <c r="AD164" s="513">
        <v>0</v>
      </c>
      <c r="AE164" s="513">
        <v>0</v>
      </c>
      <c r="AF164" s="1044">
        <v>-18742.190000000002</v>
      </c>
      <c r="AG164" s="513">
        <v>0</v>
      </c>
    </row>
    <row r="165" spans="3:33">
      <c r="C165" s="1" t="s">
        <v>679</v>
      </c>
      <c r="D165" s="1"/>
      <c r="E165" s="513">
        <v>0</v>
      </c>
      <c r="F165" s="513">
        <v>0</v>
      </c>
      <c r="G165" s="513">
        <v>0</v>
      </c>
      <c r="H165" s="513">
        <v>0</v>
      </c>
      <c r="I165" s="513">
        <v>0</v>
      </c>
      <c r="J165" s="513">
        <v>0</v>
      </c>
      <c r="K165" s="513">
        <v>0</v>
      </c>
      <c r="L165" s="513">
        <v>0</v>
      </c>
      <c r="M165" s="513">
        <v>0</v>
      </c>
      <c r="N165" s="513">
        <v>0</v>
      </c>
      <c r="O165" s="4">
        <v>0</v>
      </c>
      <c r="P165" s="513">
        <v>0</v>
      </c>
      <c r="Q165" s="635">
        <v>0</v>
      </c>
      <c r="R165" s="513">
        <v>34976.93</v>
      </c>
      <c r="S165" s="635">
        <v>0</v>
      </c>
      <c r="T165" s="513">
        <v>15562.290000000005</v>
      </c>
      <c r="U165" s="635">
        <v>0</v>
      </c>
      <c r="V165" s="513">
        <v>43252.790000000008</v>
      </c>
      <c r="W165" s="4">
        <v>0</v>
      </c>
      <c r="X165" s="513">
        <v>848614.46</v>
      </c>
      <c r="Y165" s="513">
        <v>805929</v>
      </c>
      <c r="Z165" s="513">
        <v>0</v>
      </c>
      <c r="AA165" s="513">
        <v>0</v>
      </c>
      <c r="AB165" s="513">
        <v>0</v>
      </c>
      <c r="AC165" s="513">
        <v>0</v>
      </c>
      <c r="AD165" s="513">
        <v>0</v>
      </c>
      <c r="AE165" s="513">
        <v>0</v>
      </c>
      <c r="AF165" s="513">
        <v>0</v>
      </c>
      <c r="AG165" s="513">
        <v>0</v>
      </c>
    </row>
    <row r="166" spans="3:33">
      <c r="C166" s="1" t="s">
        <v>684</v>
      </c>
      <c r="D166" s="1"/>
      <c r="E166" s="513">
        <v>0</v>
      </c>
      <c r="F166" s="643">
        <v>0</v>
      </c>
      <c r="G166" s="643">
        <v>0</v>
      </c>
      <c r="H166" s="643">
        <v>0</v>
      </c>
      <c r="I166" s="643">
        <v>0</v>
      </c>
      <c r="J166" s="643">
        <v>0</v>
      </c>
      <c r="K166" s="643">
        <v>0</v>
      </c>
      <c r="L166" s="643">
        <v>0</v>
      </c>
      <c r="M166" s="643">
        <v>0</v>
      </c>
      <c r="N166" s="513">
        <v>0</v>
      </c>
      <c r="O166" s="4">
        <v>0</v>
      </c>
      <c r="P166" s="513">
        <v>0</v>
      </c>
      <c r="Q166" s="635">
        <v>0</v>
      </c>
      <c r="R166" s="513">
        <v>0</v>
      </c>
      <c r="S166" s="635">
        <v>0</v>
      </c>
      <c r="T166" s="513">
        <v>0</v>
      </c>
      <c r="U166" s="635">
        <v>0</v>
      </c>
      <c r="V166" s="513">
        <v>0</v>
      </c>
      <c r="W166" s="4">
        <v>0</v>
      </c>
      <c r="X166" s="513">
        <v>0</v>
      </c>
      <c r="Y166" s="513">
        <v>0</v>
      </c>
      <c r="Z166" s="513">
        <v>0</v>
      </c>
      <c r="AA166" s="513">
        <v>0</v>
      </c>
      <c r="AB166" s="513">
        <v>0</v>
      </c>
      <c r="AC166" s="513">
        <v>0</v>
      </c>
      <c r="AD166" s="513">
        <v>0</v>
      </c>
      <c r="AE166" s="513">
        <v>0</v>
      </c>
      <c r="AF166" s="513">
        <v>0</v>
      </c>
      <c r="AG166" s="513">
        <v>0</v>
      </c>
    </row>
    <row r="167" spans="3:33">
      <c r="C167" s="1" t="s">
        <v>685</v>
      </c>
      <c r="D167" s="1"/>
      <c r="E167" s="513">
        <v>0</v>
      </c>
      <c r="F167" s="513">
        <v>1620765.1800000002</v>
      </c>
      <c r="G167" s="513">
        <v>0</v>
      </c>
      <c r="H167" s="513">
        <v>181979.56</v>
      </c>
      <c r="I167" s="513">
        <v>0</v>
      </c>
      <c r="J167" s="513">
        <v>44409.590000000004</v>
      </c>
      <c r="K167" s="513">
        <v>0</v>
      </c>
      <c r="L167" s="513">
        <v>4225.7300000000005</v>
      </c>
      <c r="M167" s="513">
        <v>0</v>
      </c>
      <c r="N167" s="513">
        <v>-109437.31</v>
      </c>
      <c r="O167" s="4">
        <v>0</v>
      </c>
      <c r="P167" s="513">
        <v>14467.11</v>
      </c>
      <c r="Q167" s="635">
        <v>0</v>
      </c>
      <c r="R167" s="513">
        <v>956.40000000000055</v>
      </c>
      <c r="S167" s="635">
        <v>0</v>
      </c>
      <c r="T167" s="513">
        <v>1458.8500000000022</v>
      </c>
      <c r="U167" s="635">
        <v>0</v>
      </c>
      <c r="V167" s="513">
        <v>-39253.760000000002</v>
      </c>
      <c r="W167" s="4">
        <v>0</v>
      </c>
      <c r="X167" s="513">
        <v>0</v>
      </c>
      <c r="Y167" s="513">
        <v>0</v>
      </c>
      <c r="Z167" s="513">
        <v>-67.31</v>
      </c>
      <c r="AA167" s="513">
        <v>0</v>
      </c>
      <c r="AB167" s="513">
        <v>0</v>
      </c>
      <c r="AC167" s="513">
        <v>0</v>
      </c>
      <c r="AD167" s="513">
        <v>0</v>
      </c>
      <c r="AE167" s="513">
        <v>0</v>
      </c>
      <c r="AF167" s="513">
        <v>0</v>
      </c>
      <c r="AG167" s="513">
        <v>0</v>
      </c>
    </row>
    <row r="168" spans="3:33">
      <c r="C168" s="1" t="s">
        <v>688</v>
      </c>
      <c r="D168" s="1"/>
      <c r="E168" s="513">
        <v>0</v>
      </c>
      <c r="F168" s="513">
        <v>7.23</v>
      </c>
      <c r="G168" s="513">
        <v>0</v>
      </c>
      <c r="H168" s="513">
        <v>0</v>
      </c>
      <c r="I168" s="513">
        <v>0</v>
      </c>
      <c r="J168" s="513">
        <v>0</v>
      </c>
      <c r="K168" s="513">
        <v>0</v>
      </c>
      <c r="L168" s="513">
        <v>0</v>
      </c>
      <c r="M168" s="513">
        <v>0</v>
      </c>
      <c r="N168" s="513">
        <v>1133.8499999999999</v>
      </c>
      <c r="O168" s="4">
        <v>0</v>
      </c>
      <c r="P168" s="513">
        <v>105909.97000000013</v>
      </c>
      <c r="Q168" s="635">
        <v>0</v>
      </c>
      <c r="R168" s="513">
        <v>32151.629999999994</v>
      </c>
      <c r="S168" s="635">
        <v>0</v>
      </c>
      <c r="T168" s="513">
        <v>1480580.0900000005</v>
      </c>
      <c r="U168" s="513">
        <v>1824468</v>
      </c>
      <c r="V168" s="513">
        <v>203295.96000000008</v>
      </c>
      <c r="W168" s="4">
        <v>0</v>
      </c>
      <c r="X168" s="513">
        <v>0</v>
      </c>
      <c r="Y168" s="513">
        <v>0</v>
      </c>
      <c r="Z168" s="513">
        <v>0</v>
      </c>
      <c r="AA168" s="513">
        <v>0</v>
      </c>
      <c r="AB168" s="513">
        <v>0</v>
      </c>
      <c r="AC168" s="513">
        <v>0</v>
      </c>
      <c r="AD168" s="513">
        <v>0</v>
      </c>
      <c r="AE168" s="513">
        <v>0</v>
      </c>
      <c r="AF168" s="513">
        <v>0</v>
      </c>
      <c r="AG168" s="513">
        <v>0</v>
      </c>
    </row>
    <row r="169" spans="3:33">
      <c r="C169" s="1" t="s">
        <v>692</v>
      </c>
      <c r="D169" s="1"/>
      <c r="E169" s="513">
        <v>0</v>
      </c>
      <c r="F169" s="643">
        <v>0</v>
      </c>
      <c r="G169" s="643">
        <v>0</v>
      </c>
      <c r="H169" s="643">
        <v>0</v>
      </c>
      <c r="I169" s="643">
        <v>0</v>
      </c>
      <c r="J169" s="643">
        <v>0</v>
      </c>
      <c r="K169" s="643">
        <v>0</v>
      </c>
      <c r="L169" s="643">
        <v>0</v>
      </c>
      <c r="M169" s="643">
        <v>0</v>
      </c>
      <c r="N169" s="513">
        <v>0</v>
      </c>
      <c r="O169" s="4">
        <v>0</v>
      </c>
      <c r="P169" s="513">
        <v>0</v>
      </c>
      <c r="Q169" s="635">
        <v>0</v>
      </c>
      <c r="R169" s="513">
        <v>0</v>
      </c>
      <c r="S169" s="635">
        <v>0</v>
      </c>
      <c r="T169" s="513">
        <v>0</v>
      </c>
      <c r="U169" s="635">
        <v>0</v>
      </c>
      <c r="V169" s="513">
        <v>0</v>
      </c>
      <c r="W169" s="4">
        <v>0</v>
      </c>
      <c r="X169" s="513">
        <v>0</v>
      </c>
      <c r="Y169" s="513">
        <v>0</v>
      </c>
      <c r="Z169" s="513">
        <v>0</v>
      </c>
      <c r="AA169" s="513">
        <v>0</v>
      </c>
      <c r="AB169" s="513">
        <v>0</v>
      </c>
      <c r="AC169" s="513">
        <v>0</v>
      </c>
      <c r="AD169" s="513">
        <v>0</v>
      </c>
      <c r="AE169" s="513">
        <v>0</v>
      </c>
      <c r="AF169" s="513">
        <v>0</v>
      </c>
      <c r="AG169" s="513">
        <v>0</v>
      </c>
    </row>
    <row r="170" spans="3:33">
      <c r="C170" s="1" t="s">
        <v>1787</v>
      </c>
      <c r="D170" s="1"/>
      <c r="E170" s="513">
        <v>0</v>
      </c>
      <c r="F170" s="513">
        <v>0</v>
      </c>
      <c r="G170" s="513">
        <v>0</v>
      </c>
      <c r="H170" s="513">
        <v>0</v>
      </c>
      <c r="I170" s="513">
        <v>0</v>
      </c>
      <c r="J170" s="513">
        <v>0</v>
      </c>
      <c r="K170" s="513">
        <v>0</v>
      </c>
      <c r="L170" s="513">
        <v>0</v>
      </c>
      <c r="M170" s="513">
        <v>0</v>
      </c>
      <c r="N170" s="513">
        <v>0</v>
      </c>
      <c r="O170" s="4">
        <v>0</v>
      </c>
      <c r="P170" s="513">
        <v>0</v>
      </c>
      <c r="Q170" s="635">
        <v>0</v>
      </c>
      <c r="R170" s="513">
        <v>0</v>
      </c>
      <c r="S170" s="635">
        <v>0</v>
      </c>
      <c r="T170" s="513">
        <v>26699.719999999994</v>
      </c>
      <c r="U170" s="635">
        <v>0</v>
      </c>
      <c r="V170" s="513">
        <v>58840.039999999986</v>
      </c>
      <c r="W170" s="4">
        <v>0</v>
      </c>
      <c r="X170" s="513">
        <v>45982.520000000011</v>
      </c>
      <c r="Y170" s="513">
        <v>0</v>
      </c>
      <c r="Z170" s="513">
        <v>1102322.0899999999</v>
      </c>
      <c r="AA170" s="513">
        <v>1267249.8199999998</v>
      </c>
      <c r="AB170" s="513">
        <v>-0.02</v>
      </c>
      <c r="AC170" s="513">
        <v>0</v>
      </c>
      <c r="AD170" s="513">
        <v>0</v>
      </c>
      <c r="AE170" s="513">
        <v>0</v>
      </c>
      <c r="AF170" s="513">
        <v>0</v>
      </c>
      <c r="AG170" s="513">
        <v>0</v>
      </c>
    </row>
    <row r="171" spans="3:33">
      <c r="C171" s="1" t="s">
        <v>697</v>
      </c>
      <c r="D171" s="1"/>
      <c r="E171" s="513">
        <v>0</v>
      </c>
      <c r="F171" s="643">
        <v>0</v>
      </c>
      <c r="G171" s="643">
        <v>0</v>
      </c>
      <c r="H171" s="643">
        <v>0</v>
      </c>
      <c r="I171" s="643">
        <v>0</v>
      </c>
      <c r="J171" s="643">
        <v>0</v>
      </c>
      <c r="K171" s="643">
        <v>0</v>
      </c>
      <c r="L171" s="643">
        <v>0</v>
      </c>
      <c r="M171" s="643">
        <v>0</v>
      </c>
      <c r="N171" s="513">
        <v>0</v>
      </c>
      <c r="O171" s="4">
        <v>0</v>
      </c>
      <c r="P171" s="513">
        <v>0</v>
      </c>
      <c r="Q171" s="635">
        <v>0</v>
      </c>
      <c r="R171" s="513">
        <v>0</v>
      </c>
      <c r="S171" s="635">
        <v>0</v>
      </c>
      <c r="T171" s="513">
        <v>0</v>
      </c>
      <c r="U171" s="635">
        <v>0</v>
      </c>
      <c r="V171" s="513">
        <v>0</v>
      </c>
      <c r="W171" s="4">
        <v>0</v>
      </c>
      <c r="X171" s="513">
        <v>0</v>
      </c>
      <c r="Y171" s="513">
        <v>0</v>
      </c>
      <c r="Z171" s="513">
        <v>0</v>
      </c>
      <c r="AA171" s="513">
        <v>0</v>
      </c>
      <c r="AB171" s="513">
        <v>0</v>
      </c>
      <c r="AC171" s="513">
        <v>0</v>
      </c>
      <c r="AD171" s="513">
        <v>0</v>
      </c>
      <c r="AE171" s="513">
        <v>0</v>
      </c>
      <c r="AF171" s="513">
        <v>0</v>
      </c>
      <c r="AG171" s="513">
        <v>0</v>
      </c>
    </row>
    <row r="172" spans="3:33">
      <c r="C172" s="1" t="s">
        <v>698</v>
      </c>
      <c r="D172" s="1"/>
      <c r="E172" s="513">
        <v>0</v>
      </c>
      <c r="F172" s="513">
        <v>36098.410000000003</v>
      </c>
      <c r="G172" s="513">
        <v>0</v>
      </c>
      <c r="H172" s="513">
        <v>-8964</v>
      </c>
      <c r="I172" s="513">
        <v>0</v>
      </c>
      <c r="J172" s="513">
        <v>1019.11</v>
      </c>
      <c r="K172" s="513">
        <v>0</v>
      </c>
      <c r="L172" s="513">
        <v>40455.19</v>
      </c>
      <c r="M172" s="513">
        <v>0</v>
      </c>
      <c r="N172" s="513">
        <v>1005222.55</v>
      </c>
      <c r="O172" s="512">
        <v>990929</v>
      </c>
      <c r="P172" s="513">
        <v>-30284.16</v>
      </c>
      <c r="Q172" s="635">
        <v>0</v>
      </c>
      <c r="R172" s="513">
        <v>33988.37000000001</v>
      </c>
      <c r="S172" s="635">
        <v>0</v>
      </c>
      <c r="T172" s="513">
        <v>42842.069999999956</v>
      </c>
      <c r="U172" s="513">
        <v>0</v>
      </c>
      <c r="V172" s="513">
        <v>818328.15000000037</v>
      </c>
      <c r="W172" s="512">
        <v>890159</v>
      </c>
      <c r="X172" s="513">
        <v>684.49</v>
      </c>
      <c r="Y172" s="513">
        <v>0</v>
      </c>
      <c r="Z172" s="513">
        <v>0</v>
      </c>
      <c r="AA172" s="513">
        <v>0</v>
      </c>
      <c r="AB172" s="513">
        <v>0</v>
      </c>
      <c r="AC172" s="513">
        <v>0</v>
      </c>
      <c r="AD172" s="513">
        <v>0</v>
      </c>
      <c r="AE172" s="513">
        <v>0</v>
      </c>
      <c r="AF172" s="513">
        <v>0</v>
      </c>
      <c r="AG172" s="513">
        <v>0</v>
      </c>
    </row>
    <row r="173" spans="3:33">
      <c r="C173" s="1" t="s">
        <v>704</v>
      </c>
      <c r="D173" s="1"/>
      <c r="E173" s="513">
        <v>0</v>
      </c>
      <c r="F173" s="513">
        <v>0</v>
      </c>
      <c r="G173" s="513">
        <v>0</v>
      </c>
      <c r="H173" s="513">
        <v>0</v>
      </c>
      <c r="I173" s="513">
        <v>0</v>
      </c>
      <c r="J173" s="513">
        <v>0</v>
      </c>
      <c r="K173" s="513">
        <v>0</v>
      </c>
      <c r="L173" s="513">
        <v>0</v>
      </c>
      <c r="M173" s="513">
        <v>0</v>
      </c>
      <c r="N173" s="513">
        <v>0</v>
      </c>
      <c r="O173" s="4">
        <v>0</v>
      </c>
      <c r="P173" s="513">
        <v>0</v>
      </c>
      <c r="Q173" s="635">
        <v>0</v>
      </c>
      <c r="R173" s="513">
        <v>0</v>
      </c>
      <c r="S173" s="635">
        <v>0</v>
      </c>
      <c r="T173" s="513">
        <v>0</v>
      </c>
      <c r="U173" s="635">
        <v>0</v>
      </c>
      <c r="V173" s="513">
        <v>7914.9700000000021</v>
      </c>
      <c r="W173" s="4">
        <v>0</v>
      </c>
      <c r="X173" s="513">
        <v>22326.670000000002</v>
      </c>
      <c r="Y173" s="513">
        <v>0</v>
      </c>
      <c r="Z173" s="513">
        <v>355375.88</v>
      </c>
      <c r="AA173" s="513">
        <v>0</v>
      </c>
      <c r="AB173" s="513">
        <v>481856.72000000003</v>
      </c>
      <c r="AC173" s="513">
        <v>867757</v>
      </c>
      <c r="AD173" s="513">
        <v>3677.04</v>
      </c>
      <c r="AE173" s="513">
        <v>0</v>
      </c>
      <c r="AF173" s="513">
        <v>0</v>
      </c>
      <c r="AG173" s="513">
        <v>0</v>
      </c>
    </row>
    <row r="174" spans="3:33">
      <c r="C174" s="1" t="s">
        <v>708</v>
      </c>
      <c r="D174" s="1"/>
      <c r="E174" s="513">
        <v>0</v>
      </c>
      <c r="F174" s="513">
        <v>0</v>
      </c>
      <c r="G174" s="513">
        <v>0</v>
      </c>
      <c r="H174" s="513">
        <v>0</v>
      </c>
      <c r="I174" s="513">
        <v>0</v>
      </c>
      <c r="J174" s="513">
        <v>0</v>
      </c>
      <c r="K174" s="513">
        <v>0</v>
      </c>
      <c r="L174" s="513">
        <v>0</v>
      </c>
      <c r="M174" s="513">
        <v>0</v>
      </c>
      <c r="N174" s="513">
        <v>0</v>
      </c>
      <c r="O174" s="4">
        <v>0</v>
      </c>
      <c r="P174" s="513">
        <v>0</v>
      </c>
      <c r="Q174" s="635">
        <v>0</v>
      </c>
      <c r="R174" s="513">
        <v>0</v>
      </c>
      <c r="S174" s="635">
        <v>0</v>
      </c>
      <c r="T174" s="513">
        <v>0</v>
      </c>
      <c r="U174" s="635">
        <v>0</v>
      </c>
      <c r="V174" s="513">
        <v>0</v>
      </c>
      <c r="W174" s="4">
        <v>0</v>
      </c>
      <c r="X174" s="513">
        <v>0</v>
      </c>
      <c r="Y174" s="513">
        <v>0</v>
      </c>
      <c r="Z174" s="513">
        <v>0</v>
      </c>
      <c r="AA174" s="513">
        <v>0</v>
      </c>
      <c r="AB174" s="513">
        <v>0</v>
      </c>
      <c r="AC174" s="513">
        <v>0</v>
      </c>
      <c r="AD174" s="513">
        <v>0</v>
      </c>
      <c r="AE174" s="513">
        <v>0</v>
      </c>
      <c r="AF174" s="513">
        <v>0</v>
      </c>
      <c r="AG174" s="513">
        <v>0</v>
      </c>
    </row>
    <row r="175" spans="3:33">
      <c r="C175" s="1" t="s">
        <v>709</v>
      </c>
      <c r="D175" s="1"/>
      <c r="E175" s="513">
        <v>0</v>
      </c>
      <c r="F175" s="513">
        <v>0</v>
      </c>
      <c r="G175" s="513">
        <v>0</v>
      </c>
      <c r="H175" s="513">
        <v>0</v>
      </c>
      <c r="I175" s="513">
        <v>0</v>
      </c>
      <c r="J175" s="513">
        <v>0</v>
      </c>
      <c r="K175" s="513">
        <v>0</v>
      </c>
      <c r="L175" s="513">
        <v>0</v>
      </c>
      <c r="M175" s="513">
        <v>0</v>
      </c>
      <c r="N175" s="513">
        <v>0</v>
      </c>
      <c r="O175" s="4">
        <v>0</v>
      </c>
      <c r="P175" s="513">
        <v>0</v>
      </c>
      <c r="Q175" s="635">
        <v>0</v>
      </c>
      <c r="R175" s="513">
        <v>0</v>
      </c>
      <c r="S175" s="635">
        <v>0</v>
      </c>
      <c r="T175" s="513">
        <v>0</v>
      </c>
      <c r="U175" s="635">
        <v>0</v>
      </c>
      <c r="V175" s="513">
        <v>0</v>
      </c>
      <c r="W175" s="4">
        <v>0</v>
      </c>
      <c r="X175" s="513">
        <v>0</v>
      </c>
      <c r="Y175" s="513">
        <v>0</v>
      </c>
      <c r="Z175" s="513">
        <v>0</v>
      </c>
      <c r="AA175" s="513">
        <v>0</v>
      </c>
      <c r="AB175" s="513">
        <v>0</v>
      </c>
      <c r="AC175" s="513">
        <v>0</v>
      </c>
      <c r="AD175" s="513">
        <v>0</v>
      </c>
      <c r="AE175" s="513">
        <v>0</v>
      </c>
      <c r="AF175" s="513">
        <v>0</v>
      </c>
      <c r="AG175" s="513">
        <v>0</v>
      </c>
    </row>
    <row r="176" spans="3:33">
      <c r="C176" s="1" t="s">
        <v>710</v>
      </c>
      <c r="D176" s="1"/>
      <c r="E176" s="513">
        <v>0</v>
      </c>
      <c r="F176" s="513">
        <v>16128.339999999998</v>
      </c>
      <c r="G176" s="513">
        <v>0</v>
      </c>
      <c r="H176" s="513">
        <v>376372.43000000005</v>
      </c>
      <c r="I176" s="513">
        <v>0</v>
      </c>
      <c r="J176" s="513">
        <v>2166911.9899999998</v>
      </c>
      <c r="K176" s="513">
        <v>2410299</v>
      </c>
      <c r="L176" s="513">
        <v>-48483.919999999991</v>
      </c>
      <c r="M176" s="513">
        <v>0</v>
      </c>
      <c r="N176" s="513">
        <v>3710.6200000000072</v>
      </c>
      <c r="O176" s="4">
        <v>0</v>
      </c>
      <c r="P176" s="513">
        <v>-811.2800000000002</v>
      </c>
      <c r="Q176" s="635">
        <v>0</v>
      </c>
      <c r="R176" s="513">
        <v>5062.1500000000005</v>
      </c>
      <c r="S176" s="635">
        <v>0</v>
      </c>
      <c r="T176" s="513">
        <v>14104.189999999995</v>
      </c>
      <c r="U176" s="635">
        <v>0</v>
      </c>
      <c r="V176" s="513">
        <v>13664.280000000008</v>
      </c>
      <c r="W176" s="4">
        <v>0</v>
      </c>
      <c r="X176" s="513">
        <v>4761.3600000000006</v>
      </c>
      <c r="Y176" s="513">
        <v>0</v>
      </c>
      <c r="Z176" s="513">
        <v>6049.0599999999995</v>
      </c>
      <c r="AA176" s="513">
        <v>0</v>
      </c>
      <c r="AB176" s="513">
        <v>1038.58</v>
      </c>
      <c r="AC176" s="513">
        <v>0</v>
      </c>
      <c r="AD176" s="513">
        <v>880.82999999999993</v>
      </c>
      <c r="AE176" s="513">
        <v>0</v>
      </c>
      <c r="AF176" s="1044">
        <v>1024.2</v>
      </c>
      <c r="AG176" s="513">
        <v>0</v>
      </c>
    </row>
    <row r="177" spans="1:33">
      <c r="C177" s="1" t="s">
        <v>715</v>
      </c>
      <c r="D177" s="1"/>
      <c r="E177" s="513">
        <v>0</v>
      </c>
      <c r="F177" s="513">
        <v>60429.79</v>
      </c>
      <c r="G177" s="513">
        <v>0</v>
      </c>
      <c r="H177" s="513">
        <v>54274.7</v>
      </c>
      <c r="I177" s="513">
        <v>0</v>
      </c>
      <c r="J177" s="513">
        <v>55205.100000000013</v>
      </c>
      <c r="K177" s="513">
        <v>0</v>
      </c>
      <c r="L177" s="513">
        <v>1442648.4100000001</v>
      </c>
      <c r="M177" s="513">
        <v>1642029</v>
      </c>
      <c r="N177" s="513">
        <v>1238.21</v>
      </c>
      <c r="O177" s="4">
        <v>0</v>
      </c>
      <c r="P177" s="513">
        <v>-998.09000000000015</v>
      </c>
      <c r="Q177" s="635">
        <v>0</v>
      </c>
      <c r="R177" s="513">
        <v>-2.2737367544323206E-13</v>
      </c>
      <c r="S177" s="635">
        <v>0</v>
      </c>
      <c r="T177" s="513">
        <v>-925.22999999999956</v>
      </c>
      <c r="U177" s="635">
        <v>0</v>
      </c>
      <c r="V177" s="513">
        <v>0</v>
      </c>
      <c r="W177" s="4">
        <v>0</v>
      </c>
      <c r="X177" s="513">
        <v>0</v>
      </c>
      <c r="Y177" s="513">
        <v>0</v>
      </c>
      <c r="Z177" s="513">
        <v>0</v>
      </c>
      <c r="AA177" s="513">
        <v>0</v>
      </c>
      <c r="AB177" s="513">
        <v>0</v>
      </c>
      <c r="AC177" s="513">
        <v>0</v>
      </c>
      <c r="AD177" s="513">
        <v>0</v>
      </c>
      <c r="AE177" s="513">
        <v>0</v>
      </c>
      <c r="AF177" s="513">
        <v>0</v>
      </c>
      <c r="AG177" s="513">
        <v>0</v>
      </c>
    </row>
    <row r="178" spans="1:33">
      <c r="C178" s="1" t="s">
        <v>719</v>
      </c>
      <c r="D178" s="1"/>
      <c r="E178" s="513">
        <v>0</v>
      </c>
      <c r="F178" s="513">
        <v>7886.12</v>
      </c>
      <c r="G178" s="513">
        <v>0</v>
      </c>
      <c r="H178" s="513">
        <v>0</v>
      </c>
      <c r="I178" s="513">
        <v>0</v>
      </c>
      <c r="J178" s="513">
        <v>0</v>
      </c>
      <c r="K178" s="513">
        <v>0</v>
      </c>
      <c r="L178" s="513">
        <v>0</v>
      </c>
      <c r="M178" s="513">
        <v>0</v>
      </c>
      <c r="N178" s="513">
        <v>0</v>
      </c>
      <c r="O178" s="4">
        <v>0</v>
      </c>
      <c r="P178" s="513">
        <v>0</v>
      </c>
      <c r="Q178" s="635">
        <v>0</v>
      </c>
      <c r="R178" s="513">
        <v>0</v>
      </c>
      <c r="S178" s="635">
        <v>0</v>
      </c>
      <c r="T178" s="513">
        <v>0</v>
      </c>
      <c r="U178" s="635">
        <v>0</v>
      </c>
      <c r="V178" s="513">
        <v>0</v>
      </c>
      <c r="W178" s="4">
        <v>0</v>
      </c>
      <c r="X178" s="513">
        <v>0</v>
      </c>
      <c r="Y178" s="513">
        <v>0</v>
      </c>
      <c r="Z178" s="513">
        <v>0</v>
      </c>
      <c r="AA178" s="513">
        <v>0</v>
      </c>
      <c r="AB178" s="513">
        <v>0</v>
      </c>
      <c r="AC178" s="513">
        <v>0</v>
      </c>
      <c r="AD178" s="513">
        <v>0</v>
      </c>
      <c r="AE178" s="513">
        <v>0</v>
      </c>
      <c r="AF178" s="513">
        <v>0</v>
      </c>
      <c r="AG178" s="513">
        <v>0</v>
      </c>
    </row>
    <row r="179" spans="1:33">
      <c r="C179" s="1" t="s">
        <v>720</v>
      </c>
      <c r="D179" s="1"/>
      <c r="E179" s="513">
        <v>0</v>
      </c>
      <c r="F179" s="513">
        <v>0</v>
      </c>
      <c r="G179" s="513">
        <v>0</v>
      </c>
      <c r="H179" s="513">
        <v>0</v>
      </c>
      <c r="I179" s="513">
        <v>0</v>
      </c>
      <c r="J179" s="513">
        <v>0</v>
      </c>
      <c r="K179" s="513">
        <v>0</v>
      </c>
      <c r="L179" s="513">
        <v>0</v>
      </c>
      <c r="M179" s="513">
        <v>0</v>
      </c>
      <c r="N179" s="513">
        <v>0</v>
      </c>
      <c r="O179" s="4">
        <v>0</v>
      </c>
      <c r="P179" s="513">
        <v>0</v>
      </c>
      <c r="Q179" s="635">
        <v>0</v>
      </c>
      <c r="R179" s="513">
        <v>0</v>
      </c>
      <c r="S179" s="635">
        <v>0</v>
      </c>
      <c r="T179" s="513">
        <v>0</v>
      </c>
      <c r="U179" s="635">
        <v>0</v>
      </c>
      <c r="V179" s="513">
        <v>0</v>
      </c>
      <c r="W179" s="4">
        <v>0</v>
      </c>
      <c r="X179" s="513">
        <v>0</v>
      </c>
      <c r="Y179" s="513">
        <v>0</v>
      </c>
      <c r="Z179" s="513">
        <v>0</v>
      </c>
      <c r="AA179" s="513">
        <v>0</v>
      </c>
      <c r="AB179" s="513">
        <v>0</v>
      </c>
      <c r="AC179" s="513">
        <v>0</v>
      </c>
      <c r="AD179" s="513">
        <v>0</v>
      </c>
      <c r="AE179" s="513">
        <v>0</v>
      </c>
      <c r="AF179" s="513">
        <v>0</v>
      </c>
      <c r="AG179" s="513">
        <v>0</v>
      </c>
    </row>
    <row r="180" spans="1:33">
      <c r="C180" s="1" t="s">
        <v>721</v>
      </c>
      <c r="D180" s="1"/>
      <c r="E180" s="513">
        <v>0</v>
      </c>
      <c r="F180" s="513">
        <v>0</v>
      </c>
      <c r="G180" s="513">
        <v>0</v>
      </c>
      <c r="H180" s="513">
        <v>0</v>
      </c>
      <c r="I180" s="513">
        <v>0</v>
      </c>
      <c r="J180" s="513">
        <v>0</v>
      </c>
      <c r="K180" s="513">
        <v>0</v>
      </c>
      <c r="L180" s="513">
        <v>256712.39</v>
      </c>
      <c r="M180" s="513">
        <v>0</v>
      </c>
      <c r="N180" s="513">
        <v>59267.94</v>
      </c>
      <c r="O180" s="4">
        <v>0</v>
      </c>
      <c r="P180" s="513">
        <v>77308</v>
      </c>
      <c r="Q180" s="635">
        <v>0</v>
      </c>
      <c r="R180" s="513">
        <v>840617.14999999991</v>
      </c>
      <c r="S180" s="513">
        <v>1237193</v>
      </c>
      <c r="T180" s="513">
        <v>9447.8300000000017</v>
      </c>
      <c r="U180" s="635">
        <v>0</v>
      </c>
      <c r="V180" s="513">
        <v>0</v>
      </c>
      <c r="W180" s="4">
        <v>0</v>
      </c>
      <c r="X180" s="513">
        <v>0</v>
      </c>
      <c r="Y180" s="513">
        <v>0</v>
      </c>
      <c r="Z180" s="513">
        <v>0</v>
      </c>
      <c r="AA180" s="513">
        <v>0</v>
      </c>
      <c r="AB180" s="513">
        <v>0</v>
      </c>
      <c r="AC180" s="513">
        <v>0</v>
      </c>
      <c r="AD180" s="513">
        <v>0</v>
      </c>
      <c r="AE180" s="513">
        <v>0</v>
      </c>
      <c r="AF180" s="513">
        <v>0</v>
      </c>
      <c r="AG180" s="513">
        <v>0</v>
      </c>
    </row>
    <row r="181" spans="1:33">
      <c r="C181" s="1" t="s">
        <v>724</v>
      </c>
      <c r="D181" s="1"/>
      <c r="E181" s="513">
        <v>0</v>
      </c>
      <c r="F181" s="513">
        <v>0</v>
      </c>
      <c r="G181" s="513">
        <v>0</v>
      </c>
      <c r="H181" s="513">
        <v>131180.47</v>
      </c>
      <c r="I181" s="513">
        <v>0</v>
      </c>
      <c r="J181" s="513">
        <v>1100504.8800000001</v>
      </c>
      <c r="K181" s="513">
        <v>0</v>
      </c>
      <c r="L181" s="513">
        <v>15478.51</v>
      </c>
      <c r="M181" s="513">
        <v>0</v>
      </c>
      <c r="N181" s="513">
        <v>-5634.7</v>
      </c>
      <c r="O181" s="4">
        <v>0</v>
      </c>
      <c r="P181" s="513">
        <v>0</v>
      </c>
      <c r="Q181" s="635">
        <v>0</v>
      </c>
      <c r="R181" s="513">
        <v>0</v>
      </c>
      <c r="S181" s="635">
        <v>0</v>
      </c>
      <c r="T181" s="513">
        <v>0</v>
      </c>
      <c r="U181" s="635">
        <v>0</v>
      </c>
      <c r="V181" s="513">
        <v>0</v>
      </c>
      <c r="W181" s="4">
        <v>0</v>
      </c>
      <c r="X181" s="513">
        <v>0</v>
      </c>
      <c r="Y181" s="513">
        <v>0</v>
      </c>
      <c r="Z181" s="513">
        <v>0</v>
      </c>
      <c r="AA181" s="513">
        <v>0</v>
      </c>
      <c r="AB181" s="513">
        <v>0</v>
      </c>
      <c r="AC181" s="513">
        <v>0</v>
      </c>
      <c r="AD181" s="513">
        <v>0</v>
      </c>
      <c r="AE181" s="513">
        <v>0</v>
      </c>
      <c r="AF181" s="513">
        <v>0</v>
      </c>
      <c r="AG181" s="513">
        <v>0</v>
      </c>
    </row>
    <row r="182" spans="1:33">
      <c r="C182" s="1" t="s">
        <v>728</v>
      </c>
      <c r="D182" s="1"/>
      <c r="E182" s="513">
        <v>0</v>
      </c>
      <c r="F182" s="643">
        <v>0</v>
      </c>
      <c r="G182" s="643">
        <v>0</v>
      </c>
      <c r="H182" s="643">
        <v>0</v>
      </c>
      <c r="I182" s="643">
        <v>0</v>
      </c>
      <c r="J182" s="643">
        <v>0</v>
      </c>
      <c r="K182" s="643">
        <v>0</v>
      </c>
      <c r="L182" s="643">
        <v>0</v>
      </c>
      <c r="M182" s="643">
        <v>0</v>
      </c>
      <c r="N182" s="513">
        <v>0</v>
      </c>
      <c r="O182" s="4">
        <v>0</v>
      </c>
      <c r="P182" s="513">
        <v>0</v>
      </c>
      <c r="Q182" s="635">
        <v>0</v>
      </c>
      <c r="R182" s="513">
        <v>0</v>
      </c>
      <c r="S182" s="635">
        <v>0</v>
      </c>
      <c r="T182" s="513">
        <v>0</v>
      </c>
      <c r="U182" s="635">
        <v>0</v>
      </c>
      <c r="V182" s="513">
        <v>0</v>
      </c>
      <c r="W182" s="4">
        <v>0</v>
      </c>
      <c r="X182" s="513">
        <v>0</v>
      </c>
      <c r="Y182" s="513">
        <v>0</v>
      </c>
      <c r="Z182" s="513">
        <v>0</v>
      </c>
      <c r="AA182" s="513">
        <v>0</v>
      </c>
      <c r="AB182" s="513">
        <v>0</v>
      </c>
      <c r="AC182" s="513">
        <v>0</v>
      </c>
      <c r="AD182" s="513">
        <v>0</v>
      </c>
      <c r="AE182" s="513">
        <v>0</v>
      </c>
      <c r="AF182" s="513">
        <v>0</v>
      </c>
      <c r="AG182" s="513">
        <v>0</v>
      </c>
    </row>
    <row r="183" spans="1:33">
      <c r="C183" s="1" t="s">
        <v>729</v>
      </c>
      <c r="D183" s="1"/>
      <c r="E183" s="513">
        <v>0</v>
      </c>
      <c r="F183" s="513">
        <v>416204.14</v>
      </c>
      <c r="G183" s="513">
        <v>0</v>
      </c>
      <c r="H183" s="513">
        <v>2621234.0300000003</v>
      </c>
      <c r="I183" s="513">
        <v>0</v>
      </c>
      <c r="J183" s="513">
        <v>925657.0399999998</v>
      </c>
      <c r="K183" s="513">
        <v>1100691</v>
      </c>
      <c r="L183" s="513">
        <v>1404192.47</v>
      </c>
      <c r="M183" s="513">
        <v>1100691</v>
      </c>
      <c r="N183" s="513">
        <v>75352.650000000081</v>
      </c>
      <c r="O183" s="4">
        <v>0</v>
      </c>
      <c r="P183" s="513">
        <v>372780.14999999997</v>
      </c>
      <c r="Q183" s="635">
        <v>0</v>
      </c>
      <c r="R183" s="513">
        <v>2904119.4599999981</v>
      </c>
      <c r="S183" s="635">
        <v>0</v>
      </c>
      <c r="T183" s="513">
        <v>2768685.7999999984</v>
      </c>
      <c r="U183" s="513">
        <v>6177222</v>
      </c>
      <c r="V183" s="513">
        <v>504136.75000000052</v>
      </c>
      <c r="W183" s="512">
        <v>1309414.82</v>
      </c>
      <c r="X183" s="513">
        <v>11197.16</v>
      </c>
      <c r="Y183" s="513">
        <v>0</v>
      </c>
      <c r="Z183" s="513">
        <v>336.07</v>
      </c>
      <c r="AA183" s="513">
        <v>0</v>
      </c>
      <c r="AB183" s="513">
        <v>-397.29</v>
      </c>
      <c r="AC183" s="513">
        <v>0</v>
      </c>
      <c r="AD183" s="513">
        <v>0</v>
      </c>
      <c r="AE183" s="513">
        <v>0</v>
      </c>
      <c r="AF183" s="513">
        <v>0</v>
      </c>
      <c r="AG183" s="513">
        <v>0</v>
      </c>
    </row>
    <row r="184" spans="1:33" s="101" customFormat="1">
      <c r="A184" s="636"/>
      <c r="C184" s="480" t="s">
        <v>1804</v>
      </c>
      <c r="D184" s="480"/>
      <c r="E184" s="638"/>
      <c r="F184" s="638">
        <v>3486188.2400000007</v>
      </c>
      <c r="G184" s="638">
        <v>2357476</v>
      </c>
      <c r="H184" s="638">
        <v>3505529.12</v>
      </c>
      <c r="I184" s="638">
        <v>0</v>
      </c>
      <c r="J184" s="638">
        <v>4460571.71</v>
      </c>
      <c r="K184" s="638">
        <v>3510990</v>
      </c>
      <c r="L184" s="638">
        <v>3173564.74</v>
      </c>
      <c r="M184" s="638">
        <v>2742720</v>
      </c>
      <c r="N184" s="638">
        <v>1052458.7300000002</v>
      </c>
      <c r="O184" s="638">
        <v>990929</v>
      </c>
      <c r="P184" s="638">
        <v>1389938.0100000009</v>
      </c>
      <c r="Q184" s="638">
        <v>1084695</v>
      </c>
      <c r="R184" s="638">
        <v>3839900.0799999982</v>
      </c>
      <c r="S184" s="638">
        <v>1237193</v>
      </c>
      <c r="T184" s="638">
        <v>4357296.3499999996</v>
      </c>
      <c r="U184" s="638">
        <v>8001690</v>
      </c>
      <c r="V184" s="638">
        <v>1609062.560000001</v>
      </c>
      <c r="W184" s="638">
        <v>2199573.8200000003</v>
      </c>
      <c r="X184" s="638">
        <v>933566.66</v>
      </c>
      <c r="Y184" s="638">
        <v>805929</v>
      </c>
      <c r="Z184" s="638">
        <v>1464015.7899999998</v>
      </c>
      <c r="AA184" s="638">
        <v>1267249.8199999998</v>
      </c>
      <c r="AB184" s="638">
        <v>492394.20000000007</v>
      </c>
      <c r="AC184" s="638">
        <v>867757</v>
      </c>
      <c r="AD184" s="638">
        <f>SUM(AD159:AD183)</f>
        <v>258389.97000000003</v>
      </c>
      <c r="AE184" s="638">
        <f t="shared" ref="AE184:AG184" si="6">SUM(AE159:AE183)</f>
        <v>0</v>
      </c>
      <c r="AF184" s="638">
        <f t="shared" si="6"/>
        <v>318125.5</v>
      </c>
      <c r="AG184" s="638">
        <f t="shared" si="6"/>
        <v>616808.95999999996</v>
      </c>
    </row>
    <row r="185" spans="1:33">
      <c r="C185" s="640" t="s">
        <v>746</v>
      </c>
      <c r="D185" s="1"/>
      <c r="E185" s="513"/>
      <c r="F185" s="513"/>
      <c r="G185" s="513"/>
      <c r="H185" s="513"/>
      <c r="I185" s="513"/>
      <c r="J185" s="513"/>
      <c r="K185" s="513"/>
      <c r="L185" s="1"/>
      <c r="M185" s="513"/>
      <c r="N185" s="1"/>
      <c r="O185" s="4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513"/>
      <c r="AC185" s="513"/>
      <c r="AD185" s="513"/>
      <c r="AE185" s="513"/>
      <c r="AF185" s="513"/>
      <c r="AG185" s="513"/>
    </row>
    <row r="186" spans="1:33">
      <c r="C186" s="1" t="s">
        <v>747</v>
      </c>
      <c r="D186" s="1"/>
      <c r="E186" s="513">
        <v>0</v>
      </c>
      <c r="F186" s="513">
        <v>0</v>
      </c>
      <c r="G186" s="513">
        <v>0</v>
      </c>
      <c r="H186" s="513">
        <v>0</v>
      </c>
      <c r="I186" s="513">
        <v>0</v>
      </c>
      <c r="J186" s="513">
        <v>0</v>
      </c>
      <c r="K186" s="513">
        <v>0</v>
      </c>
      <c r="L186" s="513">
        <v>28972.65</v>
      </c>
      <c r="M186" s="513">
        <v>0</v>
      </c>
      <c r="N186" s="513">
        <v>12713.57</v>
      </c>
      <c r="O186" s="511">
        <v>0</v>
      </c>
      <c r="P186" s="513">
        <v>508096.54000000132</v>
      </c>
      <c r="Q186" s="513">
        <v>575354</v>
      </c>
      <c r="R186" s="513">
        <v>25161.379999999994</v>
      </c>
      <c r="S186" s="635">
        <v>0</v>
      </c>
      <c r="T186" s="513">
        <v>-5840.54</v>
      </c>
      <c r="U186" s="635">
        <v>0</v>
      </c>
      <c r="V186" s="513">
        <v>0</v>
      </c>
      <c r="W186" s="511">
        <v>0</v>
      </c>
      <c r="X186" s="513">
        <v>0</v>
      </c>
      <c r="Y186" s="513">
        <v>0</v>
      </c>
      <c r="Z186" s="513">
        <v>0</v>
      </c>
      <c r="AA186" s="513">
        <v>0</v>
      </c>
      <c r="AB186" s="513">
        <v>0</v>
      </c>
      <c r="AC186" s="513">
        <v>0</v>
      </c>
      <c r="AD186" s="513">
        <v>0</v>
      </c>
      <c r="AE186" s="513">
        <v>0</v>
      </c>
      <c r="AF186" s="513">
        <v>0</v>
      </c>
      <c r="AG186" s="513">
        <v>0</v>
      </c>
    </row>
    <row r="187" spans="1:33">
      <c r="C187" s="1" t="s">
        <v>752</v>
      </c>
      <c r="D187" s="1"/>
      <c r="E187" s="513">
        <v>0</v>
      </c>
      <c r="F187" s="513">
        <v>0</v>
      </c>
      <c r="G187" s="513">
        <v>0</v>
      </c>
      <c r="H187" s="513">
        <v>0</v>
      </c>
      <c r="I187" s="513">
        <v>0</v>
      </c>
      <c r="J187" s="513">
        <v>0</v>
      </c>
      <c r="K187" s="513">
        <v>0</v>
      </c>
      <c r="L187" s="513">
        <v>0</v>
      </c>
      <c r="M187" s="513">
        <v>0</v>
      </c>
      <c r="N187" s="513">
        <v>0</v>
      </c>
      <c r="O187" s="4">
        <v>0</v>
      </c>
      <c r="P187" s="513">
        <v>28649.89</v>
      </c>
      <c r="Q187" s="635">
        <v>0</v>
      </c>
      <c r="R187" s="513">
        <v>83708.600000000006</v>
      </c>
      <c r="S187" s="635">
        <v>0</v>
      </c>
      <c r="T187" s="513">
        <v>1846100.2100000035</v>
      </c>
      <c r="U187" s="513">
        <v>1937644.46</v>
      </c>
      <c r="V187" s="513">
        <v>476657.39000000025</v>
      </c>
      <c r="W187" s="512">
        <v>614563.76000000024</v>
      </c>
      <c r="X187" s="513">
        <v>44918.86</v>
      </c>
      <c r="Y187" s="513">
        <v>0</v>
      </c>
      <c r="Z187" s="513">
        <v>9300.17</v>
      </c>
      <c r="AA187" s="513">
        <v>0</v>
      </c>
      <c r="AB187" s="513">
        <v>66100.789999999994</v>
      </c>
      <c r="AC187" s="513">
        <v>0</v>
      </c>
      <c r="AD187" s="513">
        <v>444.94</v>
      </c>
      <c r="AE187" s="513">
        <v>0</v>
      </c>
      <c r="AF187" s="513">
        <v>0</v>
      </c>
      <c r="AG187" s="513">
        <v>0</v>
      </c>
    </row>
    <row r="188" spans="1:33">
      <c r="C188" s="1" t="s">
        <v>759</v>
      </c>
      <c r="D188" s="1"/>
      <c r="E188" s="513">
        <v>0</v>
      </c>
      <c r="F188" s="513">
        <v>0</v>
      </c>
      <c r="G188" s="513">
        <v>0</v>
      </c>
      <c r="H188" s="513">
        <v>0</v>
      </c>
      <c r="I188" s="513">
        <v>0</v>
      </c>
      <c r="J188" s="513">
        <v>0</v>
      </c>
      <c r="K188" s="513">
        <v>0</v>
      </c>
      <c r="L188" s="513">
        <v>0</v>
      </c>
      <c r="M188" s="513">
        <v>0</v>
      </c>
      <c r="N188" s="513">
        <v>0</v>
      </c>
      <c r="O188" s="4">
        <v>0</v>
      </c>
      <c r="P188" s="513">
        <v>0</v>
      </c>
      <c r="Q188" s="635">
        <v>0</v>
      </c>
      <c r="R188" s="513">
        <v>0</v>
      </c>
      <c r="S188" s="635">
        <v>0</v>
      </c>
      <c r="T188" s="513">
        <v>0</v>
      </c>
      <c r="U188" s="635">
        <v>0</v>
      </c>
      <c r="V188" s="513">
        <v>0</v>
      </c>
      <c r="W188" s="4">
        <v>0</v>
      </c>
      <c r="X188" s="513">
        <v>0</v>
      </c>
      <c r="Y188" s="513">
        <v>0</v>
      </c>
      <c r="Z188" s="513">
        <v>0</v>
      </c>
      <c r="AA188" s="513">
        <v>0</v>
      </c>
      <c r="AB188" s="513">
        <v>0</v>
      </c>
      <c r="AC188" s="513">
        <v>0</v>
      </c>
      <c r="AD188" s="513">
        <v>0</v>
      </c>
      <c r="AE188" s="513">
        <v>0</v>
      </c>
      <c r="AF188" s="513">
        <v>0</v>
      </c>
      <c r="AG188" s="513">
        <v>0</v>
      </c>
    </row>
    <row r="189" spans="1:33">
      <c r="C189" s="1" t="s">
        <v>760</v>
      </c>
      <c r="D189" s="1"/>
      <c r="E189" s="513">
        <v>0</v>
      </c>
      <c r="F189" s="513">
        <v>7840.6699999999992</v>
      </c>
      <c r="G189" s="513">
        <v>0</v>
      </c>
      <c r="H189" s="513">
        <v>0</v>
      </c>
      <c r="I189" s="513">
        <v>0</v>
      </c>
      <c r="J189" s="513">
        <v>0</v>
      </c>
      <c r="K189" s="513">
        <v>0</v>
      </c>
      <c r="L189" s="513">
        <v>0</v>
      </c>
      <c r="M189" s="513">
        <v>0</v>
      </c>
      <c r="N189" s="513">
        <v>0</v>
      </c>
      <c r="O189" s="4">
        <v>0</v>
      </c>
      <c r="P189" s="513">
        <v>0</v>
      </c>
      <c r="Q189" s="635">
        <v>0</v>
      </c>
      <c r="R189" s="513">
        <v>0</v>
      </c>
      <c r="S189" s="635">
        <v>0</v>
      </c>
      <c r="T189" s="513">
        <v>0</v>
      </c>
      <c r="U189" s="635">
        <v>0</v>
      </c>
      <c r="V189" s="513">
        <v>38648.380000000012</v>
      </c>
      <c r="W189" s="4">
        <v>0</v>
      </c>
      <c r="X189" s="513">
        <v>24514.77</v>
      </c>
      <c r="Y189" s="513">
        <v>0</v>
      </c>
      <c r="Z189" s="513">
        <v>4071.12</v>
      </c>
      <c r="AA189" s="513">
        <v>0</v>
      </c>
      <c r="AB189" s="513">
        <v>-9185.4300000000112</v>
      </c>
      <c r="AC189" s="513">
        <v>0</v>
      </c>
      <c r="AD189" s="513">
        <v>189728.21</v>
      </c>
      <c r="AE189" s="513">
        <v>0</v>
      </c>
      <c r="AF189" s="1044">
        <v>13486.050000000001</v>
      </c>
      <c r="AG189" s="513">
        <v>0</v>
      </c>
    </row>
    <row r="190" spans="1:33">
      <c r="C190" s="1" t="s">
        <v>764</v>
      </c>
      <c r="D190" s="1"/>
      <c r="E190" s="513">
        <v>0</v>
      </c>
      <c r="F190" s="513">
        <v>0</v>
      </c>
      <c r="G190" s="513">
        <v>0</v>
      </c>
      <c r="H190" s="513">
        <v>63564.5</v>
      </c>
      <c r="I190" s="513">
        <v>0</v>
      </c>
      <c r="J190" s="513">
        <v>140209.98000000001</v>
      </c>
      <c r="K190" s="513">
        <v>0</v>
      </c>
      <c r="L190" s="513">
        <v>16035.28</v>
      </c>
      <c r="M190" s="513">
        <v>0</v>
      </c>
      <c r="N190" s="513">
        <v>4638.4799999999814</v>
      </c>
      <c r="O190" s="4">
        <v>0</v>
      </c>
      <c r="P190" s="513">
        <v>782370.94000000064</v>
      </c>
      <c r="Q190" s="513">
        <v>690676</v>
      </c>
      <c r="R190" s="513">
        <v>157801.21999999997</v>
      </c>
      <c r="S190" s="513">
        <v>474455</v>
      </c>
      <c r="T190" s="513">
        <v>0</v>
      </c>
      <c r="U190" s="635">
        <v>0</v>
      </c>
      <c r="V190" s="513">
        <v>-719.56999999999994</v>
      </c>
      <c r="W190" s="4">
        <v>0</v>
      </c>
      <c r="X190" s="513">
        <v>0</v>
      </c>
      <c r="Y190" s="513">
        <v>0</v>
      </c>
      <c r="Z190" s="513">
        <v>0</v>
      </c>
      <c r="AA190" s="513">
        <v>0</v>
      </c>
      <c r="AB190" s="513">
        <v>0</v>
      </c>
      <c r="AC190" s="513">
        <v>0</v>
      </c>
      <c r="AD190" s="513">
        <v>2937.15</v>
      </c>
      <c r="AE190" s="513">
        <v>0</v>
      </c>
      <c r="AF190" s="513">
        <v>0</v>
      </c>
      <c r="AG190" s="513">
        <v>0</v>
      </c>
    </row>
    <row r="191" spans="1:33">
      <c r="C191" s="1" t="s">
        <v>772</v>
      </c>
      <c r="D191" s="1"/>
      <c r="E191" s="513">
        <v>0</v>
      </c>
      <c r="F191" s="513">
        <v>878489.27</v>
      </c>
      <c r="G191" s="513">
        <v>0</v>
      </c>
      <c r="H191" s="513">
        <v>1449361.33</v>
      </c>
      <c r="I191" s="513">
        <v>388652</v>
      </c>
      <c r="J191" s="513">
        <v>44292</v>
      </c>
      <c r="K191" s="513">
        <v>0</v>
      </c>
      <c r="L191" s="513">
        <v>0</v>
      </c>
      <c r="M191" s="513">
        <v>0</v>
      </c>
      <c r="N191" s="513">
        <v>0</v>
      </c>
      <c r="O191" s="4">
        <v>0</v>
      </c>
      <c r="P191" s="513">
        <v>0</v>
      </c>
      <c r="Q191" s="635">
        <v>0</v>
      </c>
      <c r="R191" s="513">
        <v>0</v>
      </c>
      <c r="S191" s="635">
        <v>0</v>
      </c>
      <c r="T191" s="513">
        <v>0</v>
      </c>
      <c r="U191" s="635">
        <v>0</v>
      </c>
      <c r="V191" s="513">
        <v>0</v>
      </c>
      <c r="W191" s="4">
        <v>0</v>
      </c>
      <c r="X191" s="513">
        <v>0</v>
      </c>
      <c r="Y191" s="513">
        <v>0</v>
      </c>
      <c r="Z191" s="513">
        <v>0</v>
      </c>
      <c r="AA191" s="513">
        <v>0</v>
      </c>
      <c r="AB191" s="513">
        <v>0</v>
      </c>
      <c r="AC191" s="513">
        <v>0</v>
      </c>
      <c r="AD191" s="513">
        <v>0</v>
      </c>
      <c r="AE191" s="513">
        <v>0</v>
      </c>
      <c r="AF191" s="513">
        <v>0</v>
      </c>
      <c r="AG191" s="513">
        <v>0</v>
      </c>
    </row>
    <row r="192" spans="1:33">
      <c r="C192" s="1" t="s">
        <v>777</v>
      </c>
      <c r="D192" s="1"/>
      <c r="E192" s="513">
        <v>0</v>
      </c>
      <c r="F192" s="513">
        <v>0</v>
      </c>
      <c r="G192" s="513">
        <v>0</v>
      </c>
      <c r="H192" s="513">
        <v>0</v>
      </c>
      <c r="I192" s="513">
        <v>0</v>
      </c>
      <c r="J192" s="513">
        <v>0</v>
      </c>
      <c r="K192" s="513">
        <v>0</v>
      </c>
      <c r="L192" s="513">
        <v>0</v>
      </c>
      <c r="M192" s="513">
        <v>0</v>
      </c>
      <c r="N192" s="513">
        <v>0</v>
      </c>
      <c r="O192" s="4">
        <v>0</v>
      </c>
      <c r="P192" s="513">
        <v>0</v>
      </c>
      <c r="Q192" s="635">
        <v>0</v>
      </c>
      <c r="R192" s="513">
        <v>0</v>
      </c>
      <c r="S192" s="635">
        <v>0</v>
      </c>
      <c r="T192" s="513">
        <v>0</v>
      </c>
      <c r="U192" s="635">
        <v>0</v>
      </c>
      <c r="V192" s="513">
        <v>0</v>
      </c>
      <c r="W192" s="4">
        <v>0</v>
      </c>
      <c r="X192" s="513">
        <v>0</v>
      </c>
      <c r="Y192" s="513">
        <v>0</v>
      </c>
      <c r="Z192" s="513">
        <v>0</v>
      </c>
      <c r="AA192" s="513">
        <v>0</v>
      </c>
      <c r="AB192" s="513">
        <v>0</v>
      </c>
      <c r="AC192" s="513">
        <v>0</v>
      </c>
      <c r="AD192" s="513">
        <v>0</v>
      </c>
      <c r="AE192" s="513">
        <v>0</v>
      </c>
      <c r="AF192" s="513">
        <v>0</v>
      </c>
      <c r="AG192" s="513">
        <v>0</v>
      </c>
    </row>
    <row r="193" spans="3:33">
      <c r="C193" s="1" t="s">
        <v>778</v>
      </c>
      <c r="D193" s="1"/>
      <c r="E193" s="513">
        <v>0</v>
      </c>
      <c r="F193" s="513">
        <v>0</v>
      </c>
      <c r="G193" s="513">
        <v>0</v>
      </c>
      <c r="H193" s="513">
        <v>0</v>
      </c>
      <c r="I193" s="513">
        <v>0</v>
      </c>
      <c r="J193" s="513">
        <v>110740</v>
      </c>
      <c r="K193" s="513">
        <v>0</v>
      </c>
      <c r="L193" s="513">
        <v>93569.87999999999</v>
      </c>
      <c r="M193" s="513">
        <v>0</v>
      </c>
      <c r="N193" s="513">
        <v>1060328.1000000001</v>
      </c>
      <c r="O193" s="4">
        <v>0</v>
      </c>
      <c r="P193" s="513">
        <v>387047.10000000044</v>
      </c>
      <c r="Q193" s="513">
        <v>1652316</v>
      </c>
      <c r="R193" s="513">
        <v>12.559999999999995</v>
      </c>
      <c r="S193" s="635">
        <v>0</v>
      </c>
      <c r="T193" s="513">
        <v>0</v>
      </c>
      <c r="U193" s="635">
        <v>0</v>
      </c>
      <c r="V193" s="513">
        <v>-3207.92</v>
      </c>
      <c r="W193" s="4">
        <v>0</v>
      </c>
      <c r="X193" s="513">
        <v>0</v>
      </c>
      <c r="Y193" s="513">
        <v>0</v>
      </c>
      <c r="Z193" s="513">
        <v>0</v>
      </c>
      <c r="AA193" s="513">
        <v>0</v>
      </c>
      <c r="AB193" s="513">
        <v>0</v>
      </c>
      <c r="AC193" s="513">
        <v>0</v>
      </c>
      <c r="AD193" s="513">
        <v>0</v>
      </c>
      <c r="AE193" s="513">
        <v>0</v>
      </c>
      <c r="AF193" s="1044">
        <v>4838.04</v>
      </c>
      <c r="AG193" s="513">
        <v>0</v>
      </c>
    </row>
    <row r="194" spans="3:33">
      <c r="C194" s="1" t="s">
        <v>794</v>
      </c>
      <c r="D194" s="1"/>
      <c r="E194" s="513">
        <v>0</v>
      </c>
      <c r="F194" s="513">
        <v>0</v>
      </c>
      <c r="G194" s="513">
        <v>0</v>
      </c>
      <c r="H194" s="513">
        <v>0</v>
      </c>
      <c r="I194" s="513">
        <v>0</v>
      </c>
      <c r="J194" s="513">
        <v>0</v>
      </c>
      <c r="K194" s="513">
        <v>0</v>
      </c>
      <c r="L194" s="513">
        <v>0</v>
      </c>
      <c r="M194" s="513">
        <v>0</v>
      </c>
      <c r="N194" s="513">
        <v>0</v>
      </c>
      <c r="O194" s="4">
        <v>0</v>
      </c>
      <c r="P194" s="513">
        <v>0</v>
      </c>
      <c r="Q194" s="635">
        <v>0</v>
      </c>
      <c r="R194" s="513">
        <v>0</v>
      </c>
      <c r="S194" s="635">
        <v>0</v>
      </c>
      <c r="T194" s="513">
        <v>0</v>
      </c>
      <c r="U194" s="635">
        <v>0</v>
      </c>
      <c r="V194" s="513">
        <v>0</v>
      </c>
      <c r="W194" s="4">
        <v>0</v>
      </c>
      <c r="X194" s="513">
        <v>0</v>
      </c>
      <c r="Y194" s="513">
        <v>0</v>
      </c>
      <c r="Z194" s="513">
        <v>0</v>
      </c>
      <c r="AA194" s="513">
        <v>0</v>
      </c>
      <c r="AB194" s="513">
        <v>0</v>
      </c>
      <c r="AC194" s="513">
        <v>0</v>
      </c>
      <c r="AD194" s="513">
        <v>0</v>
      </c>
      <c r="AE194" s="513">
        <v>0</v>
      </c>
      <c r="AF194" s="513">
        <v>0</v>
      </c>
      <c r="AG194" s="513">
        <v>0</v>
      </c>
    </row>
    <row r="195" spans="3:33">
      <c r="C195" s="1" t="s">
        <v>795</v>
      </c>
      <c r="D195" s="1"/>
      <c r="E195" s="513">
        <v>0</v>
      </c>
      <c r="F195" s="513">
        <v>59767.67</v>
      </c>
      <c r="G195" s="513">
        <v>0</v>
      </c>
      <c r="H195" s="513">
        <v>282657.71999999997</v>
      </c>
      <c r="I195" s="513">
        <v>0</v>
      </c>
      <c r="J195" s="513">
        <v>1583720.68</v>
      </c>
      <c r="K195" s="513">
        <v>1887247.5999999996</v>
      </c>
      <c r="L195" s="513">
        <v>-41788.190000000541</v>
      </c>
      <c r="M195" s="513">
        <v>0</v>
      </c>
      <c r="N195" s="513">
        <v>26606.75</v>
      </c>
      <c r="O195" s="4">
        <v>0</v>
      </c>
      <c r="P195" s="513">
        <v>959429.79999999935</v>
      </c>
      <c r="Q195" s="635">
        <v>0</v>
      </c>
      <c r="R195" s="513">
        <v>331986.5900000002</v>
      </c>
      <c r="S195" s="513">
        <v>1334145</v>
      </c>
      <c r="T195" s="513">
        <v>5446.510000000002</v>
      </c>
      <c r="U195" s="635">
        <v>0</v>
      </c>
      <c r="V195" s="513">
        <v>-1741.29</v>
      </c>
      <c r="W195" s="4">
        <v>0</v>
      </c>
      <c r="X195" s="513">
        <v>0</v>
      </c>
      <c r="Y195" s="513">
        <v>0</v>
      </c>
      <c r="Z195" s="513">
        <v>0</v>
      </c>
      <c r="AA195" s="513">
        <v>0</v>
      </c>
      <c r="AB195" s="513">
        <v>0</v>
      </c>
      <c r="AC195" s="513">
        <v>0</v>
      </c>
      <c r="AD195" s="513">
        <v>0</v>
      </c>
      <c r="AE195" s="513">
        <v>0</v>
      </c>
      <c r="AF195" s="513">
        <v>0</v>
      </c>
      <c r="AG195" s="513">
        <v>0</v>
      </c>
    </row>
    <row r="196" spans="3:33">
      <c r="C196" s="1" t="s">
        <v>802</v>
      </c>
      <c r="D196" s="1"/>
      <c r="E196" s="513">
        <v>0</v>
      </c>
      <c r="F196" s="513">
        <v>160929.4</v>
      </c>
      <c r="G196" s="513">
        <v>0</v>
      </c>
      <c r="H196" s="513">
        <v>726242.89</v>
      </c>
      <c r="I196" s="513">
        <v>0</v>
      </c>
      <c r="J196" s="513">
        <v>77700.59</v>
      </c>
      <c r="K196" s="513">
        <v>1034793</v>
      </c>
      <c r="L196" s="513">
        <v>-13428.63</v>
      </c>
      <c r="M196" s="513">
        <v>0</v>
      </c>
      <c r="N196" s="513">
        <v>0</v>
      </c>
      <c r="O196" s="4">
        <v>0</v>
      </c>
      <c r="P196" s="513">
        <v>0</v>
      </c>
      <c r="Q196" s="635">
        <v>0</v>
      </c>
      <c r="R196" s="513">
        <v>0</v>
      </c>
      <c r="S196" s="635">
        <v>0</v>
      </c>
      <c r="T196" s="513">
        <v>0</v>
      </c>
      <c r="U196" s="635">
        <v>0</v>
      </c>
      <c r="V196" s="513">
        <v>0</v>
      </c>
      <c r="W196" s="4">
        <v>0</v>
      </c>
      <c r="X196" s="513">
        <v>0</v>
      </c>
      <c r="Y196" s="513">
        <v>0</v>
      </c>
      <c r="Z196" s="513">
        <v>0</v>
      </c>
      <c r="AA196" s="513">
        <v>0</v>
      </c>
      <c r="AB196" s="513">
        <v>0</v>
      </c>
      <c r="AC196" s="513">
        <v>0</v>
      </c>
      <c r="AD196" s="513">
        <v>0</v>
      </c>
      <c r="AE196" s="513">
        <v>0</v>
      </c>
      <c r="AF196" s="513">
        <v>0</v>
      </c>
      <c r="AG196" s="513">
        <v>0</v>
      </c>
    </row>
    <row r="197" spans="3:33">
      <c r="C197" s="1" t="s">
        <v>806</v>
      </c>
      <c r="D197" s="1"/>
      <c r="E197" s="513">
        <v>0</v>
      </c>
      <c r="F197" s="513">
        <v>89832.313999999998</v>
      </c>
      <c r="G197" s="513">
        <v>0</v>
      </c>
      <c r="H197" s="513">
        <v>68523.439999999988</v>
      </c>
      <c r="I197" s="513">
        <v>0</v>
      </c>
      <c r="J197" s="513">
        <v>783081.01</v>
      </c>
      <c r="K197" s="513">
        <v>962235</v>
      </c>
      <c r="L197" s="513">
        <v>142199.29</v>
      </c>
      <c r="M197" s="513">
        <v>0</v>
      </c>
      <c r="N197" s="513">
        <v>462.61</v>
      </c>
      <c r="O197" s="4">
        <v>0</v>
      </c>
      <c r="P197" s="513">
        <v>-139671.33000000002</v>
      </c>
      <c r="Q197" s="635">
        <v>0</v>
      </c>
      <c r="R197" s="513">
        <v>0</v>
      </c>
      <c r="S197" s="635">
        <v>0</v>
      </c>
      <c r="T197" s="513">
        <v>0</v>
      </c>
      <c r="U197" s="635">
        <v>0</v>
      </c>
      <c r="V197" s="513">
        <v>0</v>
      </c>
      <c r="W197" s="4">
        <v>0</v>
      </c>
      <c r="X197" s="513">
        <v>0</v>
      </c>
      <c r="Y197" s="513">
        <v>0</v>
      </c>
      <c r="Z197" s="513">
        <v>0</v>
      </c>
      <c r="AA197" s="513">
        <v>0</v>
      </c>
      <c r="AB197" s="513">
        <v>0</v>
      </c>
      <c r="AC197" s="513">
        <v>0</v>
      </c>
      <c r="AD197" s="513">
        <v>0</v>
      </c>
      <c r="AE197" s="513">
        <v>0</v>
      </c>
      <c r="AF197" s="513">
        <v>0</v>
      </c>
      <c r="AG197" s="513">
        <v>0</v>
      </c>
    </row>
    <row r="198" spans="3:33">
      <c r="C198" s="1" t="s">
        <v>809</v>
      </c>
      <c r="D198" s="1"/>
      <c r="E198" s="513">
        <v>0</v>
      </c>
      <c r="F198" s="513">
        <v>65314.75</v>
      </c>
      <c r="G198" s="513">
        <v>0</v>
      </c>
      <c r="H198" s="513">
        <v>69452.319999999992</v>
      </c>
      <c r="I198" s="513">
        <v>0</v>
      </c>
      <c r="J198" s="513">
        <v>422448</v>
      </c>
      <c r="K198" s="513">
        <v>0</v>
      </c>
      <c r="L198" s="513">
        <v>728303.08</v>
      </c>
      <c r="M198" s="513">
        <v>970870</v>
      </c>
      <c r="N198" s="513">
        <v>731126.39000000013</v>
      </c>
      <c r="O198" s="512">
        <v>1018040</v>
      </c>
      <c r="P198" s="513">
        <v>-19625.28</v>
      </c>
      <c r="Q198" s="635">
        <v>0</v>
      </c>
      <c r="R198" s="513">
        <v>-711.54000000000087</v>
      </c>
      <c r="S198" s="635">
        <v>0</v>
      </c>
      <c r="T198" s="513">
        <v>-2180.9499999999998</v>
      </c>
      <c r="U198" s="635">
        <v>0</v>
      </c>
      <c r="V198" s="513">
        <v>0</v>
      </c>
      <c r="W198" s="4">
        <v>0</v>
      </c>
      <c r="X198" s="513">
        <v>3063.85</v>
      </c>
      <c r="Y198" s="513">
        <v>0</v>
      </c>
      <c r="Z198" s="513">
        <v>55133.259999999995</v>
      </c>
      <c r="AA198" s="513">
        <v>0</v>
      </c>
      <c r="AB198" s="513">
        <v>-1490.7500000000018</v>
      </c>
      <c r="AC198" s="513">
        <v>0</v>
      </c>
      <c r="AD198" s="513">
        <v>467185.3</v>
      </c>
      <c r="AE198" s="513">
        <v>0</v>
      </c>
      <c r="AF198" s="1044">
        <v>222993.17000000004</v>
      </c>
      <c r="AG198" s="513">
        <v>0</v>
      </c>
    </row>
    <row r="199" spans="3:33">
      <c r="C199" s="1" t="s">
        <v>818</v>
      </c>
      <c r="D199" s="1"/>
      <c r="E199" s="513">
        <v>0</v>
      </c>
      <c r="F199" s="513">
        <v>198257.24</v>
      </c>
      <c r="G199" s="513">
        <v>0</v>
      </c>
      <c r="H199" s="513">
        <v>71591.88</v>
      </c>
      <c r="I199" s="513">
        <v>0</v>
      </c>
      <c r="J199" s="513">
        <v>89626.089999999982</v>
      </c>
      <c r="K199" s="513">
        <v>0</v>
      </c>
      <c r="L199" s="513">
        <v>570640.20000000007</v>
      </c>
      <c r="M199" s="513">
        <v>0</v>
      </c>
      <c r="N199" s="513">
        <v>1099955.72</v>
      </c>
      <c r="O199" s="4">
        <v>0</v>
      </c>
      <c r="P199" s="513">
        <v>1479190.46</v>
      </c>
      <c r="Q199" s="635">
        <v>0</v>
      </c>
      <c r="R199" s="513">
        <v>1124316.1800000006</v>
      </c>
      <c r="S199" s="513">
        <v>3460992.91</v>
      </c>
      <c r="T199" s="513">
        <v>-104.00000000000007</v>
      </c>
      <c r="U199" s="635">
        <v>0</v>
      </c>
      <c r="V199" s="513">
        <v>0</v>
      </c>
      <c r="W199" s="4">
        <v>0</v>
      </c>
      <c r="X199" s="513">
        <v>-1463.09</v>
      </c>
      <c r="Y199" s="513">
        <v>0</v>
      </c>
      <c r="Z199" s="513">
        <v>0</v>
      </c>
      <c r="AA199" s="513">
        <v>0</v>
      </c>
      <c r="AB199" s="513">
        <v>0</v>
      </c>
      <c r="AC199" s="513">
        <v>0</v>
      </c>
      <c r="AD199" s="513">
        <v>0</v>
      </c>
      <c r="AE199" s="513">
        <v>0</v>
      </c>
      <c r="AF199" s="513">
        <v>0</v>
      </c>
      <c r="AG199" s="513">
        <v>0</v>
      </c>
    </row>
    <row r="200" spans="3:33">
      <c r="C200" s="1" t="s">
        <v>826</v>
      </c>
      <c r="D200" s="1"/>
      <c r="E200" s="513">
        <v>0</v>
      </c>
      <c r="F200" s="513">
        <v>0</v>
      </c>
      <c r="G200" s="513">
        <v>0</v>
      </c>
      <c r="H200" s="513">
        <v>0</v>
      </c>
      <c r="I200" s="513">
        <v>0</v>
      </c>
      <c r="J200" s="513">
        <v>0</v>
      </c>
      <c r="K200" s="513">
        <v>0</v>
      </c>
      <c r="L200" s="513">
        <v>0</v>
      </c>
      <c r="M200" s="513">
        <v>0</v>
      </c>
      <c r="N200" s="513">
        <v>0</v>
      </c>
      <c r="O200" s="4">
        <v>0</v>
      </c>
      <c r="P200" s="513">
        <v>0</v>
      </c>
      <c r="Q200" s="635">
        <v>0</v>
      </c>
      <c r="R200" s="513">
        <v>0</v>
      </c>
      <c r="S200" s="635">
        <v>0</v>
      </c>
      <c r="T200" s="513">
        <v>0</v>
      </c>
      <c r="U200" s="635">
        <v>0</v>
      </c>
      <c r="V200" s="513">
        <v>0</v>
      </c>
      <c r="W200" s="4">
        <v>0</v>
      </c>
      <c r="X200" s="513">
        <v>87751.51</v>
      </c>
      <c r="Y200" s="513">
        <v>0</v>
      </c>
      <c r="Z200" s="513">
        <v>138987.29999999999</v>
      </c>
      <c r="AA200" s="513">
        <v>0</v>
      </c>
      <c r="AB200" s="513">
        <v>21850.010000000002</v>
      </c>
      <c r="AC200" s="513">
        <v>0</v>
      </c>
      <c r="AD200" s="513">
        <v>35798.839999999997</v>
      </c>
      <c r="AE200" s="513">
        <v>0</v>
      </c>
      <c r="AF200" s="1044">
        <v>1744555.5</v>
      </c>
      <c r="AG200" s="513">
        <v>0</v>
      </c>
    </row>
    <row r="201" spans="3:33">
      <c r="C201" s="1" t="s">
        <v>833</v>
      </c>
      <c r="D201" s="1"/>
      <c r="E201" s="513">
        <v>0</v>
      </c>
      <c r="F201" s="513">
        <v>652127.85000000009</v>
      </c>
      <c r="G201" s="513">
        <v>0</v>
      </c>
      <c r="H201" s="513">
        <v>62262.390000000021</v>
      </c>
      <c r="I201" s="513">
        <v>0</v>
      </c>
      <c r="J201" s="513">
        <v>3150.8800000000047</v>
      </c>
      <c r="K201" s="513">
        <v>0</v>
      </c>
      <c r="L201" s="513">
        <v>663208.23999999987</v>
      </c>
      <c r="M201" s="513">
        <v>747296</v>
      </c>
      <c r="N201" s="513">
        <v>-27669.969999999994</v>
      </c>
      <c r="O201" s="4">
        <v>0</v>
      </c>
      <c r="P201" s="513">
        <v>30.650000000000034</v>
      </c>
      <c r="Q201" s="635">
        <v>0</v>
      </c>
      <c r="R201" s="513">
        <v>0</v>
      </c>
      <c r="S201" s="635">
        <v>0</v>
      </c>
      <c r="T201" s="513">
        <v>0</v>
      </c>
      <c r="U201" s="635">
        <v>0</v>
      </c>
      <c r="V201" s="513">
        <v>0</v>
      </c>
      <c r="W201" s="4">
        <v>0</v>
      </c>
      <c r="X201" s="513">
        <v>0</v>
      </c>
      <c r="Y201" s="513">
        <v>0</v>
      </c>
      <c r="Z201" s="513">
        <v>0</v>
      </c>
      <c r="AA201" s="513">
        <v>0</v>
      </c>
      <c r="AB201" s="513">
        <v>0</v>
      </c>
      <c r="AC201" s="513">
        <v>0</v>
      </c>
      <c r="AD201" s="513">
        <v>0</v>
      </c>
      <c r="AE201" s="513">
        <v>0</v>
      </c>
      <c r="AF201" s="1044">
        <v>64308.520000000004</v>
      </c>
      <c r="AG201" s="513">
        <v>0</v>
      </c>
    </row>
    <row r="202" spans="3:33">
      <c r="C202" s="1" t="s">
        <v>838</v>
      </c>
      <c r="D202" s="1"/>
      <c r="E202" s="513">
        <v>0</v>
      </c>
      <c r="F202" s="513">
        <v>0</v>
      </c>
      <c r="G202" s="513">
        <v>0</v>
      </c>
      <c r="H202" s="513">
        <v>0</v>
      </c>
      <c r="I202" s="513">
        <v>0</v>
      </c>
      <c r="J202" s="513">
        <v>0</v>
      </c>
      <c r="K202" s="513">
        <v>0</v>
      </c>
      <c r="L202" s="513">
        <v>179862.43</v>
      </c>
      <c r="M202" s="513">
        <v>0</v>
      </c>
      <c r="N202" s="513">
        <v>1533814.57</v>
      </c>
      <c r="O202" s="4">
        <v>0</v>
      </c>
      <c r="P202" s="513">
        <v>206174.72999999998</v>
      </c>
      <c r="Q202" s="513">
        <v>1732160</v>
      </c>
      <c r="R202" s="513">
        <v>-216951.18</v>
      </c>
      <c r="S202" s="635">
        <v>0</v>
      </c>
      <c r="T202" s="513">
        <v>2044.73</v>
      </c>
      <c r="U202" s="635">
        <v>0</v>
      </c>
      <c r="V202" s="513">
        <v>1716.08</v>
      </c>
      <c r="W202" s="4">
        <v>0</v>
      </c>
      <c r="X202" s="513">
        <v>34517.090000000004</v>
      </c>
      <c r="Y202" s="513">
        <v>0</v>
      </c>
      <c r="Z202" s="513">
        <v>7951.84</v>
      </c>
      <c r="AA202" s="513">
        <v>0</v>
      </c>
      <c r="AB202" s="513">
        <v>29409.71</v>
      </c>
      <c r="AC202" s="513">
        <v>0</v>
      </c>
      <c r="AD202" s="513">
        <v>2358.3599999999997</v>
      </c>
      <c r="AE202" s="513">
        <v>0</v>
      </c>
      <c r="AF202" s="1044">
        <v>578.94000000000005</v>
      </c>
      <c r="AG202" s="513">
        <v>0</v>
      </c>
    </row>
    <row r="203" spans="3:33">
      <c r="C203" s="1" t="s">
        <v>841</v>
      </c>
      <c r="D203" s="1"/>
      <c r="E203" s="513">
        <v>0</v>
      </c>
      <c r="F203" s="513">
        <v>854086.85000000009</v>
      </c>
      <c r="G203" s="513">
        <v>0</v>
      </c>
      <c r="H203" s="513">
        <v>442186.81</v>
      </c>
      <c r="I203" s="513">
        <v>0</v>
      </c>
      <c r="J203" s="513">
        <v>312385.86</v>
      </c>
      <c r="K203" s="513">
        <v>1274526</v>
      </c>
      <c r="L203" s="513">
        <v>928790.82000000007</v>
      </c>
      <c r="M203" s="513">
        <v>1274526</v>
      </c>
      <c r="N203" s="513">
        <v>20493.540000000005</v>
      </c>
      <c r="O203" s="4">
        <v>0</v>
      </c>
      <c r="P203" s="513">
        <v>120225.86999999998</v>
      </c>
      <c r="Q203" s="635">
        <v>0</v>
      </c>
      <c r="R203" s="513">
        <v>1010213.4999999994</v>
      </c>
      <c r="S203" s="513">
        <v>1198257</v>
      </c>
      <c r="T203" s="513">
        <v>124376.51000000015</v>
      </c>
      <c r="U203" s="635">
        <v>0</v>
      </c>
      <c r="V203" s="513">
        <v>0</v>
      </c>
      <c r="W203" s="4">
        <v>0</v>
      </c>
      <c r="X203" s="513">
        <v>0</v>
      </c>
      <c r="Y203" s="513">
        <v>0</v>
      </c>
      <c r="Z203" s="513">
        <v>0</v>
      </c>
      <c r="AA203" s="513">
        <v>0</v>
      </c>
      <c r="AB203" s="513">
        <v>0</v>
      </c>
      <c r="AC203" s="513">
        <v>0</v>
      </c>
      <c r="AD203" s="513">
        <v>0</v>
      </c>
      <c r="AE203" s="513">
        <v>0</v>
      </c>
      <c r="AF203" s="1044">
        <v>54812.68</v>
      </c>
      <c r="AG203" s="513">
        <v>0</v>
      </c>
    </row>
    <row r="204" spans="3:33">
      <c r="C204" s="1" t="s">
        <v>853</v>
      </c>
      <c r="D204" s="1"/>
      <c r="E204" s="513">
        <v>0</v>
      </c>
      <c r="F204" s="513">
        <v>0</v>
      </c>
      <c r="G204" s="513">
        <v>0</v>
      </c>
      <c r="H204" s="513">
        <v>0</v>
      </c>
      <c r="I204" s="513">
        <v>0</v>
      </c>
      <c r="J204" s="513">
        <v>0</v>
      </c>
      <c r="K204" s="513">
        <v>0</v>
      </c>
      <c r="L204" s="513">
        <v>0</v>
      </c>
      <c r="M204" s="513">
        <v>0</v>
      </c>
      <c r="N204" s="513">
        <v>0</v>
      </c>
      <c r="O204" s="4">
        <v>0</v>
      </c>
      <c r="P204" s="513">
        <v>0</v>
      </c>
      <c r="Q204" s="635">
        <v>0</v>
      </c>
      <c r="R204" s="513">
        <v>0</v>
      </c>
      <c r="S204" s="635">
        <v>0</v>
      </c>
      <c r="T204" s="513">
        <v>0</v>
      </c>
      <c r="U204" s="635">
        <v>0</v>
      </c>
      <c r="V204" s="513">
        <v>0</v>
      </c>
      <c r="W204" s="4">
        <v>0</v>
      </c>
      <c r="X204" s="513">
        <v>39964.75</v>
      </c>
      <c r="Y204" s="513">
        <v>0</v>
      </c>
      <c r="Z204" s="513">
        <v>10771.84</v>
      </c>
      <c r="AA204" s="513">
        <v>0</v>
      </c>
      <c r="AB204" s="513">
        <v>0</v>
      </c>
      <c r="AC204" s="513">
        <v>0</v>
      </c>
      <c r="AD204" s="513">
        <v>-46757.640000000007</v>
      </c>
      <c r="AE204" s="513">
        <v>0</v>
      </c>
      <c r="AF204" s="1044">
        <v>5882.4500000000007</v>
      </c>
      <c r="AG204" s="513">
        <v>0</v>
      </c>
    </row>
    <row r="205" spans="3:33">
      <c r="C205" s="1" t="s">
        <v>861</v>
      </c>
      <c r="D205" s="1"/>
      <c r="E205" s="513">
        <v>0</v>
      </c>
      <c r="F205" s="513">
        <v>0</v>
      </c>
      <c r="G205" s="513">
        <v>0</v>
      </c>
      <c r="H205" s="513">
        <v>285.51</v>
      </c>
      <c r="I205" s="513">
        <v>0</v>
      </c>
      <c r="J205" s="513">
        <v>0</v>
      </c>
      <c r="K205" s="513">
        <v>0</v>
      </c>
      <c r="L205" s="513">
        <v>0</v>
      </c>
      <c r="M205" s="513">
        <v>0</v>
      </c>
      <c r="N205" s="513">
        <v>0</v>
      </c>
      <c r="O205" s="4">
        <v>0</v>
      </c>
      <c r="P205" s="513">
        <v>0</v>
      </c>
      <c r="Q205" s="635">
        <v>0</v>
      </c>
      <c r="R205" s="513">
        <v>0</v>
      </c>
      <c r="S205" s="635">
        <v>0</v>
      </c>
      <c r="T205" s="513">
        <v>0</v>
      </c>
      <c r="U205" s="635">
        <v>0</v>
      </c>
      <c r="V205" s="513">
        <v>0</v>
      </c>
      <c r="W205" s="4">
        <v>0</v>
      </c>
      <c r="X205" s="513">
        <v>0</v>
      </c>
      <c r="Y205" s="513">
        <v>0</v>
      </c>
      <c r="Z205" s="513">
        <v>0</v>
      </c>
      <c r="AA205" s="513">
        <v>0</v>
      </c>
      <c r="AB205" s="513">
        <v>0</v>
      </c>
      <c r="AC205" s="513">
        <v>0</v>
      </c>
      <c r="AD205" s="513">
        <v>0</v>
      </c>
      <c r="AE205" s="513">
        <v>0</v>
      </c>
      <c r="AF205" s="513">
        <v>0</v>
      </c>
      <c r="AG205" s="513">
        <v>0</v>
      </c>
    </row>
    <row r="206" spans="3:33">
      <c r="C206" s="1" t="s">
        <v>862</v>
      </c>
      <c r="D206" s="1"/>
      <c r="E206" s="513">
        <v>0</v>
      </c>
      <c r="F206" s="513">
        <v>16678.39</v>
      </c>
      <c r="G206" s="513">
        <v>0</v>
      </c>
      <c r="H206" s="513">
        <v>27326.579999999991</v>
      </c>
      <c r="I206" s="513">
        <v>0</v>
      </c>
      <c r="J206" s="513">
        <v>292106.5</v>
      </c>
      <c r="K206" s="513">
        <v>1300537</v>
      </c>
      <c r="L206" s="513">
        <v>1011990.5999999999</v>
      </c>
      <c r="M206" s="513">
        <v>1300537</v>
      </c>
      <c r="N206" s="513">
        <v>-79700.959999999992</v>
      </c>
      <c r="O206" s="4">
        <v>0</v>
      </c>
      <c r="P206" s="513">
        <v>0</v>
      </c>
      <c r="Q206" s="635">
        <v>0</v>
      </c>
      <c r="R206" s="513">
        <v>65.190000000000055</v>
      </c>
      <c r="S206" s="635">
        <v>0</v>
      </c>
      <c r="T206" s="513">
        <v>3407.0900000000011</v>
      </c>
      <c r="U206" s="635">
        <v>0</v>
      </c>
      <c r="V206" s="513">
        <v>0</v>
      </c>
      <c r="W206" s="4">
        <v>0</v>
      </c>
      <c r="X206" s="513">
        <v>0</v>
      </c>
      <c r="Y206" s="513">
        <v>0</v>
      </c>
      <c r="Z206" s="513">
        <v>0</v>
      </c>
      <c r="AA206" s="513">
        <v>0</v>
      </c>
      <c r="AB206" s="513">
        <v>0</v>
      </c>
      <c r="AC206" s="513">
        <v>0</v>
      </c>
      <c r="AD206" s="513">
        <v>0</v>
      </c>
      <c r="AE206" s="513">
        <v>0</v>
      </c>
      <c r="AF206" s="513">
        <v>0</v>
      </c>
      <c r="AG206" s="513">
        <v>0</v>
      </c>
    </row>
    <row r="207" spans="3:33">
      <c r="C207" s="1" t="s">
        <v>869</v>
      </c>
      <c r="D207" s="1"/>
      <c r="E207" s="513">
        <v>0</v>
      </c>
      <c r="F207" s="513">
        <v>0</v>
      </c>
      <c r="G207" s="513">
        <v>0</v>
      </c>
      <c r="H207" s="513">
        <v>0</v>
      </c>
      <c r="I207" s="513">
        <v>0</v>
      </c>
      <c r="J207" s="513">
        <v>0</v>
      </c>
      <c r="K207" s="513">
        <v>0</v>
      </c>
      <c r="L207" s="513">
        <v>0</v>
      </c>
      <c r="M207" s="513">
        <v>0</v>
      </c>
      <c r="N207" s="513">
        <v>0</v>
      </c>
      <c r="O207" s="4">
        <v>0</v>
      </c>
      <c r="P207" s="513">
        <v>0</v>
      </c>
      <c r="Q207" s="635">
        <v>0</v>
      </c>
      <c r="R207" s="513">
        <v>0</v>
      </c>
      <c r="S207" s="635">
        <v>0</v>
      </c>
      <c r="T207" s="513">
        <v>0</v>
      </c>
      <c r="U207" s="635">
        <v>0</v>
      </c>
      <c r="V207" s="513">
        <v>0</v>
      </c>
      <c r="W207" s="4">
        <v>0</v>
      </c>
      <c r="X207" s="513">
        <v>0</v>
      </c>
      <c r="Y207" s="513">
        <v>0</v>
      </c>
      <c r="Z207" s="513">
        <v>0</v>
      </c>
      <c r="AA207" s="513">
        <v>0</v>
      </c>
      <c r="AB207" s="513">
        <v>0</v>
      </c>
      <c r="AC207" s="513">
        <v>0</v>
      </c>
      <c r="AD207" s="513">
        <v>0</v>
      </c>
      <c r="AE207" s="513">
        <v>0</v>
      </c>
      <c r="AF207" s="513">
        <v>0</v>
      </c>
      <c r="AG207" s="513">
        <v>0</v>
      </c>
    </row>
    <row r="208" spans="3:33">
      <c r="C208" s="1" t="s">
        <v>870</v>
      </c>
      <c r="D208" s="1"/>
      <c r="E208" s="513">
        <v>0</v>
      </c>
      <c r="F208" s="513">
        <v>0</v>
      </c>
      <c r="G208" s="513">
        <v>0</v>
      </c>
      <c r="H208" s="513">
        <v>0</v>
      </c>
      <c r="I208" s="513">
        <v>0</v>
      </c>
      <c r="J208" s="513">
        <v>0</v>
      </c>
      <c r="K208" s="513">
        <v>0</v>
      </c>
      <c r="L208" s="513">
        <v>0</v>
      </c>
      <c r="M208" s="513">
        <v>0</v>
      </c>
      <c r="N208" s="513">
        <v>0</v>
      </c>
      <c r="O208" s="4">
        <v>0</v>
      </c>
      <c r="P208" s="513">
        <v>0</v>
      </c>
      <c r="Q208" s="635">
        <v>0</v>
      </c>
      <c r="R208" s="513">
        <v>0</v>
      </c>
      <c r="S208" s="635">
        <v>0</v>
      </c>
      <c r="T208" s="513">
        <v>0</v>
      </c>
      <c r="U208" s="635">
        <v>0</v>
      </c>
      <c r="V208" s="513">
        <v>0</v>
      </c>
      <c r="W208" s="4">
        <v>0</v>
      </c>
      <c r="X208" s="513">
        <v>0</v>
      </c>
      <c r="Y208" s="513">
        <v>0</v>
      </c>
      <c r="Z208" s="513">
        <v>0</v>
      </c>
      <c r="AA208" s="513">
        <v>0</v>
      </c>
      <c r="AB208" s="513">
        <v>0</v>
      </c>
      <c r="AC208" s="513">
        <v>0</v>
      </c>
      <c r="AD208" s="513">
        <v>0</v>
      </c>
      <c r="AE208" s="513">
        <v>0</v>
      </c>
      <c r="AF208" s="513">
        <v>0</v>
      </c>
      <c r="AG208" s="513">
        <v>0</v>
      </c>
    </row>
    <row r="209" spans="1:33">
      <c r="C209" s="1" t="s">
        <v>871</v>
      </c>
      <c r="D209" s="1"/>
      <c r="E209" s="513">
        <v>0</v>
      </c>
      <c r="F209" s="513">
        <v>1424903.6099999996</v>
      </c>
      <c r="G209" s="513">
        <v>0</v>
      </c>
      <c r="H209" s="513">
        <v>325261.12</v>
      </c>
      <c r="I209" s="513">
        <v>0</v>
      </c>
      <c r="J209" s="513">
        <v>120903.11999999998</v>
      </c>
      <c r="K209" s="513">
        <v>0</v>
      </c>
      <c r="L209" s="513">
        <v>244772</v>
      </c>
      <c r="M209" s="513">
        <v>0</v>
      </c>
      <c r="N209" s="513">
        <v>13693.199999999968</v>
      </c>
      <c r="O209" s="4">
        <v>0</v>
      </c>
      <c r="P209" s="513">
        <v>176691.02000000008</v>
      </c>
      <c r="Q209" s="635">
        <v>0</v>
      </c>
      <c r="R209" s="513">
        <v>2837177.6799999978</v>
      </c>
      <c r="S209" s="635">
        <v>0</v>
      </c>
      <c r="T209" s="513">
        <v>2648552.5700000008</v>
      </c>
      <c r="U209" s="513">
        <v>5428307</v>
      </c>
      <c r="V209" s="513">
        <v>-18353.490000000085</v>
      </c>
      <c r="W209" s="4">
        <v>0</v>
      </c>
      <c r="X209" s="513">
        <v>29868.81</v>
      </c>
      <c r="Y209" s="513">
        <v>0</v>
      </c>
      <c r="Z209" s="513">
        <v>35251.64</v>
      </c>
      <c r="AA209" s="513">
        <v>0</v>
      </c>
      <c r="AB209" s="513">
        <v>46035.16</v>
      </c>
      <c r="AC209" s="513">
        <v>0</v>
      </c>
      <c r="AD209" s="513">
        <v>54777.27</v>
      </c>
      <c r="AE209" s="513">
        <v>0</v>
      </c>
      <c r="AF209" s="1044">
        <v>1857877.9</v>
      </c>
      <c r="AG209" s="513">
        <v>2002885.6300000001</v>
      </c>
    </row>
    <row r="210" spans="1:33" s="101" customFormat="1">
      <c r="A210" s="636"/>
      <c r="C210" s="480" t="s">
        <v>1805</v>
      </c>
      <c r="D210" s="480"/>
      <c r="E210" s="638"/>
      <c r="F210" s="638">
        <v>4408228.0139999995</v>
      </c>
      <c r="G210" s="638">
        <v>0</v>
      </c>
      <c r="H210" s="638">
        <v>3588716.4899999998</v>
      </c>
      <c r="I210" s="638">
        <v>388652</v>
      </c>
      <c r="J210" s="638">
        <v>3980364.7099999995</v>
      </c>
      <c r="K210" s="638">
        <v>6459338.5999999996</v>
      </c>
      <c r="L210" s="638">
        <v>4553127.6499999994</v>
      </c>
      <c r="M210" s="638">
        <v>4293229</v>
      </c>
      <c r="N210" s="638">
        <v>4396462</v>
      </c>
      <c r="O210" s="638">
        <v>1018040</v>
      </c>
      <c r="P210" s="638">
        <v>4488610.3900000025</v>
      </c>
      <c r="Q210" s="638">
        <v>4650506</v>
      </c>
      <c r="R210" s="638">
        <v>5352780.1799999978</v>
      </c>
      <c r="S210" s="638">
        <v>6467849.9100000001</v>
      </c>
      <c r="T210" s="638">
        <v>4621802.1300000045</v>
      </c>
      <c r="U210" s="638">
        <v>7365951.46</v>
      </c>
      <c r="V210" s="638">
        <v>492999.58000000019</v>
      </c>
      <c r="W210" s="638">
        <v>614563.76000000024</v>
      </c>
      <c r="X210" s="638">
        <v>263136.55000000005</v>
      </c>
      <c r="Y210" s="638">
        <v>0</v>
      </c>
      <c r="Z210" s="638">
        <v>261467.16999999998</v>
      </c>
      <c r="AA210" s="638">
        <v>0</v>
      </c>
      <c r="AB210" s="638">
        <v>152719.49</v>
      </c>
      <c r="AC210" s="638">
        <v>0</v>
      </c>
      <c r="AD210" s="638">
        <f>SUM(AD186:AD209)</f>
        <v>706472.42999999993</v>
      </c>
      <c r="AE210" s="638">
        <f t="shared" ref="AE210:AG210" si="7">SUM(AE186:AE209)</f>
        <v>0</v>
      </c>
      <c r="AF210" s="638">
        <f t="shared" si="7"/>
        <v>3969333.25</v>
      </c>
      <c r="AG210" s="638">
        <f t="shared" si="7"/>
        <v>2002885.6300000001</v>
      </c>
    </row>
    <row r="211" spans="1:33">
      <c r="C211" s="640" t="s">
        <v>880</v>
      </c>
      <c r="D211" s="1"/>
      <c r="E211" s="513"/>
      <c r="F211" s="513"/>
      <c r="G211" s="513"/>
      <c r="H211" s="513"/>
      <c r="I211" s="513"/>
      <c r="J211" s="513"/>
      <c r="K211" s="1"/>
      <c r="L211" s="1"/>
      <c r="M211" s="513"/>
      <c r="N211" s="1"/>
      <c r="O211" s="4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513"/>
      <c r="AC211" s="513"/>
      <c r="AD211" s="513"/>
      <c r="AE211" s="513"/>
      <c r="AF211" s="513"/>
      <c r="AG211" s="513"/>
    </row>
    <row r="212" spans="1:33">
      <c r="C212" s="1" t="s">
        <v>881</v>
      </c>
      <c r="D212" s="1"/>
      <c r="E212" s="513">
        <v>0</v>
      </c>
      <c r="F212" s="513">
        <v>0</v>
      </c>
      <c r="G212" s="513">
        <v>0</v>
      </c>
      <c r="H212" s="513">
        <v>0</v>
      </c>
      <c r="I212" s="513">
        <v>0</v>
      </c>
      <c r="J212" s="513">
        <v>0</v>
      </c>
      <c r="K212" s="513">
        <v>0</v>
      </c>
      <c r="L212" s="513">
        <v>0</v>
      </c>
      <c r="M212" s="513">
        <v>0</v>
      </c>
      <c r="N212" s="513">
        <v>0</v>
      </c>
      <c r="O212" s="4">
        <v>0</v>
      </c>
      <c r="P212" s="513">
        <v>0</v>
      </c>
      <c r="Q212" s="635">
        <v>0</v>
      </c>
      <c r="R212" s="513">
        <v>0</v>
      </c>
      <c r="S212" s="635">
        <v>0</v>
      </c>
      <c r="T212" s="513">
        <v>0</v>
      </c>
      <c r="U212" s="635">
        <v>0</v>
      </c>
      <c r="V212" s="513">
        <v>0</v>
      </c>
      <c r="W212" s="4">
        <v>0</v>
      </c>
      <c r="X212" s="513">
        <v>0</v>
      </c>
      <c r="Y212" s="513">
        <v>0</v>
      </c>
      <c r="Z212" s="513">
        <v>0</v>
      </c>
      <c r="AA212" s="513">
        <v>0</v>
      </c>
      <c r="AB212" s="513">
        <v>0</v>
      </c>
      <c r="AC212" s="513">
        <v>0</v>
      </c>
      <c r="AD212" s="513">
        <v>0</v>
      </c>
      <c r="AE212" s="513">
        <v>0</v>
      </c>
      <c r="AF212" s="513">
        <v>0</v>
      </c>
      <c r="AG212" s="513">
        <v>0</v>
      </c>
    </row>
    <row r="213" spans="1:33" s="101" customFormat="1">
      <c r="A213" s="636"/>
      <c r="C213" s="480" t="s">
        <v>1806</v>
      </c>
      <c r="D213" s="480"/>
      <c r="E213" s="638"/>
      <c r="F213" s="638">
        <v>0</v>
      </c>
      <c r="G213" s="638">
        <v>0</v>
      </c>
      <c r="H213" s="638">
        <v>0</v>
      </c>
      <c r="I213" s="638">
        <v>0</v>
      </c>
      <c r="J213" s="638">
        <v>0</v>
      </c>
      <c r="K213" s="638">
        <v>0</v>
      </c>
      <c r="L213" s="638">
        <v>0</v>
      </c>
      <c r="M213" s="638">
        <v>0</v>
      </c>
      <c r="N213" s="638">
        <v>0</v>
      </c>
      <c r="O213" s="638">
        <v>0</v>
      </c>
      <c r="P213" s="638">
        <v>0</v>
      </c>
      <c r="Q213" s="638">
        <v>0</v>
      </c>
      <c r="R213" s="638">
        <v>0</v>
      </c>
      <c r="S213" s="638">
        <v>0</v>
      </c>
      <c r="T213" s="638">
        <v>0</v>
      </c>
      <c r="U213" s="638">
        <v>0</v>
      </c>
      <c r="V213" s="638">
        <v>0</v>
      </c>
      <c r="W213" s="638">
        <v>0</v>
      </c>
      <c r="X213" s="638">
        <v>0</v>
      </c>
      <c r="Y213" s="638">
        <v>0</v>
      </c>
      <c r="Z213" s="638">
        <v>0</v>
      </c>
      <c r="AA213" s="638">
        <v>0</v>
      </c>
      <c r="AB213" s="638">
        <v>0</v>
      </c>
      <c r="AC213" s="638">
        <v>0</v>
      </c>
      <c r="AD213" s="638">
        <f>SUM(AD212)</f>
        <v>0</v>
      </c>
      <c r="AE213" s="638">
        <f t="shared" ref="AE213:AG213" si="8">SUM(AE212)</f>
        <v>0</v>
      </c>
      <c r="AF213" s="638">
        <f t="shared" si="8"/>
        <v>0</v>
      </c>
      <c r="AG213" s="638">
        <f t="shared" si="8"/>
        <v>0</v>
      </c>
    </row>
    <row r="214" spans="1:33">
      <c r="C214" s="640" t="s">
        <v>882</v>
      </c>
      <c r="D214" s="1"/>
      <c r="E214" s="513"/>
      <c r="F214" s="513"/>
      <c r="G214" s="513"/>
      <c r="H214" s="513"/>
      <c r="I214" s="513"/>
      <c r="J214" s="513"/>
      <c r="K214" s="1"/>
      <c r="L214" s="1"/>
      <c r="M214" s="513"/>
      <c r="N214" s="1"/>
      <c r="O214" s="4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513"/>
      <c r="AC214" s="513"/>
      <c r="AD214" s="513"/>
      <c r="AE214" s="513"/>
      <c r="AF214" s="513"/>
      <c r="AG214" s="513"/>
    </row>
    <row r="215" spans="1:33">
      <c r="C215" s="1" t="s">
        <v>883</v>
      </c>
      <c r="D215" s="1"/>
      <c r="E215" s="513">
        <v>0</v>
      </c>
      <c r="F215" s="513">
        <v>0</v>
      </c>
      <c r="G215" s="513">
        <v>0</v>
      </c>
      <c r="H215" s="513">
        <v>0</v>
      </c>
      <c r="I215" s="513">
        <v>0</v>
      </c>
      <c r="J215" s="513">
        <v>0</v>
      </c>
      <c r="K215" s="513">
        <v>0</v>
      </c>
      <c r="L215" s="513">
        <v>0</v>
      </c>
      <c r="M215" s="513">
        <v>0</v>
      </c>
      <c r="N215" s="513">
        <v>0</v>
      </c>
      <c r="O215" s="4">
        <v>0</v>
      </c>
      <c r="P215" s="513">
        <v>0</v>
      </c>
      <c r="Q215" s="635">
        <v>0</v>
      </c>
      <c r="R215" s="513">
        <v>0</v>
      </c>
      <c r="S215" s="635">
        <v>0</v>
      </c>
      <c r="T215" s="513">
        <v>0</v>
      </c>
      <c r="U215" s="635">
        <v>0</v>
      </c>
      <c r="V215" s="513">
        <v>0</v>
      </c>
      <c r="W215" s="4">
        <v>0</v>
      </c>
      <c r="X215" s="513">
        <v>0</v>
      </c>
      <c r="Y215" s="513">
        <v>0</v>
      </c>
      <c r="Z215" s="513">
        <v>0</v>
      </c>
      <c r="AA215" s="513">
        <v>0</v>
      </c>
      <c r="AB215" s="513">
        <v>0</v>
      </c>
      <c r="AC215" s="513">
        <v>0</v>
      </c>
      <c r="AD215" s="513">
        <v>0</v>
      </c>
      <c r="AE215" s="513">
        <v>0</v>
      </c>
      <c r="AF215" s="513">
        <v>0</v>
      </c>
      <c r="AG215" s="513">
        <v>0</v>
      </c>
    </row>
    <row r="216" spans="1:33">
      <c r="C216" s="1" t="s">
        <v>884</v>
      </c>
      <c r="D216" s="1"/>
      <c r="E216" s="513">
        <v>0</v>
      </c>
      <c r="F216" s="513">
        <v>0</v>
      </c>
      <c r="G216" s="513">
        <v>0</v>
      </c>
      <c r="H216" s="513">
        <v>0</v>
      </c>
      <c r="I216" s="513">
        <v>0</v>
      </c>
      <c r="J216" s="513">
        <v>0</v>
      </c>
      <c r="K216" s="513">
        <v>0</v>
      </c>
      <c r="L216" s="513">
        <v>0</v>
      </c>
      <c r="M216" s="513">
        <v>0</v>
      </c>
      <c r="N216" s="513">
        <v>0</v>
      </c>
      <c r="O216" s="4">
        <v>0</v>
      </c>
      <c r="P216" s="513">
        <v>0</v>
      </c>
      <c r="Q216" s="635">
        <v>0</v>
      </c>
      <c r="R216" s="513">
        <v>0</v>
      </c>
      <c r="S216" s="635">
        <v>0</v>
      </c>
      <c r="T216" s="513">
        <v>0</v>
      </c>
      <c r="U216" s="635">
        <v>0</v>
      </c>
      <c r="V216" s="513">
        <v>0</v>
      </c>
      <c r="W216" s="4">
        <v>0</v>
      </c>
      <c r="X216" s="513">
        <v>0</v>
      </c>
      <c r="Y216" s="513">
        <v>0</v>
      </c>
      <c r="Z216" s="513">
        <v>0</v>
      </c>
      <c r="AA216" s="513">
        <v>0</v>
      </c>
      <c r="AB216" s="513">
        <v>0</v>
      </c>
      <c r="AC216" s="513">
        <v>0</v>
      </c>
      <c r="AD216" s="513">
        <v>0</v>
      </c>
      <c r="AE216" s="513">
        <v>0</v>
      </c>
      <c r="AF216" s="513">
        <v>0</v>
      </c>
      <c r="AG216" s="513">
        <v>0</v>
      </c>
    </row>
    <row r="217" spans="1:33">
      <c r="C217" s="1" t="s">
        <v>885</v>
      </c>
      <c r="D217" s="1"/>
      <c r="E217" s="513">
        <v>0</v>
      </c>
      <c r="F217" s="513">
        <v>61966.18</v>
      </c>
      <c r="G217" s="513">
        <v>0</v>
      </c>
      <c r="H217" s="513">
        <v>233669.47</v>
      </c>
      <c r="I217" s="513">
        <v>0</v>
      </c>
      <c r="J217" s="513">
        <v>313390.77999999997</v>
      </c>
      <c r="K217" s="513">
        <v>0</v>
      </c>
      <c r="L217" s="513">
        <v>1089399.77</v>
      </c>
      <c r="M217" s="513">
        <v>0</v>
      </c>
      <c r="N217" s="513">
        <v>3602878.3100000005</v>
      </c>
      <c r="O217" s="512">
        <v>5188642</v>
      </c>
      <c r="P217" s="513">
        <v>-47608.95</v>
      </c>
      <c r="Q217" s="635">
        <v>0</v>
      </c>
      <c r="R217" s="513">
        <v>4830.17</v>
      </c>
      <c r="S217" s="635">
        <v>0</v>
      </c>
      <c r="T217" s="513">
        <v>-39055.279999999999</v>
      </c>
      <c r="U217" s="635">
        <v>0</v>
      </c>
      <c r="V217" s="513">
        <v>0</v>
      </c>
      <c r="W217" s="4">
        <v>0</v>
      </c>
      <c r="X217" s="513">
        <v>0</v>
      </c>
      <c r="Y217" s="513">
        <v>0</v>
      </c>
      <c r="Z217" s="513">
        <v>0</v>
      </c>
      <c r="AA217" s="513">
        <v>0</v>
      </c>
      <c r="AB217" s="513">
        <v>0</v>
      </c>
      <c r="AC217" s="513">
        <v>0</v>
      </c>
      <c r="AD217" s="513">
        <v>0</v>
      </c>
      <c r="AE217" s="513">
        <v>0</v>
      </c>
      <c r="AF217" s="513">
        <v>0</v>
      </c>
      <c r="AG217" s="513">
        <v>0</v>
      </c>
    </row>
    <row r="218" spans="1:33">
      <c r="C218" s="1" t="s">
        <v>889</v>
      </c>
      <c r="D218" s="1"/>
      <c r="E218" s="513">
        <v>0</v>
      </c>
      <c r="F218" s="513">
        <v>565535.90999999992</v>
      </c>
      <c r="G218" s="513">
        <v>0</v>
      </c>
      <c r="H218" s="513">
        <v>1916405.1599999997</v>
      </c>
      <c r="I218" s="513">
        <v>0</v>
      </c>
      <c r="J218" s="513">
        <v>1871390.6099999999</v>
      </c>
      <c r="K218" s="513">
        <v>0</v>
      </c>
      <c r="L218" s="513">
        <v>-595627.64</v>
      </c>
      <c r="M218" s="513">
        <v>0</v>
      </c>
      <c r="N218" s="513">
        <v>46632.68</v>
      </c>
      <c r="O218" s="4">
        <v>0</v>
      </c>
      <c r="P218" s="513">
        <v>-18365.740000000005</v>
      </c>
      <c r="Q218" s="635">
        <v>0</v>
      </c>
      <c r="R218" s="513">
        <v>3424.3700000000003</v>
      </c>
      <c r="S218" s="635">
        <v>0</v>
      </c>
      <c r="T218" s="513">
        <v>19507.690000000002</v>
      </c>
      <c r="U218" s="635">
        <v>0</v>
      </c>
      <c r="V218" s="513">
        <v>27581.77</v>
      </c>
      <c r="W218" s="4">
        <v>0</v>
      </c>
      <c r="X218" s="513">
        <v>14472.22</v>
      </c>
      <c r="Y218" s="513">
        <v>0</v>
      </c>
      <c r="Z218" s="513">
        <v>0</v>
      </c>
      <c r="AA218" s="513">
        <v>0</v>
      </c>
      <c r="AB218" s="513">
        <v>0</v>
      </c>
      <c r="AC218" s="513">
        <v>0</v>
      </c>
      <c r="AD218" s="513">
        <v>0</v>
      </c>
      <c r="AE218" s="513">
        <v>0</v>
      </c>
      <c r="AF218" s="1044">
        <v>62036.5</v>
      </c>
      <c r="AG218" s="513">
        <v>0</v>
      </c>
    </row>
    <row r="219" spans="1:33" s="101" customFormat="1">
      <c r="A219" s="636"/>
      <c r="C219" s="480" t="s">
        <v>1807</v>
      </c>
      <c r="D219" s="480"/>
      <c r="E219" s="638"/>
      <c r="F219" s="638">
        <v>627502.09</v>
      </c>
      <c r="G219" s="638">
        <v>0</v>
      </c>
      <c r="H219" s="638">
        <v>2150074.63</v>
      </c>
      <c r="I219" s="638">
        <v>0</v>
      </c>
      <c r="J219" s="638">
        <v>2184781.3899999997</v>
      </c>
      <c r="K219" s="638">
        <v>0</v>
      </c>
      <c r="L219" s="638">
        <v>493772.13</v>
      </c>
      <c r="M219" s="638">
        <v>0</v>
      </c>
      <c r="N219" s="638">
        <v>3649510.9900000007</v>
      </c>
      <c r="O219" s="638">
        <v>5188642</v>
      </c>
      <c r="P219" s="638">
        <v>-65974.69</v>
      </c>
      <c r="Q219" s="638">
        <v>0</v>
      </c>
      <c r="R219" s="638">
        <v>8254.5400000000009</v>
      </c>
      <c r="S219" s="638">
        <v>0</v>
      </c>
      <c r="T219" s="638">
        <v>-19547.589999999997</v>
      </c>
      <c r="U219" s="638">
        <v>0</v>
      </c>
      <c r="V219" s="638">
        <v>27581.77</v>
      </c>
      <c r="W219" s="638">
        <v>0</v>
      </c>
      <c r="X219" s="638">
        <v>14472.22</v>
      </c>
      <c r="Y219" s="638">
        <v>0</v>
      </c>
      <c r="Z219" s="638">
        <v>0</v>
      </c>
      <c r="AA219" s="638">
        <v>0</v>
      </c>
      <c r="AB219" s="638">
        <v>0</v>
      </c>
      <c r="AC219" s="638">
        <v>0</v>
      </c>
      <c r="AD219" s="638">
        <f>SUM(AD215:AD218)</f>
        <v>0</v>
      </c>
      <c r="AE219" s="638">
        <f t="shared" ref="AE219:AG219" si="9">SUM(AE215:AE218)</f>
        <v>0</v>
      </c>
      <c r="AF219" s="638">
        <f t="shared" si="9"/>
        <v>62036.5</v>
      </c>
      <c r="AG219" s="638">
        <f t="shared" si="9"/>
        <v>0</v>
      </c>
    </row>
    <row r="220" spans="1:33">
      <c r="C220" s="640" t="s">
        <v>897</v>
      </c>
      <c r="D220" s="1"/>
      <c r="E220" s="513"/>
      <c r="F220" s="513"/>
      <c r="G220" s="513"/>
      <c r="H220" s="513"/>
      <c r="I220" s="513"/>
      <c r="J220" s="513"/>
      <c r="K220" s="1"/>
      <c r="L220" s="1"/>
      <c r="M220" s="513"/>
      <c r="N220" s="1"/>
      <c r="O220" s="4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513"/>
      <c r="AC220" s="513"/>
      <c r="AD220" s="513"/>
      <c r="AE220" s="513"/>
      <c r="AF220" s="513"/>
      <c r="AG220" s="513"/>
    </row>
    <row r="221" spans="1:33">
      <c r="C221" s="1" t="s">
        <v>898</v>
      </c>
      <c r="D221" s="1"/>
      <c r="E221" s="513">
        <v>0</v>
      </c>
      <c r="F221" s="513">
        <v>0</v>
      </c>
      <c r="G221" s="513">
        <v>0</v>
      </c>
      <c r="H221" s="513">
        <v>0</v>
      </c>
      <c r="I221" s="513">
        <v>0</v>
      </c>
      <c r="J221" s="513">
        <v>0</v>
      </c>
      <c r="K221" s="513">
        <v>0</v>
      </c>
      <c r="L221" s="513">
        <v>80214.700000000012</v>
      </c>
      <c r="M221" s="513">
        <v>0</v>
      </c>
      <c r="N221" s="513">
        <v>32640.58</v>
      </c>
      <c r="O221" s="4">
        <v>0</v>
      </c>
      <c r="P221" s="513">
        <v>817211.09000000008</v>
      </c>
      <c r="Q221" s="512">
        <v>936103</v>
      </c>
      <c r="R221" s="513">
        <v>0</v>
      </c>
      <c r="S221" s="635">
        <v>0</v>
      </c>
      <c r="T221" s="513">
        <v>0</v>
      </c>
      <c r="U221" s="635">
        <v>0</v>
      </c>
      <c r="V221" s="513">
        <v>0</v>
      </c>
      <c r="W221" s="4">
        <v>0</v>
      </c>
      <c r="X221" s="513">
        <v>0</v>
      </c>
      <c r="Y221" s="513">
        <v>0</v>
      </c>
      <c r="Z221" s="513">
        <v>0</v>
      </c>
      <c r="AA221" s="513">
        <v>0</v>
      </c>
      <c r="AB221" s="513">
        <v>0</v>
      </c>
      <c r="AC221" s="513">
        <v>0</v>
      </c>
      <c r="AD221" s="513">
        <v>0</v>
      </c>
      <c r="AE221" s="513">
        <v>0</v>
      </c>
      <c r="AF221" s="513">
        <v>0</v>
      </c>
      <c r="AG221" s="513">
        <v>0</v>
      </c>
    </row>
    <row r="222" spans="1:33">
      <c r="C222" s="1" t="s">
        <v>902</v>
      </c>
      <c r="D222" s="1"/>
      <c r="E222" s="513">
        <v>0</v>
      </c>
      <c r="F222" s="513">
        <v>0</v>
      </c>
      <c r="G222" s="513">
        <v>0</v>
      </c>
      <c r="H222" s="513">
        <v>0</v>
      </c>
      <c r="I222" s="513">
        <v>0</v>
      </c>
      <c r="J222" s="513">
        <v>0</v>
      </c>
      <c r="K222" s="513">
        <v>0</v>
      </c>
      <c r="L222" s="513">
        <v>0</v>
      </c>
      <c r="M222" s="513">
        <v>0</v>
      </c>
      <c r="N222" s="513">
        <v>0</v>
      </c>
      <c r="O222" s="4">
        <v>0</v>
      </c>
      <c r="P222" s="513">
        <v>0</v>
      </c>
      <c r="Q222" s="635">
        <v>0</v>
      </c>
      <c r="R222" s="513">
        <v>0</v>
      </c>
      <c r="S222" s="635">
        <v>0</v>
      </c>
      <c r="T222" s="513">
        <v>0</v>
      </c>
      <c r="U222" s="635">
        <v>0</v>
      </c>
      <c r="V222" s="513">
        <v>0</v>
      </c>
      <c r="W222" s="4">
        <v>0</v>
      </c>
      <c r="X222" s="513">
        <v>0</v>
      </c>
      <c r="Y222" s="513">
        <v>0</v>
      </c>
      <c r="Z222" s="513">
        <v>0</v>
      </c>
      <c r="AA222" s="513">
        <v>0</v>
      </c>
      <c r="AB222" s="513">
        <v>0</v>
      </c>
      <c r="AC222" s="513">
        <v>0</v>
      </c>
      <c r="AD222" s="513">
        <v>0</v>
      </c>
      <c r="AE222" s="513">
        <v>0</v>
      </c>
      <c r="AF222" s="513">
        <v>0</v>
      </c>
      <c r="AG222" s="513">
        <v>0</v>
      </c>
    </row>
    <row r="223" spans="1:33">
      <c r="C223" s="1" t="s">
        <v>905</v>
      </c>
      <c r="D223" s="1"/>
      <c r="E223" s="513">
        <v>0</v>
      </c>
      <c r="F223" s="513">
        <v>0</v>
      </c>
      <c r="G223" s="513">
        <v>0</v>
      </c>
      <c r="H223" s="513">
        <v>0</v>
      </c>
      <c r="I223" s="513">
        <v>0</v>
      </c>
      <c r="J223" s="513">
        <v>0</v>
      </c>
      <c r="K223" s="513">
        <v>0</v>
      </c>
      <c r="L223" s="513">
        <v>0</v>
      </c>
      <c r="M223" s="513">
        <v>0</v>
      </c>
      <c r="N223" s="513">
        <v>0</v>
      </c>
      <c r="O223" s="4">
        <v>0</v>
      </c>
      <c r="P223" s="513">
        <v>0</v>
      </c>
      <c r="Q223" s="635">
        <v>0</v>
      </c>
      <c r="R223" s="513">
        <v>0</v>
      </c>
      <c r="S223" s="635">
        <v>0</v>
      </c>
      <c r="T223" s="513">
        <v>0</v>
      </c>
      <c r="U223" s="635">
        <v>0</v>
      </c>
      <c r="V223" s="513">
        <v>0</v>
      </c>
      <c r="W223" s="4">
        <v>0</v>
      </c>
      <c r="X223" s="513">
        <v>0</v>
      </c>
      <c r="Y223" s="513">
        <v>0</v>
      </c>
      <c r="Z223" s="513">
        <v>0</v>
      </c>
      <c r="AA223" s="513">
        <v>0</v>
      </c>
      <c r="AB223" s="513">
        <v>0</v>
      </c>
      <c r="AC223" s="513">
        <v>0</v>
      </c>
      <c r="AD223" s="513">
        <v>0</v>
      </c>
      <c r="AE223" s="513">
        <v>0</v>
      </c>
      <c r="AF223" s="513">
        <v>0</v>
      </c>
      <c r="AG223" s="513">
        <v>0</v>
      </c>
    </row>
    <row r="224" spans="1:33">
      <c r="C224" s="1" t="s">
        <v>908</v>
      </c>
      <c r="D224" s="1"/>
      <c r="E224" s="513">
        <v>0</v>
      </c>
      <c r="F224" s="513">
        <v>0</v>
      </c>
      <c r="G224" s="513">
        <v>0</v>
      </c>
      <c r="H224" s="513">
        <v>0</v>
      </c>
      <c r="I224" s="513">
        <v>0</v>
      </c>
      <c r="J224" s="513">
        <v>0</v>
      </c>
      <c r="K224" s="513">
        <v>0</v>
      </c>
      <c r="L224" s="513">
        <v>0</v>
      </c>
      <c r="M224" s="513">
        <v>0</v>
      </c>
      <c r="N224" s="513">
        <v>0</v>
      </c>
      <c r="O224" s="4">
        <v>0</v>
      </c>
      <c r="P224" s="513">
        <v>0</v>
      </c>
      <c r="Q224" s="635">
        <v>0</v>
      </c>
      <c r="R224" s="513">
        <v>0</v>
      </c>
      <c r="S224" s="635">
        <v>0</v>
      </c>
      <c r="T224" s="513">
        <v>0</v>
      </c>
      <c r="U224" s="635">
        <v>0</v>
      </c>
      <c r="V224" s="513">
        <v>0</v>
      </c>
      <c r="W224" s="4">
        <v>0</v>
      </c>
      <c r="X224" s="513">
        <v>0</v>
      </c>
      <c r="Y224" s="513">
        <v>0</v>
      </c>
      <c r="Z224" s="513">
        <v>0</v>
      </c>
      <c r="AA224" s="513">
        <v>0</v>
      </c>
      <c r="AB224" s="513">
        <v>0</v>
      </c>
      <c r="AC224" s="513">
        <v>0</v>
      </c>
      <c r="AD224" s="513">
        <v>0</v>
      </c>
      <c r="AE224" s="513">
        <v>0</v>
      </c>
      <c r="AF224" s="513">
        <v>0</v>
      </c>
      <c r="AG224" s="513">
        <v>0</v>
      </c>
    </row>
    <row r="225" spans="1:33">
      <c r="C225" s="1" t="s">
        <v>911</v>
      </c>
      <c r="D225" s="1"/>
      <c r="E225" s="513">
        <v>0</v>
      </c>
      <c r="F225" s="513">
        <v>766843.65</v>
      </c>
      <c r="G225" s="513">
        <v>0</v>
      </c>
      <c r="H225" s="513">
        <v>38347.43</v>
      </c>
      <c r="I225" s="513">
        <v>0</v>
      </c>
      <c r="J225" s="513">
        <v>0</v>
      </c>
      <c r="K225" s="513">
        <v>0</v>
      </c>
      <c r="L225" s="513">
        <v>0</v>
      </c>
      <c r="M225" s="513">
        <v>0</v>
      </c>
      <c r="N225" s="513">
        <v>0</v>
      </c>
      <c r="O225" s="4">
        <v>0</v>
      </c>
      <c r="P225" s="513">
        <v>0</v>
      </c>
      <c r="Q225" s="635">
        <v>0</v>
      </c>
      <c r="R225" s="513">
        <v>0</v>
      </c>
      <c r="S225" s="635">
        <v>0</v>
      </c>
      <c r="T225" s="513">
        <v>0</v>
      </c>
      <c r="U225" s="635">
        <v>0</v>
      </c>
      <c r="V225" s="513">
        <v>0</v>
      </c>
      <c r="W225" s="4">
        <v>0</v>
      </c>
      <c r="X225" s="513">
        <v>0</v>
      </c>
      <c r="Y225" s="513">
        <v>0</v>
      </c>
      <c r="Z225" s="513">
        <v>0</v>
      </c>
      <c r="AA225" s="513">
        <v>0</v>
      </c>
      <c r="AB225" s="513">
        <v>0</v>
      </c>
      <c r="AC225" s="513">
        <v>0</v>
      </c>
      <c r="AD225" s="513">
        <v>0</v>
      </c>
      <c r="AE225" s="513">
        <v>0</v>
      </c>
      <c r="AF225" s="513">
        <v>0</v>
      </c>
      <c r="AG225" s="513">
        <v>0</v>
      </c>
    </row>
    <row r="226" spans="1:33">
      <c r="C226" s="1" t="s">
        <v>912</v>
      </c>
      <c r="D226" s="1"/>
      <c r="E226" s="513">
        <v>0</v>
      </c>
      <c r="F226" s="513">
        <v>70075.070000000007</v>
      </c>
      <c r="G226" s="513">
        <v>0</v>
      </c>
      <c r="H226" s="513">
        <v>8223.0299999999934</v>
      </c>
      <c r="I226" s="513">
        <v>0</v>
      </c>
      <c r="J226" s="513">
        <v>173183.07</v>
      </c>
      <c r="K226" s="513">
        <v>0</v>
      </c>
      <c r="L226" s="513">
        <v>30993.879999999994</v>
      </c>
      <c r="M226" s="513">
        <v>0</v>
      </c>
      <c r="N226" s="513">
        <v>75127.859999999986</v>
      </c>
      <c r="O226" s="4">
        <v>0</v>
      </c>
      <c r="P226" s="513">
        <v>1238125.0100000009</v>
      </c>
      <c r="Q226" s="635">
        <v>0</v>
      </c>
      <c r="R226" s="513">
        <v>56376.33</v>
      </c>
      <c r="S226" s="513">
        <v>1679730</v>
      </c>
      <c r="T226" s="513">
        <v>2290.0299999999997</v>
      </c>
      <c r="U226" s="635">
        <v>0</v>
      </c>
      <c r="V226" s="513">
        <v>121431.77000000006</v>
      </c>
      <c r="W226" s="4">
        <v>0</v>
      </c>
      <c r="X226" s="513">
        <v>11365.499999999998</v>
      </c>
      <c r="Y226" s="513">
        <v>0</v>
      </c>
      <c r="Z226" s="513">
        <v>9469.42</v>
      </c>
      <c r="AA226" s="513">
        <v>0</v>
      </c>
      <c r="AB226" s="513">
        <v>2814679.7699999996</v>
      </c>
      <c r="AC226" s="513">
        <v>2999304.34</v>
      </c>
      <c r="AD226" s="513">
        <v>-15126.169999999995</v>
      </c>
      <c r="AE226" s="513">
        <v>0</v>
      </c>
      <c r="AF226" s="513">
        <v>0</v>
      </c>
      <c r="AG226" s="513">
        <v>0</v>
      </c>
    </row>
    <row r="227" spans="1:33">
      <c r="C227" s="1" t="s">
        <v>920</v>
      </c>
      <c r="D227" s="1"/>
      <c r="E227" s="513">
        <v>0</v>
      </c>
      <c r="F227" s="513">
        <v>0</v>
      </c>
      <c r="G227" s="513">
        <v>0</v>
      </c>
      <c r="H227" s="513">
        <v>0</v>
      </c>
      <c r="I227" s="513">
        <v>0</v>
      </c>
      <c r="J227" s="513">
        <v>0</v>
      </c>
      <c r="K227" s="513">
        <v>0</v>
      </c>
      <c r="L227" s="513">
        <v>0</v>
      </c>
      <c r="M227" s="513">
        <v>0</v>
      </c>
      <c r="N227" s="513">
        <v>0</v>
      </c>
      <c r="O227" s="4">
        <v>0</v>
      </c>
      <c r="P227" s="513">
        <v>0</v>
      </c>
      <c r="Q227" s="635">
        <v>0</v>
      </c>
      <c r="R227" s="513">
        <v>0</v>
      </c>
      <c r="S227" s="635">
        <v>0</v>
      </c>
      <c r="T227" s="513">
        <v>0</v>
      </c>
      <c r="U227" s="635">
        <v>0</v>
      </c>
      <c r="V227" s="513">
        <v>0</v>
      </c>
      <c r="W227" s="4">
        <v>0</v>
      </c>
      <c r="X227" s="513">
        <v>0</v>
      </c>
      <c r="Y227" s="513">
        <v>0</v>
      </c>
      <c r="Z227" s="513">
        <v>0</v>
      </c>
      <c r="AA227" s="513">
        <v>0</v>
      </c>
      <c r="AB227" s="513">
        <v>0</v>
      </c>
      <c r="AC227" s="513">
        <v>0</v>
      </c>
      <c r="AD227" s="513">
        <v>0</v>
      </c>
      <c r="AE227" s="513">
        <v>0</v>
      </c>
      <c r="AF227" s="513">
        <v>0</v>
      </c>
      <c r="AG227" s="513">
        <v>0</v>
      </c>
    </row>
    <row r="228" spans="1:33">
      <c r="C228" s="1" t="s">
        <v>921</v>
      </c>
      <c r="D228" s="1"/>
      <c r="E228" s="513">
        <v>3584834</v>
      </c>
      <c r="F228" s="513">
        <v>40664.22</v>
      </c>
      <c r="G228" s="513">
        <v>0</v>
      </c>
      <c r="H228" s="513">
        <v>0</v>
      </c>
      <c r="I228" s="513">
        <v>0</v>
      </c>
      <c r="J228" s="513">
        <v>0</v>
      </c>
      <c r="K228" s="513">
        <v>0</v>
      </c>
      <c r="L228" s="513">
        <v>0</v>
      </c>
      <c r="M228" s="513">
        <v>0</v>
      </c>
      <c r="N228" s="513">
        <v>0</v>
      </c>
      <c r="O228" s="4">
        <v>0</v>
      </c>
      <c r="P228" s="513">
        <v>0</v>
      </c>
      <c r="Q228" s="635">
        <v>0</v>
      </c>
      <c r="R228" s="513">
        <v>0</v>
      </c>
      <c r="S228" s="635">
        <v>0</v>
      </c>
      <c r="T228" s="513">
        <v>0</v>
      </c>
      <c r="U228" s="635">
        <v>0</v>
      </c>
      <c r="V228" s="513">
        <v>0</v>
      </c>
      <c r="W228" s="4">
        <v>0</v>
      </c>
      <c r="X228" s="513">
        <v>0</v>
      </c>
      <c r="Y228" s="513">
        <v>0</v>
      </c>
      <c r="Z228" s="513">
        <v>0</v>
      </c>
      <c r="AA228" s="513">
        <v>0</v>
      </c>
      <c r="AB228" s="513">
        <v>0</v>
      </c>
      <c r="AC228" s="513">
        <v>0</v>
      </c>
      <c r="AD228" s="513">
        <v>0</v>
      </c>
      <c r="AE228" s="513">
        <v>0</v>
      </c>
      <c r="AF228" s="513">
        <v>0</v>
      </c>
      <c r="AG228" s="513">
        <v>0</v>
      </c>
    </row>
    <row r="229" spans="1:33" s="101" customFormat="1">
      <c r="A229" s="636"/>
      <c r="C229" s="480" t="s">
        <v>1808</v>
      </c>
      <c r="D229" s="480"/>
      <c r="E229" s="638"/>
      <c r="F229" s="638">
        <v>877582.94</v>
      </c>
      <c r="G229" s="638">
        <v>0</v>
      </c>
      <c r="H229" s="638">
        <v>46570.459999999992</v>
      </c>
      <c r="I229" s="638">
        <v>0</v>
      </c>
      <c r="J229" s="638">
        <v>173183.07</v>
      </c>
      <c r="K229" s="638">
        <v>0</v>
      </c>
      <c r="L229" s="638">
        <v>111208.58</v>
      </c>
      <c r="M229" s="638">
        <v>0</v>
      </c>
      <c r="N229" s="649">
        <v>107768.43999999999</v>
      </c>
      <c r="O229" s="639">
        <v>0</v>
      </c>
      <c r="P229" s="638">
        <v>2055336.100000001</v>
      </c>
      <c r="Q229" s="638">
        <v>936103</v>
      </c>
      <c r="R229" s="638">
        <v>56376.33</v>
      </c>
      <c r="S229" s="638">
        <v>1679730</v>
      </c>
      <c r="T229" s="638">
        <v>2290.0299999999997</v>
      </c>
      <c r="U229" s="638">
        <v>0</v>
      </c>
      <c r="V229" s="638">
        <v>121431.77000000006</v>
      </c>
      <c r="W229" s="638">
        <v>0</v>
      </c>
      <c r="X229" s="638">
        <v>11365.499999999998</v>
      </c>
      <c r="Y229" s="638">
        <v>0</v>
      </c>
      <c r="Z229" s="638">
        <v>9469.42</v>
      </c>
      <c r="AA229" s="638">
        <v>0</v>
      </c>
      <c r="AB229" s="638">
        <v>2814679.7699999996</v>
      </c>
      <c r="AC229" s="638">
        <v>2999304.34</v>
      </c>
      <c r="AD229" s="638">
        <f>SUM(AD221:AD228)</f>
        <v>-15126.169999999995</v>
      </c>
      <c r="AE229" s="638">
        <f t="shared" ref="AE229:AG229" si="10">SUM(AE221:AE228)</f>
        <v>0</v>
      </c>
      <c r="AF229" s="638">
        <f t="shared" si="10"/>
        <v>0</v>
      </c>
      <c r="AG229" s="638">
        <f t="shared" si="10"/>
        <v>0</v>
      </c>
    </row>
    <row r="230" spans="1:33">
      <c r="C230" s="640" t="s">
        <v>926</v>
      </c>
      <c r="D230" s="1"/>
      <c r="E230" s="513"/>
      <c r="F230" s="513"/>
      <c r="G230" s="513"/>
      <c r="H230" s="513"/>
      <c r="I230" s="513"/>
      <c r="J230" s="513"/>
      <c r="K230" s="1"/>
      <c r="L230" s="1"/>
      <c r="M230" s="513"/>
      <c r="N230" s="1"/>
      <c r="O230" s="4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513"/>
      <c r="AC230" s="513"/>
      <c r="AD230" s="513"/>
      <c r="AE230" s="513"/>
      <c r="AF230" s="513"/>
      <c r="AG230" s="513"/>
    </row>
    <row r="231" spans="1:33">
      <c r="C231" s="1" t="s">
        <v>927</v>
      </c>
      <c r="D231" s="1"/>
      <c r="E231" s="513">
        <v>0</v>
      </c>
      <c r="F231" s="513">
        <v>0</v>
      </c>
      <c r="G231" s="513">
        <v>0</v>
      </c>
      <c r="H231" s="513">
        <v>0</v>
      </c>
      <c r="I231" s="513">
        <v>0</v>
      </c>
      <c r="J231" s="513">
        <v>0</v>
      </c>
      <c r="K231" s="513">
        <v>0</v>
      </c>
      <c r="L231" s="513">
        <v>0</v>
      </c>
      <c r="M231" s="513">
        <v>0</v>
      </c>
      <c r="N231" s="513">
        <v>0</v>
      </c>
      <c r="O231" s="4">
        <v>0</v>
      </c>
      <c r="P231" s="513">
        <v>0</v>
      </c>
      <c r="Q231" s="635">
        <v>0</v>
      </c>
      <c r="R231" s="513">
        <v>0</v>
      </c>
      <c r="S231" s="635">
        <v>0</v>
      </c>
      <c r="T231" s="513">
        <v>0</v>
      </c>
      <c r="U231" s="635">
        <v>0</v>
      </c>
      <c r="V231" s="513">
        <v>0</v>
      </c>
      <c r="W231" s="4">
        <v>0</v>
      </c>
      <c r="X231" s="513">
        <v>0</v>
      </c>
      <c r="Y231" s="513">
        <v>0</v>
      </c>
      <c r="Z231" s="513">
        <v>0</v>
      </c>
      <c r="AA231" s="513">
        <v>0</v>
      </c>
      <c r="AB231" s="513">
        <v>0</v>
      </c>
      <c r="AC231" s="513">
        <v>0</v>
      </c>
      <c r="AD231" s="513">
        <v>0</v>
      </c>
      <c r="AE231" s="513">
        <v>0</v>
      </c>
      <c r="AF231" s="513">
        <v>0</v>
      </c>
      <c r="AG231" s="513">
        <v>0</v>
      </c>
    </row>
    <row r="232" spans="1:33" s="101" customFormat="1">
      <c r="A232" s="636"/>
      <c r="C232" s="480" t="s">
        <v>1809</v>
      </c>
      <c r="D232" s="480"/>
      <c r="E232" s="638"/>
      <c r="F232" s="638">
        <v>0</v>
      </c>
      <c r="G232" s="638">
        <v>0</v>
      </c>
      <c r="H232" s="638">
        <v>0</v>
      </c>
      <c r="I232" s="638">
        <v>0</v>
      </c>
      <c r="J232" s="638">
        <v>0</v>
      </c>
      <c r="K232" s="638">
        <v>0</v>
      </c>
      <c r="L232" s="638">
        <v>0</v>
      </c>
      <c r="M232" s="638">
        <v>0</v>
      </c>
      <c r="N232" s="638">
        <v>0</v>
      </c>
      <c r="O232" s="638">
        <v>0</v>
      </c>
      <c r="P232" s="638">
        <v>0</v>
      </c>
      <c r="Q232" s="638">
        <v>0</v>
      </c>
      <c r="R232" s="638">
        <v>0</v>
      </c>
      <c r="S232" s="638">
        <v>0</v>
      </c>
      <c r="T232" s="638">
        <v>0</v>
      </c>
      <c r="U232" s="638">
        <v>0</v>
      </c>
      <c r="V232" s="638">
        <v>0</v>
      </c>
      <c r="W232" s="638">
        <v>0</v>
      </c>
      <c r="X232" s="638">
        <v>0</v>
      </c>
      <c r="Y232" s="638">
        <v>0</v>
      </c>
      <c r="Z232" s="638">
        <v>0</v>
      </c>
      <c r="AA232" s="638">
        <v>0</v>
      </c>
      <c r="AB232" s="638">
        <v>0</v>
      </c>
      <c r="AC232" s="638">
        <v>0</v>
      </c>
      <c r="AD232" s="638">
        <f>SUM(AD231)</f>
        <v>0</v>
      </c>
      <c r="AE232" s="638">
        <f t="shared" ref="AE232:AG232" si="11">SUM(AE231)</f>
        <v>0</v>
      </c>
      <c r="AF232" s="638">
        <f t="shared" si="11"/>
        <v>0</v>
      </c>
      <c r="AG232" s="638">
        <f t="shared" si="11"/>
        <v>0</v>
      </c>
    </row>
    <row r="233" spans="1:33">
      <c r="C233" s="640" t="s">
        <v>928</v>
      </c>
      <c r="D233" s="1"/>
      <c r="E233" s="513"/>
      <c r="F233" s="513"/>
      <c r="G233" s="513"/>
      <c r="H233" s="513"/>
      <c r="I233" s="513"/>
      <c r="J233" s="513"/>
      <c r="K233" s="1"/>
      <c r="L233" s="1"/>
      <c r="M233" s="513"/>
      <c r="N233" s="1"/>
      <c r="O233" s="4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513"/>
      <c r="AC233" s="513"/>
      <c r="AD233" s="513"/>
      <c r="AE233" s="513"/>
      <c r="AF233" s="513"/>
      <c r="AG233" s="513"/>
    </row>
    <row r="234" spans="1:33">
      <c r="C234" s="1" t="s">
        <v>929</v>
      </c>
      <c r="D234" s="1"/>
      <c r="E234" s="513">
        <v>0</v>
      </c>
      <c r="F234" s="513">
        <v>0</v>
      </c>
      <c r="G234" s="513">
        <v>0</v>
      </c>
      <c r="H234" s="513">
        <v>0</v>
      </c>
      <c r="I234" s="513">
        <v>0</v>
      </c>
      <c r="J234" s="513">
        <v>0</v>
      </c>
      <c r="K234" s="513">
        <v>0</v>
      </c>
      <c r="L234" s="513">
        <v>0</v>
      </c>
      <c r="M234" s="513">
        <v>0</v>
      </c>
      <c r="N234" s="513">
        <v>0</v>
      </c>
      <c r="O234" s="4">
        <v>0</v>
      </c>
      <c r="P234" s="513">
        <v>0</v>
      </c>
      <c r="Q234" s="635">
        <v>0</v>
      </c>
      <c r="R234" s="513">
        <v>0</v>
      </c>
      <c r="S234" s="635">
        <v>0</v>
      </c>
      <c r="T234" s="513">
        <v>0</v>
      </c>
      <c r="U234" s="635">
        <v>0</v>
      </c>
      <c r="V234" s="513">
        <v>0</v>
      </c>
      <c r="W234" s="4">
        <v>0</v>
      </c>
      <c r="X234" s="513">
        <v>0</v>
      </c>
      <c r="Y234" s="513">
        <v>0</v>
      </c>
      <c r="Z234" s="513">
        <v>94468.01999999999</v>
      </c>
      <c r="AA234" s="513">
        <v>0</v>
      </c>
      <c r="AB234" s="513">
        <v>7745.6500000000005</v>
      </c>
      <c r="AC234" s="513">
        <v>0</v>
      </c>
      <c r="AD234" s="513">
        <v>84607.33</v>
      </c>
      <c r="AE234" s="513">
        <v>0</v>
      </c>
      <c r="AF234" s="1044">
        <f>-925.21+7908.16</f>
        <v>6982.95</v>
      </c>
      <c r="AG234" s="513">
        <v>0</v>
      </c>
    </row>
    <row r="235" spans="1:33">
      <c r="C235" s="1" t="s">
        <v>939</v>
      </c>
      <c r="D235" s="1"/>
      <c r="E235" s="513">
        <v>0</v>
      </c>
      <c r="F235" s="513">
        <v>0</v>
      </c>
      <c r="G235" s="513">
        <v>0</v>
      </c>
      <c r="H235" s="513">
        <v>0</v>
      </c>
      <c r="I235" s="513">
        <v>0</v>
      </c>
      <c r="J235" s="513">
        <v>0</v>
      </c>
      <c r="K235" s="513">
        <v>0</v>
      </c>
      <c r="L235" s="513">
        <v>0</v>
      </c>
      <c r="M235" s="513">
        <v>0</v>
      </c>
      <c r="N235" s="513">
        <v>0</v>
      </c>
      <c r="O235" s="4">
        <v>0</v>
      </c>
      <c r="P235" s="513">
        <v>0</v>
      </c>
      <c r="Q235" s="635">
        <v>0</v>
      </c>
      <c r="R235" s="513">
        <v>0</v>
      </c>
      <c r="S235" s="635">
        <v>0</v>
      </c>
      <c r="T235" s="513">
        <v>0</v>
      </c>
      <c r="U235" s="635">
        <v>0</v>
      </c>
      <c r="V235" s="513">
        <v>0</v>
      </c>
      <c r="W235" s="4">
        <v>0</v>
      </c>
      <c r="X235" s="513">
        <v>0</v>
      </c>
      <c r="Y235" s="513">
        <v>0</v>
      </c>
      <c r="Z235" s="513">
        <v>0</v>
      </c>
      <c r="AA235" s="513">
        <v>0</v>
      </c>
      <c r="AB235" s="513">
        <v>0</v>
      </c>
      <c r="AC235" s="513">
        <v>0</v>
      </c>
      <c r="AD235" s="513">
        <v>0</v>
      </c>
      <c r="AE235" s="513">
        <v>0</v>
      </c>
      <c r="AF235" s="513">
        <v>0</v>
      </c>
      <c r="AG235" s="513">
        <v>0</v>
      </c>
    </row>
    <row r="236" spans="1:33">
      <c r="C236" s="1" t="s">
        <v>940</v>
      </c>
      <c r="D236" s="1"/>
      <c r="E236" s="513">
        <v>0</v>
      </c>
      <c r="F236" s="513">
        <v>0</v>
      </c>
      <c r="G236" s="513">
        <v>0</v>
      </c>
      <c r="H236" s="513">
        <v>0</v>
      </c>
      <c r="I236" s="513">
        <v>0</v>
      </c>
      <c r="J236" s="513">
        <v>0</v>
      </c>
      <c r="K236" s="513">
        <v>0</v>
      </c>
      <c r="L236" s="513">
        <v>0</v>
      </c>
      <c r="M236" s="513">
        <v>0</v>
      </c>
      <c r="N236" s="513">
        <v>0</v>
      </c>
      <c r="O236" s="4">
        <v>0</v>
      </c>
      <c r="P236" s="513">
        <v>0</v>
      </c>
      <c r="Q236" s="635">
        <v>0</v>
      </c>
      <c r="R236" s="513">
        <v>0</v>
      </c>
      <c r="S236" s="635">
        <v>0</v>
      </c>
      <c r="T236" s="513">
        <v>0</v>
      </c>
      <c r="U236" s="635">
        <v>0</v>
      </c>
      <c r="V236" s="513">
        <v>0</v>
      </c>
      <c r="W236" s="4">
        <v>0</v>
      </c>
      <c r="X236" s="513">
        <v>0</v>
      </c>
      <c r="Y236" s="513">
        <v>0</v>
      </c>
      <c r="Z236" s="513">
        <v>0</v>
      </c>
      <c r="AA236" s="513">
        <v>0</v>
      </c>
      <c r="AB236" s="513">
        <v>0</v>
      </c>
      <c r="AC236" s="513">
        <v>0</v>
      </c>
      <c r="AD236" s="513">
        <v>0</v>
      </c>
      <c r="AE236" s="513">
        <v>0</v>
      </c>
      <c r="AF236" s="513">
        <v>0</v>
      </c>
      <c r="AG236" s="513">
        <v>0</v>
      </c>
    </row>
    <row r="237" spans="1:33">
      <c r="C237" s="1" t="s">
        <v>941</v>
      </c>
      <c r="D237" s="1"/>
      <c r="E237" s="513">
        <v>1012090</v>
      </c>
      <c r="F237" s="513">
        <v>45332.960000000006</v>
      </c>
      <c r="G237" s="513">
        <v>0</v>
      </c>
      <c r="H237" s="513">
        <v>991</v>
      </c>
      <c r="I237" s="513">
        <v>0</v>
      </c>
      <c r="J237" s="513">
        <v>0</v>
      </c>
      <c r="K237" s="513">
        <v>0</v>
      </c>
      <c r="L237" s="513">
        <v>0</v>
      </c>
      <c r="M237" s="513">
        <v>0</v>
      </c>
      <c r="N237" s="513">
        <v>0</v>
      </c>
      <c r="O237" s="4">
        <v>0</v>
      </c>
      <c r="P237" s="513">
        <v>0</v>
      </c>
      <c r="Q237" s="635">
        <v>0</v>
      </c>
      <c r="R237" s="513">
        <v>0</v>
      </c>
      <c r="S237" s="635">
        <v>0</v>
      </c>
      <c r="T237" s="513">
        <v>0</v>
      </c>
      <c r="U237" s="635">
        <v>0</v>
      </c>
      <c r="V237" s="513">
        <v>0</v>
      </c>
      <c r="W237" s="4">
        <v>0</v>
      </c>
      <c r="X237" s="513">
        <v>0</v>
      </c>
      <c r="Y237" s="513">
        <v>0</v>
      </c>
      <c r="Z237" s="513">
        <v>0</v>
      </c>
      <c r="AA237" s="513">
        <v>0</v>
      </c>
      <c r="AB237" s="513">
        <v>0</v>
      </c>
      <c r="AC237" s="513">
        <v>0</v>
      </c>
      <c r="AD237" s="513">
        <v>0</v>
      </c>
      <c r="AE237" s="513">
        <v>0</v>
      </c>
      <c r="AF237" s="513">
        <v>0</v>
      </c>
      <c r="AG237" s="513">
        <v>0</v>
      </c>
    </row>
    <row r="238" spans="1:33">
      <c r="C238" s="1" t="s">
        <v>945</v>
      </c>
      <c r="D238" s="1"/>
      <c r="E238" s="513">
        <v>0</v>
      </c>
      <c r="F238" s="513">
        <v>794684.5</v>
      </c>
      <c r="G238" s="513">
        <v>0</v>
      </c>
      <c r="H238" s="513">
        <v>583454.95000000007</v>
      </c>
      <c r="I238" s="513">
        <v>0</v>
      </c>
      <c r="J238" s="513">
        <v>11986.230000000014</v>
      </c>
      <c r="K238" s="513">
        <v>1644152.4</v>
      </c>
      <c r="L238" s="513">
        <v>-4598.93</v>
      </c>
      <c r="M238" s="513">
        <v>0</v>
      </c>
      <c r="N238" s="513">
        <v>0</v>
      </c>
      <c r="O238" s="4">
        <v>0</v>
      </c>
      <c r="P238" s="513">
        <v>87075.44</v>
      </c>
      <c r="Q238" s="635">
        <v>0</v>
      </c>
      <c r="R238" s="513">
        <v>101234.06999999992</v>
      </c>
      <c r="S238" s="635">
        <v>0</v>
      </c>
      <c r="T238" s="513">
        <v>927267.66999999981</v>
      </c>
      <c r="U238" s="635">
        <v>0</v>
      </c>
      <c r="V238" s="513">
        <v>758894.92999999877</v>
      </c>
      <c r="W238" s="4">
        <v>0</v>
      </c>
      <c r="X238" s="513">
        <v>166278.34999999998</v>
      </c>
      <c r="Y238" s="513">
        <v>1924621.95</v>
      </c>
      <c r="Z238" s="513">
        <v>0</v>
      </c>
      <c r="AA238" s="513">
        <v>0</v>
      </c>
      <c r="AB238" s="513">
        <v>0</v>
      </c>
      <c r="AC238" s="513">
        <v>0</v>
      </c>
      <c r="AD238" s="513">
        <v>0</v>
      </c>
      <c r="AE238" s="513">
        <v>0</v>
      </c>
      <c r="AF238" s="513">
        <v>0</v>
      </c>
      <c r="AG238" s="513">
        <v>0</v>
      </c>
    </row>
    <row r="239" spans="1:33">
      <c r="C239" s="1" t="s">
        <v>953</v>
      </c>
      <c r="D239" s="1"/>
      <c r="E239" s="513">
        <v>0</v>
      </c>
      <c r="F239" s="513">
        <v>0</v>
      </c>
      <c r="G239" s="513">
        <v>0</v>
      </c>
      <c r="H239" s="513">
        <v>0</v>
      </c>
      <c r="I239" s="513">
        <v>0</v>
      </c>
      <c r="J239" s="513">
        <v>0</v>
      </c>
      <c r="K239" s="513">
        <v>0</v>
      </c>
      <c r="L239" s="513">
        <v>0</v>
      </c>
      <c r="M239" s="513">
        <v>0</v>
      </c>
      <c r="N239" s="513">
        <v>0</v>
      </c>
      <c r="O239" s="4">
        <v>0</v>
      </c>
      <c r="P239" s="513">
        <v>0</v>
      </c>
      <c r="Q239" s="635">
        <v>0</v>
      </c>
      <c r="R239" s="513">
        <v>44155.98000000001</v>
      </c>
      <c r="S239" s="635">
        <v>0</v>
      </c>
      <c r="T239" s="513">
        <v>49500.439999999937</v>
      </c>
      <c r="U239" s="635">
        <v>0</v>
      </c>
      <c r="V239" s="513">
        <v>240534.35000000006</v>
      </c>
      <c r="W239" s="4">
        <v>0</v>
      </c>
      <c r="X239" s="513">
        <v>943719.19000000006</v>
      </c>
      <c r="Y239" s="513">
        <v>1093393</v>
      </c>
      <c r="Z239" s="513">
        <v>0</v>
      </c>
      <c r="AA239" s="513">
        <v>0</v>
      </c>
      <c r="AB239" s="513">
        <v>0</v>
      </c>
      <c r="AC239" s="513">
        <v>0</v>
      </c>
      <c r="AD239" s="513">
        <v>0</v>
      </c>
      <c r="AE239" s="513">
        <v>0</v>
      </c>
      <c r="AF239" s="513">
        <v>0</v>
      </c>
      <c r="AG239" s="513">
        <v>0</v>
      </c>
    </row>
    <row r="240" spans="1:33">
      <c r="C240" s="1" t="s">
        <v>958</v>
      </c>
      <c r="D240" s="1"/>
      <c r="E240" s="513">
        <v>0</v>
      </c>
      <c r="F240" s="513">
        <v>0</v>
      </c>
      <c r="G240" s="513">
        <v>0</v>
      </c>
      <c r="H240" s="513">
        <v>0</v>
      </c>
      <c r="I240" s="513">
        <v>0</v>
      </c>
      <c r="J240" s="513">
        <v>7899.55</v>
      </c>
      <c r="K240" s="513">
        <v>0</v>
      </c>
      <c r="L240" s="513">
        <v>49392.93</v>
      </c>
      <c r="M240" s="513">
        <v>0</v>
      </c>
      <c r="N240" s="513">
        <v>26296.34</v>
      </c>
      <c r="O240" s="4">
        <v>0</v>
      </c>
      <c r="P240" s="513">
        <v>32003.499999999996</v>
      </c>
      <c r="Q240" s="635">
        <v>0</v>
      </c>
      <c r="R240" s="513">
        <v>39692.139999999992</v>
      </c>
      <c r="S240" s="635">
        <v>0</v>
      </c>
      <c r="T240" s="513">
        <v>619836.0999999987</v>
      </c>
      <c r="U240" s="635">
        <v>0</v>
      </c>
      <c r="V240" s="513">
        <v>406739.30000000005</v>
      </c>
      <c r="W240" s="512">
        <v>1156796</v>
      </c>
      <c r="X240" s="513">
        <v>0</v>
      </c>
      <c r="Y240" s="513">
        <v>0</v>
      </c>
      <c r="Z240" s="513">
        <v>0</v>
      </c>
      <c r="AA240" s="513">
        <v>0</v>
      </c>
      <c r="AB240" s="513">
        <v>0</v>
      </c>
      <c r="AC240" s="513">
        <v>0</v>
      </c>
      <c r="AD240" s="513">
        <v>0</v>
      </c>
      <c r="AE240" s="513">
        <v>0</v>
      </c>
      <c r="AF240" s="513">
        <v>0</v>
      </c>
      <c r="AG240" s="513">
        <v>0</v>
      </c>
    </row>
    <row r="241" spans="1:33">
      <c r="C241" s="1" t="s">
        <v>961</v>
      </c>
      <c r="D241" s="1"/>
      <c r="E241" s="513">
        <v>1248941</v>
      </c>
      <c r="F241" s="513">
        <v>2103358.41</v>
      </c>
      <c r="G241" s="513">
        <v>0</v>
      </c>
      <c r="H241" s="513">
        <v>1671861.94</v>
      </c>
      <c r="I241" s="513">
        <v>1082713</v>
      </c>
      <c r="J241" s="513">
        <v>1032747</v>
      </c>
      <c r="K241" s="513">
        <v>0</v>
      </c>
      <c r="L241" s="513">
        <v>687.45000000000073</v>
      </c>
      <c r="M241" s="513">
        <v>0</v>
      </c>
      <c r="N241" s="513">
        <v>2226.8599999999997</v>
      </c>
      <c r="O241" s="4">
        <v>0</v>
      </c>
      <c r="P241" s="513">
        <v>2189.5000000000005</v>
      </c>
      <c r="Q241" s="635">
        <v>0</v>
      </c>
      <c r="R241" s="513">
        <v>0</v>
      </c>
      <c r="S241" s="635">
        <v>0</v>
      </c>
      <c r="T241" s="513">
        <v>0</v>
      </c>
      <c r="U241" s="635">
        <v>0</v>
      </c>
      <c r="V241" s="513">
        <v>0</v>
      </c>
      <c r="W241" s="4">
        <v>0</v>
      </c>
      <c r="X241" s="513">
        <v>0</v>
      </c>
      <c r="Y241" s="513">
        <v>0</v>
      </c>
      <c r="Z241" s="513">
        <v>0</v>
      </c>
      <c r="AA241" s="513">
        <v>0</v>
      </c>
      <c r="AB241" s="513">
        <v>0</v>
      </c>
      <c r="AC241" s="513">
        <v>0</v>
      </c>
      <c r="AD241" s="513">
        <v>0</v>
      </c>
      <c r="AE241" s="513">
        <v>0</v>
      </c>
      <c r="AF241" s="513">
        <v>0</v>
      </c>
      <c r="AG241" s="513">
        <v>0</v>
      </c>
    </row>
    <row r="242" spans="1:33">
      <c r="C242" s="1" t="s">
        <v>968</v>
      </c>
      <c r="D242" s="1"/>
      <c r="E242" s="513">
        <v>5138153</v>
      </c>
      <c r="F242" s="513">
        <v>3636.01</v>
      </c>
      <c r="G242" s="513">
        <v>0</v>
      </c>
      <c r="H242" s="513">
        <v>0</v>
      </c>
      <c r="I242" s="513">
        <v>0</v>
      </c>
      <c r="J242" s="513">
        <v>0</v>
      </c>
      <c r="K242" s="513">
        <v>0</v>
      </c>
      <c r="L242" s="513">
        <v>0</v>
      </c>
      <c r="M242" s="513">
        <v>0</v>
      </c>
      <c r="N242" s="513">
        <v>0</v>
      </c>
      <c r="O242" s="4">
        <v>0</v>
      </c>
      <c r="P242" s="513">
        <v>0</v>
      </c>
      <c r="Q242" s="635">
        <v>0</v>
      </c>
      <c r="R242" s="513">
        <v>0</v>
      </c>
      <c r="S242" s="635">
        <v>0</v>
      </c>
      <c r="T242" s="513">
        <v>0</v>
      </c>
      <c r="U242" s="635">
        <v>0</v>
      </c>
      <c r="V242" s="513">
        <v>0</v>
      </c>
      <c r="W242" s="4">
        <v>0</v>
      </c>
      <c r="X242" s="513">
        <v>0</v>
      </c>
      <c r="Y242" s="513">
        <v>0</v>
      </c>
      <c r="Z242" s="513">
        <v>0</v>
      </c>
      <c r="AA242" s="513">
        <v>0</v>
      </c>
      <c r="AB242" s="513">
        <v>0</v>
      </c>
      <c r="AC242" s="513">
        <v>0</v>
      </c>
      <c r="AD242" s="513">
        <v>0</v>
      </c>
      <c r="AE242" s="513">
        <v>0</v>
      </c>
      <c r="AF242" s="513">
        <v>0</v>
      </c>
      <c r="AG242" s="513">
        <v>0</v>
      </c>
    </row>
    <row r="243" spans="1:33">
      <c r="C243" s="1" t="s">
        <v>1563</v>
      </c>
      <c r="D243" s="1"/>
      <c r="E243" s="513">
        <v>0</v>
      </c>
      <c r="F243" s="513">
        <v>203.49</v>
      </c>
      <c r="G243" s="513">
        <v>0</v>
      </c>
      <c r="H243" s="513">
        <v>0</v>
      </c>
      <c r="I243" s="513">
        <v>0</v>
      </c>
      <c r="J243" s="513">
        <v>0</v>
      </c>
      <c r="K243" s="513">
        <v>0</v>
      </c>
      <c r="L243" s="513">
        <v>0</v>
      </c>
      <c r="M243" s="513">
        <v>0</v>
      </c>
      <c r="N243" s="513">
        <v>0</v>
      </c>
      <c r="O243" s="4">
        <v>0</v>
      </c>
      <c r="P243" s="513">
        <v>0</v>
      </c>
      <c r="Q243" s="635">
        <v>0</v>
      </c>
      <c r="R243" s="513">
        <v>0</v>
      </c>
      <c r="S243" s="635">
        <v>0</v>
      </c>
      <c r="T243" s="513">
        <v>0</v>
      </c>
      <c r="U243" s="635">
        <v>0</v>
      </c>
      <c r="V243" s="513">
        <v>0</v>
      </c>
      <c r="W243" s="4">
        <v>0</v>
      </c>
      <c r="X243" s="513">
        <v>0</v>
      </c>
      <c r="Y243" s="513">
        <v>0</v>
      </c>
      <c r="Z243" s="513">
        <v>0</v>
      </c>
      <c r="AA243" s="513">
        <v>0</v>
      </c>
      <c r="AB243" s="513">
        <v>0</v>
      </c>
      <c r="AC243" s="513">
        <v>0</v>
      </c>
      <c r="AD243" s="513">
        <v>0</v>
      </c>
      <c r="AE243" s="513">
        <v>0</v>
      </c>
      <c r="AF243" s="513">
        <v>0</v>
      </c>
      <c r="AG243" s="513">
        <v>0</v>
      </c>
    </row>
    <row r="244" spans="1:33">
      <c r="C244" s="1" t="s">
        <v>973</v>
      </c>
      <c r="D244" s="1"/>
      <c r="E244" s="513">
        <v>892333</v>
      </c>
      <c r="F244" s="513">
        <v>80693.13</v>
      </c>
      <c r="G244" s="513">
        <v>0</v>
      </c>
      <c r="H244" s="513">
        <v>483238.78999999992</v>
      </c>
      <c r="I244" s="513">
        <v>0</v>
      </c>
      <c r="J244" s="513">
        <v>294689.37</v>
      </c>
      <c r="K244" s="513">
        <v>0</v>
      </c>
      <c r="L244" s="513">
        <v>724092.68</v>
      </c>
      <c r="M244" s="513">
        <v>0</v>
      </c>
      <c r="N244" s="513">
        <v>2748199.87</v>
      </c>
      <c r="O244" s="512">
        <v>4503016</v>
      </c>
      <c r="P244" s="513">
        <v>18277.39000000001</v>
      </c>
      <c r="Q244" s="635">
        <v>0</v>
      </c>
      <c r="R244" s="513">
        <v>881.99999999999989</v>
      </c>
      <c r="S244" s="635">
        <v>0</v>
      </c>
      <c r="T244" s="513">
        <v>0</v>
      </c>
      <c r="U244" s="635">
        <v>0</v>
      </c>
      <c r="V244" s="513">
        <v>0</v>
      </c>
      <c r="W244" s="4">
        <v>0</v>
      </c>
      <c r="X244" s="513">
        <v>0</v>
      </c>
      <c r="Y244" s="513">
        <v>0</v>
      </c>
      <c r="Z244" s="513">
        <v>0</v>
      </c>
      <c r="AA244" s="513">
        <v>0</v>
      </c>
      <c r="AB244" s="513">
        <v>0</v>
      </c>
      <c r="AC244" s="513">
        <v>0</v>
      </c>
      <c r="AD244" s="513">
        <v>0</v>
      </c>
      <c r="AE244" s="513">
        <v>0</v>
      </c>
      <c r="AF244" s="513">
        <v>0</v>
      </c>
      <c r="AG244" s="513">
        <v>0</v>
      </c>
    </row>
    <row r="245" spans="1:33" s="101" customFormat="1">
      <c r="A245" s="636"/>
      <c r="C245" s="480" t="s">
        <v>1810</v>
      </c>
      <c r="D245" s="480"/>
      <c r="E245" s="638"/>
      <c r="F245" s="638">
        <v>3027908.5</v>
      </c>
      <c r="G245" s="638">
        <v>0</v>
      </c>
      <c r="H245" s="638">
        <v>2739546.68</v>
      </c>
      <c r="I245" s="638">
        <v>1082713</v>
      </c>
      <c r="J245" s="638">
        <v>1347322.15</v>
      </c>
      <c r="K245" s="638">
        <v>1644152.4</v>
      </c>
      <c r="L245" s="638">
        <v>769574.13</v>
      </c>
      <c r="M245" s="638">
        <v>0</v>
      </c>
      <c r="N245" s="638">
        <v>2776723.0700000003</v>
      </c>
      <c r="O245" s="638">
        <v>4503016</v>
      </c>
      <c r="P245" s="638">
        <v>139545.83000000002</v>
      </c>
      <c r="Q245" s="638">
        <v>0</v>
      </c>
      <c r="R245" s="638">
        <v>185964.18999999992</v>
      </c>
      <c r="S245" s="638">
        <v>0</v>
      </c>
      <c r="T245" s="638">
        <v>1596604.2099999986</v>
      </c>
      <c r="U245" s="638">
        <v>0</v>
      </c>
      <c r="V245" s="638">
        <v>1406168.5799999989</v>
      </c>
      <c r="W245" s="638">
        <v>1156796</v>
      </c>
      <c r="X245" s="638">
        <v>1109997.54</v>
      </c>
      <c r="Y245" s="638">
        <v>3018014.95</v>
      </c>
      <c r="Z245" s="638">
        <v>94468.01999999999</v>
      </c>
      <c r="AA245" s="638">
        <v>0</v>
      </c>
      <c r="AB245" s="638">
        <v>7745.6500000000005</v>
      </c>
      <c r="AC245" s="638">
        <v>0</v>
      </c>
      <c r="AD245" s="638">
        <f>SUM(AD234:AD244)</f>
        <v>84607.33</v>
      </c>
      <c r="AE245" s="638">
        <f t="shared" ref="AE245:AG245" si="12">SUM(AE234:AE244)</f>
        <v>0</v>
      </c>
      <c r="AF245" s="638">
        <f t="shared" si="12"/>
        <v>6982.95</v>
      </c>
      <c r="AG245" s="638">
        <f t="shared" si="12"/>
        <v>0</v>
      </c>
    </row>
    <row r="246" spans="1:33">
      <c r="C246" s="1"/>
      <c r="D246" s="1"/>
      <c r="E246" s="513"/>
      <c r="F246" s="1"/>
      <c r="G246" s="1"/>
      <c r="H246" s="1"/>
      <c r="I246" s="1"/>
      <c r="J246" s="1"/>
      <c r="K246" s="1"/>
      <c r="L246" s="1"/>
      <c r="M246" s="513"/>
      <c r="N246" s="1"/>
      <c r="O246" s="1"/>
      <c r="P246" s="1"/>
      <c r="Q246" s="1"/>
      <c r="R246" s="513"/>
      <c r="S246" s="635"/>
      <c r="T246" s="1"/>
      <c r="U246" s="635"/>
      <c r="V246" s="513"/>
      <c r="W246" s="1"/>
      <c r="X246" s="513"/>
      <c r="Y246" s="513">
        <v>0</v>
      </c>
      <c r="Z246" s="513"/>
      <c r="AA246" s="513"/>
      <c r="AB246" s="513"/>
      <c r="AC246" s="513"/>
      <c r="AD246" s="513"/>
      <c r="AE246" s="513"/>
      <c r="AF246" s="513"/>
      <c r="AG246" s="513"/>
    </row>
    <row r="247" spans="1:33">
      <c r="R247" s="619"/>
      <c r="S247" s="619"/>
      <c r="U247" s="586"/>
    </row>
    <row r="248" spans="1:33">
      <c r="R248" s="619"/>
      <c r="S248" s="619"/>
      <c r="U248" s="586"/>
    </row>
    <row r="249" spans="1:33">
      <c r="R249" s="619"/>
      <c r="S249" s="619"/>
      <c r="U249" s="586"/>
    </row>
    <row r="250" spans="1:33" s="101" customFormat="1">
      <c r="C250" s="423" t="s">
        <v>1811</v>
      </c>
      <c r="D250" s="423"/>
      <c r="E250" s="644"/>
      <c r="F250" s="644">
        <v>40006620.693999991</v>
      </c>
      <c r="G250" s="644">
        <v>16443071.59</v>
      </c>
      <c r="H250" s="644">
        <v>35967282.870000012</v>
      </c>
      <c r="I250" s="644">
        <v>31469698.780000001</v>
      </c>
      <c r="J250" s="644">
        <v>28221762.719999999</v>
      </c>
      <c r="K250" s="645">
        <v>38533892</v>
      </c>
      <c r="L250" s="644">
        <v>33711305.300000004</v>
      </c>
      <c r="M250" s="644">
        <v>18252221</v>
      </c>
      <c r="N250" s="644">
        <v>23694281.250000007</v>
      </c>
      <c r="O250" s="644">
        <v>29603822.609999999</v>
      </c>
      <c r="P250" s="645">
        <v>28246803.169999965</v>
      </c>
      <c r="Q250" s="645">
        <v>35268318</v>
      </c>
      <c r="R250" s="645">
        <v>17807524.329999991</v>
      </c>
      <c r="S250" s="644">
        <v>24192851.18</v>
      </c>
      <c r="T250" s="644">
        <v>34890683.759999976</v>
      </c>
      <c r="U250" s="646">
        <v>27704558.460000001</v>
      </c>
      <c r="V250" s="644">
        <v>20951459.399999969</v>
      </c>
      <c r="W250" s="645">
        <v>26442940.579999998</v>
      </c>
      <c r="X250" s="644">
        <v>11472766.060000004</v>
      </c>
      <c r="Y250" s="644">
        <v>17335197.48</v>
      </c>
      <c r="Z250" s="644">
        <v>20936003.660000008</v>
      </c>
      <c r="AA250" s="644">
        <v>17725866.219999924</v>
      </c>
      <c r="AB250" s="644">
        <v>17869801.169999998</v>
      </c>
      <c r="AC250" s="647">
        <v>14098100.550000001</v>
      </c>
      <c r="AD250" s="644">
        <f>SUM(AD6:AD245)/2</f>
        <v>9117426.3499999959</v>
      </c>
      <c r="AE250" s="647">
        <f t="shared" ref="AE250:AG250" si="13">SUM(AE6:AE245)/2</f>
        <v>7399956.6099999528</v>
      </c>
      <c r="AF250" s="644">
        <f t="shared" si="13"/>
        <v>13946497.349999998</v>
      </c>
      <c r="AG250" s="647">
        <f t="shared" si="13"/>
        <v>9112305.8800000008</v>
      </c>
    </row>
    <row r="251" spans="1:33" s="691" customFormat="1">
      <c r="A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918"/>
      <c r="AG251" s="103"/>
    </row>
    <row r="252" spans="1:33">
      <c r="R252" s="619"/>
      <c r="S252" s="619"/>
      <c r="U252" s="586"/>
    </row>
    <row r="253" spans="1:33">
      <c r="R253" s="619"/>
      <c r="S253" s="619"/>
      <c r="U253" s="586"/>
    </row>
    <row r="254" spans="1:33">
      <c r="R254" s="619"/>
      <c r="S254" s="619"/>
      <c r="U254" s="586"/>
    </row>
    <row r="255" spans="1:33">
      <c r="R255" s="619"/>
      <c r="S255" s="619"/>
      <c r="U255" s="586"/>
    </row>
    <row r="256" spans="1:33">
      <c r="R256" s="619"/>
      <c r="S256" s="619"/>
      <c r="U256" s="586"/>
    </row>
    <row r="257" spans="18:21">
      <c r="R257" s="619"/>
      <c r="S257" s="619"/>
      <c r="U257" s="586"/>
    </row>
    <row r="258" spans="18:21">
      <c r="R258" s="619"/>
      <c r="U258" s="586"/>
    </row>
    <row r="259" spans="18:21">
      <c r="R259" s="619"/>
      <c r="U259" s="586"/>
    </row>
    <row r="260" spans="18:21">
      <c r="R260" s="619"/>
      <c r="U260" s="586"/>
    </row>
    <row r="261" spans="18:21">
      <c r="R261" s="619"/>
      <c r="U261" s="586"/>
    </row>
    <row r="262" spans="18:21">
      <c r="R262" s="619"/>
      <c r="U262" s="586"/>
    </row>
    <row r="263" spans="18:21">
      <c r="R263" s="619"/>
      <c r="U263" s="586"/>
    </row>
    <row r="264" spans="18:21">
      <c r="R264" s="619"/>
      <c r="U264" s="586"/>
    </row>
    <row r="265" spans="18:21">
      <c r="R265" s="619"/>
      <c r="U265" s="586"/>
    </row>
    <row r="266" spans="18:21">
      <c r="R266" s="619"/>
      <c r="U266" s="586"/>
    </row>
    <row r="267" spans="18:21">
      <c r="R267" s="619"/>
      <c r="U267" s="586"/>
    </row>
    <row r="268" spans="18:21">
      <c r="R268" s="619"/>
      <c r="U268" s="586"/>
    </row>
    <row r="269" spans="18:21">
      <c r="R269" s="619"/>
      <c r="U269" s="586"/>
    </row>
    <row r="270" spans="18:21">
      <c r="R270" s="619"/>
      <c r="U270" s="586"/>
    </row>
    <row r="271" spans="18:21">
      <c r="R271" s="619"/>
      <c r="U271" s="586"/>
    </row>
    <row r="272" spans="18:21">
      <c r="R272" s="619"/>
      <c r="U272" s="586"/>
    </row>
    <row r="273" spans="18:21">
      <c r="R273" s="619"/>
      <c r="U273" s="586"/>
    </row>
    <row r="274" spans="18:21">
      <c r="R274" s="619"/>
      <c r="U274" s="586"/>
    </row>
    <row r="275" spans="18:21">
      <c r="R275" s="619"/>
      <c r="U275" s="586"/>
    </row>
    <row r="276" spans="18:21">
      <c r="R276" s="619"/>
      <c r="U276" s="586"/>
    </row>
    <row r="277" spans="18:21">
      <c r="R277" s="619"/>
      <c r="U277" s="586"/>
    </row>
    <row r="278" spans="18:21">
      <c r="R278" s="619"/>
      <c r="U278" s="586"/>
    </row>
    <row r="279" spans="18:21">
      <c r="R279" s="619"/>
      <c r="U279" s="586"/>
    </row>
    <row r="280" spans="18:21">
      <c r="R280" s="619"/>
      <c r="U280" s="586"/>
    </row>
    <row r="281" spans="18:21">
      <c r="R281" s="619"/>
      <c r="U281" s="586"/>
    </row>
    <row r="282" spans="18:21">
      <c r="R282" s="619"/>
      <c r="U282" s="586"/>
    </row>
    <row r="283" spans="18:21">
      <c r="R283" s="619"/>
      <c r="U283" s="586"/>
    </row>
    <row r="284" spans="18:21">
      <c r="R284" s="619"/>
      <c r="U284" s="586"/>
    </row>
    <row r="285" spans="18:21">
      <c r="R285" s="619"/>
      <c r="U285" s="586"/>
    </row>
    <row r="286" spans="18:21">
      <c r="U286" s="586"/>
    </row>
    <row r="287" spans="18:21">
      <c r="U287" s="586"/>
    </row>
    <row r="288" spans="18:21">
      <c r="U288" s="586"/>
    </row>
    <row r="289" spans="21:21">
      <c r="U289" s="586"/>
    </row>
    <row r="290" spans="21:21">
      <c r="U290" s="586"/>
    </row>
    <row r="291" spans="21:21">
      <c r="U291" s="586"/>
    </row>
    <row r="292" spans="21:21">
      <c r="U292" s="586"/>
    </row>
    <row r="293" spans="21:21">
      <c r="U293" s="586"/>
    </row>
    <row r="294" spans="21:21">
      <c r="U294" s="586"/>
    </row>
    <row r="295" spans="21:21">
      <c r="U295" s="586"/>
    </row>
    <row r="296" spans="21:21">
      <c r="U296" s="586"/>
    </row>
    <row r="297" spans="21:21">
      <c r="U297" s="586"/>
    </row>
    <row r="298" spans="21:21">
      <c r="U298" s="586"/>
    </row>
    <row r="299" spans="21:21">
      <c r="U299" s="586"/>
    </row>
    <row r="300" spans="21:21">
      <c r="U300" s="586"/>
    </row>
    <row r="301" spans="21:21">
      <c r="U301" s="586"/>
    </row>
    <row r="302" spans="21:21">
      <c r="U302" s="586"/>
    </row>
    <row r="303" spans="21:21">
      <c r="U303" s="586"/>
    </row>
    <row r="304" spans="21:21">
      <c r="U304" s="586"/>
    </row>
    <row r="305" spans="21:21">
      <c r="U305" s="586"/>
    </row>
    <row r="306" spans="21:21">
      <c r="U306" s="586"/>
    </row>
    <row r="307" spans="21:21">
      <c r="U307" s="586"/>
    </row>
    <row r="308" spans="21:21">
      <c r="U308" s="586"/>
    </row>
    <row r="309" spans="21:21">
      <c r="U309" s="586"/>
    </row>
    <row r="310" spans="21:21">
      <c r="U310" s="586"/>
    </row>
    <row r="311" spans="21:21">
      <c r="U311" s="586"/>
    </row>
    <row r="312" spans="21:21">
      <c r="U312" s="586"/>
    </row>
    <row r="313" spans="21:21">
      <c r="U313" s="586"/>
    </row>
    <row r="314" spans="21:21">
      <c r="U314" s="586"/>
    </row>
    <row r="315" spans="21:21">
      <c r="U315" s="586"/>
    </row>
    <row r="316" spans="21:21">
      <c r="U316" s="586"/>
    </row>
    <row r="317" spans="21:21">
      <c r="U317" s="586"/>
    </row>
    <row r="318" spans="21:21">
      <c r="U318" s="586"/>
    </row>
    <row r="319" spans="21:21">
      <c r="U319" s="586"/>
    </row>
    <row r="320" spans="21:21">
      <c r="U320" s="586"/>
    </row>
    <row r="321" spans="21:21">
      <c r="U321" s="586"/>
    </row>
    <row r="322" spans="21:21">
      <c r="U322" s="586"/>
    </row>
    <row r="323" spans="21:21">
      <c r="U323" s="586"/>
    </row>
    <row r="1048574" spans="5:5">
      <c r="E1048574" s="619">
        <v>23984677.350000001</v>
      </c>
    </row>
  </sheetData>
  <autoFilter ref="C4:AG247" xr:uid="{2EE05831-8F4E-4838-94EA-A2AD1B71C8EF}"/>
  <mergeCells count="15">
    <mergeCell ref="AB3:AC3"/>
    <mergeCell ref="AD3:AE3"/>
    <mergeCell ref="AF3:AG3"/>
    <mergeCell ref="P3:Q3"/>
    <mergeCell ref="R3:S3"/>
    <mergeCell ref="T3:U3"/>
    <mergeCell ref="V3:W3"/>
    <mergeCell ref="X3:Y3"/>
    <mergeCell ref="Z3:AA3"/>
    <mergeCell ref="N3:O3"/>
    <mergeCell ref="D3:E3"/>
    <mergeCell ref="F3:G3"/>
    <mergeCell ref="H3:I3"/>
    <mergeCell ref="J3:K3"/>
    <mergeCell ref="L3:M3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B1:G8"/>
  <sheetViews>
    <sheetView workbookViewId="0">
      <selection activeCell="B2" sqref="B2:G8"/>
    </sheetView>
  </sheetViews>
  <sheetFormatPr defaultRowHeight="14.45"/>
  <cols>
    <col min="2" max="2" width="26.42578125" customWidth="1"/>
    <col min="4" max="4" width="11.42578125" customWidth="1"/>
    <col min="7" max="7" width="21.85546875" customWidth="1"/>
  </cols>
  <sheetData>
    <row r="1" spans="2:7" ht="15" thickBot="1"/>
    <row r="2" spans="2:7" ht="24.75" customHeight="1" thickBot="1">
      <c r="B2" s="62"/>
      <c r="C2" s="1188" t="s">
        <v>1812</v>
      </c>
      <c r="D2" s="1189"/>
      <c r="E2" s="1189"/>
      <c r="F2" s="1189"/>
      <c r="G2" s="1190"/>
    </row>
    <row r="3" spans="2:7" ht="44.1" thickBot="1">
      <c r="B3" s="60" t="s">
        <v>1651</v>
      </c>
      <c r="C3" s="68" t="s">
        <v>1653</v>
      </c>
      <c r="D3" s="69" t="s">
        <v>1813</v>
      </c>
      <c r="E3" s="69" t="s">
        <v>1814</v>
      </c>
      <c r="F3" s="69" t="s">
        <v>1815</v>
      </c>
      <c r="G3" s="70" t="s">
        <v>1816</v>
      </c>
    </row>
    <row r="4" spans="2:7" ht="43.5">
      <c r="B4" s="64" t="s">
        <v>1817</v>
      </c>
      <c r="C4" s="61" t="s">
        <v>1818</v>
      </c>
      <c r="D4" s="66">
        <v>500</v>
      </c>
      <c r="E4" s="61" t="s">
        <v>1819</v>
      </c>
      <c r="F4" s="66" t="s">
        <v>1820</v>
      </c>
      <c r="G4" s="67" t="s">
        <v>1821</v>
      </c>
    </row>
    <row r="5" spans="2:7" ht="43.5">
      <c r="B5" s="64" t="s">
        <v>1822</v>
      </c>
      <c r="C5" s="1103" t="s">
        <v>1818</v>
      </c>
      <c r="D5" s="33">
        <v>6000</v>
      </c>
      <c r="E5" s="1103" t="s">
        <v>1823</v>
      </c>
      <c r="F5" s="33" t="s">
        <v>1005</v>
      </c>
      <c r="G5" s="63" t="s">
        <v>1824</v>
      </c>
    </row>
    <row r="6" spans="2:7" ht="43.5">
      <c r="B6" s="65" t="s">
        <v>1825</v>
      </c>
      <c r="C6" s="1184" t="s">
        <v>1826</v>
      </c>
      <c r="D6" s="1184"/>
      <c r="E6" s="1184"/>
      <c r="F6" s="1184"/>
      <c r="G6" s="1185"/>
    </row>
    <row r="7" spans="2:7" ht="29.45" thickBot="1">
      <c r="B7" s="71" t="s">
        <v>1827</v>
      </c>
      <c r="C7" s="1186" t="s">
        <v>1828</v>
      </c>
      <c r="D7" s="1186"/>
      <c r="E7" s="1186"/>
      <c r="F7" s="1186"/>
      <c r="G7" s="1187"/>
    </row>
    <row r="8" spans="2:7">
      <c r="B8" t="s">
        <v>1829</v>
      </c>
    </row>
  </sheetData>
  <mergeCells count="3">
    <mergeCell ref="C6:G6"/>
    <mergeCell ref="C7:G7"/>
    <mergeCell ref="C2:G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1"/>
  <dimension ref="B2:S250"/>
  <sheetViews>
    <sheetView workbookViewId="0">
      <pane xSplit="2" ySplit="5" topLeftCell="D6" activePane="bottomRight" state="frozen"/>
      <selection pane="bottomRight" activeCell="J248" sqref="J248"/>
      <selection pane="bottomLeft" activeCell="A6" sqref="A6"/>
      <selection pane="topRight" activeCell="C1" sqref="C1"/>
    </sheetView>
  </sheetViews>
  <sheetFormatPr defaultRowHeight="14.45"/>
  <cols>
    <col min="1" max="1" width="5.42578125" customWidth="1"/>
    <col min="2" max="2" width="33.85546875" bestFit="1" customWidth="1"/>
    <col min="3" max="3" width="16.85546875" customWidth="1"/>
    <col min="4" max="4" width="17.42578125" customWidth="1"/>
    <col min="5" max="5" width="13.5703125" style="693" bestFit="1" customWidth="1"/>
    <col min="6" max="6" width="18.42578125" style="693" bestFit="1" customWidth="1"/>
    <col min="7" max="7" width="13.5703125" style="693" bestFit="1" customWidth="1"/>
    <col min="8" max="8" width="11.85546875" style="694" customWidth="1"/>
    <col min="9" max="9" width="16.42578125" customWidth="1"/>
    <col min="10" max="10" width="13.5703125" style="145" customWidth="1"/>
    <col min="11" max="11" width="14.5703125" style="145" customWidth="1"/>
    <col min="12" max="12" width="13.140625" bestFit="1" customWidth="1"/>
    <col min="13" max="13" width="13.5703125" style="761" bestFit="1" customWidth="1"/>
    <col min="14" max="14" width="12.85546875" style="695" customWidth="1"/>
    <col min="15" max="15" width="12" style="145" customWidth="1"/>
    <col min="16" max="16" width="14.5703125" style="693" bestFit="1" customWidth="1"/>
    <col min="17" max="17" width="11.85546875" style="145" customWidth="1"/>
    <col min="18" max="18" width="10.5703125" customWidth="1"/>
    <col min="19" max="19" width="12.140625" customWidth="1"/>
  </cols>
  <sheetData>
    <row r="2" spans="2:19" ht="15" thickBot="1">
      <c r="M2" s="693"/>
    </row>
    <row r="3" spans="2:19" ht="15" thickBot="1">
      <c r="B3" s="1191" t="s">
        <v>1830</v>
      </c>
      <c r="C3" s="1192"/>
      <c r="D3" s="1192"/>
      <c r="E3" s="1192"/>
      <c r="F3" s="1192"/>
      <c r="G3" s="1192"/>
      <c r="H3" s="1192"/>
      <c r="I3" s="1192"/>
      <c r="J3" s="1192"/>
      <c r="K3" s="1193"/>
      <c r="L3" s="1192"/>
      <c r="M3" s="1194"/>
      <c r="N3" s="1195"/>
      <c r="O3" s="1193"/>
      <c r="P3" s="1192"/>
      <c r="Q3" s="1193"/>
      <c r="R3" s="1192"/>
      <c r="S3" s="1196"/>
    </row>
    <row r="4" spans="2:19" ht="15" thickBot="1">
      <c r="C4" s="696"/>
      <c r="D4" s="697"/>
      <c r="E4" s="1197" t="s">
        <v>1831</v>
      </c>
      <c r="F4" s="1197"/>
      <c r="G4" s="1197"/>
      <c r="H4" s="698"/>
      <c r="I4" s="699"/>
      <c r="J4" s="1198" t="s">
        <v>1832</v>
      </c>
      <c r="K4" s="1199"/>
      <c r="L4" s="699"/>
      <c r="M4" s="700"/>
      <c r="N4" s="701"/>
      <c r="O4" s="702"/>
      <c r="P4" s="703"/>
      <c r="Q4" s="702"/>
      <c r="R4" s="699"/>
      <c r="S4" s="704"/>
    </row>
    <row r="5" spans="2:19" ht="62.25" customHeight="1">
      <c r="B5" s="705" t="s">
        <v>3</v>
      </c>
      <c r="C5" s="706" t="s">
        <v>1833</v>
      </c>
      <c r="D5" s="707" t="s">
        <v>1834</v>
      </c>
      <c r="E5" s="708" t="s">
        <v>1835</v>
      </c>
      <c r="F5" s="708" t="s">
        <v>1836</v>
      </c>
      <c r="G5" s="708" t="s">
        <v>1837</v>
      </c>
      <c r="H5" s="709" t="s">
        <v>1838</v>
      </c>
      <c r="I5" s="707" t="s">
        <v>1839</v>
      </c>
      <c r="J5" s="708" t="s">
        <v>1840</v>
      </c>
      <c r="K5" s="710" t="s">
        <v>1841</v>
      </c>
      <c r="L5" s="711" t="s">
        <v>1842</v>
      </c>
      <c r="M5" s="708" t="s">
        <v>1843</v>
      </c>
      <c r="N5" s="712" t="s">
        <v>1844</v>
      </c>
      <c r="O5" s="713" t="s">
        <v>1845</v>
      </c>
      <c r="P5" s="708" t="s">
        <v>1846</v>
      </c>
      <c r="Q5" s="713" t="s">
        <v>1847</v>
      </c>
      <c r="R5" s="707" t="s">
        <v>1848</v>
      </c>
      <c r="S5" s="714" t="s">
        <v>1849</v>
      </c>
    </row>
    <row r="6" spans="2:19" ht="18" customHeight="1">
      <c r="B6" s="715"/>
      <c r="C6" s="716" t="s">
        <v>88</v>
      </c>
      <c r="D6" s="716" t="s">
        <v>88</v>
      </c>
      <c r="E6" s="717" t="s">
        <v>99</v>
      </c>
      <c r="F6" s="717" t="s">
        <v>99</v>
      </c>
      <c r="G6" s="717" t="s">
        <v>99</v>
      </c>
      <c r="H6" s="718" t="s">
        <v>1850</v>
      </c>
      <c r="I6" s="719" t="s">
        <v>99</v>
      </c>
      <c r="J6" s="717" t="s">
        <v>99</v>
      </c>
      <c r="K6" s="719" t="s">
        <v>99</v>
      </c>
      <c r="L6" s="720" t="s">
        <v>86</v>
      </c>
      <c r="M6" s="717" t="s">
        <v>99</v>
      </c>
      <c r="N6" s="717" t="s">
        <v>1201</v>
      </c>
      <c r="O6" s="721" t="s">
        <v>99</v>
      </c>
      <c r="P6" s="717" t="s">
        <v>99</v>
      </c>
      <c r="Q6" s="719" t="s">
        <v>99</v>
      </c>
      <c r="R6" s="719" t="s">
        <v>99</v>
      </c>
      <c r="S6" s="722" t="s">
        <v>99</v>
      </c>
    </row>
    <row r="7" spans="2:19" s="97" customFormat="1">
      <c r="B7" s="723" t="s">
        <v>101</v>
      </c>
      <c r="C7" s="723"/>
      <c r="D7" s="723"/>
      <c r="E7" s="724"/>
      <c r="F7" s="724"/>
      <c r="G7" s="724"/>
      <c r="H7" s="725"/>
      <c r="I7" s="726"/>
      <c r="J7" s="727"/>
      <c r="K7" s="726"/>
      <c r="L7" s="726"/>
      <c r="M7" s="727"/>
      <c r="N7" s="727"/>
      <c r="O7" s="728"/>
      <c r="P7" s="727"/>
      <c r="Q7" s="726"/>
      <c r="R7" s="726"/>
      <c r="S7" s="726"/>
    </row>
    <row r="8" spans="2:19" s="97" customFormat="1">
      <c r="B8" s="729" t="s">
        <v>102</v>
      </c>
      <c r="C8" s="9" t="s">
        <v>1009</v>
      </c>
      <c r="D8" s="730" t="s">
        <v>110</v>
      </c>
      <c r="E8" s="731">
        <v>716454.13143739803</v>
      </c>
      <c r="F8" s="731">
        <v>20834.836098079501</v>
      </c>
      <c r="G8" s="731">
        <v>737288.96753547748</v>
      </c>
      <c r="H8" s="732">
        <v>0</v>
      </c>
      <c r="I8" s="733" t="s">
        <v>258</v>
      </c>
      <c r="J8" s="734">
        <v>737288.96753547748</v>
      </c>
      <c r="K8" s="735">
        <v>0</v>
      </c>
      <c r="L8" s="735" t="s">
        <v>103</v>
      </c>
      <c r="M8" s="734">
        <v>0</v>
      </c>
      <c r="N8" s="734" t="s">
        <v>103</v>
      </c>
      <c r="O8" s="736">
        <v>0</v>
      </c>
      <c r="P8" s="737" t="s">
        <v>1851</v>
      </c>
      <c r="Q8" s="736">
        <v>0</v>
      </c>
      <c r="R8" s="735" t="s">
        <v>103</v>
      </c>
      <c r="S8" s="735" t="s">
        <v>103</v>
      </c>
    </row>
    <row r="9" spans="2:19" s="101" customFormat="1">
      <c r="B9" s="738" t="s">
        <v>1225</v>
      </c>
      <c r="C9" s="738"/>
      <c r="D9" s="738"/>
      <c r="E9" s="739">
        <v>716454.13143739803</v>
      </c>
      <c r="F9" s="739">
        <v>20834.836098079501</v>
      </c>
      <c r="G9" s="739">
        <f>SUM(G8)</f>
        <v>737288.96753547748</v>
      </c>
      <c r="H9" s="740">
        <v>0</v>
      </c>
      <c r="I9" s="741"/>
      <c r="J9" s="742">
        <v>737288.96753547748</v>
      </c>
      <c r="K9" s="742">
        <v>0</v>
      </c>
      <c r="L9" s="741"/>
      <c r="M9" s="742">
        <v>0</v>
      </c>
      <c r="N9" s="742">
        <v>0</v>
      </c>
      <c r="O9" s="743">
        <v>0</v>
      </c>
      <c r="P9" s="742">
        <v>0</v>
      </c>
      <c r="Q9" s="744">
        <v>0</v>
      </c>
      <c r="R9" s="741" t="s">
        <v>103</v>
      </c>
      <c r="S9" s="741" t="s">
        <v>103</v>
      </c>
    </row>
    <row r="10" spans="2:19" s="97" customFormat="1">
      <c r="B10" s="723" t="s">
        <v>106</v>
      </c>
      <c r="C10" s="723"/>
      <c r="D10" s="723"/>
      <c r="E10" s="724"/>
      <c r="F10" s="724"/>
      <c r="G10" s="724"/>
      <c r="H10" s="725"/>
      <c r="I10" s="726"/>
      <c r="J10" s="727"/>
      <c r="K10" s="726"/>
      <c r="L10" s="726"/>
      <c r="M10" s="727"/>
      <c r="N10" s="727"/>
      <c r="O10" s="728"/>
      <c r="P10" s="727"/>
      <c r="Q10" s="726"/>
      <c r="R10" s="726"/>
      <c r="S10" s="726"/>
    </row>
    <row r="11" spans="2:19" s="97" customFormat="1">
      <c r="B11" s="729" t="s">
        <v>107</v>
      </c>
      <c r="C11" s="9" t="s">
        <v>1009</v>
      </c>
      <c r="D11" s="730" t="s">
        <v>110</v>
      </c>
      <c r="E11" s="731">
        <v>171069.34318917847</v>
      </c>
      <c r="F11" s="731">
        <v>3954.7259232310907</v>
      </c>
      <c r="G11" s="731">
        <v>175024.06911240958</v>
      </c>
      <c r="H11" s="732">
        <v>0</v>
      </c>
      <c r="I11" s="745" t="s">
        <v>258</v>
      </c>
      <c r="J11" s="734">
        <v>175024.06911240958</v>
      </c>
      <c r="K11" s="735">
        <v>0</v>
      </c>
      <c r="L11" s="735" t="s">
        <v>103</v>
      </c>
      <c r="M11" s="734">
        <v>0</v>
      </c>
      <c r="N11" s="734" t="s">
        <v>103</v>
      </c>
      <c r="O11" s="736">
        <v>0</v>
      </c>
      <c r="P11" s="737" t="s">
        <v>1851</v>
      </c>
      <c r="Q11" s="736">
        <v>0</v>
      </c>
      <c r="R11" s="735" t="s">
        <v>103</v>
      </c>
      <c r="S11" s="735" t="s">
        <v>103</v>
      </c>
    </row>
    <row r="12" spans="2:19" s="101" customFormat="1">
      <c r="B12" s="738" t="s">
        <v>1228</v>
      </c>
      <c r="C12" s="738" t="s">
        <v>150</v>
      </c>
      <c r="D12" s="738" t="s">
        <v>150</v>
      </c>
      <c r="E12" s="739">
        <v>171069.34318917847</v>
      </c>
      <c r="F12" s="739">
        <v>3954.7259232310907</v>
      </c>
      <c r="G12" s="739">
        <f>SUM(G11)</f>
        <v>175024.06911240958</v>
      </c>
      <c r="H12" s="740">
        <v>0</v>
      </c>
      <c r="I12" s="741"/>
      <c r="J12" s="742">
        <v>175024.06911240958</v>
      </c>
      <c r="K12" s="742">
        <v>0</v>
      </c>
      <c r="L12" s="741"/>
      <c r="M12" s="742">
        <v>0</v>
      </c>
      <c r="N12" s="742">
        <v>0</v>
      </c>
      <c r="O12" s="743">
        <v>0</v>
      </c>
      <c r="P12" s="742">
        <v>0</v>
      </c>
      <c r="Q12" s="744">
        <v>0</v>
      </c>
      <c r="R12" s="741" t="s">
        <v>103</v>
      </c>
      <c r="S12" s="741" t="s">
        <v>103</v>
      </c>
    </row>
    <row r="13" spans="2:19" s="97" customFormat="1">
      <c r="B13" s="723" t="s">
        <v>108</v>
      </c>
      <c r="C13" s="723"/>
      <c r="D13" s="723"/>
      <c r="E13" s="724"/>
      <c r="F13" s="724"/>
      <c r="G13" s="724"/>
      <c r="H13" s="725"/>
      <c r="I13" s="726"/>
      <c r="J13" s="727"/>
      <c r="K13" s="726"/>
      <c r="L13" s="726"/>
      <c r="M13" s="727"/>
      <c r="N13" s="727"/>
      <c r="O13" s="728"/>
      <c r="P13" s="727"/>
      <c r="Q13" s="726"/>
      <c r="R13" s="726"/>
      <c r="S13" s="726"/>
    </row>
    <row r="14" spans="2:19">
      <c r="B14" s="746" t="s">
        <v>109</v>
      </c>
      <c r="C14" s="9" t="s">
        <v>1009</v>
      </c>
      <c r="D14" s="730" t="s">
        <v>110</v>
      </c>
      <c r="E14" s="747">
        <v>102434.82333213775</v>
      </c>
      <c r="F14" s="747">
        <v>3069.0874053458492</v>
      </c>
      <c r="G14" s="747">
        <v>105503.9107374836</v>
      </c>
      <c r="H14" s="748">
        <v>0</v>
      </c>
      <c r="I14" s="749" t="s">
        <v>258</v>
      </c>
      <c r="J14" s="750">
        <v>105503.9107374836</v>
      </c>
      <c r="K14" s="735">
        <v>0</v>
      </c>
      <c r="L14" s="735" t="s">
        <v>103</v>
      </c>
      <c r="M14" s="750">
        <v>0</v>
      </c>
      <c r="N14" s="750" t="s">
        <v>103</v>
      </c>
      <c r="O14" s="736">
        <v>0</v>
      </c>
      <c r="P14" s="751">
        <v>0</v>
      </c>
      <c r="Q14" s="752">
        <v>0</v>
      </c>
      <c r="R14" s="9" t="s">
        <v>103</v>
      </c>
      <c r="S14" s="9" t="s">
        <v>103</v>
      </c>
    </row>
    <row r="15" spans="2:19" s="97" customFormat="1">
      <c r="B15" s="729" t="s">
        <v>111</v>
      </c>
      <c r="C15" s="9" t="s">
        <v>1009</v>
      </c>
      <c r="D15" s="730" t="s">
        <v>110</v>
      </c>
      <c r="E15" s="731">
        <v>549576.48735953204</v>
      </c>
      <c r="F15" s="731">
        <v>30725.068191779341</v>
      </c>
      <c r="G15" s="731">
        <v>580301.55555131135</v>
      </c>
      <c r="H15" s="753">
        <v>0</v>
      </c>
      <c r="I15" s="745" t="s">
        <v>258</v>
      </c>
      <c r="J15" s="734">
        <v>580301.55555131135</v>
      </c>
      <c r="K15" s="735">
        <v>0</v>
      </c>
      <c r="L15" s="735" t="s">
        <v>103</v>
      </c>
      <c r="M15" s="734">
        <v>0</v>
      </c>
      <c r="N15" s="734" t="s">
        <v>103</v>
      </c>
      <c r="O15" s="736">
        <v>0</v>
      </c>
      <c r="P15" s="754">
        <v>0</v>
      </c>
      <c r="Q15" s="736">
        <v>0</v>
      </c>
      <c r="R15" s="100" t="s">
        <v>103</v>
      </c>
      <c r="S15" s="100" t="s">
        <v>103</v>
      </c>
    </row>
    <row r="16" spans="2:19" s="101" customFormat="1">
      <c r="B16" s="738" t="s">
        <v>1231</v>
      </c>
      <c r="C16" s="738" t="s">
        <v>150</v>
      </c>
      <c r="D16" s="738" t="s">
        <v>150</v>
      </c>
      <c r="E16" s="739">
        <v>652011.31069166982</v>
      </c>
      <c r="F16" s="739">
        <v>33794.155597125187</v>
      </c>
      <c r="G16" s="739">
        <f>SUM(G14:G15)</f>
        <v>685805.466288795</v>
      </c>
      <c r="H16" s="740">
        <v>0</v>
      </c>
      <c r="I16" s="741"/>
      <c r="J16" s="742">
        <v>685805.466288795</v>
      </c>
      <c r="K16" s="742">
        <v>0</v>
      </c>
      <c r="L16" s="741"/>
      <c r="M16" s="742">
        <v>0</v>
      </c>
      <c r="N16" s="742">
        <v>0</v>
      </c>
      <c r="O16" s="743">
        <v>0</v>
      </c>
      <c r="P16" s="742">
        <v>0</v>
      </c>
      <c r="Q16" s="744">
        <v>0</v>
      </c>
      <c r="R16" s="741" t="s">
        <v>103</v>
      </c>
      <c r="S16" s="741" t="s">
        <v>103</v>
      </c>
    </row>
    <row r="17" spans="2:19" s="97" customFormat="1">
      <c r="B17" s="723" t="s">
        <v>112</v>
      </c>
      <c r="C17" s="723"/>
      <c r="D17" s="723"/>
      <c r="E17" s="724"/>
      <c r="F17" s="724"/>
      <c r="G17" s="724"/>
      <c r="H17" s="725"/>
      <c r="I17" s="726"/>
      <c r="J17" s="727"/>
      <c r="K17" s="726"/>
      <c r="L17" s="726"/>
      <c r="M17" s="727"/>
      <c r="N17" s="727"/>
      <c r="O17" s="728"/>
      <c r="P17" s="727"/>
      <c r="Q17" s="726"/>
      <c r="R17" s="726"/>
      <c r="S17" s="726"/>
    </row>
    <row r="18" spans="2:19">
      <c r="B18" s="746" t="s">
        <v>113</v>
      </c>
      <c r="C18" s="9" t="s">
        <v>1009</v>
      </c>
      <c r="D18" s="730" t="s">
        <v>110</v>
      </c>
      <c r="E18" s="747">
        <v>51675.230012961198</v>
      </c>
      <c r="F18" s="747">
        <v>17958.357186836969</v>
      </c>
      <c r="G18" s="747">
        <v>669633.58719979832</v>
      </c>
      <c r="H18" s="748">
        <v>0</v>
      </c>
      <c r="I18" s="749" t="s">
        <v>258</v>
      </c>
      <c r="J18" s="750">
        <v>669633.58719979832</v>
      </c>
      <c r="K18" s="735">
        <v>0</v>
      </c>
      <c r="L18" s="735" t="s">
        <v>103</v>
      </c>
      <c r="M18" s="750">
        <v>0</v>
      </c>
      <c r="N18" s="750" t="s">
        <v>103</v>
      </c>
      <c r="O18" s="736">
        <v>0</v>
      </c>
      <c r="P18" s="754">
        <v>0</v>
      </c>
      <c r="Q18" s="752">
        <v>0</v>
      </c>
      <c r="R18" s="9" t="s">
        <v>103</v>
      </c>
      <c r="S18" s="9" t="s">
        <v>103</v>
      </c>
    </row>
    <row r="19" spans="2:19">
      <c r="B19" s="746" t="s">
        <v>126</v>
      </c>
      <c r="C19" s="9" t="s">
        <v>1009</v>
      </c>
      <c r="D19" s="730" t="s">
        <v>110</v>
      </c>
      <c r="E19" s="747">
        <v>-425765.71376029809</v>
      </c>
      <c r="F19" s="747">
        <v>48529.564586950728</v>
      </c>
      <c r="G19" s="747">
        <v>-377236.14917334798</v>
      </c>
      <c r="H19" s="694">
        <v>7.7733264739569545</v>
      </c>
      <c r="I19" s="749" t="s">
        <v>258</v>
      </c>
      <c r="J19" s="750">
        <v>-377236.14917334798</v>
      </c>
      <c r="K19" s="735">
        <v>0</v>
      </c>
      <c r="L19" s="735" t="s">
        <v>103</v>
      </c>
      <c r="M19" s="750">
        <v>0</v>
      </c>
      <c r="N19" s="750" t="s">
        <v>103</v>
      </c>
      <c r="O19" s="736">
        <v>0</v>
      </c>
      <c r="P19" s="754">
        <v>0</v>
      </c>
      <c r="Q19" s="752">
        <v>0</v>
      </c>
      <c r="R19" s="9" t="s">
        <v>103</v>
      </c>
      <c r="S19" s="9" t="s">
        <v>103</v>
      </c>
    </row>
    <row r="20" spans="2:19">
      <c r="B20" s="746" t="s">
        <v>1707</v>
      </c>
      <c r="C20" s="9" t="s">
        <v>1009</v>
      </c>
      <c r="D20" s="730" t="s">
        <v>110</v>
      </c>
      <c r="E20" s="747">
        <v>117566.87423705397</v>
      </c>
      <c r="F20" s="747">
        <v>7042.9345941353176</v>
      </c>
      <c r="G20" s="747">
        <v>124609.80883118929</v>
      </c>
      <c r="H20" s="748">
        <v>0</v>
      </c>
      <c r="I20" s="749" t="s">
        <v>258</v>
      </c>
      <c r="J20" s="750">
        <v>124609.80883118929</v>
      </c>
      <c r="K20" s="735">
        <v>0</v>
      </c>
      <c r="L20" s="735" t="s">
        <v>103</v>
      </c>
      <c r="M20" s="750">
        <v>0</v>
      </c>
      <c r="N20" s="750" t="s">
        <v>103</v>
      </c>
      <c r="O20" s="736">
        <v>0</v>
      </c>
      <c r="P20" s="754">
        <v>0</v>
      </c>
      <c r="Q20" s="752">
        <v>0</v>
      </c>
      <c r="R20" s="9" t="s">
        <v>103</v>
      </c>
      <c r="S20" s="9" t="s">
        <v>103</v>
      </c>
    </row>
    <row r="21" spans="2:19">
      <c r="B21" s="746" t="s">
        <v>133</v>
      </c>
      <c r="C21" s="9" t="s">
        <v>1009</v>
      </c>
      <c r="D21" s="730" t="s">
        <v>110</v>
      </c>
      <c r="E21" s="747">
        <v>3184349.5385605679</v>
      </c>
      <c r="F21" s="747">
        <v>63483.591304246307</v>
      </c>
      <c r="G21" s="747">
        <v>3247833.1298648142</v>
      </c>
      <c r="H21" s="748">
        <v>0</v>
      </c>
      <c r="I21" s="749" t="s">
        <v>258</v>
      </c>
      <c r="J21" s="750">
        <v>3247833.1298648142</v>
      </c>
      <c r="K21" s="735">
        <v>0</v>
      </c>
      <c r="L21" s="735" t="s">
        <v>103</v>
      </c>
      <c r="M21" s="750">
        <v>0</v>
      </c>
      <c r="N21" s="750" t="s">
        <v>103</v>
      </c>
      <c r="O21" s="736">
        <v>0</v>
      </c>
      <c r="P21" s="754">
        <v>0</v>
      </c>
      <c r="Q21" s="752">
        <v>0</v>
      </c>
      <c r="R21" s="9" t="s">
        <v>103</v>
      </c>
      <c r="S21" s="9" t="s">
        <v>103</v>
      </c>
    </row>
    <row r="22" spans="2:19">
      <c r="B22" s="746" t="s">
        <v>134</v>
      </c>
      <c r="C22" s="9" t="s">
        <v>1009</v>
      </c>
      <c r="D22" s="730" t="s">
        <v>110</v>
      </c>
      <c r="E22" s="747">
        <v>778711.45036955818</v>
      </c>
      <c r="F22" s="747">
        <v>14852.084318085708</v>
      </c>
      <c r="G22" s="747">
        <v>793563.53468764387</v>
      </c>
      <c r="H22" s="748">
        <v>0</v>
      </c>
      <c r="I22" s="749" t="s">
        <v>258</v>
      </c>
      <c r="J22" s="750">
        <v>793563.53468764387</v>
      </c>
      <c r="K22" s="735">
        <v>0</v>
      </c>
      <c r="L22" s="735" t="s">
        <v>103</v>
      </c>
      <c r="M22" s="750">
        <v>0</v>
      </c>
      <c r="N22" s="750" t="s">
        <v>103</v>
      </c>
      <c r="O22" s="736">
        <v>0</v>
      </c>
      <c r="P22" s="754">
        <v>0</v>
      </c>
      <c r="Q22" s="752">
        <v>0</v>
      </c>
      <c r="R22" s="9" t="s">
        <v>103</v>
      </c>
      <c r="S22" s="9" t="s">
        <v>103</v>
      </c>
    </row>
    <row r="23" spans="2:19">
      <c r="B23" s="746" t="s">
        <v>135</v>
      </c>
      <c r="C23" s="9" t="s">
        <v>1009</v>
      </c>
      <c r="D23" s="730" t="s">
        <v>110</v>
      </c>
      <c r="E23" s="747">
        <v>4766738.6770944307</v>
      </c>
      <c r="F23" s="747">
        <v>318122.07459829899</v>
      </c>
      <c r="G23" s="747">
        <v>5084860.7516927291</v>
      </c>
      <c r="H23" s="748">
        <v>0</v>
      </c>
      <c r="I23" s="755" t="s">
        <v>258</v>
      </c>
      <c r="J23" s="756">
        <v>5084860.7516927291</v>
      </c>
      <c r="K23" s="735">
        <v>0</v>
      </c>
      <c r="L23" s="735" t="s">
        <v>103</v>
      </c>
      <c r="M23" s="756">
        <v>0</v>
      </c>
      <c r="N23" s="756" t="s">
        <v>103</v>
      </c>
      <c r="O23" s="736">
        <v>0</v>
      </c>
      <c r="P23" s="754">
        <v>0</v>
      </c>
      <c r="Q23" s="752">
        <v>0</v>
      </c>
      <c r="R23" s="9" t="s">
        <v>103</v>
      </c>
      <c r="S23" s="9" t="s">
        <v>103</v>
      </c>
    </row>
    <row r="24" spans="2:19" s="101" customFormat="1">
      <c r="B24" s="738" t="s">
        <v>1235</v>
      </c>
      <c r="C24" s="738"/>
      <c r="D24" s="738"/>
      <c r="E24" s="739">
        <v>8473276.0565142743</v>
      </c>
      <c r="F24" s="739">
        <v>469988.60658855404</v>
      </c>
      <c r="G24" s="739">
        <f>SUM(G18:G23)</f>
        <v>9543264.663102828</v>
      </c>
      <c r="H24" s="740">
        <v>0</v>
      </c>
      <c r="I24" s="741"/>
      <c r="J24" s="742">
        <v>9543264.663102828</v>
      </c>
      <c r="K24" s="742">
        <v>0</v>
      </c>
      <c r="L24" s="741"/>
      <c r="M24" s="742">
        <v>0</v>
      </c>
      <c r="N24" s="742">
        <v>0</v>
      </c>
      <c r="O24" s="743">
        <v>0</v>
      </c>
      <c r="P24" s="742">
        <v>0</v>
      </c>
      <c r="Q24" s="744">
        <v>0</v>
      </c>
      <c r="R24" s="741" t="s">
        <v>103</v>
      </c>
      <c r="S24" s="741" t="s">
        <v>103</v>
      </c>
    </row>
    <row r="25" spans="2:19" s="97" customFormat="1">
      <c r="B25" s="723" t="s">
        <v>140</v>
      </c>
      <c r="C25" s="723"/>
      <c r="D25" s="723"/>
      <c r="E25" s="724"/>
      <c r="F25" s="724"/>
      <c r="G25" s="724"/>
      <c r="H25" s="725">
        <v>0</v>
      </c>
      <c r="I25" s="726"/>
      <c r="J25" s="727"/>
      <c r="K25" s="726"/>
      <c r="L25" s="726"/>
      <c r="M25" s="727"/>
      <c r="N25" s="727"/>
      <c r="O25" s="728"/>
      <c r="P25" s="727"/>
      <c r="Q25" s="726"/>
      <c r="R25" s="726"/>
      <c r="S25" s="726"/>
    </row>
    <row r="26" spans="2:19">
      <c r="B26" s="746" t="s">
        <v>141</v>
      </c>
      <c r="C26" s="9" t="s">
        <v>1009</v>
      </c>
      <c r="D26" s="730" t="s">
        <v>110</v>
      </c>
      <c r="E26" s="747">
        <v>1179978.3242625757</v>
      </c>
      <c r="F26" s="747">
        <v>77860.312304855019</v>
      </c>
      <c r="G26" s="747">
        <v>1257838.6365674303</v>
      </c>
      <c r="H26" s="748">
        <v>0</v>
      </c>
      <c r="I26" s="749" t="s">
        <v>258</v>
      </c>
      <c r="J26" s="750">
        <v>1257838.6365674303</v>
      </c>
      <c r="K26" s="735">
        <v>0</v>
      </c>
      <c r="L26" s="735" t="s">
        <v>103</v>
      </c>
      <c r="M26" s="750">
        <v>0</v>
      </c>
      <c r="N26" s="750" t="s">
        <v>103</v>
      </c>
      <c r="O26" s="736">
        <v>0</v>
      </c>
      <c r="P26" s="754">
        <v>0</v>
      </c>
      <c r="Q26" s="752">
        <v>0</v>
      </c>
      <c r="R26" s="9" t="s">
        <v>103</v>
      </c>
      <c r="S26" s="9" t="s">
        <v>103</v>
      </c>
    </row>
    <row r="27" spans="2:19">
      <c r="B27" s="746" t="s">
        <v>142</v>
      </c>
      <c r="C27" s="9" t="s">
        <v>1009</v>
      </c>
      <c r="D27" s="730" t="s">
        <v>110</v>
      </c>
      <c r="E27" s="747">
        <v>431067.27520118095</v>
      </c>
      <c r="F27" s="747">
        <v>52604.800802240105</v>
      </c>
      <c r="G27" s="747">
        <v>483672.07600342104</v>
      </c>
      <c r="H27" s="748">
        <v>0</v>
      </c>
      <c r="I27" s="755" t="s">
        <v>258</v>
      </c>
      <c r="J27" s="756">
        <v>483672.07600342104</v>
      </c>
      <c r="K27" s="735">
        <v>0</v>
      </c>
      <c r="L27" s="735" t="s">
        <v>103</v>
      </c>
      <c r="M27" s="756">
        <v>0</v>
      </c>
      <c r="N27" s="756" t="s">
        <v>103</v>
      </c>
      <c r="O27" s="736">
        <v>0</v>
      </c>
      <c r="P27" s="754">
        <v>0</v>
      </c>
      <c r="Q27" s="752">
        <v>0</v>
      </c>
      <c r="R27" s="9" t="s">
        <v>103</v>
      </c>
      <c r="S27" s="9" t="s">
        <v>103</v>
      </c>
    </row>
    <row r="28" spans="2:19" s="101" customFormat="1">
      <c r="B28" s="738" t="s">
        <v>1243</v>
      </c>
      <c r="C28" s="738"/>
      <c r="D28" s="738"/>
      <c r="E28" s="739">
        <v>1611045.5994637567</v>
      </c>
      <c r="F28" s="739">
        <v>130465.11310709512</v>
      </c>
      <c r="G28" s="739">
        <f>SUM(G26:G27)</f>
        <v>1741510.7125708514</v>
      </c>
      <c r="H28" s="740">
        <v>0</v>
      </c>
      <c r="I28" s="741"/>
      <c r="J28" s="742">
        <v>1741510.7125708514</v>
      </c>
      <c r="K28" s="742">
        <v>0</v>
      </c>
      <c r="L28" s="741"/>
      <c r="M28" s="742">
        <v>0</v>
      </c>
      <c r="N28" s="742">
        <v>0</v>
      </c>
      <c r="O28" s="743">
        <v>0</v>
      </c>
      <c r="P28" s="742">
        <v>0</v>
      </c>
      <c r="Q28" s="744">
        <v>0</v>
      </c>
      <c r="R28" s="741" t="s">
        <v>103</v>
      </c>
      <c r="S28" s="741" t="s">
        <v>103</v>
      </c>
    </row>
    <row r="29" spans="2:19" s="97" customFormat="1">
      <c r="B29" s="723" t="s">
        <v>143</v>
      </c>
      <c r="C29" s="723"/>
      <c r="D29" s="723"/>
      <c r="E29" s="724"/>
      <c r="F29" s="724"/>
      <c r="G29" s="724"/>
      <c r="H29" s="725">
        <v>0</v>
      </c>
      <c r="I29" s="726"/>
      <c r="J29" s="727"/>
      <c r="K29" s="726"/>
      <c r="L29" s="726"/>
      <c r="M29" s="727"/>
      <c r="N29" s="727"/>
      <c r="O29" s="728"/>
      <c r="P29" s="727"/>
      <c r="Q29" s="726"/>
      <c r="R29" s="726"/>
      <c r="S29" s="726"/>
    </row>
    <row r="30" spans="2:19">
      <c r="B30" s="746" t="s">
        <v>144</v>
      </c>
      <c r="C30" s="9" t="s">
        <v>1009</v>
      </c>
      <c r="D30" s="730" t="s">
        <v>110</v>
      </c>
      <c r="E30" s="747">
        <v>1145840.2920282269</v>
      </c>
      <c r="F30" s="747">
        <v>31276.390653954186</v>
      </c>
      <c r="G30" s="747">
        <v>1177116.682682181</v>
      </c>
      <c r="H30" s="748">
        <v>0</v>
      </c>
      <c r="I30" s="749" t="s">
        <v>258</v>
      </c>
      <c r="J30" s="750">
        <v>1177116.682682181</v>
      </c>
      <c r="K30" s="735">
        <v>0</v>
      </c>
      <c r="L30" s="735" t="s">
        <v>103</v>
      </c>
      <c r="M30" s="750">
        <v>0</v>
      </c>
      <c r="N30" s="750" t="s">
        <v>103</v>
      </c>
      <c r="O30" s="736">
        <v>0</v>
      </c>
      <c r="P30" s="754">
        <v>0</v>
      </c>
      <c r="Q30" s="752">
        <v>0</v>
      </c>
      <c r="R30" s="9" t="s">
        <v>103</v>
      </c>
      <c r="S30" s="9" t="s">
        <v>103</v>
      </c>
    </row>
    <row r="31" spans="2:19">
      <c r="B31" s="746" t="s">
        <v>145</v>
      </c>
      <c r="C31" s="9" t="s">
        <v>1009</v>
      </c>
      <c r="D31" s="730" t="s">
        <v>110</v>
      </c>
      <c r="E31" s="747">
        <v>5542551.4703127146</v>
      </c>
      <c r="F31" s="747">
        <v>325889.27145674115</v>
      </c>
      <c r="G31" s="747">
        <v>5890650.711769456</v>
      </c>
      <c r="H31" s="748">
        <v>0</v>
      </c>
      <c r="I31" s="749" t="s">
        <v>258</v>
      </c>
      <c r="J31" s="750">
        <v>5890650.711769456</v>
      </c>
      <c r="K31" s="735">
        <v>0</v>
      </c>
      <c r="L31" s="735" t="s">
        <v>103</v>
      </c>
      <c r="M31" s="750">
        <v>0</v>
      </c>
      <c r="N31" s="750" t="s">
        <v>103</v>
      </c>
      <c r="O31" s="736">
        <v>0</v>
      </c>
      <c r="P31" s="754">
        <v>0</v>
      </c>
      <c r="Q31" s="752">
        <v>0</v>
      </c>
      <c r="R31" s="9" t="s">
        <v>103</v>
      </c>
      <c r="S31" s="9" t="s">
        <v>103</v>
      </c>
    </row>
    <row r="32" spans="2:19">
      <c r="B32" s="746" t="s">
        <v>157</v>
      </c>
      <c r="C32" s="9" t="s">
        <v>1009</v>
      </c>
      <c r="D32" s="730" t="s">
        <v>110</v>
      </c>
      <c r="E32" s="747">
        <v>-1179103.4828295377</v>
      </c>
      <c r="F32" s="747">
        <v>205866.96150668309</v>
      </c>
      <c r="G32" s="747">
        <v>-973236.5213228541</v>
      </c>
      <c r="H32" s="694">
        <v>4.7275022383388103</v>
      </c>
      <c r="I32" s="749" t="s">
        <v>258</v>
      </c>
      <c r="J32" s="750">
        <v>-973236.5213228541</v>
      </c>
      <c r="K32" s="735">
        <v>0</v>
      </c>
      <c r="L32" s="735" t="s">
        <v>103</v>
      </c>
      <c r="M32" s="750">
        <v>0</v>
      </c>
      <c r="N32" s="750" t="s">
        <v>103</v>
      </c>
      <c r="O32" s="736">
        <v>0</v>
      </c>
      <c r="P32" s="754">
        <v>0</v>
      </c>
      <c r="Q32" s="752">
        <v>0</v>
      </c>
      <c r="R32" s="9" t="s">
        <v>103</v>
      </c>
      <c r="S32" s="9" t="s">
        <v>103</v>
      </c>
    </row>
    <row r="33" spans="2:19">
      <c r="B33" s="746" t="s">
        <v>160</v>
      </c>
      <c r="C33" s="9" t="s">
        <v>1009</v>
      </c>
      <c r="D33" s="730" t="s">
        <v>110</v>
      </c>
      <c r="E33" s="747">
        <v>989395.63481636997</v>
      </c>
      <c r="F33" s="747">
        <v>47117.051312688724</v>
      </c>
      <c r="G33" s="747">
        <v>1036512.6861290587</v>
      </c>
      <c r="H33" s="748">
        <v>0</v>
      </c>
      <c r="I33" s="749" t="s">
        <v>258</v>
      </c>
      <c r="J33" s="750">
        <v>1036512.6861290587</v>
      </c>
      <c r="K33" s="735">
        <v>0</v>
      </c>
      <c r="L33" s="735" t="s">
        <v>103</v>
      </c>
      <c r="M33" s="750">
        <v>0</v>
      </c>
      <c r="N33" s="750" t="s">
        <v>103</v>
      </c>
      <c r="O33" s="736">
        <v>0</v>
      </c>
      <c r="P33" s="754">
        <v>0</v>
      </c>
      <c r="Q33" s="752">
        <v>0</v>
      </c>
      <c r="R33" s="9" t="s">
        <v>103</v>
      </c>
      <c r="S33" s="9" t="s">
        <v>103</v>
      </c>
    </row>
    <row r="34" spans="2:19">
      <c r="B34" s="746" t="s">
        <v>161</v>
      </c>
      <c r="C34" s="9" t="s">
        <v>1009</v>
      </c>
      <c r="D34" s="730" t="s">
        <v>110</v>
      </c>
      <c r="E34" s="747">
        <v>184956.65923308229</v>
      </c>
      <c r="F34" s="747">
        <v>15797.290179145084</v>
      </c>
      <c r="G34" s="747">
        <v>200753.9494122274</v>
      </c>
      <c r="H34" s="748">
        <v>0</v>
      </c>
      <c r="I34" s="749" t="s">
        <v>258</v>
      </c>
      <c r="J34" s="750">
        <v>200753.9494122274</v>
      </c>
      <c r="K34" s="735">
        <v>0</v>
      </c>
      <c r="L34" s="735" t="s">
        <v>103</v>
      </c>
      <c r="M34" s="750">
        <v>0</v>
      </c>
      <c r="N34" s="750" t="s">
        <v>103</v>
      </c>
      <c r="O34" s="736">
        <v>0</v>
      </c>
      <c r="P34" s="754">
        <v>0</v>
      </c>
      <c r="Q34" s="752">
        <v>0</v>
      </c>
      <c r="R34" s="9" t="s">
        <v>103</v>
      </c>
      <c r="S34" s="9" t="s">
        <v>103</v>
      </c>
    </row>
    <row r="35" spans="2:19">
      <c r="B35" s="746" t="s">
        <v>162</v>
      </c>
      <c r="C35" s="9" t="s">
        <v>1009</v>
      </c>
      <c r="D35" s="730" t="s">
        <v>110</v>
      </c>
      <c r="E35" s="747">
        <v>270883.64350696548</v>
      </c>
      <c r="F35" s="747">
        <v>6715.0392475088229</v>
      </c>
      <c r="G35" s="747">
        <v>77598.682754474314</v>
      </c>
      <c r="H35" s="748">
        <v>0</v>
      </c>
      <c r="I35" s="749" t="s">
        <v>258</v>
      </c>
      <c r="J35" s="750">
        <v>77598.682754474314</v>
      </c>
      <c r="K35" s="735">
        <v>0</v>
      </c>
      <c r="L35" s="735" t="s">
        <v>103</v>
      </c>
      <c r="M35" s="750">
        <v>0</v>
      </c>
      <c r="N35" s="750" t="s">
        <v>103</v>
      </c>
      <c r="O35" s="736">
        <v>0</v>
      </c>
      <c r="P35" s="754">
        <v>0</v>
      </c>
      <c r="Q35" s="752">
        <v>0</v>
      </c>
      <c r="R35" s="9" t="s">
        <v>103</v>
      </c>
      <c r="S35" s="9" t="s">
        <v>103</v>
      </c>
    </row>
    <row r="36" spans="2:19">
      <c r="B36" s="746" t="s">
        <v>163</v>
      </c>
      <c r="C36" s="9" t="s">
        <v>1009</v>
      </c>
      <c r="D36" s="9" t="s">
        <v>104</v>
      </c>
      <c r="E36" s="747">
        <v>2428471.1043929523</v>
      </c>
      <c r="F36" s="747">
        <v>158056.71387334834</v>
      </c>
      <c r="G36" s="747">
        <v>2586527.8182663005</v>
      </c>
      <c r="H36" s="748">
        <v>0</v>
      </c>
      <c r="I36" s="749" t="s">
        <v>258</v>
      </c>
      <c r="J36" s="750">
        <v>2586527.8182663005</v>
      </c>
      <c r="K36" s="735">
        <v>0</v>
      </c>
      <c r="L36" s="735" t="s">
        <v>103</v>
      </c>
      <c r="M36" s="750">
        <v>0</v>
      </c>
      <c r="N36" s="750" t="s">
        <v>103</v>
      </c>
      <c r="O36" s="752">
        <v>0</v>
      </c>
      <c r="P36" s="754">
        <v>0</v>
      </c>
      <c r="Q36" s="752">
        <v>0</v>
      </c>
      <c r="R36" s="9" t="s">
        <v>103</v>
      </c>
      <c r="S36" s="9" t="s">
        <v>103</v>
      </c>
    </row>
    <row r="37" spans="2:19">
      <c r="B37" s="746" t="s">
        <v>168</v>
      </c>
      <c r="C37" s="9" t="s">
        <v>1009</v>
      </c>
      <c r="D37" s="730" t="s">
        <v>110</v>
      </c>
      <c r="E37" s="747">
        <v>-384909.90212361177</v>
      </c>
      <c r="F37" s="747">
        <v>100674.35740257725</v>
      </c>
      <c r="G37" s="747">
        <v>-284200.86472103448</v>
      </c>
      <c r="H37" s="694">
        <v>2.8229717283873019</v>
      </c>
      <c r="I37" s="749" t="s">
        <v>258</v>
      </c>
      <c r="J37" s="750">
        <v>-284200.86472103448</v>
      </c>
      <c r="K37" s="735">
        <v>0</v>
      </c>
      <c r="L37" s="735" t="s">
        <v>103</v>
      </c>
      <c r="M37" s="750">
        <v>0</v>
      </c>
      <c r="N37" s="750" t="s">
        <v>103</v>
      </c>
      <c r="O37" s="736">
        <v>0</v>
      </c>
      <c r="P37" s="754">
        <v>0</v>
      </c>
      <c r="Q37" s="752">
        <v>0</v>
      </c>
      <c r="R37" s="9" t="s">
        <v>103</v>
      </c>
      <c r="S37" s="9" t="s">
        <v>103</v>
      </c>
    </row>
    <row r="38" spans="2:19">
      <c r="B38" s="746" t="s">
        <v>174</v>
      </c>
      <c r="C38" s="9" t="s">
        <v>1009</v>
      </c>
      <c r="D38" s="730" t="s">
        <v>110</v>
      </c>
      <c r="E38" s="747">
        <v>-205803.90419431406</v>
      </c>
      <c r="F38" s="747">
        <v>104820.36784869281</v>
      </c>
      <c r="G38" s="747">
        <v>-100983.53634562122</v>
      </c>
      <c r="H38" s="694">
        <v>0.96339612632718463</v>
      </c>
      <c r="I38" s="749" t="s">
        <v>258</v>
      </c>
      <c r="J38" s="750">
        <v>-100983.53634562122</v>
      </c>
      <c r="K38" s="735">
        <v>0</v>
      </c>
      <c r="L38" s="735" t="s">
        <v>103</v>
      </c>
      <c r="M38" s="750">
        <v>0</v>
      </c>
      <c r="N38" s="750" t="s">
        <v>103</v>
      </c>
      <c r="O38" s="736">
        <v>0</v>
      </c>
      <c r="P38" s="754">
        <v>0</v>
      </c>
      <c r="Q38" s="752">
        <v>0</v>
      </c>
      <c r="R38" s="9" t="s">
        <v>103</v>
      </c>
      <c r="S38" s="9" t="s">
        <v>103</v>
      </c>
    </row>
    <row r="39" spans="2:19">
      <c r="B39" s="746" t="s">
        <v>179</v>
      </c>
      <c r="C39" s="9" t="s">
        <v>1009</v>
      </c>
      <c r="D39" s="730" t="s">
        <v>110</v>
      </c>
      <c r="E39" s="747">
        <v>359253.19951445336</v>
      </c>
      <c r="F39" s="747">
        <v>223759.63210388104</v>
      </c>
      <c r="G39" s="747">
        <v>583012.8316183344</v>
      </c>
      <c r="H39" s="748">
        <v>0</v>
      </c>
      <c r="I39" s="749" t="s">
        <v>258</v>
      </c>
      <c r="J39" s="750">
        <v>583012.8316183344</v>
      </c>
      <c r="K39" s="735">
        <v>0</v>
      </c>
      <c r="L39" s="735" t="s">
        <v>103</v>
      </c>
      <c r="M39" s="750">
        <v>0</v>
      </c>
      <c r="N39" s="750" t="s">
        <v>103</v>
      </c>
      <c r="O39" s="752">
        <v>0</v>
      </c>
      <c r="P39" s="751">
        <v>0</v>
      </c>
      <c r="Q39" s="752">
        <v>0</v>
      </c>
      <c r="R39" s="9" t="s">
        <v>103</v>
      </c>
      <c r="S39" s="9" t="s">
        <v>103</v>
      </c>
    </row>
    <row r="40" spans="2:19">
      <c r="B40" s="746" t="s">
        <v>184</v>
      </c>
      <c r="C40" s="9" t="s">
        <v>1009</v>
      </c>
      <c r="D40" s="730" t="s">
        <v>110</v>
      </c>
      <c r="E40" s="747">
        <v>-423176.75466602296</v>
      </c>
      <c r="F40" s="747">
        <v>149008.13916451059</v>
      </c>
      <c r="G40" s="747">
        <v>-469436.83550151211</v>
      </c>
      <c r="H40" s="694">
        <v>3.1504106965810519</v>
      </c>
      <c r="I40" s="749" t="s">
        <v>258</v>
      </c>
      <c r="J40" s="750">
        <v>-469436.83550151211</v>
      </c>
      <c r="K40" s="735">
        <v>0</v>
      </c>
      <c r="L40" s="735" t="s">
        <v>103</v>
      </c>
      <c r="M40" s="750">
        <v>0</v>
      </c>
      <c r="N40" s="750" t="s">
        <v>103</v>
      </c>
      <c r="O40" s="736">
        <v>0</v>
      </c>
      <c r="P40" s="754">
        <v>0</v>
      </c>
      <c r="Q40" s="752">
        <v>0</v>
      </c>
      <c r="R40" s="9" t="s">
        <v>103</v>
      </c>
      <c r="S40" s="9" t="s">
        <v>103</v>
      </c>
    </row>
    <row r="41" spans="2:19">
      <c r="B41" s="746" t="s">
        <v>188</v>
      </c>
      <c r="C41" s="9" t="s">
        <v>1009</v>
      </c>
      <c r="D41" s="730" t="s">
        <v>110</v>
      </c>
      <c r="E41" s="747">
        <v>123446.2665816528</v>
      </c>
      <c r="F41" s="747">
        <v>3756.9661942498683</v>
      </c>
      <c r="G41" s="747">
        <v>127203.23277590267</v>
      </c>
      <c r="H41" s="748">
        <v>0</v>
      </c>
      <c r="I41" s="749" t="s">
        <v>258</v>
      </c>
      <c r="J41" s="750">
        <v>127203.23277590267</v>
      </c>
      <c r="K41" s="735">
        <v>0</v>
      </c>
      <c r="L41" s="735" t="s">
        <v>103</v>
      </c>
      <c r="M41" s="750">
        <v>0</v>
      </c>
      <c r="N41" s="750" t="s">
        <v>103</v>
      </c>
      <c r="O41" s="736">
        <v>0</v>
      </c>
      <c r="P41" s="754">
        <v>0</v>
      </c>
      <c r="Q41" s="752">
        <v>0</v>
      </c>
      <c r="R41" s="9" t="s">
        <v>103</v>
      </c>
      <c r="S41" s="9" t="s">
        <v>103</v>
      </c>
    </row>
    <row r="42" spans="2:19">
      <c r="B42" s="746" t="s">
        <v>189</v>
      </c>
      <c r="C42" s="9" t="s">
        <v>1009</v>
      </c>
      <c r="D42" s="730" t="s">
        <v>110</v>
      </c>
      <c r="E42" s="747">
        <v>1027791.6299660524</v>
      </c>
      <c r="F42" s="747">
        <v>25203.757705932985</v>
      </c>
      <c r="G42" s="747">
        <v>1052995.3876719854</v>
      </c>
      <c r="H42" s="748">
        <v>0</v>
      </c>
      <c r="I42" s="749" t="s">
        <v>258</v>
      </c>
      <c r="J42" s="750">
        <v>1052995.3876719854</v>
      </c>
      <c r="K42" s="735">
        <v>0</v>
      </c>
      <c r="L42" s="735" t="s">
        <v>103</v>
      </c>
      <c r="M42" s="750">
        <v>0</v>
      </c>
      <c r="N42" s="750" t="s">
        <v>103</v>
      </c>
      <c r="O42" s="736">
        <v>0</v>
      </c>
      <c r="P42" s="754">
        <v>0</v>
      </c>
      <c r="Q42" s="752">
        <v>0</v>
      </c>
      <c r="R42" s="9" t="s">
        <v>103</v>
      </c>
      <c r="S42" s="9" t="s">
        <v>103</v>
      </c>
    </row>
    <row r="43" spans="2:19">
      <c r="B43" s="746" t="s">
        <v>190</v>
      </c>
      <c r="C43" s="9" t="s">
        <v>1009</v>
      </c>
      <c r="D43" s="730" t="s">
        <v>110</v>
      </c>
      <c r="E43" s="747">
        <v>-387562.17415906594</v>
      </c>
      <c r="F43" s="747">
        <v>215316.47099757491</v>
      </c>
      <c r="G43" s="747">
        <v>-297641.38316149154</v>
      </c>
      <c r="H43" s="694">
        <v>1.3823437741780742</v>
      </c>
      <c r="I43" s="749" t="s">
        <v>258</v>
      </c>
      <c r="J43" s="750">
        <v>-297641.38316149154</v>
      </c>
      <c r="K43" s="735">
        <v>0</v>
      </c>
      <c r="L43" s="735" t="s">
        <v>103</v>
      </c>
      <c r="M43" s="750">
        <v>0</v>
      </c>
      <c r="N43" s="750" t="s">
        <v>103</v>
      </c>
      <c r="O43" s="736">
        <v>0</v>
      </c>
      <c r="P43" s="754">
        <v>0</v>
      </c>
      <c r="Q43" s="752">
        <v>0</v>
      </c>
      <c r="R43" s="9" t="s">
        <v>103</v>
      </c>
      <c r="S43" s="9" t="s">
        <v>103</v>
      </c>
    </row>
    <row r="44" spans="2:19">
      <c r="B44" s="746" t="s">
        <v>201</v>
      </c>
      <c r="C44" s="9" t="s">
        <v>1009</v>
      </c>
      <c r="D44" s="730" t="s">
        <v>110</v>
      </c>
      <c r="E44" s="747">
        <v>-314733.4356144084</v>
      </c>
      <c r="F44" s="747">
        <v>62955.76431599119</v>
      </c>
      <c r="G44" s="747">
        <v>-251777.67129842029</v>
      </c>
      <c r="H44" s="694">
        <v>3.9992790816530053</v>
      </c>
      <c r="I44" s="749" t="s">
        <v>258</v>
      </c>
      <c r="J44" s="750">
        <v>-251777.67129842029</v>
      </c>
      <c r="K44" s="735">
        <v>0</v>
      </c>
      <c r="L44" s="735" t="s">
        <v>103</v>
      </c>
      <c r="M44" s="750">
        <v>0</v>
      </c>
      <c r="N44" s="750" t="s">
        <v>103</v>
      </c>
      <c r="O44" s="736">
        <v>0</v>
      </c>
      <c r="P44" s="754">
        <v>0</v>
      </c>
      <c r="Q44" s="752">
        <v>0</v>
      </c>
      <c r="R44" s="9" t="s">
        <v>103</v>
      </c>
      <c r="S44" s="9" t="s">
        <v>103</v>
      </c>
    </row>
    <row r="45" spans="2:19">
      <c r="B45" s="746" t="s">
        <v>206</v>
      </c>
      <c r="C45" s="9" t="s">
        <v>1009</v>
      </c>
      <c r="D45" s="730" t="s">
        <v>110</v>
      </c>
      <c r="E45" s="747">
        <v>520490.86804119195</v>
      </c>
      <c r="F45" s="747">
        <v>84741.334431840194</v>
      </c>
      <c r="G45" s="747">
        <v>605232.2024730324</v>
      </c>
      <c r="H45" s="748">
        <v>0</v>
      </c>
      <c r="I45" s="749" t="s">
        <v>258</v>
      </c>
      <c r="J45" s="750">
        <v>605232.2024730324</v>
      </c>
      <c r="K45" s="735">
        <v>0</v>
      </c>
      <c r="L45" s="735" t="s">
        <v>103</v>
      </c>
      <c r="M45" s="750">
        <v>0</v>
      </c>
      <c r="N45" s="750" t="s">
        <v>103</v>
      </c>
      <c r="O45" s="736">
        <v>0</v>
      </c>
      <c r="P45" s="754">
        <v>0</v>
      </c>
      <c r="Q45" s="752">
        <v>0</v>
      </c>
      <c r="R45" s="9" t="s">
        <v>103</v>
      </c>
      <c r="S45" s="9" t="s">
        <v>103</v>
      </c>
    </row>
    <row r="46" spans="2:19">
      <c r="B46" s="746" t="s">
        <v>207</v>
      </c>
      <c r="C46" s="9" t="s">
        <v>1009</v>
      </c>
      <c r="D46" s="730" t="s">
        <v>110</v>
      </c>
      <c r="E46" s="747">
        <v>1186943.8173437633</v>
      </c>
      <c r="F46" s="747">
        <v>52934.311781644123</v>
      </c>
      <c r="G46" s="747">
        <v>1239878.1291254074</v>
      </c>
      <c r="H46" s="748">
        <v>0</v>
      </c>
      <c r="I46" s="749" t="s">
        <v>258</v>
      </c>
      <c r="J46" s="750">
        <v>1239878.1291254074</v>
      </c>
      <c r="K46" s="735">
        <v>0</v>
      </c>
      <c r="L46" s="735" t="s">
        <v>103</v>
      </c>
      <c r="M46" s="750">
        <v>0</v>
      </c>
      <c r="N46" s="750" t="s">
        <v>103</v>
      </c>
      <c r="O46" s="736">
        <v>0</v>
      </c>
      <c r="P46" s="754">
        <v>0</v>
      </c>
      <c r="Q46" s="752">
        <v>0</v>
      </c>
      <c r="R46" s="9" t="s">
        <v>103</v>
      </c>
      <c r="S46" s="9" t="s">
        <v>103</v>
      </c>
    </row>
    <row r="47" spans="2:19">
      <c r="B47" s="746" t="s">
        <v>208</v>
      </c>
      <c r="C47" s="9" t="s">
        <v>1009</v>
      </c>
      <c r="D47" s="730" t="s">
        <v>110</v>
      </c>
      <c r="E47" s="747">
        <v>5193975.5377463596</v>
      </c>
      <c r="F47" s="747">
        <v>254660.87243130789</v>
      </c>
      <c r="G47" s="747">
        <v>5448636.4101776676</v>
      </c>
      <c r="H47" s="748">
        <v>0</v>
      </c>
      <c r="I47" s="749" t="s">
        <v>258</v>
      </c>
      <c r="J47" s="750">
        <v>5448636.4101776676</v>
      </c>
      <c r="K47" s="735">
        <v>0</v>
      </c>
      <c r="L47" s="735" t="s">
        <v>103</v>
      </c>
      <c r="M47" s="750">
        <v>0</v>
      </c>
      <c r="N47" s="750" t="s">
        <v>103</v>
      </c>
      <c r="O47" s="736">
        <v>0</v>
      </c>
      <c r="P47" s="754">
        <v>0</v>
      </c>
      <c r="Q47" s="752">
        <v>0</v>
      </c>
      <c r="R47" s="9" t="s">
        <v>103</v>
      </c>
      <c r="S47" s="9" t="s">
        <v>103</v>
      </c>
    </row>
    <row r="48" spans="2:19">
      <c r="B48" s="746" t="s">
        <v>211</v>
      </c>
      <c r="C48" s="9" t="s">
        <v>1009</v>
      </c>
      <c r="D48" s="730" t="s">
        <v>110</v>
      </c>
      <c r="E48" s="747">
        <v>4900888.4203741895</v>
      </c>
      <c r="F48" s="747">
        <v>152838.16324486965</v>
      </c>
      <c r="G48" s="747">
        <v>1953726.5836190591</v>
      </c>
      <c r="H48" s="748">
        <v>0</v>
      </c>
      <c r="I48" s="749" t="s">
        <v>258</v>
      </c>
      <c r="J48" s="750">
        <v>1953726.5836190591</v>
      </c>
      <c r="K48" s="735">
        <v>0</v>
      </c>
      <c r="L48" s="735" t="s">
        <v>103</v>
      </c>
      <c r="M48" s="750">
        <v>0</v>
      </c>
      <c r="N48" s="750" t="s">
        <v>103</v>
      </c>
      <c r="O48" s="736">
        <v>0</v>
      </c>
      <c r="P48" s="754">
        <v>0</v>
      </c>
      <c r="Q48" s="752">
        <v>0</v>
      </c>
      <c r="R48" s="9" t="s">
        <v>103</v>
      </c>
      <c r="S48" s="9" t="s">
        <v>103</v>
      </c>
    </row>
    <row r="49" spans="2:19">
      <c r="B49" s="746" t="s">
        <v>212</v>
      </c>
      <c r="C49" s="9" t="s">
        <v>1009</v>
      </c>
      <c r="D49" s="730" t="s">
        <v>110</v>
      </c>
      <c r="E49" s="747">
        <v>71105.391746908484</v>
      </c>
      <c r="F49" s="747">
        <v>54128.250538202235</v>
      </c>
      <c r="G49" s="747">
        <v>125233.64228511089</v>
      </c>
      <c r="H49" s="748">
        <v>0</v>
      </c>
      <c r="I49" s="749" t="s">
        <v>258</v>
      </c>
      <c r="J49" s="750">
        <v>125233.64228511089</v>
      </c>
      <c r="K49" s="735">
        <v>0</v>
      </c>
      <c r="L49" s="735" t="s">
        <v>103</v>
      </c>
      <c r="M49" s="750">
        <v>0</v>
      </c>
      <c r="N49" s="750" t="s">
        <v>103</v>
      </c>
      <c r="O49" s="736">
        <v>0</v>
      </c>
      <c r="P49" s="754">
        <v>0</v>
      </c>
      <c r="Q49" s="752">
        <v>0</v>
      </c>
      <c r="R49" s="9" t="s">
        <v>103</v>
      </c>
      <c r="S49" s="9" t="s">
        <v>103</v>
      </c>
    </row>
    <row r="50" spans="2:19">
      <c r="B50" s="746" t="s">
        <v>218</v>
      </c>
      <c r="C50" s="9" t="s">
        <v>1009</v>
      </c>
      <c r="D50" s="730" t="s">
        <v>110</v>
      </c>
      <c r="E50" s="747">
        <v>742100.01521899144</v>
      </c>
      <c r="F50" s="747">
        <v>147087.42959655903</v>
      </c>
      <c r="G50" s="747">
        <v>889187.44481555081</v>
      </c>
      <c r="H50" s="748">
        <v>0</v>
      </c>
      <c r="I50" s="749" t="s">
        <v>258</v>
      </c>
      <c r="J50" s="750">
        <v>889187.44481555081</v>
      </c>
      <c r="K50" s="735">
        <v>0</v>
      </c>
      <c r="L50" s="735" t="s">
        <v>103</v>
      </c>
      <c r="M50" s="750">
        <v>0</v>
      </c>
      <c r="N50" s="750" t="s">
        <v>103</v>
      </c>
      <c r="O50" s="736">
        <v>0</v>
      </c>
      <c r="P50" s="754">
        <v>0</v>
      </c>
      <c r="Q50" s="752">
        <v>0</v>
      </c>
      <c r="R50" s="9" t="s">
        <v>103</v>
      </c>
      <c r="S50" s="9" t="s">
        <v>103</v>
      </c>
    </row>
    <row r="51" spans="2:19">
      <c r="B51" s="746" t="s">
        <v>226</v>
      </c>
      <c r="C51" s="9" t="s">
        <v>1009</v>
      </c>
      <c r="D51" s="730" t="s">
        <v>110</v>
      </c>
      <c r="E51" s="747">
        <v>1188450.6093730496</v>
      </c>
      <c r="F51" s="747">
        <v>79333.647487993425</v>
      </c>
      <c r="G51" s="747">
        <v>1267784.2568610427</v>
      </c>
      <c r="H51" s="748">
        <v>0</v>
      </c>
      <c r="I51" s="749" t="s">
        <v>258</v>
      </c>
      <c r="J51" s="750">
        <v>1267784.2568610427</v>
      </c>
      <c r="K51" s="735">
        <v>0</v>
      </c>
      <c r="L51" s="735" t="s">
        <v>103</v>
      </c>
      <c r="M51" s="750">
        <v>0</v>
      </c>
      <c r="N51" s="750" t="s">
        <v>103</v>
      </c>
      <c r="O51" s="736">
        <v>0</v>
      </c>
      <c r="P51" s="754">
        <v>0</v>
      </c>
      <c r="Q51" s="752">
        <v>0</v>
      </c>
      <c r="R51" s="9" t="s">
        <v>103</v>
      </c>
      <c r="S51" s="9" t="s">
        <v>103</v>
      </c>
    </row>
    <row r="52" spans="2:19">
      <c r="B52" s="746" t="s">
        <v>227</v>
      </c>
      <c r="C52" s="9" t="s">
        <v>1009</v>
      </c>
      <c r="D52" s="730" t="s">
        <v>110</v>
      </c>
      <c r="E52" s="747">
        <v>1369165.1430405709</v>
      </c>
      <c r="F52" s="747">
        <v>368577.05849839037</v>
      </c>
      <c r="G52" s="747">
        <v>1747248.2315389612</v>
      </c>
      <c r="H52" s="748">
        <v>0</v>
      </c>
      <c r="I52" s="749" t="s">
        <v>258</v>
      </c>
      <c r="J52" s="750">
        <v>1747248.2315389612</v>
      </c>
      <c r="K52" s="735">
        <v>0</v>
      </c>
      <c r="L52" s="735" t="s">
        <v>103</v>
      </c>
      <c r="M52" s="750">
        <v>0</v>
      </c>
      <c r="N52" s="750" t="s">
        <v>103</v>
      </c>
      <c r="O52" s="736">
        <v>0</v>
      </c>
      <c r="P52" s="754">
        <v>0</v>
      </c>
      <c r="Q52" s="752">
        <v>0</v>
      </c>
      <c r="R52" s="9" t="s">
        <v>103</v>
      </c>
      <c r="S52" s="9" t="s">
        <v>103</v>
      </c>
    </row>
    <row r="53" spans="2:19">
      <c r="B53" s="746" t="s">
        <v>235</v>
      </c>
      <c r="C53" s="9" t="s">
        <v>1009</v>
      </c>
      <c r="D53" s="730" t="s">
        <v>110</v>
      </c>
      <c r="E53" s="747">
        <v>-176863.13978971046</v>
      </c>
      <c r="F53" s="747">
        <v>46398.384563967702</v>
      </c>
      <c r="G53" s="747">
        <v>-130464.75522574259</v>
      </c>
      <c r="H53" s="694">
        <v>2.8118383097126096</v>
      </c>
      <c r="I53" s="749" t="s">
        <v>258</v>
      </c>
      <c r="J53" s="750">
        <v>-130464.75522574259</v>
      </c>
      <c r="K53" s="735">
        <v>0</v>
      </c>
      <c r="L53" s="735" t="s">
        <v>103</v>
      </c>
      <c r="M53" s="750">
        <v>0</v>
      </c>
      <c r="N53" s="750" t="s">
        <v>103</v>
      </c>
      <c r="O53" s="736">
        <v>0</v>
      </c>
      <c r="P53" s="754">
        <v>0</v>
      </c>
      <c r="Q53" s="752">
        <v>0</v>
      </c>
      <c r="R53" s="9" t="s">
        <v>103</v>
      </c>
      <c r="S53" s="9" t="s">
        <v>103</v>
      </c>
    </row>
    <row r="54" spans="2:19">
      <c r="B54" s="746" t="s">
        <v>236</v>
      </c>
      <c r="C54" s="9" t="s">
        <v>1009</v>
      </c>
      <c r="D54" s="730" t="s">
        <v>110</v>
      </c>
      <c r="E54" s="747">
        <v>2027213.1896438699</v>
      </c>
      <c r="F54" s="747">
        <v>284411.82655868214</v>
      </c>
      <c r="G54" s="747">
        <v>2311625.0162025513</v>
      </c>
      <c r="H54" s="748">
        <v>0</v>
      </c>
      <c r="I54" s="749" t="s">
        <v>258</v>
      </c>
      <c r="J54" s="750">
        <v>2311625.0162025513</v>
      </c>
      <c r="K54" s="735">
        <v>0</v>
      </c>
      <c r="L54" s="735" t="s">
        <v>103</v>
      </c>
      <c r="M54" s="750">
        <v>0</v>
      </c>
      <c r="N54" s="750" t="s">
        <v>103</v>
      </c>
      <c r="O54" s="736">
        <v>0</v>
      </c>
      <c r="P54" s="754">
        <v>0</v>
      </c>
      <c r="Q54" s="752">
        <v>0</v>
      </c>
      <c r="R54" s="9" t="s">
        <v>103</v>
      </c>
      <c r="S54" s="9" t="s">
        <v>103</v>
      </c>
    </row>
    <row r="55" spans="2:19">
      <c r="B55" s="746" t="s">
        <v>237</v>
      </c>
      <c r="C55" s="9" t="s">
        <v>1009</v>
      </c>
      <c r="D55" s="730" t="s">
        <v>110</v>
      </c>
      <c r="E55" s="747">
        <v>822868.0572789571</v>
      </c>
      <c r="F55" s="747">
        <v>84506.961778303928</v>
      </c>
      <c r="G55" s="747">
        <v>907375.01905726118</v>
      </c>
      <c r="H55" s="748">
        <v>0</v>
      </c>
      <c r="I55" s="749" t="s">
        <v>258</v>
      </c>
      <c r="J55" s="750">
        <v>907375.01905726118</v>
      </c>
      <c r="K55" s="735">
        <v>0</v>
      </c>
      <c r="L55" s="735" t="s">
        <v>103</v>
      </c>
      <c r="M55" s="750">
        <v>0</v>
      </c>
      <c r="N55" s="750" t="s">
        <v>103</v>
      </c>
      <c r="O55" s="736">
        <v>0</v>
      </c>
      <c r="P55" s="754">
        <v>0</v>
      </c>
      <c r="Q55" s="752">
        <v>0</v>
      </c>
      <c r="R55" s="9" t="s">
        <v>103</v>
      </c>
      <c r="S55" s="9" t="s">
        <v>103</v>
      </c>
    </row>
    <row r="56" spans="2:19">
      <c r="B56" s="746" t="s">
        <v>238</v>
      </c>
      <c r="C56" s="9" t="s">
        <v>1009</v>
      </c>
      <c r="D56" s="730" t="s">
        <v>110</v>
      </c>
      <c r="E56" s="747">
        <v>-2853229.4539183155</v>
      </c>
      <c r="F56" s="747">
        <v>210148.00708535337</v>
      </c>
      <c r="G56" s="747">
        <v>-2170540.126832962</v>
      </c>
      <c r="H56" s="694">
        <v>10.328625795396571</v>
      </c>
      <c r="I56" s="749" t="s">
        <v>258</v>
      </c>
      <c r="J56" s="750">
        <v>-2170540.126832962</v>
      </c>
      <c r="K56" s="735">
        <v>0</v>
      </c>
      <c r="L56" s="735" t="s">
        <v>103</v>
      </c>
      <c r="M56" s="750">
        <v>0</v>
      </c>
      <c r="N56" s="750" t="s">
        <v>103</v>
      </c>
      <c r="O56" s="736">
        <v>0</v>
      </c>
      <c r="P56" s="754">
        <v>0</v>
      </c>
      <c r="Q56" s="752">
        <v>0</v>
      </c>
      <c r="R56" s="9" t="s">
        <v>103</v>
      </c>
      <c r="S56" s="9" t="s">
        <v>103</v>
      </c>
    </row>
    <row r="57" spans="2:19">
      <c r="B57" s="746" t="s">
        <v>247</v>
      </c>
      <c r="C57" s="9" t="s">
        <v>1009</v>
      </c>
      <c r="D57" s="730" t="s">
        <v>110</v>
      </c>
      <c r="E57" s="747">
        <v>56177.548534907328</v>
      </c>
      <c r="F57" s="747">
        <v>5035.5764206507647</v>
      </c>
      <c r="G57" s="747">
        <v>61213.124955558094</v>
      </c>
      <c r="H57" s="748">
        <v>0</v>
      </c>
      <c r="I57" s="749" t="s">
        <v>258</v>
      </c>
      <c r="J57" s="750">
        <v>61213.124955558094</v>
      </c>
      <c r="K57" s="735">
        <v>0</v>
      </c>
      <c r="L57" s="735" t="s">
        <v>103</v>
      </c>
      <c r="M57" s="750">
        <v>0</v>
      </c>
      <c r="N57" s="750" t="s">
        <v>103</v>
      </c>
      <c r="O57" s="736">
        <v>0</v>
      </c>
      <c r="P57" s="754">
        <v>0</v>
      </c>
      <c r="Q57" s="752">
        <v>0</v>
      </c>
      <c r="R57" s="9" t="s">
        <v>103</v>
      </c>
      <c r="S57" s="9" t="s">
        <v>103</v>
      </c>
    </row>
    <row r="58" spans="2:19">
      <c r="B58" s="746" t="s">
        <v>248</v>
      </c>
      <c r="C58" s="9" t="s">
        <v>1009</v>
      </c>
      <c r="D58" s="730" t="s">
        <v>110</v>
      </c>
      <c r="E58" s="747">
        <v>476279.00487615878</v>
      </c>
      <c r="F58" s="747">
        <v>143181.44613613657</v>
      </c>
      <c r="G58" s="747">
        <v>-380539.54898770456</v>
      </c>
      <c r="H58" s="694">
        <v>2.6577434385310545</v>
      </c>
      <c r="I58" s="749" t="s">
        <v>258</v>
      </c>
      <c r="J58" s="750">
        <v>-380539.54898770456</v>
      </c>
      <c r="K58" s="735">
        <v>0</v>
      </c>
      <c r="L58" s="735" t="s">
        <v>103</v>
      </c>
      <c r="M58" s="750">
        <v>0</v>
      </c>
      <c r="N58" s="750" t="s">
        <v>103</v>
      </c>
      <c r="O58" s="736">
        <v>0</v>
      </c>
      <c r="P58" s="754">
        <v>0</v>
      </c>
      <c r="Q58" s="752">
        <v>0</v>
      </c>
      <c r="R58" s="9" t="s">
        <v>103</v>
      </c>
      <c r="S58" s="9" t="s">
        <v>103</v>
      </c>
    </row>
    <row r="59" spans="2:19">
      <c r="B59" s="746" t="s">
        <v>259</v>
      </c>
      <c r="C59" s="9" t="s">
        <v>1009</v>
      </c>
      <c r="D59" s="730" t="s">
        <v>110</v>
      </c>
      <c r="E59" s="747">
        <v>791133.38670052926</v>
      </c>
      <c r="F59" s="747">
        <v>31088.636806031936</v>
      </c>
      <c r="G59" s="747">
        <v>822222.02350656129</v>
      </c>
      <c r="H59" s="748">
        <v>0</v>
      </c>
      <c r="I59" s="749" t="s">
        <v>258</v>
      </c>
      <c r="J59" s="750">
        <v>822222.02350656129</v>
      </c>
      <c r="K59" s="735">
        <v>0</v>
      </c>
      <c r="L59" s="735" t="s">
        <v>103</v>
      </c>
      <c r="M59" s="750">
        <v>0</v>
      </c>
      <c r="N59" s="750" t="s">
        <v>103</v>
      </c>
      <c r="O59" s="736">
        <v>0</v>
      </c>
      <c r="P59" s="754">
        <v>0</v>
      </c>
      <c r="Q59" s="752">
        <v>0</v>
      </c>
      <c r="R59" s="9" t="s">
        <v>103</v>
      </c>
      <c r="S59" s="9" t="s">
        <v>103</v>
      </c>
    </row>
    <row r="60" spans="2:19">
      <c r="B60" s="746" t="s">
        <v>260</v>
      </c>
      <c r="C60" s="9" t="s">
        <v>1009</v>
      </c>
      <c r="D60" s="730" t="s">
        <v>110</v>
      </c>
      <c r="E60" s="747">
        <v>262097.93125336431</v>
      </c>
      <c r="F60" s="747">
        <v>246830.83937454046</v>
      </c>
      <c r="G60" s="747">
        <v>508928.7706279048</v>
      </c>
      <c r="H60" s="748">
        <v>0</v>
      </c>
      <c r="I60" s="749" t="s">
        <v>258</v>
      </c>
      <c r="J60" s="750">
        <v>508928.7706279048</v>
      </c>
      <c r="K60" s="735">
        <v>0</v>
      </c>
      <c r="L60" s="735" t="s">
        <v>103</v>
      </c>
      <c r="M60" s="750">
        <v>0</v>
      </c>
      <c r="N60" s="750" t="s">
        <v>103</v>
      </c>
      <c r="O60" s="736">
        <v>0</v>
      </c>
      <c r="P60" s="754">
        <v>0</v>
      </c>
      <c r="Q60" s="752">
        <v>0</v>
      </c>
      <c r="R60" s="9" t="s">
        <v>103</v>
      </c>
      <c r="S60" s="9" t="s">
        <v>103</v>
      </c>
    </row>
    <row r="61" spans="2:19">
      <c r="B61" s="746" t="s">
        <v>264</v>
      </c>
      <c r="C61" s="9" t="s">
        <v>1009</v>
      </c>
      <c r="D61" s="730" t="s">
        <v>110</v>
      </c>
      <c r="E61" s="747">
        <v>121513.1832450147</v>
      </c>
      <c r="F61" s="747">
        <v>101115.47903325618</v>
      </c>
      <c r="G61" s="747">
        <v>222628.66227827058</v>
      </c>
      <c r="H61" s="748">
        <v>0</v>
      </c>
      <c r="I61" s="749" t="s">
        <v>258</v>
      </c>
      <c r="J61" s="750">
        <v>222628.66227827058</v>
      </c>
      <c r="K61" s="735">
        <v>0</v>
      </c>
      <c r="L61" s="735" t="s">
        <v>103</v>
      </c>
      <c r="M61" s="750">
        <v>0</v>
      </c>
      <c r="N61" s="750" t="s">
        <v>103</v>
      </c>
      <c r="O61" s="736">
        <v>0</v>
      </c>
      <c r="P61" s="754">
        <v>0</v>
      </c>
      <c r="Q61" s="752">
        <v>0</v>
      </c>
      <c r="R61" s="9" t="s">
        <v>103</v>
      </c>
      <c r="S61" s="9" t="s">
        <v>103</v>
      </c>
    </row>
    <row r="62" spans="2:19">
      <c r="B62" s="746" t="s">
        <v>265</v>
      </c>
      <c r="C62" s="9" t="s">
        <v>1009</v>
      </c>
      <c r="D62" s="730" t="s">
        <v>110</v>
      </c>
      <c r="E62" s="747">
        <v>1061.7887743771034</v>
      </c>
      <c r="F62" s="747">
        <v>4978.4412128287959</v>
      </c>
      <c r="G62" s="747">
        <v>6040.2299872059093</v>
      </c>
      <c r="H62" s="748">
        <v>0</v>
      </c>
      <c r="I62" s="749" t="s">
        <v>258</v>
      </c>
      <c r="J62" s="750">
        <v>6040.2299872059093</v>
      </c>
      <c r="K62" s="735">
        <v>0</v>
      </c>
      <c r="L62" s="735" t="s">
        <v>103</v>
      </c>
      <c r="M62" s="750">
        <v>0</v>
      </c>
      <c r="N62" s="750" t="s">
        <v>103</v>
      </c>
      <c r="O62" s="736">
        <v>0</v>
      </c>
      <c r="P62" s="754">
        <v>0</v>
      </c>
      <c r="Q62" s="752">
        <v>0</v>
      </c>
      <c r="R62" s="9" t="s">
        <v>103</v>
      </c>
      <c r="S62" s="9" t="s">
        <v>103</v>
      </c>
    </row>
    <row r="63" spans="2:19">
      <c r="B63" s="746" t="s">
        <v>266</v>
      </c>
      <c r="C63" s="9" t="s">
        <v>1009</v>
      </c>
      <c r="D63" s="730" t="s">
        <v>110</v>
      </c>
      <c r="E63" s="747">
        <v>2286482.197589519</v>
      </c>
      <c r="F63" s="747">
        <v>159237.87869063273</v>
      </c>
      <c r="G63" s="747">
        <v>2445720.076280151</v>
      </c>
      <c r="H63" s="748">
        <v>0</v>
      </c>
      <c r="I63" s="749" t="s">
        <v>258</v>
      </c>
      <c r="J63" s="750">
        <v>2445720.076280151</v>
      </c>
      <c r="K63" s="735">
        <v>0</v>
      </c>
      <c r="L63" s="735" t="s">
        <v>103</v>
      </c>
      <c r="M63" s="750">
        <v>0</v>
      </c>
      <c r="N63" s="750" t="s">
        <v>103</v>
      </c>
      <c r="O63" s="736">
        <v>0</v>
      </c>
      <c r="P63" s="754">
        <v>0</v>
      </c>
      <c r="Q63" s="752">
        <v>0</v>
      </c>
      <c r="R63" s="9" t="s">
        <v>103</v>
      </c>
      <c r="S63" s="9" t="s">
        <v>103</v>
      </c>
    </row>
    <row r="64" spans="2:19">
      <c r="B64" s="746" t="s">
        <v>271</v>
      </c>
      <c r="C64" s="9" t="s">
        <v>1009</v>
      </c>
      <c r="D64" s="730" t="s">
        <v>110</v>
      </c>
      <c r="E64" s="747">
        <v>403398.38445595425</v>
      </c>
      <c r="F64" s="747">
        <v>14076.845219007861</v>
      </c>
      <c r="G64" s="747">
        <v>417475.22967496212</v>
      </c>
      <c r="H64" s="748">
        <v>0</v>
      </c>
      <c r="I64" s="749" t="s">
        <v>258</v>
      </c>
      <c r="J64" s="750">
        <v>417475.22967496212</v>
      </c>
      <c r="K64" s="735">
        <v>0</v>
      </c>
      <c r="L64" s="735" t="s">
        <v>103</v>
      </c>
      <c r="M64" s="750">
        <v>0</v>
      </c>
      <c r="N64" s="750" t="s">
        <v>103</v>
      </c>
      <c r="O64" s="736">
        <v>0</v>
      </c>
      <c r="P64" s="754">
        <v>0</v>
      </c>
      <c r="Q64" s="752">
        <v>0</v>
      </c>
      <c r="R64" s="9" t="s">
        <v>103</v>
      </c>
      <c r="S64" s="9" t="s">
        <v>103</v>
      </c>
    </row>
    <row r="65" spans="2:19">
      <c r="B65" s="746" t="s">
        <v>272</v>
      </c>
      <c r="C65" s="9" t="s">
        <v>1009</v>
      </c>
      <c r="D65" s="730" t="s">
        <v>110</v>
      </c>
      <c r="E65" s="747">
        <v>-6269.8141217178199</v>
      </c>
      <c r="F65" s="747">
        <v>420974.35618405801</v>
      </c>
      <c r="G65" s="747">
        <v>414704.54206233856</v>
      </c>
      <c r="H65" s="748">
        <v>0</v>
      </c>
      <c r="I65" s="749" t="s">
        <v>258</v>
      </c>
      <c r="J65" s="750">
        <v>414704.54206233856</v>
      </c>
      <c r="K65" s="735">
        <v>0</v>
      </c>
      <c r="L65" s="735" t="s">
        <v>103</v>
      </c>
      <c r="M65" s="750">
        <v>0</v>
      </c>
      <c r="N65" s="750" t="s">
        <v>103</v>
      </c>
      <c r="O65" s="736">
        <v>0</v>
      </c>
      <c r="P65" s="754">
        <v>0</v>
      </c>
      <c r="Q65" s="752">
        <v>0</v>
      </c>
      <c r="R65" s="9" t="s">
        <v>103</v>
      </c>
      <c r="S65" s="9" t="s">
        <v>103</v>
      </c>
    </row>
    <row r="66" spans="2:19">
      <c r="B66" s="746" t="s">
        <v>276</v>
      </c>
      <c r="C66" s="9" t="s">
        <v>1009</v>
      </c>
      <c r="D66" s="730" t="s">
        <v>110</v>
      </c>
      <c r="E66" s="747">
        <v>-142012.82529199621</v>
      </c>
      <c r="F66" s="747">
        <v>9757.6085081333422</v>
      </c>
      <c r="G66" s="747">
        <v>-132255.21678386291</v>
      </c>
      <c r="H66" s="694">
        <v>13.554060574742582</v>
      </c>
      <c r="I66" s="749" t="s">
        <v>258</v>
      </c>
      <c r="J66" s="750">
        <v>-132255.21678386291</v>
      </c>
      <c r="K66" s="735">
        <v>0</v>
      </c>
      <c r="L66" s="735" t="s">
        <v>103</v>
      </c>
      <c r="M66" s="750">
        <v>0</v>
      </c>
      <c r="N66" s="750" t="s">
        <v>103</v>
      </c>
      <c r="O66" s="736">
        <v>0</v>
      </c>
      <c r="P66" s="754">
        <v>0</v>
      </c>
      <c r="Q66" s="752">
        <v>0</v>
      </c>
      <c r="R66" s="9" t="s">
        <v>103</v>
      </c>
      <c r="S66" s="9" t="s">
        <v>103</v>
      </c>
    </row>
    <row r="67" spans="2:19">
      <c r="B67" s="746" t="s">
        <v>277</v>
      </c>
      <c r="C67" s="9" t="s">
        <v>1009</v>
      </c>
      <c r="D67" s="730" t="s">
        <v>110</v>
      </c>
      <c r="E67" s="747">
        <v>-3756222.3556250785</v>
      </c>
      <c r="F67" s="747">
        <v>73212.896691522998</v>
      </c>
      <c r="G67" s="747">
        <v>-3683009.4589335551</v>
      </c>
      <c r="H67" s="694">
        <v>50.305473835458756</v>
      </c>
      <c r="I67" s="749" t="s">
        <v>258</v>
      </c>
      <c r="J67" s="750">
        <v>-3683009.4589335551</v>
      </c>
      <c r="K67" s="735">
        <v>0</v>
      </c>
      <c r="L67" s="735" t="s">
        <v>103</v>
      </c>
      <c r="M67" s="750">
        <v>0</v>
      </c>
      <c r="N67" s="750" t="s">
        <v>103</v>
      </c>
      <c r="O67" s="736">
        <v>0</v>
      </c>
      <c r="P67" s="754">
        <v>0</v>
      </c>
      <c r="Q67" s="752">
        <v>0</v>
      </c>
      <c r="R67" s="9" t="s">
        <v>103</v>
      </c>
      <c r="S67" s="9" t="s">
        <v>103</v>
      </c>
    </row>
    <row r="68" spans="2:19">
      <c r="B68" s="746" t="s">
        <v>278</v>
      </c>
      <c r="C68" s="9" t="s">
        <v>1009</v>
      </c>
      <c r="D68" s="730" t="s">
        <v>110</v>
      </c>
      <c r="E68" s="747">
        <v>143028.19912674103</v>
      </c>
      <c r="F68" s="747">
        <v>17534.265813394377</v>
      </c>
      <c r="G68" s="747">
        <v>160635.1849401354</v>
      </c>
      <c r="H68" s="748">
        <v>0</v>
      </c>
      <c r="I68" s="749" t="s">
        <v>258</v>
      </c>
      <c r="J68" s="750">
        <v>160635.1849401354</v>
      </c>
      <c r="K68" s="735">
        <v>0</v>
      </c>
      <c r="L68" s="735" t="s">
        <v>103</v>
      </c>
      <c r="M68" s="750">
        <v>0</v>
      </c>
      <c r="N68" s="750" t="s">
        <v>103</v>
      </c>
      <c r="O68" s="736">
        <v>0</v>
      </c>
      <c r="P68" s="754">
        <v>0</v>
      </c>
      <c r="Q68" s="752">
        <v>0</v>
      </c>
      <c r="R68" s="9" t="s">
        <v>103</v>
      </c>
      <c r="S68" s="9" t="s">
        <v>103</v>
      </c>
    </row>
    <row r="69" spans="2:19">
      <c r="B69" s="746" t="s">
        <v>284</v>
      </c>
      <c r="C69" s="9" t="s">
        <v>1009</v>
      </c>
      <c r="D69" s="730" t="s">
        <v>110</v>
      </c>
      <c r="E69" s="747">
        <v>1190089.2340980223</v>
      </c>
      <c r="F69" s="747">
        <v>121233.68688928529</v>
      </c>
      <c r="G69" s="747">
        <v>1311322.920987308</v>
      </c>
      <c r="H69" s="748">
        <v>0</v>
      </c>
      <c r="I69" s="749" t="s">
        <v>258</v>
      </c>
      <c r="J69" s="750">
        <v>1311322.920987308</v>
      </c>
      <c r="K69" s="735">
        <v>0</v>
      </c>
      <c r="L69" s="735" t="s">
        <v>103</v>
      </c>
      <c r="M69" s="750">
        <v>0</v>
      </c>
      <c r="N69" s="750" t="s">
        <v>103</v>
      </c>
      <c r="O69" s="736">
        <v>0</v>
      </c>
      <c r="P69" s="754">
        <v>0</v>
      </c>
      <c r="Q69" s="752">
        <v>0</v>
      </c>
      <c r="R69" s="9" t="s">
        <v>103</v>
      </c>
      <c r="S69" s="9" t="s">
        <v>103</v>
      </c>
    </row>
    <row r="70" spans="2:19">
      <c r="B70" s="746" t="s">
        <v>285</v>
      </c>
      <c r="C70" s="9" t="s">
        <v>1009</v>
      </c>
      <c r="D70" s="730" t="s">
        <v>110</v>
      </c>
      <c r="E70" s="747">
        <v>2710397.2478427892</v>
      </c>
      <c r="F70" s="747">
        <v>90291.808150754136</v>
      </c>
      <c r="G70" s="747">
        <v>-199310.94400645717</v>
      </c>
      <c r="H70" s="694">
        <v>2.2074089343042189</v>
      </c>
      <c r="I70" s="749" t="s">
        <v>258</v>
      </c>
      <c r="J70" s="750">
        <v>-199310.94400645717</v>
      </c>
      <c r="K70" s="735">
        <v>0</v>
      </c>
      <c r="L70" s="735" t="s">
        <v>103</v>
      </c>
      <c r="M70" s="750">
        <v>0</v>
      </c>
      <c r="N70" s="750" t="s">
        <v>103</v>
      </c>
      <c r="O70" s="736">
        <v>0</v>
      </c>
      <c r="P70" s="754">
        <v>0</v>
      </c>
      <c r="Q70" s="752">
        <v>0</v>
      </c>
      <c r="R70" s="9" t="s">
        <v>103</v>
      </c>
      <c r="S70" s="9" t="s">
        <v>103</v>
      </c>
    </row>
    <row r="71" spans="2:19">
      <c r="B71" s="746" t="s">
        <v>289</v>
      </c>
      <c r="C71" s="9" t="s">
        <v>1009</v>
      </c>
      <c r="D71" s="9" t="s">
        <v>104</v>
      </c>
      <c r="E71" s="747">
        <v>712016.82383756607</v>
      </c>
      <c r="F71" s="747">
        <v>54461.240537464866</v>
      </c>
      <c r="G71" s="747">
        <v>3866478.0643750308</v>
      </c>
      <c r="H71" s="748">
        <v>0</v>
      </c>
      <c r="I71" s="749" t="s">
        <v>258</v>
      </c>
      <c r="J71" s="750">
        <v>3866478.0643750308</v>
      </c>
      <c r="K71" s="735">
        <v>0</v>
      </c>
      <c r="L71" s="735" t="s">
        <v>103</v>
      </c>
      <c r="M71" s="750">
        <v>0</v>
      </c>
      <c r="N71" s="750" t="s">
        <v>103</v>
      </c>
      <c r="O71" s="752">
        <v>0</v>
      </c>
      <c r="P71" s="751">
        <v>0</v>
      </c>
      <c r="Q71" s="752">
        <v>0</v>
      </c>
      <c r="R71" s="9" t="s">
        <v>103</v>
      </c>
      <c r="S71" s="9" t="s">
        <v>103</v>
      </c>
    </row>
    <row r="72" spans="2:19">
      <c r="B72" s="746" t="s">
        <v>295</v>
      </c>
      <c r="C72" s="9" t="s">
        <v>1009</v>
      </c>
      <c r="D72" s="730" t="s">
        <v>110</v>
      </c>
      <c r="E72" s="747">
        <v>3535690.0923229065</v>
      </c>
      <c r="F72" s="747">
        <v>268319.79021125659</v>
      </c>
      <c r="G72" s="747">
        <v>3804009.8825341631</v>
      </c>
      <c r="H72" s="748">
        <v>0</v>
      </c>
      <c r="I72" s="749" t="s">
        <v>258</v>
      </c>
      <c r="J72" s="750">
        <v>3804009.8825341631</v>
      </c>
      <c r="K72" s="735">
        <v>0</v>
      </c>
      <c r="L72" s="735" t="s">
        <v>103</v>
      </c>
      <c r="M72" s="750">
        <v>0</v>
      </c>
      <c r="N72" s="750" t="s">
        <v>103</v>
      </c>
      <c r="O72" s="736">
        <v>0</v>
      </c>
      <c r="P72" s="754">
        <v>0</v>
      </c>
      <c r="Q72" s="752">
        <v>0</v>
      </c>
      <c r="R72" s="9" t="s">
        <v>103</v>
      </c>
      <c r="S72" s="9" t="s">
        <v>103</v>
      </c>
    </row>
    <row r="73" spans="2:19">
      <c r="B73" s="746" t="s">
        <v>303</v>
      </c>
      <c r="C73" s="9" t="s">
        <v>1009</v>
      </c>
      <c r="D73" s="730" t="s">
        <v>110</v>
      </c>
      <c r="E73" s="747">
        <v>2902246.2702101665</v>
      </c>
      <c r="F73" s="747">
        <v>183413.72768430298</v>
      </c>
      <c r="G73" s="747">
        <v>3085659.9978944696</v>
      </c>
      <c r="H73" s="748">
        <v>0</v>
      </c>
      <c r="I73" s="749" t="s">
        <v>258</v>
      </c>
      <c r="J73" s="750">
        <v>3085659.9978944696</v>
      </c>
      <c r="K73" s="735">
        <v>0</v>
      </c>
      <c r="L73" s="735" t="s">
        <v>103</v>
      </c>
      <c r="M73" s="750">
        <v>0</v>
      </c>
      <c r="N73" s="750" t="s">
        <v>103</v>
      </c>
      <c r="O73" s="736">
        <v>0</v>
      </c>
      <c r="P73" s="754">
        <v>0</v>
      </c>
      <c r="Q73" s="752">
        <v>0</v>
      </c>
      <c r="R73" s="9" t="s">
        <v>103</v>
      </c>
      <c r="S73" s="9" t="s">
        <v>103</v>
      </c>
    </row>
    <row r="74" spans="2:19">
      <c r="B74" s="746" t="s">
        <v>309</v>
      </c>
      <c r="C74" s="9" t="s">
        <v>1009</v>
      </c>
      <c r="D74" s="730" t="s">
        <v>110</v>
      </c>
      <c r="E74" s="747">
        <v>-908169.2050281479</v>
      </c>
      <c r="F74" s="747">
        <v>100695.80807147913</v>
      </c>
      <c r="G74" s="747">
        <v>-807473.39695666928</v>
      </c>
      <c r="H74" s="694">
        <v>8.0189375548134301</v>
      </c>
      <c r="I74" s="749" t="s">
        <v>258</v>
      </c>
      <c r="J74" s="750">
        <v>-807473.39695666928</v>
      </c>
      <c r="K74" s="735">
        <v>0</v>
      </c>
      <c r="L74" s="735" t="s">
        <v>103</v>
      </c>
      <c r="M74" s="750">
        <v>0</v>
      </c>
      <c r="N74" s="750" t="s">
        <v>103</v>
      </c>
      <c r="O74" s="736">
        <v>0</v>
      </c>
      <c r="P74" s="754">
        <v>0</v>
      </c>
      <c r="Q74" s="752">
        <v>0</v>
      </c>
      <c r="R74" s="9" t="s">
        <v>103</v>
      </c>
      <c r="S74" s="9" t="s">
        <v>103</v>
      </c>
    </row>
    <row r="75" spans="2:19">
      <c r="B75" s="746" t="s">
        <v>313</v>
      </c>
      <c r="C75" s="9" t="s">
        <v>1009</v>
      </c>
      <c r="D75" s="730" t="s">
        <v>110</v>
      </c>
      <c r="E75" s="747">
        <v>-219641.2176470657</v>
      </c>
      <c r="F75" s="747">
        <v>77146.574599606538</v>
      </c>
      <c r="G75" s="747">
        <v>-142494.6430474598</v>
      </c>
      <c r="H75" s="694">
        <v>1.8470637716193112</v>
      </c>
      <c r="I75" s="749" t="s">
        <v>258</v>
      </c>
      <c r="J75" s="750">
        <v>-142494.6430474598</v>
      </c>
      <c r="K75" s="735">
        <v>0</v>
      </c>
      <c r="L75" s="735" t="s">
        <v>103</v>
      </c>
      <c r="M75" s="750">
        <v>0</v>
      </c>
      <c r="N75" s="750" t="s">
        <v>103</v>
      </c>
      <c r="O75" s="736">
        <v>0</v>
      </c>
      <c r="P75" s="754">
        <v>0</v>
      </c>
      <c r="Q75" s="752">
        <v>0</v>
      </c>
      <c r="R75" s="9" t="s">
        <v>103</v>
      </c>
      <c r="S75" s="9" t="s">
        <v>103</v>
      </c>
    </row>
    <row r="76" spans="2:19">
      <c r="B76" s="746" t="s">
        <v>314</v>
      </c>
      <c r="C76" s="9" t="s">
        <v>1009</v>
      </c>
      <c r="D76" s="730" t="s">
        <v>110</v>
      </c>
      <c r="E76" s="747">
        <v>11027895.563312357</v>
      </c>
      <c r="F76" s="747">
        <v>1597479.4036922881</v>
      </c>
      <c r="G76" s="747">
        <v>15303931.197004665</v>
      </c>
      <c r="H76" s="748">
        <v>0</v>
      </c>
      <c r="I76" s="749" t="s">
        <v>258</v>
      </c>
      <c r="J76" s="750">
        <v>15303931.197004665</v>
      </c>
      <c r="K76" s="735">
        <v>0</v>
      </c>
      <c r="L76" s="735" t="s">
        <v>103</v>
      </c>
      <c r="M76" s="750">
        <v>0</v>
      </c>
      <c r="N76" s="750" t="s">
        <v>103</v>
      </c>
      <c r="O76" s="736">
        <v>0</v>
      </c>
      <c r="P76" s="754">
        <v>0</v>
      </c>
      <c r="Q76" s="752">
        <v>0</v>
      </c>
      <c r="R76" s="9" t="s">
        <v>103</v>
      </c>
      <c r="S76" s="9" t="s">
        <v>103</v>
      </c>
    </row>
    <row r="77" spans="2:19">
      <c r="B77" s="746" t="s">
        <v>324</v>
      </c>
      <c r="C77" s="9" t="s">
        <v>1009</v>
      </c>
      <c r="D77" s="730" t="s">
        <v>110</v>
      </c>
      <c r="E77" s="747">
        <v>65152.951284972827</v>
      </c>
      <c r="F77" s="747">
        <v>5170.8510261554857</v>
      </c>
      <c r="G77" s="747">
        <v>70323.802311128311</v>
      </c>
      <c r="H77" s="748">
        <v>0</v>
      </c>
      <c r="I77" s="749" t="s">
        <v>258</v>
      </c>
      <c r="J77" s="750">
        <v>70323.802311128311</v>
      </c>
      <c r="K77" s="735">
        <v>0</v>
      </c>
      <c r="L77" s="735" t="s">
        <v>103</v>
      </c>
      <c r="M77" s="750">
        <v>0</v>
      </c>
      <c r="N77" s="750" t="s">
        <v>103</v>
      </c>
      <c r="O77" s="736">
        <v>0</v>
      </c>
      <c r="P77" s="754">
        <v>0</v>
      </c>
      <c r="Q77" s="752">
        <v>0</v>
      </c>
      <c r="R77" s="9" t="s">
        <v>103</v>
      </c>
      <c r="S77" s="9" t="s">
        <v>103</v>
      </c>
    </row>
    <row r="78" spans="2:19">
      <c r="B78" s="746" t="s">
        <v>325</v>
      </c>
      <c r="C78" s="9" t="s">
        <v>1009</v>
      </c>
      <c r="D78" s="730" t="s">
        <v>110</v>
      </c>
      <c r="E78" s="747">
        <v>2181576.068573297</v>
      </c>
      <c r="F78" s="747">
        <v>169563.79600332939</v>
      </c>
      <c r="G78" s="747">
        <v>2302275.8445766261</v>
      </c>
      <c r="H78" s="748">
        <v>0</v>
      </c>
      <c r="I78" s="749" t="s">
        <v>258</v>
      </c>
      <c r="J78" s="750">
        <v>2302275.8445766261</v>
      </c>
      <c r="K78" s="735">
        <v>0</v>
      </c>
      <c r="L78" s="735" t="s">
        <v>103</v>
      </c>
      <c r="M78" s="750">
        <v>0</v>
      </c>
      <c r="N78" s="750" t="s">
        <v>103</v>
      </c>
      <c r="O78" s="736">
        <v>0</v>
      </c>
      <c r="P78" s="754">
        <v>0</v>
      </c>
      <c r="Q78" s="752">
        <v>0</v>
      </c>
      <c r="R78" s="9" t="s">
        <v>103</v>
      </c>
      <c r="S78" s="9" t="s">
        <v>103</v>
      </c>
    </row>
    <row r="79" spans="2:19">
      <c r="B79" s="746" t="s">
        <v>330</v>
      </c>
      <c r="C79" s="9" t="s">
        <v>1009</v>
      </c>
      <c r="D79" s="730" t="s">
        <v>110</v>
      </c>
      <c r="E79" s="747">
        <v>-529309.88207793282</v>
      </c>
      <c r="F79" s="747">
        <v>37240.557580931069</v>
      </c>
      <c r="G79" s="747">
        <v>-492069.32449700177</v>
      </c>
      <c r="H79" s="694">
        <v>13.213264152332794</v>
      </c>
      <c r="I79" s="749" t="s">
        <v>258</v>
      </c>
      <c r="J79" s="750">
        <v>-492069.32449700177</v>
      </c>
      <c r="K79" s="735">
        <v>0</v>
      </c>
      <c r="L79" s="735" t="s">
        <v>103</v>
      </c>
      <c r="M79" s="750">
        <v>0</v>
      </c>
      <c r="N79" s="750" t="s">
        <v>103</v>
      </c>
      <c r="O79" s="736">
        <v>0</v>
      </c>
      <c r="P79" s="754">
        <v>0</v>
      </c>
      <c r="Q79" s="752">
        <v>0</v>
      </c>
      <c r="R79" s="9" t="s">
        <v>103</v>
      </c>
      <c r="S79" s="9" t="s">
        <v>103</v>
      </c>
    </row>
    <row r="80" spans="2:19">
      <c r="B80" s="746" t="s">
        <v>331</v>
      </c>
      <c r="C80" s="9" t="s">
        <v>1009</v>
      </c>
      <c r="D80" s="730" t="s">
        <v>110</v>
      </c>
      <c r="E80" s="747">
        <v>-4656836.205108555</v>
      </c>
      <c r="F80" s="747">
        <v>160196.77863444353</v>
      </c>
      <c r="G80" s="747">
        <v>-4507083.7063741069</v>
      </c>
      <c r="H80" s="694">
        <v>28.134671276124209</v>
      </c>
      <c r="I80" s="749" t="s">
        <v>258</v>
      </c>
      <c r="J80" s="750">
        <v>-4507083.7063741069</v>
      </c>
      <c r="K80" s="735">
        <v>0</v>
      </c>
      <c r="L80" s="735" t="s">
        <v>103</v>
      </c>
      <c r="M80" s="750">
        <v>0</v>
      </c>
      <c r="N80" s="750" t="s">
        <v>103</v>
      </c>
      <c r="O80" s="736">
        <v>0</v>
      </c>
      <c r="P80" s="754">
        <v>0</v>
      </c>
      <c r="Q80" s="752">
        <v>0</v>
      </c>
      <c r="R80" s="9" t="s">
        <v>103</v>
      </c>
      <c r="S80" s="9" t="s">
        <v>103</v>
      </c>
    </row>
    <row r="81" spans="2:19">
      <c r="B81" s="746" t="s">
        <v>335</v>
      </c>
      <c r="C81" s="9" t="s">
        <v>1009</v>
      </c>
      <c r="D81" s="730" t="s">
        <v>110</v>
      </c>
      <c r="E81" s="747">
        <v>2661277.9347292902</v>
      </c>
      <c r="F81" s="747">
        <v>75355.910699513086</v>
      </c>
      <c r="G81" s="747">
        <v>2736633.8454288035</v>
      </c>
      <c r="H81" s="748">
        <v>0</v>
      </c>
      <c r="I81" s="749" t="s">
        <v>258</v>
      </c>
      <c r="J81" s="750">
        <v>2736633.8454288035</v>
      </c>
      <c r="K81" s="735">
        <v>0</v>
      </c>
      <c r="L81" s="735" t="s">
        <v>103</v>
      </c>
      <c r="M81" s="750">
        <v>0</v>
      </c>
      <c r="N81" s="750" t="s">
        <v>103</v>
      </c>
      <c r="O81" s="736">
        <v>0</v>
      </c>
      <c r="P81" s="754">
        <v>0</v>
      </c>
      <c r="Q81" s="752">
        <v>0</v>
      </c>
      <c r="R81" s="9" t="s">
        <v>103</v>
      </c>
      <c r="S81" s="9" t="s">
        <v>103</v>
      </c>
    </row>
    <row r="82" spans="2:19">
      <c r="B82" s="746" t="s">
        <v>336</v>
      </c>
      <c r="C82" s="9" t="s">
        <v>1009</v>
      </c>
      <c r="D82" s="730" t="s">
        <v>110</v>
      </c>
      <c r="E82" s="747">
        <v>-229209.12855110227</v>
      </c>
      <c r="F82" s="747">
        <v>141021.99462392402</v>
      </c>
      <c r="G82" s="747">
        <v>-88187.13392717822</v>
      </c>
      <c r="H82" s="694">
        <v>0.62534311872665493</v>
      </c>
      <c r="I82" s="749" t="s">
        <v>258</v>
      </c>
      <c r="J82" s="750">
        <v>-88187.13392717822</v>
      </c>
      <c r="K82" s="735">
        <v>0</v>
      </c>
      <c r="L82" s="735" t="s">
        <v>103</v>
      </c>
      <c r="M82" s="750">
        <v>0</v>
      </c>
      <c r="N82" s="750" t="s">
        <v>103</v>
      </c>
      <c r="O82" s="736">
        <v>0</v>
      </c>
      <c r="P82" s="754">
        <v>0</v>
      </c>
      <c r="Q82" s="752">
        <v>0</v>
      </c>
      <c r="R82" s="9" t="s">
        <v>103</v>
      </c>
      <c r="S82" s="9" t="s">
        <v>103</v>
      </c>
    </row>
    <row r="83" spans="2:19">
      <c r="B83" s="746" t="s">
        <v>341</v>
      </c>
      <c r="C83" s="9" t="s">
        <v>1009</v>
      </c>
      <c r="D83" s="730" t="s">
        <v>110</v>
      </c>
      <c r="E83" s="747">
        <v>1299712.3103102164</v>
      </c>
      <c r="F83" s="747">
        <v>188115.09987446008</v>
      </c>
      <c r="G83" s="747">
        <v>-1017172.5898153237</v>
      </c>
      <c r="H83" s="694">
        <v>5.4071820417081931</v>
      </c>
      <c r="I83" s="749" t="s">
        <v>258</v>
      </c>
      <c r="J83" s="750">
        <v>-1017172.5898153237</v>
      </c>
      <c r="K83" s="735">
        <v>0</v>
      </c>
      <c r="L83" s="735" t="s">
        <v>103</v>
      </c>
      <c r="M83" s="750">
        <v>0</v>
      </c>
      <c r="N83" s="750" t="s">
        <v>103</v>
      </c>
      <c r="O83" s="736">
        <v>0</v>
      </c>
      <c r="P83" s="754">
        <v>0</v>
      </c>
      <c r="Q83" s="752">
        <v>0</v>
      </c>
      <c r="R83" s="9" t="s">
        <v>103</v>
      </c>
      <c r="S83" s="9" t="s">
        <v>103</v>
      </c>
    </row>
    <row r="84" spans="2:19">
      <c r="B84" s="746" t="s">
        <v>352</v>
      </c>
      <c r="C84" s="9" t="s">
        <v>1009</v>
      </c>
      <c r="D84" s="730" t="s">
        <v>110</v>
      </c>
      <c r="E84" s="747">
        <v>1010323.4099642585</v>
      </c>
      <c r="F84" s="747">
        <v>206736.65761745471</v>
      </c>
      <c r="G84" s="747">
        <v>1217060.0675817125</v>
      </c>
      <c r="H84" s="748">
        <v>0</v>
      </c>
      <c r="I84" s="749" t="s">
        <v>258</v>
      </c>
      <c r="J84" s="750">
        <v>1217060.0675817125</v>
      </c>
      <c r="K84" s="735">
        <v>0</v>
      </c>
      <c r="L84" s="735" t="s">
        <v>103</v>
      </c>
      <c r="M84" s="750">
        <v>0</v>
      </c>
      <c r="N84" s="750" t="s">
        <v>103</v>
      </c>
      <c r="O84" s="736">
        <v>0</v>
      </c>
      <c r="P84" s="754">
        <v>0</v>
      </c>
      <c r="Q84" s="752">
        <v>0</v>
      </c>
      <c r="R84" s="9" t="s">
        <v>103</v>
      </c>
      <c r="S84" s="9" t="s">
        <v>103</v>
      </c>
    </row>
    <row r="85" spans="2:19">
      <c r="B85" s="746" t="s">
        <v>356</v>
      </c>
      <c r="C85" s="9" t="s">
        <v>1009</v>
      </c>
      <c r="D85" s="730" t="s">
        <v>110</v>
      </c>
      <c r="E85" s="747">
        <v>828273.31851640367</v>
      </c>
      <c r="F85" s="747">
        <v>265588.73733434145</v>
      </c>
      <c r="G85" s="747">
        <v>1093862.0558507445</v>
      </c>
      <c r="H85" s="748">
        <v>0</v>
      </c>
      <c r="I85" s="749" t="s">
        <v>258</v>
      </c>
      <c r="J85" s="750">
        <v>1093862.0558507445</v>
      </c>
      <c r="K85" s="735">
        <v>0</v>
      </c>
      <c r="L85" s="735" t="s">
        <v>103</v>
      </c>
      <c r="M85" s="750">
        <v>0</v>
      </c>
      <c r="N85" s="750" t="s">
        <v>103</v>
      </c>
      <c r="O85" s="736">
        <v>0</v>
      </c>
      <c r="P85" s="754">
        <v>0</v>
      </c>
      <c r="Q85" s="752">
        <v>0</v>
      </c>
      <c r="R85" s="9" t="s">
        <v>103</v>
      </c>
      <c r="S85" s="9" t="s">
        <v>103</v>
      </c>
    </row>
    <row r="86" spans="2:19">
      <c r="B86" s="746" t="s">
        <v>362</v>
      </c>
      <c r="C86" s="9" t="s">
        <v>1009</v>
      </c>
      <c r="D86" s="730" t="s">
        <v>110</v>
      </c>
      <c r="E86" s="747">
        <v>1496312.4937280256</v>
      </c>
      <c r="F86" s="747">
        <v>88957.169886530319</v>
      </c>
      <c r="G86" s="747">
        <v>1585269.6636145557</v>
      </c>
      <c r="H86" s="748">
        <v>0</v>
      </c>
      <c r="I86" s="749" t="s">
        <v>258</v>
      </c>
      <c r="J86" s="750">
        <v>1585269.6636145557</v>
      </c>
      <c r="K86" s="735">
        <v>0</v>
      </c>
      <c r="L86" s="735" t="s">
        <v>103</v>
      </c>
      <c r="M86" s="750">
        <v>0</v>
      </c>
      <c r="N86" s="750" t="s">
        <v>103</v>
      </c>
      <c r="O86" s="736">
        <v>0</v>
      </c>
      <c r="P86" s="754">
        <v>0</v>
      </c>
      <c r="Q86" s="752">
        <v>0</v>
      </c>
      <c r="R86" s="9" t="s">
        <v>103</v>
      </c>
      <c r="S86" s="9" t="s">
        <v>103</v>
      </c>
    </row>
    <row r="87" spans="2:19">
      <c r="B87" s="746" t="s">
        <v>363</v>
      </c>
      <c r="C87" s="9" t="s">
        <v>1009</v>
      </c>
      <c r="D87" s="730" t="s">
        <v>110</v>
      </c>
      <c r="E87" s="747">
        <v>1030213</v>
      </c>
      <c r="F87" s="747">
        <v>32640.911264804865</v>
      </c>
      <c r="G87" s="747">
        <v>1062854.1767785733</v>
      </c>
      <c r="H87" s="748">
        <v>0</v>
      </c>
      <c r="I87" s="749" t="s">
        <v>258</v>
      </c>
      <c r="J87" s="750">
        <v>1062854.1767785733</v>
      </c>
      <c r="K87" s="735">
        <v>0</v>
      </c>
      <c r="L87" s="735" t="s">
        <v>103</v>
      </c>
      <c r="M87" s="750">
        <v>0</v>
      </c>
      <c r="N87" s="750" t="s">
        <v>103</v>
      </c>
      <c r="O87" s="736">
        <v>0</v>
      </c>
      <c r="P87" s="754">
        <v>0</v>
      </c>
      <c r="Q87" s="752">
        <v>0</v>
      </c>
      <c r="R87" s="9" t="s">
        <v>103</v>
      </c>
      <c r="S87" s="9" t="s">
        <v>103</v>
      </c>
    </row>
    <row r="88" spans="2:19">
      <c r="B88" s="746" t="s">
        <v>364</v>
      </c>
      <c r="C88" s="9" t="s">
        <v>1009</v>
      </c>
      <c r="D88" s="730" t="s">
        <v>110</v>
      </c>
      <c r="E88" s="747">
        <v>833940.84350257344</v>
      </c>
      <c r="F88" s="747">
        <v>120694.17200149769</v>
      </c>
      <c r="G88" s="747">
        <v>954635.01550407137</v>
      </c>
      <c r="H88" s="748">
        <v>0</v>
      </c>
      <c r="I88" s="749" t="s">
        <v>258</v>
      </c>
      <c r="J88" s="750">
        <v>954635.01550407137</v>
      </c>
      <c r="K88" s="735">
        <v>0</v>
      </c>
      <c r="L88" s="735" t="s">
        <v>103</v>
      </c>
      <c r="M88" s="750">
        <v>0</v>
      </c>
      <c r="N88" s="750" t="s">
        <v>103</v>
      </c>
      <c r="O88" s="736">
        <v>0</v>
      </c>
      <c r="P88" s="754">
        <v>0</v>
      </c>
      <c r="Q88" s="752">
        <v>0</v>
      </c>
      <c r="R88" s="9" t="s">
        <v>103</v>
      </c>
      <c r="S88" s="9" t="s">
        <v>103</v>
      </c>
    </row>
    <row r="89" spans="2:19">
      <c r="B89" s="746" t="s">
        <v>365</v>
      </c>
      <c r="C89" s="9" t="s">
        <v>1009</v>
      </c>
      <c r="D89" s="730" t="s">
        <v>110</v>
      </c>
      <c r="E89" s="747">
        <v>7865.3096718798743</v>
      </c>
      <c r="F89" s="747">
        <v>716.02114731862957</v>
      </c>
      <c r="G89" s="747">
        <v>8581.3308191985034</v>
      </c>
      <c r="H89" s="748">
        <v>0</v>
      </c>
      <c r="I89" s="749" t="s">
        <v>258</v>
      </c>
      <c r="J89" s="750">
        <v>8581.3308191985034</v>
      </c>
      <c r="K89" s="735">
        <v>0</v>
      </c>
      <c r="L89" s="735" t="s">
        <v>103</v>
      </c>
      <c r="M89" s="750">
        <v>0</v>
      </c>
      <c r="N89" s="750" t="s">
        <v>103</v>
      </c>
      <c r="O89" s="736">
        <v>0</v>
      </c>
      <c r="P89" s="754">
        <v>0</v>
      </c>
      <c r="Q89" s="752">
        <v>0</v>
      </c>
      <c r="R89" s="9" t="s">
        <v>103</v>
      </c>
      <c r="S89" s="9" t="s">
        <v>103</v>
      </c>
    </row>
    <row r="90" spans="2:19">
      <c r="B90" s="746" t="s">
        <v>366</v>
      </c>
      <c r="C90" s="9" t="s">
        <v>1009</v>
      </c>
      <c r="D90" s="730" t="s">
        <v>110</v>
      </c>
      <c r="E90" s="747">
        <v>284026.3234142249</v>
      </c>
      <c r="F90" s="747">
        <v>164337.93988098885</v>
      </c>
      <c r="G90" s="747">
        <v>448364.26329521491</v>
      </c>
      <c r="H90" s="748">
        <v>0</v>
      </c>
      <c r="I90" s="749" t="s">
        <v>258</v>
      </c>
      <c r="J90" s="750">
        <v>448364.26329521491</v>
      </c>
      <c r="K90" s="735">
        <v>0</v>
      </c>
      <c r="L90" s="735" t="s">
        <v>103</v>
      </c>
      <c r="M90" s="750">
        <v>0</v>
      </c>
      <c r="N90" s="750" t="s">
        <v>103</v>
      </c>
      <c r="O90" s="736">
        <v>0</v>
      </c>
      <c r="P90" s="754">
        <v>0</v>
      </c>
      <c r="Q90" s="752">
        <v>0</v>
      </c>
      <c r="R90" s="9" t="s">
        <v>103</v>
      </c>
      <c r="S90" s="9" t="s">
        <v>103</v>
      </c>
    </row>
    <row r="91" spans="2:19">
      <c r="B91" s="746" t="s">
        <v>371</v>
      </c>
      <c r="C91" s="9" t="s">
        <v>1009</v>
      </c>
      <c r="D91" s="730" t="s">
        <v>110</v>
      </c>
      <c r="E91" s="747">
        <v>6936151.3502843212</v>
      </c>
      <c r="F91" s="747">
        <v>317743.34369851765</v>
      </c>
      <c r="G91" s="747">
        <v>7253894.6939828387</v>
      </c>
      <c r="H91" s="748">
        <v>0</v>
      </c>
      <c r="I91" s="749" t="s">
        <v>258</v>
      </c>
      <c r="J91" s="750">
        <v>7253894.6939828387</v>
      </c>
      <c r="K91" s="735">
        <v>0</v>
      </c>
      <c r="L91" s="735" t="s">
        <v>103</v>
      </c>
      <c r="M91" s="750">
        <v>0</v>
      </c>
      <c r="N91" s="750" t="s">
        <v>103</v>
      </c>
      <c r="O91" s="736">
        <v>0</v>
      </c>
      <c r="P91" s="754">
        <v>0</v>
      </c>
      <c r="Q91" s="752">
        <v>0</v>
      </c>
      <c r="R91" s="9" t="s">
        <v>103</v>
      </c>
      <c r="S91" s="9" t="s">
        <v>103</v>
      </c>
    </row>
    <row r="92" spans="2:19">
      <c r="B92" s="746" t="s">
        <v>378</v>
      </c>
      <c r="C92" s="9" t="s">
        <v>1009</v>
      </c>
      <c r="D92" s="730" t="s">
        <v>110</v>
      </c>
      <c r="E92" s="747">
        <v>1234917.0284605802</v>
      </c>
      <c r="F92" s="747">
        <v>96864.763406843384</v>
      </c>
      <c r="G92" s="747">
        <v>1331781.7918674233</v>
      </c>
      <c r="H92" s="748">
        <v>0</v>
      </c>
      <c r="I92" s="749" t="s">
        <v>258</v>
      </c>
      <c r="J92" s="750">
        <v>1331781.7918674233</v>
      </c>
      <c r="K92" s="735">
        <v>0</v>
      </c>
      <c r="L92" s="735" t="s">
        <v>103</v>
      </c>
      <c r="M92" s="750">
        <v>0</v>
      </c>
      <c r="N92" s="750" t="s">
        <v>103</v>
      </c>
      <c r="O92" s="736">
        <v>0</v>
      </c>
      <c r="P92" s="754">
        <v>0</v>
      </c>
      <c r="Q92" s="752">
        <v>0</v>
      </c>
      <c r="R92" s="9" t="s">
        <v>103</v>
      </c>
      <c r="S92" s="9" t="s">
        <v>103</v>
      </c>
    </row>
    <row r="93" spans="2:19">
      <c r="B93" s="746" t="s">
        <v>384</v>
      </c>
      <c r="C93" s="9" t="s">
        <v>1009</v>
      </c>
      <c r="D93" s="730" t="s">
        <v>110</v>
      </c>
      <c r="E93" s="747">
        <v>-1395619.3659299253</v>
      </c>
      <c r="F93" s="747">
        <v>293732.41532028303</v>
      </c>
      <c r="G93" s="747">
        <v>-1101886.9506096428</v>
      </c>
      <c r="H93" s="694">
        <v>3.751329077548883</v>
      </c>
      <c r="I93" s="749" t="s">
        <v>258</v>
      </c>
      <c r="J93" s="750">
        <v>-1101886.9506096428</v>
      </c>
      <c r="K93" s="735">
        <v>0</v>
      </c>
      <c r="L93" s="735" t="s">
        <v>103</v>
      </c>
      <c r="M93" s="750">
        <v>0</v>
      </c>
      <c r="N93" s="750" t="s">
        <v>103</v>
      </c>
      <c r="O93" s="736">
        <v>0</v>
      </c>
      <c r="P93" s="754">
        <v>0</v>
      </c>
      <c r="Q93" s="752">
        <v>0</v>
      </c>
      <c r="R93" s="9" t="s">
        <v>103</v>
      </c>
      <c r="S93" s="9" t="s">
        <v>103</v>
      </c>
    </row>
    <row r="94" spans="2:19">
      <c r="B94" s="746" t="s">
        <v>388</v>
      </c>
      <c r="C94" s="9" t="s">
        <v>1009</v>
      </c>
      <c r="D94" s="730" t="s">
        <v>110</v>
      </c>
      <c r="E94" s="747">
        <v>44326.714985798113</v>
      </c>
      <c r="F94" s="747">
        <v>6695.7594169188287</v>
      </c>
      <c r="G94" s="747">
        <v>51022.474402716944</v>
      </c>
      <c r="H94" s="748">
        <v>0</v>
      </c>
      <c r="I94" s="749" t="s">
        <v>258</v>
      </c>
      <c r="J94" s="750">
        <v>51022.474402716944</v>
      </c>
      <c r="K94" s="735">
        <v>0</v>
      </c>
      <c r="L94" s="735" t="s">
        <v>103</v>
      </c>
      <c r="M94" s="750">
        <v>0</v>
      </c>
      <c r="N94" s="750" t="s">
        <v>103</v>
      </c>
      <c r="O94" s="736">
        <v>0</v>
      </c>
      <c r="P94" s="754">
        <v>0</v>
      </c>
      <c r="Q94" s="752">
        <v>0</v>
      </c>
      <c r="R94" s="9" t="s">
        <v>103</v>
      </c>
      <c r="S94" s="9" t="s">
        <v>103</v>
      </c>
    </row>
    <row r="95" spans="2:19">
      <c r="B95" s="746" t="s">
        <v>389</v>
      </c>
      <c r="C95" s="9" t="s">
        <v>1009</v>
      </c>
      <c r="D95" s="730" t="s">
        <v>110</v>
      </c>
      <c r="E95" s="747">
        <v>92050.533272011002</v>
      </c>
      <c r="F95" s="747">
        <v>20883.323174641893</v>
      </c>
      <c r="G95" s="747">
        <v>-165166.263553347</v>
      </c>
      <c r="H95" s="694">
        <v>7.9090029001660209</v>
      </c>
      <c r="I95" s="749" t="s">
        <v>258</v>
      </c>
      <c r="J95" s="750">
        <v>-165166.263553347</v>
      </c>
      <c r="K95" s="735">
        <v>0</v>
      </c>
      <c r="L95" s="735" t="s">
        <v>103</v>
      </c>
      <c r="M95" s="750">
        <v>0</v>
      </c>
      <c r="N95" s="750" t="s">
        <v>103</v>
      </c>
      <c r="O95" s="736">
        <v>0</v>
      </c>
      <c r="P95" s="754">
        <v>0</v>
      </c>
      <c r="Q95" s="752">
        <v>0</v>
      </c>
      <c r="R95" s="9" t="s">
        <v>103</v>
      </c>
      <c r="S95" s="9" t="s">
        <v>103</v>
      </c>
    </row>
    <row r="96" spans="2:19">
      <c r="B96" s="746" t="s">
        <v>392</v>
      </c>
      <c r="C96" s="9" t="s">
        <v>1009</v>
      </c>
      <c r="D96" s="730" t="s">
        <v>110</v>
      </c>
      <c r="E96" s="747">
        <v>-726378.00945668714</v>
      </c>
      <c r="F96" s="747">
        <v>147931.48954620873</v>
      </c>
      <c r="G96" s="747">
        <v>-578446.51991047792</v>
      </c>
      <c r="H96" s="694">
        <v>3.910232511582945</v>
      </c>
      <c r="I96" s="749" t="s">
        <v>258</v>
      </c>
      <c r="J96" s="750">
        <v>-578446.51991047792</v>
      </c>
      <c r="K96" s="735">
        <v>0</v>
      </c>
      <c r="L96" s="735" t="s">
        <v>103</v>
      </c>
      <c r="M96" s="750">
        <v>0</v>
      </c>
      <c r="N96" s="750" t="s">
        <v>103</v>
      </c>
      <c r="O96" s="736">
        <v>0</v>
      </c>
      <c r="P96" s="754">
        <v>0</v>
      </c>
      <c r="Q96" s="752">
        <v>0</v>
      </c>
      <c r="R96" s="9" t="s">
        <v>103</v>
      </c>
      <c r="S96" s="9" t="s">
        <v>103</v>
      </c>
    </row>
    <row r="97" spans="2:19">
      <c r="B97" s="746" t="s">
        <v>396</v>
      </c>
      <c r="C97" s="9" t="s">
        <v>1009</v>
      </c>
      <c r="D97" s="730" t="s">
        <v>110</v>
      </c>
      <c r="E97" s="747">
        <v>973787.40950504073</v>
      </c>
      <c r="F97" s="747">
        <v>60643.542077079117</v>
      </c>
      <c r="G97" s="747">
        <v>1034430.9515821197</v>
      </c>
      <c r="H97" s="748">
        <v>0</v>
      </c>
      <c r="I97" s="749" t="s">
        <v>258</v>
      </c>
      <c r="J97" s="750">
        <v>1034430.9515821197</v>
      </c>
      <c r="K97" s="735">
        <v>0</v>
      </c>
      <c r="L97" s="735" t="s">
        <v>103</v>
      </c>
      <c r="M97" s="750">
        <v>0</v>
      </c>
      <c r="N97" s="750" t="s">
        <v>103</v>
      </c>
      <c r="O97" s="736">
        <v>0</v>
      </c>
      <c r="P97" s="754">
        <v>0</v>
      </c>
      <c r="Q97" s="752">
        <v>0</v>
      </c>
      <c r="R97" s="9" t="s">
        <v>103</v>
      </c>
      <c r="S97" s="9" t="s">
        <v>103</v>
      </c>
    </row>
    <row r="98" spans="2:19">
      <c r="B98" s="746" t="s">
        <v>397</v>
      </c>
      <c r="C98" s="9" t="s">
        <v>1009</v>
      </c>
      <c r="D98" s="730" t="s">
        <v>110</v>
      </c>
      <c r="E98" s="747">
        <v>109409.96994099247</v>
      </c>
      <c r="F98" s="747">
        <v>69422.602005263878</v>
      </c>
      <c r="G98" s="747">
        <v>178832.57194625642</v>
      </c>
      <c r="H98" s="748">
        <v>0</v>
      </c>
      <c r="I98" s="749" t="s">
        <v>258</v>
      </c>
      <c r="J98" s="750">
        <v>178832.57194625642</v>
      </c>
      <c r="K98" s="735">
        <v>0</v>
      </c>
      <c r="L98" s="735" t="s">
        <v>103</v>
      </c>
      <c r="M98" s="750">
        <v>0</v>
      </c>
      <c r="N98" s="750" t="s">
        <v>103</v>
      </c>
      <c r="O98" s="736">
        <v>0</v>
      </c>
      <c r="P98" s="754">
        <v>0</v>
      </c>
      <c r="Q98" s="752">
        <v>0</v>
      </c>
      <c r="R98" s="9" t="s">
        <v>103</v>
      </c>
      <c r="S98" s="9" t="s">
        <v>103</v>
      </c>
    </row>
    <row r="99" spans="2:19">
      <c r="B99" s="746" t="s">
        <v>398</v>
      </c>
      <c r="C99" s="9" t="s">
        <v>1009</v>
      </c>
      <c r="D99" s="730" t="s">
        <v>110</v>
      </c>
      <c r="E99" s="747">
        <v>-1030250.5538640992</v>
      </c>
      <c r="F99" s="747">
        <v>150085.059492542</v>
      </c>
      <c r="G99" s="747">
        <v>-998462.014371539</v>
      </c>
      <c r="H99" s="694">
        <v>6.6526409607157095</v>
      </c>
      <c r="I99" s="749" t="s">
        <v>258</v>
      </c>
      <c r="J99" s="750">
        <v>-998462.014371539</v>
      </c>
      <c r="K99" s="735">
        <v>0</v>
      </c>
      <c r="L99" s="735" t="s">
        <v>103</v>
      </c>
      <c r="M99" s="750">
        <v>0</v>
      </c>
      <c r="N99" s="750" t="s">
        <v>103</v>
      </c>
      <c r="O99" s="736">
        <v>0</v>
      </c>
      <c r="P99" s="751">
        <v>0</v>
      </c>
      <c r="Q99" s="752">
        <v>0</v>
      </c>
      <c r="R99" s="9" t="s">
        <v>103</v>
      </c>
      <c r="S99" s="9" t="s">
        <v>103</v>
      </c>
    </row>
    <row r="100" spans="2:19">
      <c r="B100" s="746" t="s">
        <v>405</v>
      </c>
      <c r="C100" s="9" t="s">
        <v>1009</v>
      </c>
      <c r="D100" s="730" t="s">
        <v>110</v>
      </c>
      <c r="E100" s="747">
        <v>-445586.17453384504</v>
      </c>
      <c r="F100" s="747">
        <v>47173.315651084857</v>
      </c>
      <c r="G100" s="747">
        <v>-208412.85888276008</v>
      </c>
      <c r="H100" s="694">
        <v>4.418024385317235</v>
      </c>
      <c r="I100" s="749" t="s">
        <v>258</v>
      </c>
      <c r="J100" s="750">
        <v>-208412.85888276008</v>
      </c>
      <c r="K100" s="735">
        <v>0</v>
      </c>
      <c r="L100" s="735" t="s">
        <v>103</v>
      </c>
      <c r="M100" s="750">
        <v>0</v>
      </c>
      <c r="N100" s="750" t="s">
        <v>103</v>
      </c>
      <c r="O100" s="736">
        <v>0</v>
      </c>
      <c r="P100" s="754">
        <v>0</v>
      </c>
      <c r="Q100" s="752">
        <v>0</v>
      </c>
      <c r="R100" s="9" t="s">
        <v>103</v>
      </c>
      <c r="S100" s="9" t="s">
        <v>103</v>
      </c>
    </row>
    <row r="101" spans="2:19">
      <c r="B101" s="746" t="s">
        <v>409</v>
      </c>
      <c r="C101" s="9" t="s">
        <v>1009</v>
      </c>
      <c r="D101" s="730" t="s">
        <v>110</v>
      </c>
      <c r="E101" s="747">
        <v>-496849.7223523219</v>
      </c>
      <c r="F101" s="747">
        <v>164725.32555008822</v>
      </c>
      <c r="G101" s="747">
        <v>-332124.396802234</v>
      </c>
      <c r="H101" s="694">
        <v>2.0162315399476598</v>
      </c>
      <c r="I101" s="749" t="s">
        <v>258</v>
      </c>
      <c r="J101" s="750">
        <v>-332124.396802234</v>
      </c>
      <c r="K101" s="735">
        <v>0</v>
      </c>
      <c r="L101" s="735" t="s">
        <v>103</v>
      </c>
      <c r="M101" s="750">
        <v>0</v>
      </c>
      <c r="N101" s="750" t="s">
        <v>103</v>
      </c>
      <c r="O101" s="736">
        <v>0</v>
      </c>
      <c r="P101" s="754">
        <v>0</v>
      </c>
      <c r="Q101" s="752">
        <v>0</v>
      </c>
      <c r="R101" s="9" t="s">
        <v>103</v>
      </c>
      <c r="S101" s="9" t="s">
        <v>103</v>
      </c>
    </row>
    <row r="102" spans="2:19">
      <c r="B102" s="746" t="s">
        <v>410</v>
      </c>
      <c r="C102" s="9" t="s">
        <v>1009</v>
      </c>
      <c r="D102" s="730" t="s">
        <v>110</v>
      </c>
      <c r="E102" s="747">
        <v>1065984.502946794</v>
      </c>
      <c r="F102" s="747">
        <v>62756.378968102203</v>
      </c>
      <c r="G102" s="747">
        <v>1128740.8819148962</v>
      </c>
      <c r="H102" s="748">
        <v>0</v>
      </c>
      <c r="I102" s="749" t="s">
        <v>258</v>
      </c>
      <c r="J102" s="750">
        <v>1128740.8819148962</v>
      </c>
      <c r="K102" s="735">
        <v>0</v>
      </c>
      <c r="L102" s="735" t="s">
        <v>103</v>
      </c>
      <c r="M102" s="750">
        <v>0</v>
      </c>
      <c r="N102" s="750" t="s">
        <v>103</v>
      </c>
      <c r="O102" s="736">
        <v>0</v>
      </c>
      <c r="P102" s="754">
        <v>0</v>
      </c>
      <c r="Q102" s="752">
        <v>0</v>
      </c>
      <c r="R102" s="9" t="s">
        <v>103</v>
      </c>
      <c r="S102" s="9" t="s">
        <v>103</v>
      </c>
    </row>
    <row r="103" spans="2:19">
      <c r="B103" s="746" t="s">
        <v>411</v>
      </c>
      <c r="C103" s="9" t="s">
        <v>1009</v>
      </c>
      <c r="D103" s="730" t="s">
        <v>110</v>
      </c>
      <c r="E103" s="747">
        <v>-1923178.7044605864</v>
      </c>
      <c r="F103" s="747">
        <v>511539.31491632678</v>
      </c>
      <c r="G103" s="747">
        <v>-1478748.08954428</v>
      </c>
      <c r="H103" s="694">
        <v>2.8907809163918534</v>
      </c>
      <c r="I103" s="749" t="s">
        <v>258</v>
      </c>
      <c r="J103" s="750">
        <v>-1478748.08954428</v>
      </c>
      <c r="K103" s="735">
        <v>0</v>
      </c>
      <c r="L103" s="735" t="s">
        <v>103</v>
      </c>
      <c r="M103" s="750">
        <v>0</v>
      </c>
      <c r="N103" s="750" t="s">
        <v>103</v>
      </c>
      <c r="O103" s="736">
        <v>0</v>
      </c>
      <c r="P103" s="754">
        <v>0</v>
      </c>
      <c r="Q103" s="752">
        <v>0</v>
      </c>
      <c r="R103" s="9" t="s">
        <v>103</v>
      </c>
      <c r="S103" s="9" t="s">
        <v>103</v>
      </c>
    </row>
    <row r="104" spans="2:19">
      <c r="B104" s="746" t="s">
        <v>417</v>
      </c>
      <c r="C104" s="9" t="s">
        <v>1009</v>
      </c>
      <c r="D104" s="730" t="s">
        <v>110</v>
      </c>
      <c r="E104" s="747">
        <v>1040236.3380500529</v>
      </c>
      <c r="F104" s="747">
        <v>52716.634033146212</v>
      </c>
      <c r="G104" s="747">
        <v>1092952.9720831993</v>
      </c>
      <c r="H104" s="748">
        <v>0</v>
      </c>
      <c r="I104" s="749" t="s">
        <v>258</v>
      </c>
      <c r="J104" s="750">
        <v>1092952.9720831993</v>
      </c>
      <c r="K104" s="735">
        <v>0</v>
      </c>
      <c r="L104" s="735" t="s">
        <v>103</v>
      </c>
      <c r="M104" s="750">
        <v>0</v>
      </c>
      <c r="N104" s="750" t="s">
        <v>103</v>
      </c>
      <c r="O104" s="736">
        <v>0</v>
      </c>
      <c r="P104" s="754">
        <v>0</v>
      </c>
      <c r="Q104" s="752">
        <v>0</v>
      </c>
      <c r="R104" s="9" t="s">
        <v>103</v>
      </c>
      <c r="S104" s="9" t="s">
        <v>103</v>
      </c>
    </row>
    <row r="105" spans="2:19">
      <c r="B105" s="746" t="s">
        <v>418</v>
      </c>
      <c r="C105" s="9" t="s">
        <v>1009</v>
      </c>
      <c r="D105" s="730" t="s">
        <v>110</v>
      </c>
      <c r="E105" s="747">
        <v>633961.02550091839</v>
      </c>
      <c r="F105" s="747">
        <v>38118.445895777208</v>
      </c>
      <c r="G105" s="747">
        <v>672079.47139669571</v>
      </c>
      <c r="H105" s="748">
        <v>0</v>
      </c>
      <c r="I105" s="749" t="s">
        <v>258</v>
      </c>
      <c r="J105" s="750">
        <v>672079.47139669571</v>
      </c>
      <c r="K105" s="735">
        <v>0</v>
      </c>
      <c r="L105" s="735" t="s">
        <v>103</v>
      </c>
      <c r="M105" s="750">
        <v>0</v>
      </c>
      <c r="N105" s="750" t="s">
        <v>103</v>
      </c>
      <c r="O105" s="736">
        <v>0</v>
      </c>
      <c r="P105" s="754">
        <v>0</v>
      </c>
      <c r="Q105" s="752">
        <v>0</v>
      </c>
      <c r="R105" s="9" t="s">
        <v>103</v>
      </c>
      <c r="S105" s="9" t="s">
        <v>103</v>
      </c>
    </row>
    <row r="106" spans="2:19">
      <c r="B106" s="746" t="s">
        <v>419</v>
      </c>
      <c r="C106" s="9" t="s">
        <v>1009</v>
      </c>
      <c r="D106" s="730" t="s">
        <v>110</v>
      </c>
      <c r="E106" s="747">
        <v>991720.04479895183</v>
      </c>
      <c r="F106" s="747">
        <v>77379.537069670623</v>
      </c>
      <c r="G106" s="747">
        <v>-180900.41813137755</v>
      </c>
      <c r="H106" s="694">
        <v>2.3378327783028641</v>
      </c>
      <c r="I106" s="749" t="s">
        <v>258</v>
      </c>
      <c r="J106" s="750">
        <v>-180900.41813137755</v>
      </c>
      <c r="K106" s="735">
        <v>0</v>
      </c>
      <c r="L106" s="735" t="s">
        <v>103</v>
      </c>
      <c r="M106" s="750">
        <v>0</v>
      </c>
      <c r="N106" s="750" t="s">
        <v>103</v>
      </c>
      <c r="O106" s="736">
        <v>0</v>
      </c>
      <c r="P106" s="754">
        <v>0</v>
      </c>
      <c r="Q106" s="752">
        <v>0</v>
      </c>
      <c r="R106" s="9" t="s">
        <v>103</v>
      </c>
      <c r="S106" s="9" t="s">
        <v>103</v>
      </c>
    </row>
    <row r="107" spans="2:19">
      <c r="B107" s="746" t="s">
        <v>423</v>
      </c>
      <c r="C107" s="9" t="s">
        <v>1009</v>
      </c>
      <c r="D107" s="730" t="s">
        <v>110</v>
      </c>
      <c r="E107" s="747">
        <v>-1139931.6433466966</v>
      </c>
      <c r="F107" s="747">
        <v>265151.97448299907</v>
      </c>
      <c r="G107" s="747">
        <v>4025220.3311363021</v>
      </c>
      <c r="H107" s="748">
        <v>0</v>
      </c>
      <c r="I107" s="749" t="s">
        <v>258</v>
      </c>
      <c r="J107" s="750">
        <v>4025220.3311363021</v>
      </c>
      <c r="K107" s="735">
        <v>0</v>
      </c>
      <c r="L107" s="735" t="s">
        <v>103</v>
      </c>
      <c r="M107" s="750">
        <v>0</v>
      </c>
      <c r="N107" s="750" t="s">
        <v>103</v>
      </c>
      <c r="O107" s="736">
        <v>0</v>
      </c>
      <c r="P107" s="754">
        <v>0</v>
      </c>
      <c r="Q107" s="752">
        <v>0</v>
      </c>
      <c r="R107" s="9" t="s">
        <v>103</v>
      </c>
      <c r="S107" s="9" t="s">
        <v>103</v>
      </c>
    </row>
    <row r="108" spans="2:19">
      <c r="B108" s="746" t="s">
        <v>429</v>
      </c>
      <c r="C108" s="9" t="s">
        <v>1009</v>
      </c>
      <c r="D108" s="730" t="s">
        <v>110</v>
      </c>
      <c r="E108" s="747">
        <v>2207286.1375781894</v>
      </c>
      <c r="F108" s="747">
        <v>109194.31513571896</v>
      </c>
      <c r="G108" s="747">
        <v>2313804.3227139083</v>
      </c>
      <c r="H108" s="748">
        <v>0</v>
      </c>
      <c r="I108" s="749" t="s">
        <v>258</v>
      </c>
      <c r="J108" s="750">
        <v>2313804.3227139083</v>
      </c>
      <c r="K108" s="735">
        <v>0</v>
      </c>
      <c r="L108" s="735" t="s">
        <v>103</v>
      </c>
      <c r="M108" s="750">
        <v>0</v>
      </c>
      <c r="N108" s="750" t="s">
        <v>103</v>
      </c>
      <c r="O108" s="736">
        <v>0</v>
      </c>
      <c r="P108" s="754">
        <v>0</v>
      </c>
      <c r="Q108" s="752">
        <v>0</v>
      </c>
      <c r="R108" s="9" t="s">
        <v>103</v>
      </c>
      <c r="S108" s="9" t="s">
        <v>103</v>
      </c>
    </row>
    <row r="109" spans="2:19">
      <c r="B109" s="746" t="s">
        <v>433</v>
      </c>
      <c r="C109" s="9" t="s">
        <v>1009</v>
      </c>
      <c r="D109" s="730" t="s">
        <v>110</v>
      </c>
      <c r="E109" s="747">
        <v>-1025967.7378088559</v>
      </c>
      <c r="F109" s="747">
        <v>130009.64048821747</v>
      </c>
      <c r="G109" s="747">
        <v>-895958.09732063871</v>
      </c>
      <c r="H109" s="694">
        <v>6.8914743087981831</v>
      </c>
      <c r="I109" s="749" t="s">
        <v>258</v>
      </c>
      <c r="J109" s="750">
        <v>-895958.09732063871</v>
      </c>
      <c r="K109" s="735">
        <v>0</v>
      </c>
      <c r="L109" s="735" t="s">
        <v>103</v>
      </c>
      <c r="M109" s="750">
        <v>0</v>
      </c>
      <c r="N109" s="750" t="s">
        <v>103</v>
      </c>
      <c r="O109" s="736">
        <v>0</v>
      </c>
      <c r="P109" s="754">
        <v>0</v>
      </c>
      <c r="Q109" s="752">
        <v>0</v>
      </c>
      <c r="R109" s="9" t="s">
        <v>103</v>
      </c>
      <c r="S109" s="9" t="s">
        <v>103</v>
      </c>
    </row>
    <row r="110" spans="2:19">
      <c r="B110" s="746" t="s">
        <v>438</v>
      </c>
      <c r="C110" s="9" t="s">
        <v>1009</v>
      </c>
      <c r="D110" s="730" t="s">
        <v>110</v>
      </c>
      <c r="E110" s="747">
        <v>-654689.78981295077</v>
      </c>
      <c r="F110" s="747">
        <v>512884.35592018545</v>
      </c>
      <c r="G110" s="747">
        <v>-141805.43389276497</v>
      </c>
      <c r="H110" s="694">
        <v>0.27648617520872987</v>
      </c>
      <c r="I110" s="749" t="s">
        <v>258</v>
      </c>
      <c r="J110" s="750">
        <v>-141805.43389276497</v>
      </c>
      <c r="K110" s="735">
        <v>0</v>
      </c>
      <c r="L110" s="735" t="s">
        <v>103</v>
      </c>
      <c r="M110" s="750">
        <v>0</v>
      </c>
      <c r="N110" s="750" t="s">
        <v>103</v>
      </c>
      <c r="O110" s="736">
        <v>0</v>
      </c>
      <c r="P110" s="754">
        <v>0</v>
      </c>
      <c r="Q110" s="752">
        <v>0</v>
      </c>
      <c r="R110" s="9" t="s">
        <v>103</v>
      </c>
      <c r="S110" s="9" t="s">
        <v>103</v>
      </c>
    </row>
    <row r="111" spans="2:19">
      <c r="B111" s="746" t="s">
        <v>444</v>
      </c>
      <c r="C111" s="9" t="s">
        <v>1009</v>
      </c>
      <c r="D111" s="730" t="s">
        <v>110</v>
      </c>
      <c r="E111" s="747">
        <v>656101.2729164284</v>
      </c>
      <c r="F111" s="747">
        <v>39269.643639343703</v>
      </c>
      <c r="G111" s="747">
        <v>695370.91655577265</v>
      </c>
      <c r="H111" s="748">
        <v>0</v>
      </c>
      <c r="I111" s="749" t="s">
        <v>258</v>
      </c>
      <c r="J111" s="750">
        <v>695370.91655577265</v>
      </c>
      <c r="K111" s="735">
        <v>0</v>
      </c>
      <c r="L111" s="735" t="s">
        <v>103</v>
      </c>
      <c r="M111" s="750">
        <v>0</v>
      </c>
      <c r="N111" s="750" t="s">
        <v>103</v>
      </c>
      <c r="O111" s="736">
        <v>0</v>
      </c>
      <c r="P111" s="754">
        <v>0</v>
      </c>
      <c r="Q111" s="752">
        <v>0</v>
      </c>
      <c r="R111" s="9" t="s">
        <v>103</v>
      </c>
      <c r="S111" s="9" t="s">
        <v>103</v>
      </c>
    </row>
    <row r="112" spans="2:19">
      <c r="B112" s="746" t="s">
        <v>448</v>
      </c>
      <c r="C112" s="9" t="s">
        <v>1009</v>
      </c>
      <c r="D112" s="730" t="s">
        <v>110</v>
      </c>
      <c r="E112" s="747">
        <v>220507.97361919883</v>
      </c>
      <c r="F112" s="747">
        <v>211882.67227597887</v>
      </c>
      <c r="G112" s="747">
        <v>432390.64589517727</v>
      </c>
      <c r="H112" s="748">
        <v>0</v>
      </c>
      <c r="I112" s="749" t="s">
        <v>258</v>
      </c>
      <c r="J112" s="750">
        <v>432390.64589517727</v>
      </c>
      <c r="K112" s="735">
        <v>0</v>
      </c>
      <c r="L112" s="735" t="s">
        <v>103</v>
      </c>
      <c r="M112" s="750">
        <v>0</v>
      </c>
      <c r="N112" s="750" t="s">
        <v>103</v>
      </c>
      <c r="O112" s="736">
        <v>0</v>
      </c>
      <c r="P112" s="754">
        <v>0</v>
      </c>
      <c r="Q112" s="752">
        <v>0</v>
      </c>
      <c r="R112" s="9" t="s">
        <v>103</v>
      </c>
      <c r="S112" s="9" t="s">
        <v>103</v>
      </c>
    </row>
    <row r="113" spans="2:19">
      <c r="B113" s="746" t="s">
        <v>449</v>
      </c>
      <c r="C113" s="9" t="s">
        <v>1009</v>
      </c>
      <c r="D113" s="730" t="s">
        <v>110</v>
      </c>
      <c r="E113" s="747">
        <v>-120677.19253006566</v>
      </c>
      <c r="F113" s="747">
        <v>250601.09965417287</v>
      </c>
      <c r="G113" s="747">
        <v>129923.90712410686</v>
      </c>
      <c r="H113" s="748">
        <v>0</v>
      </c>
      <c r="I113" s="749" t="s">
        <v>258</v>
      </c>
      <c r="J113" s="750">
        <v>129923.90712410686</v>
      </c>
      <c r="K113" s="735">
        <v>0</v>
      </c>
      <c r="L113" s="735" t="s">
        <v>103</v>
      </c>
      <c r="M113" s="750">
        <v>0</v>
      </c>
      <c r="N113" s="750" t="s">
        <v>103</v>
      </c>
      <c r="O113" s="736">
        <v>0</v>
      </c>
      <c r="P113" s="754">
        <v>0</v>
      </c>
      <c r="Q113" s="752">
        <v>0</v>
      </c>
      <c r="R113" s="9" t="s">
        <v>103</v>
      </c>
      <c r="S113" s="9" t="s">
        <v>103</v>
      </c>
    </row>
    <row r="114" spans="2:19">
      <c r="B114" s="746" t="s">
        <v>456</v>
      </c>
      <c r="C114" s="9" t="s">
        <v>1009</v>
      </c>
      <c r="D114" s="730" t="s">
        <v>110</v>
      </c>
      <c r="E114" s="747">
        <v>152631.50725586561</v>
      </c>
      <c r="F114" s="747">
        <v>12416.469744522776</v>
      </c>
      <c r="G114" s="747">
        <v>165047.97700038838</v>
      </c>
      <c r="H114" s="748">
        <v>0</v>
      </c>
      <c r="I114" s="749" t="s">
        <v>258</v>
      </c>
      <c r="J114" s="750">
        <v>165047.97700038838</v>
      </c>
      <c r="K114" s="735">
        <v>0</v>
      </c>
      <c r="L114" s="735" t="s">
        <v>103</v>
      </c>
      <c r="M114" s="750">
        <v>0</v>
      </c>
      <c r="N114" s="750" t="s">
        <v>103</v>
      </c>
      <c r="O114" s="736">
        <v>0</v>
      </c>
      <c r="P114" s="754">
        <v>0</v>
      </c>
      <c r="Q114" s="752">
        <v>0</v>
      </c>
      <c r="R114" s="9" t="s">
        <v>103</v>
      </c>
      <c r="S114" s="9" t="s">
        <v>103</v>
      </c>
    </row>
    <row r="115" spans="2:19">
      <c r="B115" s="746" t="s">
        <v>457</v>
      </c>
      <c r="C115" s="9" t="s">
        <v>1009</v>
      </c>
      <c r="D115" s="730" t="s">
        <v>110</v>
      </c>
      <c r="E115" s="747">
        <v>4718456.9859794136</v>
      </c>
      <c r="F115" s="747">
        <v>296817.71135290863</v>
      </c>
      <c r="G115" s="747">
        <v>5015274.6973323217</v>
      </c>
      <c r="H115" s="748">
        <v>0</v>
      </c>
      <c r="I115" s="749" t="s">
        <v>258</v>
      </c>
      <c r="J115" s="750">
        <v>5015274.6973323217</v>
      </c>
      <c r="K115" s="735">
        <v>0</v>
      </c>
      <c r="L115" s="735" t="s">
        <v>103</v>
      </c>
      <c r="M115" s="750">
        <v>0</v>
      </c>
      <c r="N115" s="750" t="s">
        <v>103</v>
      </c>
      <c r="O115" s="736">
        <v>0</v>
      </c>
      <c r="P115" s="754">
        <v>0</v>
      </c>
      <c r="Q115" s="752">
        <v>0</v>
      </c>
      <c r="R115" s="9" t="s">
        <v>103</v>
      </c>
      <c r="S115" s="9" t="s">
        <v>103</v>
      </c>
    </row>
    <row r="116" spans="2:19">
      <c r="B116" s="746" t="s">
        <v>469</v>
      </c>
      <c r="C116" s="9" t="s">
        <v>1009</v>
      </c>
      <c r="D116" s="730" t="s">
        <v>110</v>
      </c>
      <c r="E116" s="747">
        <v>29064975.962847937</v>
      </c>
      <c r="F116" s="747">
        <v>2513084.3326932406</v>
      </c>
      <c r="G116" s="747">
        <v>31472476.405541185</v>
      </c>
      <c r="H116" s="748">
        <v>0</v>
      </c>
      <c r="I116" s="755" t="s">
        <v>258</v>
      </c>
      <c r="J116" s="756">
        <v>31472476.405541185</v>
      </c>
      <c r="K116" s="735">
        <v>0</v>
      </c>
      <c r="L116" s="735" t="s">
        <v>103</v>
      </c>
      <c r="M116" s="756">
        <v>0</v>
      </c>
      <c r="N116" s="756" t="s">
        <v>103</v>
      </c>
      <c r="O116" s="736">
        <v>0</v>
      </c>
      <c r="P116" s="754">
        <v>0</v>
      </c>
      <c r="Q116" s="752">
        <v>0</v>
      </c>
      <c r="R116" s="9" t="s">
        <v>103</v>
      </c>
      <c r="S116" s="9" t="s">
        <v>103</v>
      </c>
    </row>
    <row r="117" spans="2:19" s="101" customFormat="1">
      <c r="B117" s="738" t="s">
        <v>1247</v>
      </c>
      <c r="C117" s="738"/>
      <c r="D117" s="738"/>
      <c r="E117" s="739">
        <v>93224294.753135726</v>
      </c>
      <c r="F117" s="739">
        <v>15332106.795072705</v>
      </c>
      <c r="G117" s="739">
        <f>SUM(G30:G116)</f>
        <v>107922585.2038222</v>
      </c>
      <c r="H117" s="740">
        <v>0</v>
      </c>
      <c r="I117" s="741"/>
      <c r="J117" s="742">
        <v>107922585.2038222</v>
      </c>
      <c r="K117" s="742">
        <v>0</v>
      </c>
      <c r="L117" s="741"/>
      <c r="M117" s="742">
        <v>0</v>
      </c>
      <c r="N117" s="742">
        <v>0</v>
      </c>
      <c r="O117" s="743">
        <v>0</v>
      </c>
      <c r="P117" s="742">
        <v>0</v>
      </c>
      <c r="Q117" s="744">
        <v>0</v>
      </c>
      <c r="R117" s="741" t="s">
        <v>103</v>
      </c>
      <c r="S117" s="741" t="s">
        <v>103</v>
      </c>
    </row>
    <row r="118" spans="2:19" s="97" customFormat="1">
      <c r="B118" s="723" t="s">
        <v>502</v>
      </c>
      <c r="C118" s="723"/>
      <c r="D118" s="723"/>
      <c r="E118" s="724"/>
      <c r="F118" s="724"/>
      <c r="G118" s="724"/>
      <c r="H118" s="725">
        <v>0</v>
      </c>
      <c r="I118" s="726"/>
      <c r="J118" s="727"/>
      <c r="K118" s="726"/>
      <c r="L118" s="726"/>
      <c r="M118" s="727">
        <v>0</v>
      </c>
      <c r="N118" s="727" t="s">
        <v>103</v>
      </c>
      <c r="O118" s="728"/>
      <c r="P118" s="727"/>
      <c r="Q118" s="726"/>
      <c r="R118" s="726"/>
      <c r="S118" s="726"/>
    </row>
    <row r="119" spans="2:19">
      <c r="B119" s="746" t="s">
        <v>503</v>
      </c>
      <c r="C119" s="9" t="s">
        <v>1009</v>
      </c>
      <c r="D119" s="730" t="s">
        <v>110</v>
      </c>
      <c r="E119" s="747">
        <v>6739.8173069491595</v>
      </c>
      <c r="F119" s="747">
        <v>121.91517966837546</v>
      </c>
      <c r="G119" s="747">
        <v>6861.732486617535</v>
      </c>
      <c r="H119" s="748">
        <v>0</v>
      </c>
      <c r="I119" s="755" t="s">
        <v>258</v>
      </c>
      <c r="J119" s="756">
        <v>6861.732486617535</v>
      </c>
      <c r="K119" s="735">
        <v>0</v>
      </c>
      <c r="L119" s="735" t="s">
        <v>103</v>
      </c>
      <c r="M119" s="756">
        <v>0</v>
      </c>
      <c r="N119" s="756" t="s">
        <v>103</v>
      </c>
      <c r="O119" s="736">
        <v>0</v>
      </c>
      <c r="P119" s="754">
        <v>0</v>
      </c>
      <c r="Q119" s="752">
        <v>0</v>
      </c>
      <c r="R119" s="9" t="s">
        <v>103</v>
      </c>
      <c r="S119" s="9" t="s">
        <v>103</v>
      </c>
    </row>
    <row r="120" spans="2:19" s="101" customFormat="1">
      <c r="B120" s="738" t="s">
        <v>1336</v>
      </c>
      <c r="C120" s="738"/>
      <c r="D120" s="738"/>
      <c r="E120" s="739">
        <v>6739.8173069491595</v>
      </c>
      <c r="F120" s="739">
        <v>121.91517966837546</v>
      </c>
      <c r="G120" s="739">
        <f>SUM(G119)</f>
        <v>6861.732486617535</v>
      </c>
      <c r="H120" s="740">
        <v>0</v>
      </c>
      <c r="I120" s="741"/>
      <c r="J120" s="742">
        <v>6861.732486617535</v>
      </c>
      <c r="K120" s="742">
        <v>0</v>
      </c>
      <c r="L120" s="741"/>
      <c r="M120" s="742">
        <v>0</v>
      </c>
      <c r="N120" s="742">
        <v>0</v>
      </c>
      <c r="O120" s="743">
        <v>0</v>
      </c>
      <c r="P120" s="742">
        <v>0</v>
      </c>
      <c r="Q120" s="744">
        <v>0</v>
      </c>
      <c r="R120" s="741" t="s">
        <v>103</v>
      </c>
      <c r="S120" s="741" t="s">
        <v>103</v>
      </c>
    </row>
    <row r="121" spans="2:19" s="97" customFormat="1">
      <c r="B121" s="723" t="s">
        <v>504</v>
      </c>
      <c r="C121" s="723"/>
      <c r="D121" s="723"/>
      <c r="E121" s="724"/>
      <c r="F121" s="724"/>
      <c r="G121" s="724"/>
      <c r="H121" s="725">
        <v>0</v>
      </c>
      <c r="I121" s="726"/>
      <c r="J121" s="727"/>
      <c r="K121" s="726"/>
      <c r="L121" s="726"/>
      <c r="M121" s="727">
        <v>0</v>
      </c>
      <c r="N121" s="727" t="s">
        <v>103</v>
      </c>
      <c r="O121" s="728"/>
      <c r="P121" s="727"/>
      <c r="Q121" s="726"/>
      <c r="R121" s="726"/>
      <c r="S121" s="726"/>
    </row>
    <row r="122" spans="2:19">
      <c r="B122" s="746" t="s">
        <v>505</v>
      </c>
      <c r="C122" s="9" t="s">
        <v>1009</v>
      </c>
      <c r="D122" s="730" t="s">
        <v>110</v>
      </c>
      <c r="E122" s="747">
        <v>-232695.96546804026</v>
      </c>
      <c r="F122" s="747">
        <v>35454.623241248533</v>
      </c>
      <c r="G122" s="747">
        <v>-197241.34222679189</v>
      </c>
      <c r="H122" s="694">
        <v>5.5632051392755413</v>
      </c>
      <c r="I122" s="749" t="s">
        <v>258</v>
      </c>
      <c r="J122" s="750">
        <v>-197241.34222679189</v>
      </c>
      <c r="K122" s="735">
        <v>0</v>
      </c>
      <c r="L122" s="735" t="s">
        <v>103</v>
      </c>
      <c r="M122" s="750">
        <v>0</v>
      </c>
      <c r="N122" s="750" t="s">
        <v>103</v>
      </c>
      <c r="O122" s="736">
        <v>0</v>
      </c>
      <c r="P122" s="751">
        <v>0</v>
      </c>
      <c r="Q122" s="752">
        <v>0</v>
      </c>
      <c r="R122" s="9" t="s">
        <v>103</v>
      </c>
      <c r="S122" s="9" t="s">
        <v>103</v>
      </c>
    </row>
    <row r="123" spans="2:19">
      <c r="B123" s="746" t="s">
        <v>510</v>
      </c>
      <c r="C123" s="9" t="s">
        <v>1009</v>
      </c>
      <c r="D123" s="730" t="s">
        <v>110</v>
      </c>
      <c r="E123" s="747">
        <v>146170.6924270248</v>
      </c>
      <c r="F123" s="747">
        <v>26565.847521609481</v>
      </c>
      <c r="G123" s="747">
        <v>172736.53994863419</v>
      </c>
      <c r="H123" s="748">
        <v>0</v>
      </c>
      <c r="I123" s="755" t="s">
        <v>258</v>
      </c>
      <c r="J123" s="756">
        <v>172736.53994863419</v>
      </c>
      <c r="K123" s="735">
        <v>0</v>
      </c>
      <c r="L123" s="735" t="s">
        <v>103</v>
      </c>
      <c r="M123" s="756">
        <v>0</v>
      </c>
      <c r="N123" s="756" t="s">
        <v>103</v>
      </c>
      <c r="O123" s="736">
        <v>0</v>
      </c>
      <c r="P123" s="754">
        <v>0</v>
      </c>
      <c r="Q123" s="752">
        <v>0</v>
      </c>
      <c r="R123" s="9" t="s">
        <v>103</v>
      </c>
      <c r="S123" s="9" t="s">
        <v>103</v>
      </c>
    </row>
    <row r="124" spans="2:19" s="101" customFormat="1">
      <c r="B124" s="738" t="s">
        <v>1339</v>
      </c>
      <c r="C124" s="738"/>
      <c r="D124" s="738"/>
      <c r="E124" s="739">
        <v>-86525.273041015462</v>
      </c>
      <c r="F124" s="739">
        <v>62020.470762858014</v>
      </c>
      <c r="G124" s="739">
        <f>SUM(G122:G123)</f>
        <v>-24504.802278157702</v>
      </c>
      <c r="H124" s="740">
        <v>0</v>
      </c>
      <c r="I124" s="741"/>
      <c r="J124" s="742">
        <v>-24504.802278157702</v>
      </c>
      <c r="K124" s="742">
        <v>0</v>
      </c>
      <c r="L124" s="741"/>
      <c r="M124" s="742">
        <v>0</v>
      </c>
      <c r="N124" s="742">
        <v>0</v>
      </c>
      <c r="O124" s="743">
        <v>0</v>
      </c>
      <c r="P124" s="742">
        <v>0</v>
      </c>
      <c r="Q124" s="744">
        <v>0</v>
      </c>
      <c r="R124" s="741" t="s">
        <v>103</v>
      </c>
      <c r="S124" s="741" t="s">
        <v>103</v>
      </c>
    </row>
    <row r="125" spans="2:19" s="97" customFormat="1">
      <c r="B125" s="723" t="s">
        <v>514</v>
      </c>
      <c r="C125" s="723"/>
      <c r="D125" s="723"/>
      <c r="E125" s="724"/>
      <c r="F125" s="724"/>
      <c r="G125" s="724"/>
      <c r="H125" s="725">
        <v>0</v>
      </c>
      <c r="I125" s="726"/>
      <c r="J125" s="727"/>
      <c r="K125" s="726"/>
      <c r="L125" s="726"/>
      <c r="M125" s="727">
        <v>0</v>
      </c>
      <c r="N125" s="727" t="s">
        <v>103</v>
      </c>
      <c r="O125" s="728"/>
      <c r="P125" s="727"/>
      <c r="Q125" s="726"/>
      <c r="R125" s="726"/>
      <c r="S125" s="726"/>
    </row>
    <row r="126" spans="2:19">
      <c r="B126" s="746" t="s">
        <v>515</v>
      </c>
      <c r="C126" s="9" t="s">
        <v>1009</v>
      </c>
      <c r="D126" s="730" t="s">
        <v>110</v>
      </c>
      <c r="E126" s="747">
        <v>137053.44370308687</v>
      </c>
      <c r="F126" s="747">
        <v>46977.091288968702</v>
      </c>
      <c r="G126" s="747">
        <v>46977.534992055516</v>
      </c>
      <c r="H126" s="748">
        <v>0</v>
      </c>
      <c r="I126" s="749" t="s">
        <v>258</v>
      </c>
      <c r="J126" s="750">
        <v>46977.534992055516</v>
      </c>
      <c r="K126" s="735">
        <v>0</v>
      </c>
      <c r="L126" s="735" t="s">
        <v>103</v>
      </c>
      <c r="M126" s="750">
        <v>0</v>
      </c>
      <c r="N126" s="750" t="s">
        <v>103</v>
      </c>
      <c r="O126" s="736">
        <v>0</v>
      </c>
      <c r="P126" s="754">
        <v>0</v>
      </c>
      <c r="Q126" s="752">
        <v>0</v>
      </c>
      <c r="R126" s="9" t="s">
        <v>103</v>
      </c>
      <c r="S126" s="9" t="s">
        <v>103</v>
      </c>
    </row>
    <row r="127" spans="2:19">
      <c r="B127" s="746" t="s">
        <v>516</v>
      </c>
      <c r="C127" s="9" t="s">
        <v>1009</v>
      </c>
      <c r="D127" s="730" t="s">
        <v>110</v>
      </c>
      <c r="E127" s="747">
        <v>2250.0338756961496</v>
      </c>
      <c r="F127" s="747">
        <v>142.85580257482263</v>
      </c>
      <c r="G127" s="747">
        <v>2392.8896782709721</v>
      </c>
      <c r="H127" s="748">
        <v>0</v>
      </c>
      <c r="I127" s="749" t="s">
        <v>258</v>
      </c>
      <c r="J127" s="750">
        <v>2392.8896782709721</v>
      </c>
      <c r="K127" s="735">
        <v>0</v>
      </c>
      <c r="L127" s="735" t="s">
        <v>103</v>
      </c>
      <c r="M127" s="750">
        <v>0</v>
      </c>
      <c r="N127" s="750" t="s">
        <v>103</v>
      </c>
      <c r="O127" s="736">
        <v>0</v>
      </c>
      <c r="P127" s="754">
        <v>0</v>
      </c>
      <c r="Q127" s="752">
        <v>0</v>
      </c>
      <c r="R127" s="9" t="s">
        <v>103</v>
      </c>
      <c r="S127" s="9" t="s">
        <v>103</v>
      </c>
    </row>
    <row r="128" spans="2:19">
      <c r="B128" s="746" t="s">
        <v>517</v>
      </c>
      <c r="C128" s="9" t="s">
        <v>1009</v>
      </c>
      <c r="D128" s="730" t="s">
        <v>110</v>
      </c>
      <c r="E128" s="747">
        <v>-175274.99382661248</v>
      </c>
      <c r="F128" s="747">
        <v>72456.650285365729</v>
      </c>
      <c r="G128" s="747">
        <v>-102818.34354124687</v>
      </c>
      <c r="H128" s="694">
        <v>1.4190325268461019</v>
      </c>
      <c r="I128" s="749" t="s">
        <v>258</v>
      </c>
      <c r="J128" s="750">
        <v>-102818.34354124687</v>
      </c>
      <c r="K128" s="735">
        <v>0</v>
      </c>
      <c r="L128" s="735" t="s">
        <v>103</v>
      </c>
      <c r="M128" s="750">
        <v>0</v>
      </c>
      <c r="N128" s="750" t="s">
        <v>103</v>
      </c>
      <c r="O128" s="736">
        <v>0</v>
      </c>
      <c r="P128" s="754">
        <v>0</v>
      </c>
      <c r="Q128" s="752">
        <v>0</v>
      </c>
      <c r="R128" s="9" t="s">
        <v>103</v>
      </c>
      <c r="S128" s="9" t="s">
        <v>103</v>
      </c>
    </row>
    <row r="129" spans="2:19">
      <c r="B129" s="746" t="s">
        <v>521</v>
      </c>
      <c r="C129" s="9" t="s">
        <v>1009</v>
      </c>
      <c r="D129" s="730" t="s">
        <v>110</v>
      </c>
      <c r="E129" s="747">
        <v>1626841.2470146043</v>
      </c>
      <c r="F129" s="747">
        <v>208087.43450812693</v>
      </c>
      <c r="G129" s="747">
        <v>1726842.2915227308</v>
      </c>
      <c r="H129" s="748">
        <v>0</v>
      </c>
      <c r="I129" s="749" t="s">
        <v>258</v>
      </c>
      <c r="J129" s="750">
        <v>1726842.2915227308</v>
      </c>
      <c r="K129" s="735">
        <v>0</v>
      </c>
      <c r="L129" s="735" t="s">
        <v>103</v>
      </c>
      <c r="M129" s="750">
        <v>0</v>
      </c>
      <c r="N129" s="750" t="s">
        <v>103</v>
      </c>
      <c r="O129" s="736">
        <v>0</v>
      </c>
      <c r="P129" s="754">
        <v>0</v>
      </c>
      <c r="Q129" s="752">
        <v>0</v>
      </c>
      <c r="R129" s="9" t="s">
        <v>103</v>
      </c>
      <c r="S129" s="9" t="s">
        <v>103</v>
      </c>
    </row>
    <row r="130" spans="2:19">
      <c r="B130" s="746" t="s">
        <v>525</v>
      </c>
      <c r="C130" s="9" t="s">
        <v>1009</v>
      </c>
      <c r="D130" s="730" t="s">
        <v>110</v>
      </c>
      <c r="E130" s="747">
        <v>1079595.5409393073</v>
      </c>
      <c r="F130" s="747">
        <v>284384.45612242346</v>
      </c>
      <c r="G130" s="747">
        <v>1363979.9970617304</v>
      </c>
      <c r="H130" s="748">
        <v>0</v>
      </c>
      <c r="I130" s="749" t="s">
        <v>258</v>
      </c>
      <c r="J130" s="750">
        <v>1363979.9970617304</v>
      </c>
      <c r="K130" s="735">
        <v>0</v>
      </c>
      <c r="L130" s="735" t="s">
        <v>103</v>
      </c>
      <c r="M130" s="750">
        <v>0</v>
      </c>
      <c r="N130" s="750" t="s">
        <v>103</v>
      </c>
      <c r="O130" s="736">
        <v>0</v>
      </c>
      <c r="P130" s="754">
        <v>0</v>
      </c>
      <c r="Q130" s="752">
        <v>0</v>
      </c>
      <c r="R130" s="9" t="s">
        <v>103</v>
      </c>
      <c r="S130" s="9" t="s">
        <v>103</v>
      </c>
    </row>
    <row r="131" spans="2:19">
      <c r="B131" s="746" t="s">
        <v>526</v>
      </c>
      <c r="C131" s="9" t="s">
        <v>1009</v>
      </c>
      <c r="D131" s="730" t="s">
        <v>110</v>
      </c>
      <c r="E131" s="747">
        <v>1534656.7566115372</v>
      </c>
      <c r="F131" s="747">
        <v>84932.399894411355</v>
      </c>
      <c r="G131" s="747">
        <v>1619589.1565059482</v>
      </c>
      <c r="H131" s="748">
        <v>0</v>
      </c>
      <c r="I131" s="749" t="s">
        <v>258</v>
      </c>
      <c r="J131" s="750">
        <v>1619589.1565059482</v>
      </c>
      <c r="K131" s="735">
        <v>0</v>
      </c>
      <c r="L131" s="735" t="s">
        <v>103</v>
      </c>
      <c r="M131" s="750">
        <v>0</v>
      </c>
      <c r="N131" s="750" t="s">
        <v>103</v>
      </c>
      <c r="O131" s="736">
        <v>0</v>
      </c>
      <c r="P131" s="754">
        <v>0</v>
      </c>
      <c r="Q131" s="752">
        <v>0</v>
      </c>
      <c r="R131" s="9" t="s">
        <v>103</v>
      </c>
      <c r="S131" s="9" t="s">
        <v>103</v>
      </c>
    </row>
    <row r="132" spans="2:19">
      <c r="B132" s="746" t="s">
        <v>527</v>
      </c>
      <c r="C132" s="9" t="s">
        <v>1009</v>
      </c>
      <c r="D132" s="730" t="s">
        <v>110</v>
      </c>
      <c r="E132" s="747">
        <v>613400.30924449</v>
      </c>
      <c r="F132" s="747">
        <v>95243.496739375318</v>
      </c>
      <c r="G132" s="747">
        <v>708643.80598386552</v>
      </c>
      <c r="H132" s="748">
        <v>0</v>
      </c>
      <c r="I132" s="749" t="s">
        <v>258</v>
      </c>
      <c r="J132" s="750">
        <v>708643.80598386552</v>
      </c>
      <c r="K132" s="735">
        <v>0</v>
      </c>
      <c r="L132" s="735" t="s">
        <v>103</v>
      </c>
      <c r="M132" s="750">
        <v>0</v>
      </c>
      <c r="N132" s="750" t="s">
        <v>103</v>
      </c>
      <c r="O132" s="736">
        <v>0</v>
      </c>
      <c r="P132" s="754">
        <v>0</v>
      </c>
      <c r="Q132" s="752">
        <v>0</v>
      </c>
      <c r="R132" s="9" t="s">
        <v>103</v>
      </c>
      <c r="S132" s="9" t="s">
        <v>103</v>
      </c>
    </row>
    <row r="133" spans="2:19">
      <c r="B133" s="746" t="s">
        <v>530</v>
      </c>
      <c r="C133" s="9" t="s">
        <v>1009</v>
      </c>
      <c r="D133" s="730" t="s">
        <v>110</v>
      </c>
      <c r="E133" s="747">
        <v>3936633.0518222954</v>
      </c>
      <c r="F133" s="747">
        <v>288079.48948314332</v>
      </c>
      <c r="G133" s="747">
        <v>3774801.3613054371</v>
      </c>
      <c r="H133" s="748">
        <v>0</v>
      </c>
      <c r="I133" s="749" t="s">
        <v>258</v>
      </c>
      <c r="J133" s="750">
        <v>3774801.3613054371</v>
      </c>
      <c r="K133" s="735">
        <v>0</v>
      </c>
      <c r="L133" s="735" t="s">
        <v>103</v>
      </c>
      <c r="M133" s="750">
        <v>0</v>
      </c>
      <c r="N133" s="750" t="s">
        <v>103</v>
      </c>
      <c r="O133" s="736">
        <v>0</v>
      </c>
      <c r="P133" s="754">
        <v>0</v>
      </c>
      <c r="Q133" s="752">
        <v>0</v>
      </c>
      <c r="R133" s="9" t="s">
        <v>103</v>
      </c>
      <c r="S133" s="9" t="s">
        <v>103</v>
      </c>
    </row>
    <row r="134" spans="2:19">
      <c r="B134" s="746" t="s">
        <v>540</v>
      </c>
      <c r="C134" s="9" t="s">
        <v>1009</v>
      </c>
      <c r="D134" s="730" t="s">
        <v>110</v>
      </c>
      <c r="E134" s="747">
        <v>2632991.1958300541</v>
      </c>
      <c r="F134" s="747">
        <v>421061.17979667202</v>
      </c>
      <c r="G134" s="747">
        <v>3053180.4056267259</v>
      </c>
      <c r="H134" s="748">
        <v>0</v>
      </c>
      <c r="I134" s="749" t="s">
        <v>258</v>
      </c>
      <c r="J134" s="750">
        <v>3053180.4056267259</v>
      </c>
      <c r="K134" s="735">
        <v>0</v>
      </c>
      <c r="L134" s="735" t="s">
        <v>103</v>
      </c>
      <c r="M134" s="750">
        <v>0</v>
      </c>
      <c r="N134" s="750" t="s">
        <v>103</v>
      </c>
      <c r="O134" s="736">
        <v>0</v>
      </c>
      <c r="P134" s="754">
        <v>0</v>
      </c>
      <c r="Q134" s="752">
        <v>0</v>
      </c>
      <c r="R134" s="9" t="s">
        <v>103</v>
      </c>
      <c r="S134" s="9" t="s">
        <v>103</v>
      </c>
    </row>
    <row r="135" spans="2:19">
      <c r="B135" s="746" t="s">
        <v>552</v>
      </c>
      <c r="C135" s="9" t="s">
        <v>1009</v>
      </c>
      <c r="D135" s="730" t="s">
        <v>110</v>
      </c>
      <c r="E135" s="747">
        <v>-1169709.3245663606</v>
      </c>
      <c r="F135" s="747">
        <v>408001.47598831309</v>
      </c>
      <c r="G135" s="747">
        <v>-761707.84857804654</v>
      </c>
      <c r="H135" s="694">
        <v>1.8669242475972443</v>
      </c>
      <c r="I135" s="749" t="s">
        <v>258</v>
      </c>
      <c r="J135" s="750">
        <v>-761707.84857804654</v>
      </c>
      <c r="K135" s="735">
        <v>0</v>
      </c>
      <c r="L135" s="735" t="s">
        <v>103</v>
      </c>
      <c r="M135" s="750">
        <v>0</v>
      </c>
      <c r="N135" s="750" t="s">
        <v>103</v>
      </c>
      <c r="O135" s="736">
        <v>0</v>
      </c>
      <c r="P135" s="754">
        <v>0</v>
      </c>
      <c r="Q135" s="752">
        <v>0</v>
      </c>
      <c r="R135" s="9" t="s">
        <v>103</v>
      </c>
      <c r="S135" s="9" t="s">
        <v>103</v>
      </c>
    </row>
    <row r="136" spans="2:19">
      <c r="B136" s="746" t="s">
        <v>561</v>
      </c>
      <c r="C136" s="9" t="s">
        <v>1009</v>
      </c>
      <c r="D136" s="730" t="s">
        <v>110</v>
      </c>
      <c r="E136" s="747">
        <v>1474182.0069304439</v>
      </c>
      <c r="F136" s="747">
        <v>112137.05089921497</v>
      </c>
      <c r="G136" s="747">
        <v>1586319.0578296594</v>
      </c>
      <c r="H136" s="748">
        <v>0</v>
      </c>
      <c r="I136" s="749" t="s">
        <v>258</v>
      </c>
      <c r="J136" s="750">
        <v>1586319.0578296594</v>
      </c>
      <c r="K136" s="735">
        <v>0</v>
      </c>
      <c r="L136" s="735" t="s">
        <v>103</v>
      </c>
      <c r="M136" s="750">
        <v>0</v>
      </c>
      <c r="N136" s="750" t="s">
        <v>103</v>
      </c>
      <c r="O136" s="736">
        <v>0</v>
      </c>
      <c r="P136" s="754">
        <v>0</v>
      </c>
      <c r="Q136" s="752">
        <v>0</v>
      </c>
      <c r="R136" s="9" t="s">
        <v>103</v>
      </c>
      <c r="S136" s="9" t="s">
        <v>103</v>
      </c>
    </row>
    <row r="137" spans="2:19">
      <c r="B137" s="746" t="s">
        <v>562</v>
      </c>
      <c r="C137" s="9" t="s">
        <v>1009</v>
      </c>
      <c r="D137" s="730" t="s">
        <v>110</v>
      </c>
      <c r="E137" s="747">
        <v>349396.90523541957</v>
      </c>
      <c r="F137" s="747">
        <v>144134.69278999831</v>
      </c>
      <c r="G137" s="747">
        <v>493531.59802541829</v>
      </c>
      <c r="H137" s="748">
        <v>0</v>
      </c>
      <c r="I137" s="749" t="s">
        <v>258</v>
      </c>
      <c r="J137" s="750">
        <v>493531.59802541829</v>
      </c>
      <c r="K137" s="735">
        <v>0</v>
      </c>
      <c r="L137" s="735" t="s">
        <v>103</v>
      </c>
      <c r="M137" s="750">
        <v>0</v>
      </c>
      <c r="N137" s="750" t="s">
        <v>103</v>
      </c>
      <c r="O137" s="736">
        <v>0</v>
      </c>
      <c r="P137" s="754">
        <v>0</v>
      </c>
      <c r="Q137" s="752">
        <v>0</v>
      </c>
      <c r="R137" s="9" t="s">
        <v>103</v>
      </c>
      <c r="S137" s="9" t="s">
        <v>103</v>
      </c>
    </row>
    <row r="138" spans="2:19">
      <c r="B138" s="746" t="s">
        <v>567</v>
      </c>
      <c r="C138" s="9" t="s">
        <v>1009</v>
      </c>
      <c r="D138" s="730" t="s">
        <v>110</v>
      </c>
      <c r="E138" s="747">
        <v>50636.887234608381</v>
      </c>
      <c r="F138" s="747">
        <v>19278.26044489734</v>
      </c>
      <c r="G138" s="747">
        <v>62590.067679505679</v>
      </c>
      <c r="H138" s="748">
        <v>0</v>
      </c>
      <c r="I138" s="749" t="s">
        <v>258</v>
      </c>
      <c r="J138" s="750">
        <v>62590.067679505679</v>
      </c>
      <c r="K138" s="735">
        <v>0</v>
      </c>
      <c r="L138" s="735" t="s">
        <v>103</v>
      </c>
      <c r="M138" s="750">
        <v>0</v>
      </c>
      <c r="N138" s="750" t="s">
        <v>103</v>
      </c>
      <c r="O138" s="736">
        <v>0</v>
      </c>
      <c r="P138" s="754">
        <v>0</v>
      </c>
      <c r="Q138" s="752">
        <v>0</v>
      </c>
      <c r="R138" s="9" t="s">
        <v>103</v>
      </c>
      <c r="S138" s="9" t="s">
        <v>103</v>
      </c>
    </row>
    <row r="139" spans="2:19">
      <c r="B139" s="746" t="s">
        <v>571</v>
      </c>
      <c r="C139" s="9" t="s">
        <v>1009</v>
      </c>
      <c r="D139" s="730" t="s">
        <v>110</v>
      </c>
      <c r="E139" s="747">
        <v>372912.5344168669</v>
      </c>
      <c r="F139" s="747">
        <v>84449.934911142031</v>
      </c>
      <c r="G139" s="747">
        <v>2088705.46932801</v>
      </c>
      <c r="H139" s="748">
        <v>0</v>
      </c>
      <c r="I139" s="749" t="s">
        <v>258</v>
      </c>
      <c r="J139" s="750">
        <v>2088705.46932801</v>
      </c>
      <c r="K139" s="735">
        <v>0</v>
      </c>
      <c r="L139" s="735" t="s">
        <v>103</v>
      </c>
      <c r="M139" s="750">
        <v>0</v>
      </c>
      <c r="N139" s="750" t="s">
        <v>103</v>
      </c>
      <c r="O139" s="736">
        <v>0</v>
      </c>
      <c r="P139" s="754">
        <v>0</v>
      </c>
      <c r="Q139" s="752">
        <v>0</v>
      </c>
      <c r="R139" s="9" t="s">
        <v>103</v>
      </c>
      <c r="S139" s="9" t="s">
        <v>103</v>
      </c>
    </row>
    <row r="140" spans="2:19">
      <c r="B140" s="746" t="s">
        <v>578</v>
      </c>
      <c r="C140" s="9" t="s">
        <v>1009</v>
      </c>
      <c r="D140" s="730" t="s">
        <v>110</v>
      </c>
      <c r="E140" s="747">
        <v>126545.32081026809</v>
      </c>
      <c r="F140" s="747">
        <v>0</v>
      </c>
      <c r="G140" s="747">
        <v>126545.32081026811</v>
      </c>
      <c r="H140" s="748">
        <v>0</v>
      </c>
      <c r="I140" s="749" t="s">
        <v>258</v>
      </c>
      <c r="J140" s="750">
        <v>126545.32081026811</v>
      </c>
      <c r="K140" s="735">
        <v>0</v>
      </c>
      <c r="L140" s="735" t="s">
        <v>103</v>
      </c>
      <c r="M140" s="750">
        <v>0</v>
      </c>
      <c r="N140" s="750" t="s">
        <v>103</v>
      </c>
      <c r="O140" s="736">
        <v>0</v>
      </c>
      <c r="P140" s="754">
        <v>0</v>
      </c>
      <c r="Q140" s="752">
        <v>0</v>
      </c>
      <c r="R140" s="9" t="s">
        <v>103</v>
      </c>
      <c r="S140" s="9" t="s">
        <v>103</v>
      </c>
    </row>
    <row r="141" spans="2:19">
      <c r="B141" s="746" t="s">
        <v>579</v>
      </c>
      <c r="C141" s="9" t="s">
        <v>1009</v>
      </c>
      <c r="D141" s="730" t="s">
        <v>110</v>
      </c>
      <c r="E141" s="747">
        <v>43446.704215513135</v>
      </c>
      <c r="F141" s="747">
        <v>9103.7262848783867</v>
      </c>
      <c r="G141" s="747">
        <v>52550.430500391521</v>
      </c>
      <c r="H141" s="748">
        <v>0</v>
      </c>
      <c r="I141" s="749" t="s">
        <v>258</v>
      </c>
      <c r="J141" s="750">
        <v>52550.430500391521</v>
      </c>
      <c r="K141" s="735">
        <v>0</v>
      </c>
      <c r="L141" s="735" t="s">
        <v>103</v>
      </c>
      <c r="M141" s="750">
        <v>0</v>
      </c>
      <c r="N141" s="750" t="s">
        <v>103</v>
      </c>
      <c r="O141" s="736">
        <v>0</v>
      </c>
      <c r="P141" s="754">
        <v>0</v>
      </c>
      <c r="Q141" s="752">
        <v>0</v>
      </c>
      <c r="R141" s="9" t="s">
        <v>103</v>
      </c>
      <c r="S141" s="9" t="s">
        <v>103</v>
      </c>
    </row>
    <row r="142" spans="2:19">
      <c r="B142" s="746" t="s">
        <v>580</v>
      </c>
      <c r="C142" s="9" t="s">
        <v>1009</v>
      </c>
      <c r="D142" s="730" t="s">
        <v>110</v>
      </c>
      <c r="E142" s="747">
        <v>511567.9945282985</v>
      </c>
      <c r="F142" s="747">
        <v>22150.825612559165</v>
      </c>
      <c r="G142" s="747">
        <v>533718.82014085772</v>
      </c>
      <c r="H142" s="748">
        <v>0</v>
      </c>
      <c r="I142" s="749" t="s">
        <v>258</v>
      </c>
      <c r="J142" s="750">
        <v>533718.82014085772</v>
      </c>
      <c r="K142" s="735">
        <v>0</v>
      </c>
      <c r="L142" s="735" t="s">
        <v>103</v>
      </c>
      <c r="M142" s="750">
        <v>0</v>
      </c>
      <c r="N142" s="750" t="s">
        <v>103</v>
      </c>
      <c r="O142" s="736">
        <v>0</v>
      </c>
      <c r="P142" s="754">
        <v>0</v>
      </c>
      <c r="Q142" s="752">
        <v>0</v>
      </c>
      <c r="R142" s="9" t="s">
        <v>103</v>
      </c>
      <c r="S142" s="9" t="s">
        <v>103</v>
      </c>
    </row>
    <row r="143" spans="2:19">
      <c r="B143" s="746" t="s">
        <v>581</v>
      </c>
      <c r="C143" s="9" t="s">
        <v>1009</v>
      </c>
      <c r="D143" s="730" t="s">
        <v>110</v>
      </c>
      <c r="E143" s="747">
        <v>-1300357.5813848323</v>
      </c>
      <c r="F143" s="747">
        <v>0</v>
      </c>
      <c r="G143" s="747">
        <v>-1300357.5813848323</v>
      </c>
      <c r="H143" s="694">
        <v>0</v>
      </c>
      <c r="I143" s="749" t="s">
        <v>258</v>
      </c>
      <c r="J143" s="750">
        <v>-1300357.5813848323</v>
      </c>
      <c r="K143" s="735">
        <v>0</v>
      </c>
      <c r="L143" s="735" t="s">
        <v>103</v>
      </c>
      <c r="M143" s="750">
        <v>0</v>
      </c>
      <c r="N143" s="750" t="s">
        <v>103</v>
      </c>
      <c r="O143" s="736">
        <v>0</v>
      </c>
      <c r="P143" s="754">
        <v>0</v>
      </c>
      <c r="Q143" s="752">
        <v>0</v>
      </c>
      <c r="R143" s="9" t="s">
        <v>103</v>
      </c>
      <c r="S143" s="9" t="s">
        <v>103</v>
      </c>
    </row>
    <row r="144" spans="2:19">
      <c r="B144" s="746" t="s">
        <v>582</v>
      </c>
      <c r="C144" s="9" t="s">
        <v>1009</v>
      </c>
      <c r="D144" s="730" t="s">
        <v>110</v>
      </c>
      <c r="E144" s="747">
        <v>-45878.825829686204</v>
      </c>
      <c r="F144" s="747">
        <v>42720.241210460314</v>
      </c>
      <c r="G144" s="747">
        <v>-3158.5846192258177</v>
      </c>
      <c r="H144" s="762">
        <v>7.3936488412252199E-2</v>
      </c>
      <c r="I144" s="749" t="s">
        <v>258</v>
      </c>
      <c r="J144" s="750">
        <v>-3158.5846192258177</v>
      </c>
      <c r="K144" s="735">
        <v>0</v>
      </c>
      <c r="L144" s="735" t="s">
        <v>103</v>
      </c>
      <c r="M144" s="750">
        <v>0</v>
      </c>
      <c r="N144" s="750" t="s">
        <v>103</v>
      </c>
      <c r="O144" s="736">
        <v>0</v>
      </c>
      <c r="P144" s="754">
        <v>0</v>
      </c>
      <c r="Q144" s="752">
        <v>0</v>
      </c>
      <c r="R144" s="9" t="s">
        <v>103</v>
      </c>
      <c r="S144" s="9" t="s">
        <v>103</v>
      </c>
    </row>
    <row r="145" spans="2:19">
      <c r="B145" s="746" t="s">
        <v>585</v>
      </c>
      <c r="C145" s="9" t="s">
        <v>1009</v>
      </c>
      <c r="D145" s="730" t="s">
        <v>110</v>
      </c>
      <c r="E145" s="747">
        <v>100956.85959249151</v>
      </c>
      <c r="F145" s="747">
        <v>68951.971327277744</v>
      </c>
      <c r="G145" s="747">
        <v>68951.83091976904</v>
      </c>
      <c r="H145" s="748">
        <v>0</v>
      </c>
      <c r="I145" s="749" t="s">
        <v>258</v>
      </c>
      <c r="J145" s="750">
        <v>68951.83091976904</v>
      </c>
      <c r="K145" s="735">
        <v>0</v>
      </c>
      <c r="L145" s="735" t="s">
        <v>103</v>
      </c>
      <c r="M145" s="750">
        <v>0</v>
      </c>
      <c r="N145" s="750" t="s">
        <v>103</v>
      </c>
      <c r="O145" s="736">
        <v>0</v>
      </c>
      <c r="P145" s="754">
        <v>0</v>
      </c>
      <c r="Q145" s="752">
        <v>0</v>
      </c>
      <c r="R145" s="9" t="s">
        <v>103</v>
      </c>
      <c r="S145" s="9" t="s">
        <v>103</v>
      </c>
    </row>
    <row r="146" spans="2:19">
      <c r="B146" s="746" t="s">
        <v>589</v>
      </c>
      <c r="C146" s="9" t="s">
        <v>1009</v>
      </c>
      <c r="D146" s="730" t="s">
        <v>110</v>
      </c>
      <c r="E146" s="747">
        <v>-2420643.2640008191</v>
      </c>
      <c r="F146" s="747">
        <v>212263.36934796575</v>
      </c>
      <c r="G146" s="747">
        <v>-2107422.8946528523</v>
      </c>
      <c r="H146" s="694">
        <v>9.9283399727728341</v>
      </c>
      <c r="I146" s="749" t="s">
        <v>258</v>
      </c>
      <c r="J146" s="750">
        <v>-2107422.8946528523</v>
      </c>
      <c r="K146" s="735">
        <v>0</v>
      </c>
      <c r="L146" s="735" t="s">
        <v>103</v>
      </c>
      <c r="M146" s="750">
        <v>0</v>
      </c>
      <c r="N146" s="750" t="s">
        <v>103</v>
      </c>
      <c r="O146" s="736">
        <v>0</v>
      </c>
      <c r="P146" s="754">
        <v>0</v>
      </c>
      <c r="Q146" s="752">
        <v>0</v>
      </c>
      <c r="R146" s="9" t="s">
        <v>103</v>
      </c>
      <c r="S146" s="9" t="s">
        <v>103</v>
      </c>
    </row>
    <row r="147" spans="2:19">
      <c r="B147" s="746" t="s">
        <v>596</v>
      </c>
      <c r="C147" s="9" t="s">
        <v>1009</v>
      </c>
      <c r="D147" s="730" t="s">
        <v>110</v>
      </c>
      <c r="E147" s="747">
        <v>-841066.32851775573</v>
      </c>
      <c r="F147" s="747">
        <v>272119.59290943149</v>
      </c>
      <c r="G147" s="747">
        <v>-533497.22560832417</v>
      </c>
      <c r="H147" s="694">
        <v>1.9605248556500889</v>
      </c>
      <c r="I147" s="749" t="s">
        <v>258</v>
      </c>
      <c r="J147" s="750">
        <v>-533497.22560832417</v>
      </c>
      <c r="K147" s="735">
        <v>0</v>
      </c>
      <c r="L147" s="735" t="s">
        <v>103</v>
      </c>
      <c r="M147" s="750">
        <v>0</v>
      </c>
      <c r="N147" s="750" t="s">
        <v>103</v>
      </c>
      <c r="O147" s="736">
        <v>0</v>
      </c>
      <c r="P147" s="754">
        <v>0</v>
      </c>
      <c r="Q147" s="752">
        <v>0</v>
      </c>
      <c r="R147" s="9" t="s">
        <v>103</v>
      </c>
      <c r="S147" s="9" t="s">
        <v>103</v>
      </c>
    </row>
    <row r="148" spans="2:19">
      <c r="B148" s="746" t="s">
        <v>599</v>
      </c>
      <c r="C148" s="9" t="s">
        <v>1009</v>
      </c>
      <c r="D148" s="730" t="s">
        <v>110</v>
      </c>
      <c r="E148" s="747">
        <v>467403.2630017912</v>
      </c>
      <c r="F148" s="747">
        <v>73546.541579188866</v>
      </c>
      <c r="G148" s="747">
        <v>540949.8045809801</v>
      </c>
      <c r="H148" s="748">
        <v>0</v>
      </c>
      <c r="I148" s="749" t="s">
        <v>258</v>
      </c>
      <c r="J148" s="750">
        <v>540949.8045809801</v>
      </c>
      <c r="K148" s="735">
        <v>0</v>
      </c>
      <c r="L148" s="735" t="s">
        <v>103</v>
      </c>
      <c r="M148" s="750">
        <v>0</v>
      </c>
      <c r="N148" s="750" t="s">
        <v>103</v>
      </c>
      <c r="O148" s="736">
        <v>0</v>
      </c>
      <c r="P148" s="754">
        <v>0</v>
      </c>
      <c r="Q148" s="752">
        <v>0</v>
      </c>
      <c r="R148" s="9" t="s">
        <v>103</v>
      </c>
      <c r="S148" s="9" t="s">
        <v>103</v>
      </c>
    </row>
    <row r="149" spans="2:19">
      <c r="B149" s="746" t="s">
        <v>603</v>
      </c>
      <c r="C149" s="9" t="s">
        <v>1009</v>
      </c>
      <c r="D149" s="730" t="s">
        <v>110</v>
      </c>
      <c r="E149" s="747">
        <v>144289.95933459408</v>
      </c>
      <c r="F149" s="747">
        <v>50839.632776415769</v>
      </c>
      <c r="G149" s="747">
        <v>50839.592111009966</v>
      </c>
      <c r="H149" s="748">
        <v>0</v>
      </c>
      <c r="I149" s="749" t="s">
        <v>258</v>
      </c>
      <c r="J149" s="750">
        <v>50839.592111009966</v>
      </c>
      <c r="K149" s="735">
        <v>0</v>
      </c>
      <c r="L149" s="735" t="s">
        <v>103</v>
      </c>
      <c r="M149" s="750">
        <v>0</v>
      </c>
      <c r="N149" s="750" t="s">
        <v>103</v>
      </c>
      <c r="O149" s="736">
        <v>0</v>
      </c>
      <c r="P149" s="754">
        <v>0</v>
      </c>
      <c r="Q149" s="752">
        <v>0</v>
      </c>
      <c r="R149" s="9" t="s">
        <v>103</v>
      </c>
      <c r="S149" s="9" t="s">
        <v>103</v>
      </c>
    </row>
    <row r="150" spans="2:19">
      <c r="B150" s="746" t="s">
        <v>604</v>
      </c>
      <c r="C150" s="9" t="s">
        <v>1009</v>
      </c>
      <c r="D150" s="730" t="s">
        <v>110</v>
      </c>
      <c r="E150" s="747">
        <v>509834.38450341055</v>
      </c>
      <c r="F150" s="747">
        <v>546068.43041562499</v>
      </c>
      <c r="G150" s="747">
        <v>1055902.8149190343</v>
      </c>
      <c r="H150" s="748">
        <v>0</v>
      </c>
      <c r="I150" s="749" t="s">
        <v>258</v>
      </c>
      <c r="J150" s="750">
        <v>1055902.8149190343</v>
      </c>
      <c r="K150" s="735">
        <v>0</v>
      </c>
      <c r="L150" s="735" t="s">
        <v>103</v>
      </c>
      <c r="M150" s="750">
        <v>0</v>
      </c>
      <c r="N150" s="750" t="s">
        <v>103</v>
      </c>
      <c r="O150" s="736">
        <v>0</v>
      </c>
      <c r="P150" s="754">
        <v>0</v>
      </c>
      <c r="Q150" s="752">
        <v>0</v>
      </c>
      <c r="R150" s="9" t="s">
        <v>103</v>
      </c>
      <c r="S150" s="9" t="s">
        <v>103</v>
      </c>
    </row>
    <row r="151" spans="2:19">
      <c r="B151" s="746" t="s">
        <v>622</v>
      </c>
      <c r="C151" s="9" t="s">
        <v>1009</v>
      </c>
      <c r="D151" s="730" t="s">
        <v>110</v>
      </c>
      <c r="E151" s="747">
        <v>1060684.5548581115</v>
      </c>
      <c r="F151" s="747">
        <v>74382.942182236933</v>
      </c>
      <c r="G151" s="747">
        <v>631022.02704034839</v>
      </c>
      <c r="H151" s="748">
        <v>0</v>
      </c>
      <c r="I151" s="749" t="s">
        <v>258</v>
      </c>
      <c r="J151" s="750">
        <v>631022.02704034839</v>
      </c>
      <c r="K151" s="735">
        <v>0</v>
      </c>
      <c r="L151" s="735" t="s">
        <v>103</v>
      </c>
      <c r="M151" s="750">
        <v>0</v>
      </c>
      <c r="N151" s="750" t="s">
        <v>103</v>
      </c>
      <c r="O151" s="736">
        <v>0</v>
      </c>
      <c r="P151" s="754">
        <v>0</v>
      </c>
      <c r="Q151" s="752">
        <v>0</v>
      </c>
      <c r="R151" s="9" t="s">
        <v>103</v>
      </c>
      <c r="S151" s="9" t="s">
        <v>103</v>
      </c>
    </row>
    <row r="152" spans="2:19">
      <c r="B152" s="746" t="s">
        <v>629</v>
      </c>
      <c r="C152" s="9" t="s">
        <v>1009</v>
      </c>
      <c r="D152" s="730" t="s">
        <v>110</v>
      </c>
      <c r="E152" s="747">
        <v>2212643.4958147067</v>
      </c>
      <c r="F152" s="747">
        <v>65982.19678584869</v>
      </c>
      <c r="G152" s="747">
        <v>-121374.30739944511</v>
      </c>
      <c r="H152" s="694">
        <v>1.8395008549560214</v>
      </c>
      <c r="I152" s="749" t="s">
        <v>258</v>
      </c>
      <c r="J152" s="750">
        <v>-121374.30739944511</v>
      </c>
      <c r="K152" s="735">
        <v>0</v>
      </c>
      <c r="L152" s="735" t="s">
        <v>103</v>
      </c>
      <c r="M152" s="750">
        <v>0</v>
      </c>
      <c r="N152" s="750" t="s">
        <v>103</v>
      </c>
      <c r="O152" s="736">
        <v>0</v>
      </c>
      <c r="P152" s="754">
        <v>0</v>
      </c>
      <c r="Q152" s="752">
        <v>0</v>
      </c>
      <c r="R152" s="9" t="s">
        <v>103</v>
      </c>
      <c r="S152" s="9" t="s">
        <v>103</v>
      </c>
    </row>
    <row r="153" spans="2:19">
      <c r="B153" s="746" t="s">
        <v>633</v>
      </c>
      <c r="C153" s="9" t="s">
        <v>1009</v>
      </c>
      <c r="D153" s="730" t="s">
        <v>110</v>
      </c>
      <c r="E153" s="747">
        <v>897793.53313359828</v>
      </c>
      <c r="F153" s="747">
        <v>112656.65683506336</v>
      </c>
      <c r="G153" s="747">
        <v>1010450.1899686614</v>
      </c>
      <c r="H153" s="748">
        <v>0</v>
      </c>
      <c r="I153" s="749" t="s">
        <v>258</v>
      </c>
      <c r="J153" s="750">
        <v>1010450.1899686614</v>
      </c>
      <c r="K153" s="735">
        <v>0</v>
      </c>
      <c r="L153" s="735" t="s">
        <v>103</v>
      </c>
      <c r="M153" s="750">
        <v>0</v>
      </c>
      <c r="N153" s="750" t="s">
        <v>103</v>
      </c>
      <c r="O153" s="736">
        <v>0</v>
      </c>
      <c r="P153" s="754">
        <v>0</v>
      </c>
      <c r="Q153" s="752">
        <v>0</v>
      </c>
      <c r="R153" s="9" t="s">
        <v>103</v>
      </c>
      <c r="S153" s="9" t="s">
        <v>103</v>
      </c>
    </row>
    <row r="154" spans="2:19">
      <c r="B154" s="746" t="s">
        <v>634</v>
      </c>
      <c r="C154" s="9" t="s">
        <v>1009</v>
      </c>
      <c r="D154" s="730" t="s">
        <v>110</v>
      </c>
      <c r="E154" s="747">
        <v>26730.404885794062</v>
      </c>
      <c r="F154" s="747">
        <v>9851.9995156985569</v>
      </c>
      <c r="G154" s="747">
        <v>36582.404401492589</v>
      </c>
      <c r="H154" s="748">
        <v>0</v>
      </c>
      <c r="I154" s="749" t="s">
        <v>258</v>
      </c>
      <c r="J154" s="750">
        <v>36582.404401492589</v>
      </c>
      <c r="K154" s="752">
        <v>120000</v>
      </c>
      <c r="L154" s="9" t="s">
        <v>580</v>
      </c>
      <c r="M154" s="750">
        <v>120000</v>
      </c>
      <c r="N154" s="757">
        <v>2024</v>
      </c>
      <c r="O154" s="736">
        <v>395357</v>
      </c>
      <c r="P154" s="754">
        <v>0</v>
      </c>
      <c r="Q154" s="752">
        <v>0</v>
      </c>
      <c r="R154" s="9" t="s">
        <v>103</v>
      </c>
      <c r="S154" s="9" t="s">
        <v>103</v>
      </c>
    </row>
    <row r="155" spans="2:19">
      <c r="B155" s="746" t="s">
        <v>638</v>
      </c>
      <c r="C155" s="9" t="s">
        <v>1009</v>
      </c>
      <c r="D155" s="730" t="s">
        <v>110</v>
      </c>
      <c r="E155" s="747">
        <v>1971203.0259631041</v>
      </c>
      <c r="F155" s="747">
        <v>168964.89917742848</v>
      </c>
      <c r="G155" s="747">
        <v>2140124.9451405313</v>
      </c>
      <c r="H155" s="748">
        <v>0</v>
      </c>
      <c r="I155" s="749" t="s">
        <v>258</v>
      </c>
      <c r="J155" s="750">
        <v>2140124.9451405313</v>
      </c>
      <c r="K155" s="735">
        <v>0</v>
      </c>
      <c r="L155" s="735" t="s">
        <v>103</v>
      </c>
      <c r="M155" s="750">
        <v>0</v>
      </c>
      <c r="N155" s="750" t="s">
        <v>103</v>
      </c>
      <c r="O155" s="736">
        <v>0</v>
      </c>
      <c r="P155" s="754">
        <v>0</v>
      </c>
      <c r="Q155" s="752">
        <v>0</v>
      </c>
      <c r="R155" s="9" t="s">
        <v>103</v>
      </c>
      <c r="S155" s="9" t="s">
        <v>103</v>
      </c>
    </row>
    <row r="156" spans="2:19">
      <c r="B156" s="746" t="s">
        <v>643</v>
      </c>
      <c r="C156" s="9" t="s">
        <v>1009</v>
      </c>
      <c r="D156" s="730" t="s">
        <v>110</v>
      </c>
      <c r="E156" s="747">
        <v>689652.54314856662</v>
      </c>
      <c r="F156" s="747">
        <v>76305.111483291534</v>
      </c>
      <c r="G156" s="747">
        <v>765957.65463185799</v>
      </c>
      <c r="H156" s="748">
        <v>0</v>
      </c>
      <c r="I156" s="749" t="s">
        <v>258</v>
      </c>
      <c r="J156" s="750">
        <v>765957.65463185799</v>
      </c>
      <c r="K156" s="735">
        <v>0</v>
      </c>
      <c r="L156" s="735" t="s">
        <v>103</v>
      </c>
      <c r="M156" s="750">
        <v>0</v>
      </c>
      <c r="N156" s="750" t="s">
        <v>103</v>
      </c>
      <c r="O156" s="736">
        <v>0</v>
      </c>
      <c r="P156" s="754">
        <v>0</v>
      </c>
      <c r="Q156" s="752">
        <v>0</v>
      </c>
      <c r="R156" s="9" t="s">
        <v>103</v>
      </c>
      <c r="S156" s="9" t="s">
        <v>103</v>
      </c>
    </row>
    <row r="157" spans="2:19">
      <c r="B157" s="746" t="s">
        <v>647</v>
      </c>
      <c r="C157" s="9" t="s">
        <v>1009</v>
      </c>
      <c r="D157" s="730" t="s">
        <v>110</v>
      </c>
      <c r="E157" s="747">
        <v>-186758.34882351413</v>
      </c>
      <c r="F157" s="747">
        <v>291893.32874851138</v>
      </c>
      <c r="G157" s="747">
        <v>84284.989924997324</v>
      </c>
      <c r="H157" s="748">
        <v>0</v>
      </c>
      <c r="I157" s="755" t="s">
        <v>258</v>
      </c>
      <c r="J157" s="756">
        <v>84284.989924997324</v>
      </c>
      <c r="K157" s="735">
        <v>0</v>
      </c>
      <c r="L157" s="735" t="s">
        <v>103</v>
      </c>
      <c r="M157" s="756">
        <v>0</v>
      </c>
      <c r="N157" s="756" t="s">
        <v>103</v>
      </c>
      <c r="O157" s="736">
        <v>0</v>
      </c>
      <c r="P157" s="754">
        <v>0</v>
      </c>
      <c r="Q157" s="752">
        <v>0</v>
      </c>
      <c r="R157" s="9" t="s">
        <v>103</v>
      </c>
      <c r="S157" s="9" t="s">
        <v>103</v>
      </c>
    </row>
    <row r="158" spans="2:19" s="101" customFormat="1">
      <c r="B158" s="738" t="s">
        <v>1343</v>
      </c>
      <c r="C158" s="738"/>
      <c r="D158" s="738"/>
      <c r="E158" s="739">
        <v>16433613.289699076</v>
      </c>
      <c r="F158" s="739">
        <v>4367167.9351465087</v>
      </c>
      <c r="G158" s="739">
        <f>SUM(G126:G157)</f>
        <v>18695097.67484558</v>
      </c>
      <c r="H158" s="740">
        <v>0</v>
      </c>
      <c r="I158" s="741"/>
      <c r="J158" s="742">
        <v>18695097.67484558</v>
      </c>
      <c r="K158" s="742">
        <v>120000</v>
      </c>
      <c r="L158" s="741"/>
      <c r="M158" s="742">
        <v>120000</v>
      </c>
      <c r="N158" s="742">
        <v>2024</v>
      </c>
      <c r="O158" s="743">
        <v>395357</v>
      </c>
      <c r="P158" s="742">
        <v>0</v>
      </c>
      <c r="Q158" s="744">
        <v>0</v>
      </c>
      <c r="R158" s="741" t="s">
        <v>103</v>
      </c>
      <c r="S158" s="741" t="s">
        <v>103</v>
      </c>
    </row>
    <row r="159" spans="2:19" s="97" customFormat="1">
      <c r="B159" s="723" t="s">
        <v>658</v>
      </c>
      <c r="C159" s="723"/>
      <c r="D159" s="723"/>
      <c r="E159" s="724"/>
      <c r="F159" s="724"/>
      <c r="G159" s="724"/>
      <c r="H159" s="725">
        <v>0</v>
      </c>
      <c r="I159" s="726"/>
      <c r="J159" s="727"/>
      <c r="K159" s="726"/>
      <c r="L159" s="726"/>
      <c r="M159" s="727">
        <v>0</v>
      </c>
      <c r="N159" s="727"/>
      <c r="O159" s="728"/>
      <c r="P159" s="727"/>
      <c r="Q159" s="726"/>
      <c r="R159" s="726"/>
      <c r="S159" s="726"/>
    </row>
    <row r="160" spans="2:19">
      <c r="B160" s="746" t="s">
        <v>659</v>
      </c>
      <c r="C160" s="9" t="s">
        <v>1009</v>
      </c>
      <c r="D160" s="730" t="s">
        <v>110</v>
      </c>
      <c r="E160" s="747">
        <v>24251.826472631139</v>
      </c>
      <c r="F160" s="747">
        <v>21207.757648551451</v>
      </c>
      <c r="G160" s="747">
        <v>35620.504121183032</v>
      </c>
      <c r="H160" s="748">
        <v>0</v>
      </c>
      <c r="I160" s="749" t="s">
        <v>258</v>
      </c>
      <c r="J160" s="750">
        <v>35620.504121183032</v>
      </c>
      <c r="K160" s="735">
        <v>0</v>
      </c>
      <c r="L160" s="735" t="s">
        <v>103</v>
      </c>
      <c r="M160" s="750">
        <v>0</v>
      </c>
      <c r="N160" s="750" t="s">
        <v>103</v>
      </c>
      <c r="O160" s="736">
        <v>0</v>
      </c>
      <c r="P160" s="754">
        <v>0</v>
      </c>
      <c r="Q160" s="752">
        <v>0</v>
      </c>
      <c r="R160" s="9" t="s">
        <v>103</v>
      </c>
      <c r="S160" s="9" t="s">
        <v>103</v>
      </c>
    </row>
    <row r="161" spans="2:19">
      <c r="B161" s="746" t="s">
        <v>664</v>
      </c>
      <c r="C161" s="9" t="s">
        <v>1009</v>
      </c>
      <c r="D161" s="730" t="s">
        <v>110</v>
      </c>
      <c r="E161" s="747">
        <v>580682.07867261348</v>
      </c>
      <c r="F161" s="747">
        <v>23041.841799709899</v>
      </c>
      <c r="G161" s="747">
        <v>603723.92047232343</v>
      </c>
      <c r="H161" s="748">
        <v>0</v>
      </c>
      <c r="I161" s="749" t="s">
        <v>258</v>
      </c>
      <c r="J161" s="750">
        <v>603723.92047232343</v>
      </c>
      <c r="K161" s="735">
        <v>0</v>
      </c>
      <c r="L161" s="735" t="s">
        <v>103</v>
      </c>
      <c r="M161" s="750">
        <v>0</v>
      </c>
      <c r="N161" s="750" t="s">
        <v>103</v>
      </c>
      <c r="O161" s="736">
        <v>0</v>
      </c>
      <c r="P161" s="754">
        <v>0</v>
      </c>
      <c r="Q161" s="752">
        <v>0</v>
      </c>
      <c r="R161" s="9" t="s">
        <v>103</v>
      </c>
      <c r="S161" s="9" t="s">
        <v>103</v>
      </c>
    </row>
    <row r="162" spans="2:19">
      <c r="B162" s="746" t="s">
        <v>665</v>
      </c>
      <c r="C162" s="9" t="s">
        <v>1009</v>
      </c>
      <c r="D162" s="730" t="s">
        <v>110</v>
      </c>
      <c r="E162" s="747">
        <v>176665.45889512313</v>
      </c>
      <c r="F162" s="747">
        <v>14997.24538806167</v>
      </c>
      <c r="G162" s="747">
        <v>191662.70428318478</v>
      </c>
      <c r="H162" s="748">
        <v>0</v>
      </c>
      <c r="I162" s="749" t="s">
        <v>258</v>
      </c>
      <c r="J162" s="750">
        <v>191662.70428318478</v>
      </c>
      <c r="K162" s="735">
        <v>0</v>
      </c>
      <c r="L162" s="735" t="s">
        <v>103</v>
      </c>
      <c r="M162" s="750">
        <v>0</v>
      </c>
      <c r="N162" s="750" t="s">
        <v>103</v>
      </c>
      <c r="O162" s="736">
        <v>0</v>
      </c>
      <c r="P162" s="754">
        <v>0</v>
      </c>
      <c r="Q162" s="752">
        <v>0</v>
      </c>
      <c r="R162" s="9" t="s">
        <v>103</v>
      </c>
      <c r="S162" s="9" t="s">
        <v>103</v>
      </c>
    </row>
    <row r="163" spans="2:19">
      <c r="B163" s="746" t="s">
        <v>666</v>
      </c>
      <c r="C163" s="9" t="s">
        <v>1009</v>
      </c>
      <c r="D163" s="730" t="s">
        <v>110</v>
      </c>
      <c r="E163" s="747">
        <v>-64410.703811836036</v>
      </c>
      <c r="F163" s="747">
        <v>9237.055110542824</v>
      </c>
      <c r="G163" s="747">
        <v>-55173.648701293198</v>
      </c>
      <c r="H163" s="694">
        <v>5.9730777873480578</v>
      </c>
      <c r="I163" s="749" t="s">
        <v>258</v>
      </c>
      <c r="J163" s="750">
        <v>-55173.648701293198</v>
      </c>
      <c r="K163" s="735">
        <v>0</v>
      </c>
      <c r="L163" s="735" t="s">
        <v>103</v>
      </c>
      <c r="M163" s="750">
        <v>0</v>
      </c>
      <c r="N163" s="750" t="s">
        <v>103</v>
      </c>
      <c r="O163" s="736">
        <v>0</v>
      </c>
      <c r="P163" s="754">
        <v>0</v>
      </c>
      <c r="Q163" s="752">
        <v>0</v>
      </c>
      <c r="R163" s="9" t="s">
        <v>103</v>
      </c>
      <c r="S163" s="9" t="s">
        <v>103</v>
      </c>
    </row>
    <row r="164" spans="2:19">
      <c r="B164" s="746" t="s">
        <v>670</v>
      </c>
      <c r="C164" s="9" t="s">
        <v>1009</v>
      </c>
      <c r="D164" s="730" t="s">
        <v>110</v>
      </c>
      <c r="E164" s="747">
        <v>225438.32132654492</v>
      </c>
      <c r="F164" s="747">
        <v>88589.267328422982</v>
      </c>
      <c r="G164" s="747">
        <v>314027.58865496796</v>
      </c>
      <c r="H164" s="748">
        <v>0</v>
      </c>
      <c r="I164" s="749" t="s">
        <v>258</v>
      </c>
      <c r="J164" s="750">
        <v>314027.58865496796</v>
      </c>
      <c r="K164" s="735">
        <v>0</v>
      </c>
      <c r="L164" s="735" t="s">
        <v>103</v>
      </c>
      <c r="M164" s="750">
        <v>0</v>
      </c>
      <c r="N164" s="750" t="s">
        <v>103</v>
      </c>
      <c r="O164" s="736">
        <v>0</v>
      </c>
      <c r="P164" s="754">
        <v>0</v>
      </c>
      <c r="Q164" s="752">
        <v>0</v>
      </c>
      <c r="R164" s="9" t="s">
        <v>103</v>
      </c>
      <c r="S164" s="9" t="s">
        <v>103</v>
      </c>
    </row>
    <row r="165" spans="2:19">
      <c r="B165" s="746" t="s">
        <v>678</v>
      </c>
      <c r="C165" s="9" t="s">
        <v>1009</v>
      </c>
      <c r="D165" s="730" t="s">
        <v>110</v>
      </c>
      <c r="E165" s="747">
        <v>-49206.048493920389</v>
      </c>
      <c r="F165" s="747">
        <v>129719.82427518052</v>
      </c>
      <c r="G165" s="747">
        <v>80513.775781259697</v>
      </c>
      <c r="H165" s="748">
        <v>0</v>
      </c>
      <c r="I165" s="749" t="s">
        <v>258</v>
      </c>
      <c r="J165" s="750">
        <v>80513.775781259697</v>
      </c>
      <c r="K165" s="735">
        <v>0</v>
      </c>
      <c r="L165" s="735" t="s">
        <v>103</v>
      </c>
      <c r="M165" s="750">
        <v>0</v>
      </c>
      <c r="N165" s="750" t="s">
        <v>103</v>
      </c>
      <c r="O165" s="736">
        <v>0</v>
      </c>
      <c r="P165" s="754">
        <v>0</v>
      </c>
      <c r="Q165" s="752">
        <v>0</v>
      </c>
      <c r="R165" s="9" t="s">
        <v>103</v>
      </c>
      <c r="S165" s="9" t="s">
        <v>103</v>
      </c>
    </row>
    <row r="166" spans="2:19">
      <c r="B166" s="746" t="s">
        <v>679</v>
      </c>
      <c r="C166" s="9" t="s">
        <v>1009</v>
      </c>
      <c r="D166" s="730" t="s">
        <v>110</v>
      </c>
      <c r="E166" s="747">
        <v>330779.33311826858</v>
      </c>
      <c r="F166" s="747">
        <v>48084.655820141452</v>
      </c>
      <c r="G166" s="747">
        <v>772934.49893840996</v>
      </c>
      <c r="H166" s="748">
        <v>0</v>
      </c>
      <c r="I166" s="749" t="s">
        <v>258</v>
      </c>
      <c r="J166" s="750">
        <v>772934.49893840996</v>
      </c>
      <c r="K166" s="735">
        <v>0</v>
      </c>
      <c r="L166" s="735" t="s">
        <v>103</v>
      </c>
      <c r="M166" s="750">
        <v>0</v>
      </c>
      <c r="N166" s="750" t="s">
        <v>103</v>
      </c>
      <c r="O166" s="736">
        <v>0</v>
      </c>
      <c r="P166" s="754">
        <v>0</v>
      </c>
      <c r="Q166" s="752">
        <v>0</v>
      </c>
      <c r="R166" s="9" t="s">
        <v>103</v>
      </c>
      <c r="S166" s="9" t="s">
        <v>103</v>
      </c>
    </row>
    <row r="167" spans="2:19">
      <c r="B167" s="746" t="s">
        <v>684</v>
      </c>
      <c r="C167" s="9" t="s">
        <v>1009</v>
      </c>
      <c r="D167" s="730" t="s">
        <v>110</v>
      </c>
      <c r="E167" s="758">
        <v>238702.17935379248</v>
      </c>
      <c r="F167" s="758">
        <v>41008.132553258969</v>
      </c>
      <c r="G167" s="758">
        <v>279710.31190705148</v>
      </c>
      <c r="H167" s="748">
        <v>0</v>
      </c>
      <c r="I167" s="749" t="s">
        <v>258</v>
      </c>
      <c r="J167" s="750">
        <v>279710.31190705148</v>
      </c>
      <c r="K167" s="735">
        <v>0</v>
      </c>
      <c r="L167" s="735" t="s">
        <v>103</v>
      </c>
      <c r="M167" s="750">
        <v>0</v>
      </c>
      <c r="N167" s="750" t="s">
        <v>103</v>
      </c>
      <c r="O167" s="736">
        <v>0</v>
      </c>
      <c r="P167" s="754">
        <v>0</v>
      </c>
      <c r="Q167" s="752">
        <v>0</v>
      </c>
      <c r="R167" s="9" t="s">
        <v>103</v>
      </c>
      <c r="S167" s="9" t="s">
        <v>103</v>
      </c>
    </row>
    <row r="168" spans="2:19">
      <c r="B168" s="746" t="s">
        <v>685</v>
      </c>
      <c r="C168" s="9" t="s">
        <v>1009</v>
      </c>
      <c r="D168" s="730" t="s">
        <v>110</v>
      </c>
      <c r="E168" s="747">
        <v>526245.93890877021</v>
      </c>
      <c r="F168" s="747">
        <v>70904.137314112682</v>
      </c>
      <c r="G168" s="747">
        <v>597150.07622288284</v>
      </c>
      <c r="H168" s="748">
        <v>0</v>
      </c>
      <c r="I168" s="749" t="s">
        <v>258</v>
      </c>
      <c r="J168" s="750">
        <v>597150.07622288284</v>
      </c>
      <c r="K168" s="735">
        <v>0</v>
      </c>
      <c r="L168" s="735" t="s">
        <v>103</v>
      </c>
      <c r="M168" s="750">
        <v>0</v>
      </c>
      <c r="N168" s="750" t="s">
        <v>103</v>
      </c>
      <c r="O168" s="736">
        <v>0</v>
      </c>
      <c r="P168" s="754">
        <v>0</v>
      </c>
      <c r="Q168" s="752">
        <v>0</v>
      </c>
      <c r="R168" s="9" t="s">
        <v>103</v>
      </c>
      <c r="S168" s="9" t="s">
        <v>103</v>
      </c>
    </row>
    <row r="169" spans="2:19">
      <c r="B169" s="746" t="s">
        <v>688</v>
      </c>
      <c r="C169" s="9" t="s">
        <v>1009</v>
      </c>
      <c r="D169" s="730" t="s">
        <v>110</v>
      </c>
      <c r="E169" s="747">
        <v>121120.17453654224</v>
      </c>
      <c r="F169" s="747">
        <v>10106.899941573629</v>
      </c>
      <c r="G169" s="747">
        <v>256759.4844781158</v>
      </c>
      <c r="H169" s="748">
        <v>0</v>
      </c>
      <c r="I169" s="749" t="s">
        <v>258</v>
      </c>
      <c r="J169" s="750">
        <v>256759.4844781158</v>
      </c>
      <c r="K169" s="735">
        <v>0</v>
      </c>
      <c r="L169" s="735" t="s">
        <v>103</v>
      </c>
      <c r="M169" s="750">
        <v>0</v>
      </c>
      <c r="N169" s="750" t="s">
        <v>103</v>
      </c>
      <c r="O169" s="736">
        <v>0</v>
      </c>
      <c r="P169" s="754">
        <v>0</v>
      </c>
      <c r="Q169" s="752">
        <v>0</v>
      </c>
      <c r="R169" s="9" t="s">
        <v>103</v>
      </c>
      <c r="S169" s="9" t="s">
        <v>103</v>
      </c>
    </row>
    <row r="170" spans="2:19">
      <c r="B170" s="746" t="s">
        <v>692</v>
      </c>
      <c r="C170" s="9" t="s">
        <v>1009</v>
      </c>
      <c r="D170" s="730" t="s">
        <v>110</v>
      </c>
      <c r="E170" s="758">
        <v>137594.16850431403</v>
      </c>
      <c r="F170" s="758">
        <v>0</v>
      </c>
      <c r="G170" s="758">
        <v>137594.16850431403</v>
      </c>
      <c r="H170" s="748">
        <v>0</v>
      </c>
      <c r="I170" s="749" t="s">
        <v>258</v>
      </c>
      <c r="J170" s="750">
        <v>137594.16850431403</v>
      </c>
      <c r="K170" s="735">
        <v>0</v>
      </c>
      <c r="L170" s="735" t="s">
        <v>103</v>
      </c>
      <c r="M170" s="750">
        <v>0</v>
      </c>
      <c r="N170" s="750" t="s">
        <v>103</v>
      </c>
      <c r="O170" s="736">
        <v>0</v>
      </c>
      <c r="P170" s="754">
        <v>0</v>
      </c>
      <c r="Q170" s="752">
        <v>0</v>
      </c>
      <c r="R170" s="9" t="s">
        <v>103</v>
      </c>
      <c r="S170" s="9" t="s">
        <v>103</v>
      </c>
    </row>
    <row r="171" spans="2:19">
      <c r="B171" s="746" t="s">
        <v>693</v>
      </c>
      <c r="C171" s="9" t="s">
        <v>1009</v>
      </c>
      <c r="D171" s="730" t="s">
        <v>110</v>
      </c>
      <c r="E171" s="747">
        <v>-196774.88534956225</v>
      </c>
      <c r="F171" s="747">
        <v>22362.9675611977</v>
      </c>
      <c r="G171" s="747">
        <v>-174411.91778836446</v>
      </c>
      <c r="H171" s="694">
        <v>7.7991401325014236</v>
      </c>
      <c r="I171" s="749" t="s">
        <v>258</v>
      </c>
      <c r="J171" s="750">
        <v>-174411.91778836446</v>
      </c>
      <c r="K171" s="735">
        <v>0</v>
      </c>
      <c r="L171" s="735" t="s">
        <v>103</v>
      </c>
      <c r="M171" s="750">
        <v>0</v>
      </c>
      <c r="N171" s="750" t="s">
        <v>103</v>
      </c>
      <c r="O171" s="736">
        <v>0</v>
      </c>
      <c r="P171" s="751">
        <v>0</v>
      </c>
      <c r="Q171" s="752">
        <v>0</v>
      </c>
      <c r="R171" s="9" t="s">
        <v>103</v>
      </c>
      <c r="S171" s="9" t="s">
        <v>103</v>
      </c>
    </row>
    <row r="172" spans="2:19">
      <c r="B172" s="746" t="s">
        <v>697</v>
      </c>
      <c r="C172" s="9" t="s">
        <v>1009</v>
      </c>
      <c r="D172" s="730" t="s">
        <v>110</v>
      </c>
      <c r="E172" s="758">
        <v>565300.82776063262</v>
      </c>
      <c r="F172" s="758">
        <v>57603.097350744196</v>
      </c>
      <c r="G172" s="758">
        <v>622903.9251113768</v>
      </c>
      <c r="H172" s="748">
        <v>0</v>
      </c>
      <c r="I172" s="749" t="s">
        <v>258</v>
      </c>
      <c r="J172" s="750">
        <v>622903.9251113768</v>
      </c>
      <c r="K172" s="735">
        <v>0</v>
      </c>
      <c r="L172" s="735" t="s">
        <v>103</v>
      </c>
      <c r="M172" s="750">
        <v>0</v>
      </c>
      <c r="N172" s="750" t="s">
        <v>103</v>
      </c>
      <c r="O172" s="736">
        <v>0</v>
      </c>
      <c r="P172" s="754">
        <v>0</v>
      </c>
      <c r="Q172" s="752">
        <v>0</v>
      </c>
      <c r="R172" s="9" t="s">
        <v>103</v>
      </c>
      <c r="S172" s="9" t="s">
        <v>103</v>
      </c>
    </row>
    <row r="173" spans="2:19">
      <c r="B173" s="746" t="s">
        <v>698</v>
      </c>
      <c r="C173" s="9" t="s">
        <v>1009</v>
      </c>
      <c r="D173" s="730" t="s">
        <v>110</v>
      </c>
      <c r="E173" s="747">
        <v>152879.66209658413</v>
      </c>
      <c r="F173" s="747">
        <v>152141.76142307557</v>
      </c>
      <c r="G173" s="747">
        <v>717305.89351965953</v>
      </c>
      <c r="H173" s="748">
        <v>0</v>
      </c>
      <c r="I173" s="749" t="s">
        <v>258</v>
      </c>
      <c r="J173" s="750">
        <v>717305.89351965953</v>
      </c>
      <c r="K173" s="735">
        <v>0</v>
      </c>
      <c r="L173" s="735" t="s">
        <v>103</v>
      </c>
      <c r="M173" s="750">
        <v>0</v>
      </c>
      <c r="N173" s="750" t="s">
        <v>103</v>
      </c>
      <c r="O173" s="736">
        <v>0</v>
      </c>
      <c r="P173" s="754">
        <v>0</v>
      </c>
      <c r="Q173" s="752">
        <v>0</v>
      </c>
      <c r="R173" s="9" t="s">
        <v>103</v>
      </c>
      <c r="S173" s="9" t="s">
        <v>103</v>
      </c>
    </row>
    <row r="174" spans="2:19">
      <c r="B174" s="746" t="s">
        <v>704</v>
      </c>
      <c r="C174" s="9" t="s">
        <v>1009</v>
      </c>
      <c r="D174" s="730" t="s">
        <v>110</v>
      </c>
      <c r="E174" s="747">
        <v>-116721.54763636104</v>
      </c>
      <c r="F174" s="747">
        <v>15205.139880244751</v>
      </c>
      <c r="G174" s="747">
        <v>-101516.40775611634</v>
      </c>
      <c r="H174" s="694">
        <v>6.676453393763996</v>
      </c>
      <c r="I174" s="749" t="s">
        <v>258</v>
      </c>
      <c r="J174" s="750">
        <v>-101516.40775611634</v>
      </c>
      <c r="K174" s="735">
        <v>0</v>
      </c>
      <c r="L174" s="735" t="s">
        <v>103</v>
      </c>
      <c r="M174" s="750">
        <v>0</v>
      </c>
      <c r="N174" s="750" t="s">
        <v>103</v>
      </c>
      <c r="O174" s="736">
        <v>0</v>
      </c>
      <c r="P174" s="754">
        <v>0</v>
      </c>
      <c r="Q174" s="752">
        <v>0</v>
      </c>
      <c r="R174" s="9" t="s">
        <v>103</v>
      </c>
      <c r="S174" s="9" t="s">
        <v>103</v>
      </c>
    </row>
    <row r="175" spans="2:19">
      <c r="B175" s="746" t="s">
        <v>708</v>
      </c>
      <c r="C175" s="9" t="s">
        <v>1009</v>
      </c>
      <c r="D175" s="730" t="s">
        <v>110</v>
      </c>
      <c r="E175" s="747">
        <v>926342.46799215535</v>
      </c>
      <c r="F175" s="747">
        <v>43771.091050544623</v>
      </c>
      <c r="G175" s="747">
        <v>970113.55904270022</v>
      </c>
      <c r="H175" s="748">
        <v>0</v>
      </c>
      <c r="I175" s="749" t="s">
        <v>258</v>
      </c>
      <c r="J175" s="750">
        <v>970113.55904270022</v>
      </c>
      <c r="K175" s="735">
        <v>0</v>
      </c>
      <c r="L175" s="735" t="s">
        <v>103</v>
      </c>
      <c r="M175" s="750">
        <v>0</v>
      </c>
      <c r="N175" s="750" t="s">
        <v>103</v>
      </c>
      <c r="O175" s="736">
        <v>0</v>
      </c>
      <c r="P175" s="754">
        <v>0</v>
      </c>
      <c r="Q175" s="752">
        <v>0</v>
      </c>
      <c r="R175" s="9" t="s">
        <v>103</v>
      </c>
      <c r="S175" s="9" t="s">
        <v>103</v>
      </c>
    </row>
    <row r="176" spans="2:19">
      <c r="B176" s="746" t="s">
        <v>709</v>
      </c>
      <c r="C176" s="9" t="s">
        <v>1009</v>
      </c>
      <c r="D176" s="730" t="s">
        <v>110</v>
      </c>
      <c r="E176" s="747">
        <v>555680.3937819131</v>
      </c>
      <c r="F176" s="747">
        <v>83743.632102251067</v>
      </c>
      <c r="G176" s="747">
        <v>639424.0258841645</v>
      </c>
      <c r="H176" s="748">
        <v>0</v>
      </c>
      <c r="I176" s="749" t="s">
        <v>258</v>
      </c>
      <c r="J176" s="750">
        <v>639424.0258841645</v>
      </c>
      <c r="K176" s="735">
        <v>0</v>
      </c>
      <c r="L176" s="735" t="s">
        <v>103</v>
      </c>
      <c r="M176" s="750">
        <v>0</v>
      </c>
      <c r="N176" s="750" t="s">
        <v>103</v>
      </c>
      <c r="O176" s="736">
        <v>0</v>
      </c>
      <c r="P176" s="754">
        <v>0</v>
      </c>
      <c r="Q176" s="752">
        <v>0</v>
      </c>
      <c r="R176" s="9" t="s">
        <v>103</v>
      </c>
      <c r="S176" s="9" t="s">
        <v>103</v>
      </c>
    </row>
    <row r="177" spans="2:19">
      <c r="B177" s="746" t="s">
        <v>710</v>
      </c>
      <c r="C177" s="9" t="s">
        <v>1009</v>
      </c>
      <c r="D177" s="730" t="s">
        <v>110</v>
      </c>
      <c r="E177" s="747">
        <v>-1522745.3351214877</v>
      </c>
      <c r="F177" s="747">
        <v>157664.06555739912</v>
      </c>
      <c r="G177" s="747">
        <v>-1365081.2695640891</v>
      </c>
      <c r="H177" s="694">
        <v>8.6581635754351272</v>
      </c>
      <c r="I177" s="749" t="s">
        <v>258</v>
      </c>
      <c r="J177" s="750">
        <v>-1365081.2695640891</v>
      </c>
      <c r="K177" s="735">
        <v>0</v>
      </c>
      <c r="L177" s="735" t="s">
        <v>103</v>
      </c>
      <c r="M177" s="750">
        <v>0</v>
      </c>
      <c r="N177" s="750" t="s">
        <v>103</v>
      </c>
      <c r="O177" s="736">
        <v>0</v>
      </c>
      <c r="P177" s="754">
        <v>0</v>
      </c>
      <c r="Q177" s="752">
        <v>0</v>
      </c>
      <c r="R177" s="9" t="s">
        <v>103</v>
      </c>
      <c r="S177" s="9" t="s">
        <v>103</v>
      </c>
    </row>
    <row r="178" spans="2:19">
      <c r="B178" s="746" t="s">
        <v>715</v>
      </c>
      <c r="C178" s="9" t="s">
        <v>1009</v>
      </c>
      <c r="D178" s="730" t="s">
        <v>110</v>
      </c>
      <c r="E178" s="747">
        <v>-145710.09242612426</v>
      </c>
      <c r="F178" s="747">
        <v>31429.816691949491</v>
      </c>
      <c r="G178" s="747">
        <v>-114280.27573417476</v>
      </c>
      <c r="H178" s="694">
        <v>3.6360465240462823</v>
      </c>
      <c r="I178" s="749" t="s">
        <v>258</v>
      </c>
      <c r="J178" s="750">
        <v>-114280.27573417476</v>
      </c>
      <c r="K178" s="735">
        <v>0</v>
      </c>
      <c r="L178" s="735" t="s">
        <v>103</v>
      </c>
      <c r="M178" s="750">
        <v>0</v>
      </c>
      <c r="N178" s="750" t="s">
        <v>103</v>
      </c>
      <c r="O178" s="736">
        <v>0</v>
      </c>
      <c r="P178" s="754">
        <v>0</v>
      </c>
      <c r="Q178" s="752">
        <v>0</v>
      </c>
      <c r="R178" s="9" t="s">
        <v>103</v>
      </c>
      <c r="S178" s="9" t="s">
        <v>103</v>
      </c>
    </row>
    <row r="179" spans="2:19">
      <c r="B179" s="746" t="s">
        <v>719</v>
      </c>
      <c r="C179" s="9" t="s">
        <v>1009</v>
      </c>
      <c r="D179" s="730" t="s">
        <v>110</v>
      </c>
      <c r="E179" s="747">
        <v>-291233.37150741753</v>
      </c>
      <c r="F179" s="747">
        <v>39382.531745946661</v>
      </c>
      <c r="G179" s="747">
        <v>-251850.83976147074</v>
      </c>
      <c r="H179" s="694">
        <v>6.3949885544722962</v>
      </c>
      <c r="I179" s="749" t="s">
        <v>258</v>
      </c>
      <c r="J179" s="750">
        <v>-251850.83976147074</v>
      </c>
      <c r="K179" s="735">
        <v>0</v>
      </c>
      <c r="L179" s="735" t="s">
        <v>103</v>
      </c>
      <c r="M179" s="750">
        <v>0</v>
      </c>
      <c r="N179" s="750" t="s">
        <v>103</v>
      </c>
      <c r="O179" s="736">
        <v>0</v>
      </c>
      <c r="P179" s="754">
        <v>0</v>
      </c>
      <c r="Q179" s="752">
        <v>0</v>
      </c>
      <c r="R179" s="9" t="s">
        <v>103</v>
      </c>
      <c r="S179" s="9" t="s">
        <v>103</v>
      </c>
    </row>
    <row r="180" spans="2:19">
      <c r="B180" s="746" t="s">
        <v>720</v>
      </c>
      <c r="C180" s="9" t="s">
        <v>1009</v>
      </c>
      <c r="D180" s="730" t="s">
        <v>110</v>
      </c>
      <c r="E180" s="747">
        <v>6334.0784089472472</v>
      </c>
      <c r="F180" s="747">
        <v>0</v>
      </c>
      <c r="G180" s="747">
        <v>6334.0784089472472</v>
      </c>
      <c r="H180" s="748">
        <v>0</v>
      </c>
      <c r="I180" s="749" t="s">
        <v>258</v>
      </c>
      <c r="J180" s="750">
        <v>6334.0784089472472</v>
      </c>
      <c r="K180" s="735">
        <v>0</v>
      </c>
      <c r="L180" s="735" t="s">
        <v>103</v>
      </c>
      <c r="M180" s="750">
        <v>0</v>
      </c>
      <c r="N180" s="750" t="s">
        <v>103</v>
      </c>
      <c r="O180" s="736">
        <v>0</v>
      </c>
      <c r="P180" s="754">
        <v>0</v>
      </c>
      <c r="Q180" s="752">
        <v>0</v>
      </c>
      <c r="R180" s="9" t="s">
        <v>103</v>
      </c>
      <c r="S180" s="9" t="s">
        <v>103</v>
      </c>
    </row>
    <row r="181" spans="2:19">
      <c r="B181" s="746" t="s">
        <v>721</v>
      </c>
      <c r="C181" s="9" t="s">
        <v>1009</v>
      </c>
      <c r="D181" s="730" t="s">
        <v>110</v>
      </c>
      <c r="E181" s="747">
        <v>128106.32065548573</v>
      </c>
      <c r="F181" s="747">
        <v>23133.885447498815</v>
      </c>
      <c r="G181" s="747">
        <v>151240.20610298467</v>
      </c>
      <c r="H181" s="748">
        <v>0</v>
      </c>
      <c r="I181" s="749" t="s">
        <v>258</v>
      </c>
      <c r="J181" s="750">
        <v>151240.20610298467</v>
      </c>
      <c r="K181" s="735">
        <v>0</v>
      </c>
      <c r="L181" s="735" t="s">
        <v>103</v>
      </c>
      <c r="M181" s="750">
        <v>0</v>
      </c>
      <c r="N181" s="750" t="s">
        <v>103</v>
      </c>
      <c r="O181" s="736">
        <v>0</v>
      </c>
      <c r="P181" s="754">
        <v>0</v>
      </c>
      <c r="Q181" s="752">
        <v>0</v>
      </c>
      <c r="R181" s="9" t="s">
        <v>103</v>
      </c>
      <c r="S181" s="9" t="s">
        <v>103</v>
      </c>
    </row>
    <row r="182" spans="2:19">
      <c r="B182" s="746" t="s">
        <v>724</v>
      </c>
      <c r="C182" s="9" t="s">
        <v>1009</v>
      </c>
      <c r="D182" s="730" t="s">
        <v>110</v>
      </c>
      <c r="E182" s="747">
        <v>284067.27211222181</v>
      </c>
      <c r="F182" s="747">
        <v>26423.73114979672</v>
      </c>
      <c r="G182" s="747">
        <v>310491.00326201844</v>
      </c>
      <c r="H182" s="748">
        <v>0</v>
      </c>
      <c r="I182" s="749" t="s">
        <v>258</v>
      </c>
      <c r="J182" s="750">
        <v>310491.00326201844</v>
      </c>
      <c r="K182" s="735">
        <v>0</v>
      </c>
      <c r="L182" s="735" t="s">
        <v>103</v>
      </c>
      <c r="M182" s="750">
        <v>0</v>
      </c>
      <c r="N182" s="750" t="s">
        <v>103</v>
      </c>
      <c r="O182" s="736">
        <v>0</v>
      </c>
      <c r="P182" s="754">
        <v>0</v>
      </c>
      <c r="Q182" s="752">
        <v>0</v>
      </c>
      <c r="R182" s="9" t="s">
        <v>103</v>
      </c>
      <c r="S182" s="9" t="s">
        <v>103</v>
      </c>
    </row>
    <row r="183" spans="2:19">
      <c r="B183" s="746" t="s">
        <v>728</v>
      </c>
      <c r="C183" s="9" t="s">
        <v>1009</v>
      </c>
      <c r="D183" s="730" t="s">
        <v>110</v>
      </c>
      <c r="E183" s="758">
        <v>240191.713793128</v>
      </c>
      <c r="F183" s="758">
        <v>25096.606249331351</v>
      </c>
      <c r="G183" s="758">
        <v>265288.32004245935</v>
      </c>
      <c r="H183" s="748">
        <v>0</v>
      </c>
      <c r="I183" s="749" t="s">
        <v>258</v>
      </c>
      <c r="J183" s="750">
        <v>265288.32004245935</v>
      </c>
      <c r="K183" s="735">
        <v>0</v>
      </c>
      <c r="L183" s="735" t="s">
        <v>103</v>
      </c>
      <c r="M183" s="750">
        <v>0</v>
      </c>
      <c r="N183" s="750" t="s">
        <v>103</v>
      </c>
      <c r="O183" s="736">
        <v>0</v>
      </c>
      <c r="P183" s="754">
        <v>0</v>
      </c>
      <c r="Q183" s="752">
        <v>0</v>
      </c>
      <c r="R183" s="9" t="s">
        <v>103</v>
      </c>
      <c r="S183" s="9" t="s">
        <v>103</v>
      </c>
    </row>
    <row r="184" spans="2:19">
      <c r="B184" s="746" t="s">
        <v>729</v>
      </c>
      <c r="C184" s="9" t="s">
        <v>1009</v>
      </c>
      <c r="D184" s="730" t="s">
        <v>110</v>
      </c>
      <c r="E184" s="747">
        <v>8548484.0590833109</v>
      </c>
      <c r="F184" s="747">
        <v>561444.38332953164</v>
      </c>
      <c r="G184" s="747">
        <v>9190834.1924128439</v>
      </c>
      <c r="H184" s="748">
        <v>0</v>
      </c>
      <c r="I184" s="755" t="s">
        <v>258</v>
      </c>
      <c r="J184" s="756">
        <v>9190834.1924128439</v>
      </c>
      <c r="K184" s="735">
        <v>0</v>
      </c>
      <c r="L184" s="735" t="s">
        <v>103</v>
      </c>
      <c r="M184" s="756">
        <v>0</v>
      </c>
      <c r="N184" s="756" t="s">
        <v>103</v>
      </c>
      <c r="O184" s="736">
        <v>0</v>
      </c>
      <c r="P184" s="754">
        <v>0</v>
      </c>
      <c r="Q184" s="752">
        <v>0</v>
      </c>
      <c r="R184" s="9" t="s">
        <v>103</v>
      </c>
      <c r="S184" s="9" t="s">
        <v>103</v>
      </c>
    </row>
    <row r="185" spans="2:19" s="101" customFormat="1">
      <c r="B185" s="738" t="s">
        <v>1377</v>
      </c>
      <c r="C185" s="738"/>
      <c r="D185" s="738"/>
      <c r="E185" s="739">
        <v>11382064.29112627</v>
      </c>
      <c r="F185" s="739">
        <v>1696299.5267190677</v>
      </c>
      <c r="G185" s="739">
        <f>SUM(G160:G184)</f>
        <v>14081317.877845339</v>
      </c>
      <c r="H185" s="740">
        <v>0</v>
      </c>
      <c r="I185" s="741"/>
      <c r="J185" s="742">
        <v>14081317.877845339</v>
      </c>
      <c r="K185" s="742">
        <v>0</v>
      </c>
      <c r="L185" s="741"/>
      <c r="M185" s="742">
        <v>0</v>
      </c>
      <c r="N185" s="742">
        <v>0</v>
      </c>
      <c r="O185" s="743">
        <v>0</v>
      </c>
      <c r="P185" s="742">
        <v>0</v>
      </c>
      <c r="Q185" s="744">
        <v>0</v>
      </c>
      <c r="R185" s="741" t="s">
        <v>103</v>
      </c>
      <c r="S185" s="741" t="s">
        <v>103</v>
      </c>
    </row>
    <row r="186" spans="2:19" s="97" customFormat="1">
      <c r="B186" s="723" t="s">
        <v>746</v>
      </c>
      <c r="C186" s="723"/>
      <c r="D186" s="723"/>
      <c r="E186" s="724"/>
      <c r="F186" s="724"/>
      <c r="G186" s="724"/>
      <c r="H186" s="725">
        <v>0</v>
      </c>
      <c r="I186" s="726"/>
      <c r="J186" s="727"/>
      <c r="K186" s="726"/>
      <c r="L186" s="726"/>
      <c r="M186" s="727">
        <v>0</v>
      </c>
      <c r="N186" s="727"/>
      <c r="O186" s="728"/>
      <c r="P186" s="727"/>
      <c r="Q186" s="726"/>
      <c r="R186" s="726"/>
      <c r="S186" s="726"/>
    </row>
    <row r="187" spans="2:19">
      <c r="B187" s="746" t="s">
        <v>747</v>
      </c>
      <c r="C187" s="9" t="s">
        <v>1009</v>
      </c>
      <c r="D187" s="730" t="s">
        <v>110</v>
      </c>
      <c r="E187" s="747">
        <v>-63790.332860317591</v>
      </c>
      <c r="F187" s="747">
        <v>10818.962153424864</v>
      </c>
      <c r="G187" s="747">
        <v>-59221.88070689141</v>
      </c>
      <c r="H187" s="694">
        <v>5.4738966517360508</v>
      </c>
      <c r="I187" s="749" t="s">
        <v>258</v>
      </c>
      <c r="J187" s="750">
        <v>-59221.88070689141</v>
      </c>
      <c r="K187" s="735">
        <v>0</v>
      </c>
      <c r="L187" s="735" t="s">
        <v>103</v>
      </c>
      <c r="M187" s="750">
        <v>0</v>
      </c>
      <c r="N187" s="750" t="s">
        <v>103</v>
      </c>
      <c r="O187" s="736">
        <v>0</v>
      </c>
      <c r="P187" s="754">
        <v>0</v>
      </c>
      <c r="Q187" s="752">
        <v>0</v>
      </c>
      <c r="R187" s="9" t="s">
        <v>103</v>
      </c>
      <c r="S187" s="9" t="s">
        <v>103</v>
      </c>
    </row>
    <row r="188" spans="2:19">
      <c r="B188" s="746" t="s">
        <v>752</v>
      </c>
      <c r="C188" s="9" t="s">
        <v>1009</v>
      </c>
      <c r="D188" s="730" t="s">
        <v>110</v>
      </c>
      <c r="E188" s="747">
        <v>16757.661429293279</v>
      </c>
      <c r="F188" s="747">
        <v>132266.53204386262</v>
      </c>
      <c r="G188" s="747">
        <v>336835.31347315526</v>
      </c>
      <c r="H188" s="748">
        <v>0</v>
      </c>
      <c r="I188" s="749" t="s">
        <v>258</v>
      </c>
      <c r="J188" s="750">
        <v>336835.31347315526</v>
      </c>
      <c r="K188" s="735">
        <v>0</v>
      </c>
      <c r="L188" s="735" t="s">
        <v>103</v>
      </c>
      <c r="M188" s="750">
        <v>0</v>
      </c>
      <c r="N188" s="750" t="s">
        <v>103</v>
      </c>
      <c r="O188" s="736">
        <v>0</v>
      </c>
      <c r="P188" s="754">
        <v>0</v>
      </c>
      <c r="Q188" s="752">
        <v>0</v>
      </c>
      <c r="R188" s="9" t="s">
        <v>103</v>
      </c>
      <c r="S188" s="9" t="s">
        <v>103</v>
      </c>
    </row>
    <row r="189" spans="2:19">
      <c r="B189" s="746" t="s">
        <v>759</v>
      </c>
      <c r="C189" s="9" t="s">
        <v>1009</v>
      </c>
      <c r="D189" s="730" t="s">
        <v>110</v>
      </c>
      <c r="E189" s="747">
        <v>4080.9496830680237</v>
      </c>
      <c r="F189" s="747">
        <v>337.113793369517</v>
      </c>
      <c r="G189" s="747">
        <v>4418.0634764375409</v>
      </c>
      <c r="H189" s="748">
        <v>0</v>
      </c>
      <c r="I189" s="749" t="s">
        <v>258</v>
      </c>
      <c r="J189" s="750">
        <v>4418.0634764375409</v>
      </c>
      <c r="K189" s="735">
        <v>0</v>
      </c>
      <c r="L189" s="735" t="s">
        <v>103</v>
      </c>
      <c r="M189" s="750">
        <v>0</v>
      </c>
      <c r="N189" s="750" t="s">
        <v>103</v>
      </c>
      <c r="O189" s="736">
        <v>0</v>
      </c>
      <c r="P189" s="754">
        <v>0</v>
      </c>
      <c r="Q189" s="752">
        <v>0</v>
      </c>
      <c r="R189" s="9" t="s">
        <v>103</v>
      </c>
      <c r="S189" s="9" t="s">
        <v>103</v>
      </c>
    </row>
    <row r="190" spans="2:19">
      <c r="B190" s="746" t="s">
        <v>760</v>
      </c>
      <c r="C190" s="9" t="s">
        <v>1009</v>
      </c>
      <c r="D190" s="730" t="s">
        <v>110</v>
      </c>
      <c r="E190" s="747">
        <v>-443943.83039790869</v>
      </c>
      <c r="F190" s="747">
        <v>60025.601650557313</v>
      </c>
      <c r="G190" s="747">
        <v>-383918.22874735127</v>
      </c>
      <c r="H190" s="694">
        <v>6.3959080490747029</v>
      </c>
      <c r="I190" s="749" t="s">
        <v>258</v>
      </c>
      <c r="J190" s="750">
        <v>-383918.22874735127</v>
      </c>
      <c r="K190" s="735">
        <v>0</v>
      </c>
      <c r="L190" s="735" t="s">
        <v>103</v>
      </c>
      <c r="M190" s="750">
        <v>0</v>
      </c>
      <c r="N190" s="750" t="s">
        <v>103</v>
      </c>
      <c r="O190" s="736">
        <v>0</v>
      </c>
      <c r="P190" s="754">
        <v>0</v>
      </c>
      <c r="Q190" s="752">
        <v>0</v>
      </c>
      <c r="R190" s="9" t="s">
        <v>103</v>
      </c>
      <c r="S190" s="9" t="s">
        <v>103</v>
      </c>
    </row>
    <row r="191" spans="2:19">
      <c r="B191" s="746" t="s">
        <v>764</v>
      </c>
      <c r="C191" s="9" t="s">
        <v>1009</v>
      </c>
      <c r="D191" s="730" t="s">
        <v>110</v>
      </c>
      <c r="E191" s="747">
        <v>741695.66359522566</v>
      </c>
      <c r="F191" s="747">
        <v>86748.06581749201</v>
      </c>
      <c r="G191" s="747">
        <v>828387.92941271828</v>
      </c>
      <c r="H191" s="748">
        <v>0</v>
      </c>
      <c r="I191" s="749" t="s">
        <v>258</v>
      </c>
      <c r="J191" s="750">
        <v>828387.92941271828</v>
      </c>
      <c r="K191" s="735">
        <v>0</v>
      </c>
      <c r="L191" s="735" t="s">
        <v>103</v>
      </c>
      <c r="M191" s="750">
        <v>0</v>
      </c>
      <c r="N191" s="750" t="s">
        <v>103</v>
      </c>
      <c r="O191" s="736">
        <v>0</v>
      </c>
      <c r="P191" s="754">
        <v>0</v>
      </c>
      <c r="Q191" s="752">
        <v>0</v>
      </c>
      <c r="R191" s="9" t="s">
        <v>103</v>
      </c>
      <c r="S191" s="9" t="s">
        <v>103</v>
      </c>
    </row>
    <row r="192" spans="2:19">
      <c r="B192" s="746" t="s">
        <v>772</v>
      </c>
      <c r="C192" s="9" t="s">
        <v>1009</v>
      </c>
      <c r="D192" s="730" t="s">
        <v>110</v>
      </c>
      <c r="E192" s="747">
        <v>-914249.58811051922</v>
      </c>
      <c r="F192" s="747">
        <v>5770.1708120086296</v>
      </c>
      <c r="G192" s="747">
        <v>-908479.41729851067</v>
      </c>
      <c r="H192" s="694">
        <v>157.4441116037367</v>
      </c>
      <c r="I192" s="749" t="s">
        <v>258</v>
      </c>
      <c r="J192" s="750">
        <v>-908479.41729851067</v>
      </c>
      <c r="K192" s="735">
        <v>0</v>
      </c>
      <c r="L192" s="735" t="s">
        <v>103</v>
      </c>
      <c r="M192" s="750">
        <v>0</v>
      </c>
      <c r="N192" s="750" t="s">
        <v>103</v>
      </c>
      <c r="O192" s="736">
        <v>0</v>
      </c>
      <c r="P192" s="754">
        <v>0</v>
      </c>
      <c r="Q192" s="752">
        <v>0</v>
      </c>
      <c r="R192" s="9" t="s">
        <v>103</v>
      </c>
      <c r="S192" s="9" t="s">
        <v>103</v>
      </c>
    </row>
    <row r="193" spans="2:19">
      <c r="B193" s="746" t="s">
        <v>777</v>
      </c>
      <c r="C193" s="9" t="s">
        <v>1009</v>
      </c>
      <c r="D193" s="730" t="s">
        <v>110</v>
      </c>
      <c r="E193" s="747">
        <v>16427.332352917016</v>
      </c>
      <c r="F193" s="747">
        <v>1124.5307950958468</v>
      </c>
      <c r="G193" s="747">
        <v>17551.863148012861</v>
      </c>
      <c r="H193" s="748">
        <v>0</v>
      </c>
      <c r="I193" s="749" t="s">
        <v>258</v>
      </c>
      <c r="J193" s="750">
        <v>17551.863148012861</v>
      </c>
      <c r="K193" s="735">
        <v>0</v>
      </c>
      <c r="L193" s="735" t="s">
        <v>103</v>
      </c>
      <c r="M193" s="750">
        <v>0</v>
      </c>
      <c r="N193" s="750" t="s">
        <v>103</v>
      </c>
      <c r="O193" s="736">
        <v>0</v>
      </c>
      <c r="P193" s="754">
        <v>0</v>
      </c>
      <c r="Q193" s="752">
        <v>0</v>
      </c>
      <c r="R193" s="9" t="s">
        <v>103</v>
      </c>
      <c r="S193" s="9" t="s">
        <v>103</v>
      </c>
    </row>
    <row r="194" spans="2:19">
      <c r="B194" s="746" t="s">
        <v>778</v>
      </c>
      <c r="C194" s="9" t="s">
        <v>1009</v>
      </c>
      <c r="D194" s="730" t="s">
        <v>110</v>
      </c>
      <c r="E194" s="747">
        <v>2501690.4402024481</v>
      </c>
      <c r="F194" s="747">
        <v>133577.55263093641</v>
      </c>
      <c r="G194" s="747">
        <v>2635267.9928333848</v>
      </c>
      <c r="H194" s="748">
        <v>0</v>
      </c>
      <c r="I194" s="749" t="s">
        <v>258</v>
      </c>
      <c r="J194" s="750">
        <v>2635267.9928333848</v>
      </c>
      <c r="K194" s="735">
        <v>0</v>
      </c>
      <c r="L194" s="735" t="s">
        <v>103</v>
      </c>
      <c r="M194" s="750">
        <v>0</v>
      </c>
      <c r="N194" s="750" t="s">
        <v>103</v>
      </c>
      <c r="O194" s="736">
        <v>0</v>
      </c>
      <c r="P194" s="754">
        <v>0</v>
      </c>
      <c r="Q194" s="752">
        <v>0</v>
      </c>
      <c r="R194" s="9" t="s">
        <v>103</v>
      </c>
      <c r="S194" s="9" t="s">
        <v>103</v>
      </c>
    </row>
    <row r="195" spans="2:19">
      <c r="B195" s="746" t="s">
        <v>794</v>
      </c>
      <c r="C195" s="9" t="s">
        <v>1009</v>
      </c>
      <c r="D195" s="730" t="s">
        <v>110</v>
      </c>
      <c r="E195" s="747">
        <v>881050.30444246624</v>
      </c>
      <c r="F195" s="747">
        <v>16010.077221714702</v>
      </c>
      <c r="G195" s="747">
        <v>897060.3816641809</v>
      </c>
      <c r="H195" s="748">
        <v>0</v>
      </c>
      <c r="I195" s="749" t="s">
        <v>258</v>
      </c>
      <c r="J195" s="750">
        <v>897060.3816641809</v>
      </c>
      <c r="K195" s="735">
        <v>0</v>
      </c>
      <c r="L195" s="735" t="s">
        <v>103</v>
      </c>
      <c r="M195" s="750">
        <v>0</v>
      </c>
      <c r="N195" s="750" t="s">
        <v>103</v>
      </c>
      <c r="O195" s="736">
        <v>0</v>
      </c>
      <c r="P195" s="754">
        <v>0</v>
      </c>
      <c r="Q195" s="752">
        <v>0</v>
      </c>
      <c r="R195" s="9" t="s">
        <v>103</v>
      </c>
      <c r="S195" s="9" t="s">
        <v>103</v>
      </c>
    </row>
    <row r="196" spans="2:19">
      <c r="B196" s="746" t="s">
        <v>795</v>
      </c>
      <c r="C196" s="9" t="s">
        <v>1009</v>
      </c>
      <c r="D196" s="730" t="s">
        <v>110</v>
      </c>
      <c r="E196" s="747">
        <v>1132174.1027718009</v>
      </c>
      <c r="F196" s="747">
        <v>145407.6634032572</v>
      </c>
      <c r="G196" s="747">
        <v>1264074.3361750576</v>
      </c>
      <c r="H196" s="748">
        <v>0</v>
      </c>
      <c r="I196" s="749" t="s">
        <v>258</v>
      </c>
      <c r="J196" s="750">
        <v>1264074.3361750576</v>
      </c>
      <c r="K196" s="735">
        <v>0</v>
      </c>
      <c r="L196" s="735" t="s">
        <v>103</v>
      </c>
      <c r="M196" s="750">
        <v>0</v>
      </c>
      <c r="N196" s="750" t="s">
        <v>103</v>
      </c>
      <c r="O196" s="736">
        <v>0</v>
      </c>
      <c r="P196" s="754">
        <v>0</v>
      </c>
      <c r="Q196" s="752">
        <v>0</v>
      </c>
      <c r="R196" s="9" t="s">
        <v>103</v>
      </c>
      <c r="S196" s="9" t="s">
        <v>103</v>
      </c>
    </row>
    <row r="197" spans="2:19">
      <c r="B197" s="746" t="s">
        <v>802</v>
      </c>
      <c r="C197" s="9" t="s">
        <v>1009</v>
      </c>
      <c r="D197" s="730" t="s">
        <v>110</v>
      </c>
      <c r="E197" s="747">
        <v>-352179.73992319457</v>
      </c>
      <c r="F197" s="747">
        <v>73676.04339850854</v>
      </c>
      <c r="G197" s="747">
        <v>-278503.69652468595</v>
      </c>
      <c r="H197" s="694">
        <v>3.7801120103352868</v>
      </c>
      <c r="I197" s="749" t="s">
        <v>258</v>
      </c>
      <c r="J197" s="750">
        <v>-278503.69652468595</v>
      </c>
      <c r="K197" s="735">
        <v>0</v>
      </c>
      <c r="L197" s="735" t="s">
        <v>103</v>
      </c>
      <c r="M197" s="750">
        <v>0</v>
      </c>
      <c r="N197" s="750" t="s">
        <v>103</v>
      </c>
      <c r="O197" s="736">
        <v>0</v>
      </c>
      <c r="P197" s="754">
        <v>0</v>
      </c>
      <c r="Q197" s="752">
        <v>0</v>
      </c>
      <c r="R197" s="9" t="s">
        <v>103</v>
      </c>
      <c r="S197" s="9" t="s">
        <v>103</v>
      </c>
    </row>
    <row r="198" spans="2:19">
      <c r="B198" s="746" t="s">
        <v>806</v>
      </c>
      <c r="C198" s="9" t="s">
        <v>1009</v>
      </c>
      <c r="D198" s="730" t="s">
        <v>110</v>
      </c>
      <c r="E198" s="747">
        <v>161028.62053522107</v>
      </c>
      <c r="F198" s="747">
        <v>34632.81272897101</v>
      </c>
      <c r="G198" s="747">
        <v>195661.43326419196</v>
      </c>
      <c r="H198" s="748">
        <v>0</v>
      </c>
      <c r="I198" s="749" t="s">
        <v>258</v>
      </c>
      <c r="J198" s="750">
        <v>195661.43326419196</v>
      </c>
      <c r="K198" s="735">
        <v>0</v>
      </c>
      <c r="L198" s="735" t="s">
        <v>103</v>
      </c>
      <c r="M198" s="750">
        <v>0</v>
      </c>
      <c r="N198" s="750" t="s">
        <v>103</v>
      </c>
      <c r="O198" s="736">
        <v>0</v>
      </c>
      <c r="P198" s="754">
        <v>0</v>
      </c>
      <c r="Q198" s="752">
        <v>0</v>
      </c>
      <c r="R198" s="9" t="s">
        <v>103</v>
      </c>
      <c r="S198" s="9" t="s">
        <v>103</v>
      </c>
    </row>
    <row r="199" spans="2:19">
      <c r="B199" s="746" t="s">
        <v>809</v>
      </c>
      <c r="C199" s="9" t="s">
        <v>1009</v>
      </c>
      <c r="D199" s="730" t="s">
        <v>110</v>
      </c>
      <c r="E199" s="747">
        <v>438092.27234459954</v>
      </c>
      <c r="F199" s="747">
        <v>77935.956299974321</v>
      </c>
      <c r="G199" s="747">
        <v>-383971.77135542629</v>
      </c>
      <c r="H199" s="694">
        <v>4.9267602475746202</v>
      </c>
      <c r="I199" s="749" t="s">
        <v>258</v>
      </c>
      <c r="J199" s="750">
        <v>-383971.77135542629</v>
      </c>
      <c r="K199" s="735">
        <v>0</v>
      </c>
      <c r="L199" s="735" t="s">
        <v>103</v>
      </c>
      <c r="M199" s="750">
        <v>0</v>
      </c>
      <c r="N199" s="750" t="s">
        <v>103</v>
      </c>
      <c r="O199" s="736">
        <v>0</v>
      </c>
      <c r="P199" s="754">
        <v>0</v>
      </c>
      <c r="Q199" s="752">
        <v>0</v>
      </c>
      <c r="R199" s="9" t="s">
        <v>103</v>
      </c>
      <c r="S199" s="9" t="s">
        <v>103</v>
      </c>
    </row>
    <row r="200" spans="2:19">
      <c r="B200" s="746" t="s">
        <v>818</v>
      </c>
      <c r="C200" s="9" t="s">
        <v>1009</v>
      </c>
      <c r="D200" s="730" t="s">
        <v>110</v>
      </c>
      <c r="E200" s="747">
        <v>844058.42176037119</v>
      </c>
      <c r="F200" s="747">
        <v>268150.77431472752</v>
      </c>
      <c r="G200" s="747">
        <v>1113672.2860750984</v>
      </c>
      <c r="H200" s="748">
        <v>0</v>
      </c>
      <c r="I200" s="749" t="s">
        <v>258</v>
      </c>
      <c r="J200" s="750">
        <v>1113672.2860750984</v>
      </c>
      <c r="K200" s="735">
        <v>0</v>
      </c>
      <c r="L200" s="735" t="s">
        <v>103</v>
      </c>
      <c r="M200" s="750">
        <v>0</v>
      </c>
      <c r="N200" s="750" t="s">
        <v>103</v>
      </c>
      <c r="O200" s="736">
        <v>0</v>
      </c>
      <c r="P200" s="754">
        <v>0</v>
      </c>
      <c r="Q200" s="752">
        <v>0</v>
      </c>
      <c r="R200" s="9" t="s">
        <v>103</v>
      </c>
      <c r="S200" s="9" t="s">
        <v>103</v>
      </c>
    </row>
    <row r="201" spans="2:19">
      <c r="B201" s="746" t="s">
        <v>826</v>
      </c>
      <c r="C201" s="9" t="s">
        <v>1009</v>
      </c>
      <c r="D201" s="730" t="s">
        <v>110</v>
      </c>
      <c r="E201" s="747">
        <v>3349490.1023296863</v>
      </c>
      <c r="F201" s="747">
        <v>146453.24022710288</v>
      </c>
      <c r="G201" s="747">
        <v>-804056.65744321037</v>
      </c>
      <c r="H201" s="694">
        <v>5.4901937041227056</v>
      </c>
      <c r="I201" s="749" t="s">
        <v>258</v>
      </c>
      <c r="J201" s="750">
        <v>-804056.65744321037</v>
      </c>
      <c r="K201" s="735">
        <v>0</v>
      </c>
      <c r="L201" s="735" t="s">
        <v>103</v>
      </c>
      <c r="M201" s="750">
        <v>0</v>
      </c>
      <c r="N201" s="750" t="s">
        <v>103</v>
      </c>
      <c r="O201" s="736">
        <v>0</v>
      </c>
      <c r="P201" s="754">
        <v>0</v>
      </c>
      <c r="Q201" s="752">
        <v>0</v>
      </c>
      <c r="R201" s="9" t="s">
        <v>103</v>
      </c>
      <c r="S201" s="9" t="s">
        <v>103</v>
      </c>
    </row>
    <row r="202" spans="2:19">
      <c r="B202" s="746" t="s">
        <v>833</v>
      </c>
      <c r="C202" s="9" t="s">
        <v>1009</v>
      </c>
      <c r="D202" s="730" t="s">
        <v>110</v>
      </c>
      <c r="E202" s="747">
        <v>-735850.12662872823</v>
      </c>
      <c r="F202" s="747">
        <v>138741.97691574515</v>
      </c>
      <c r="G202" s="747">
        <v>1901480.8502870165</v>
      </c>
      <c r="H202" s="748">
        <v>0</v>
      </c>
      <c r="I202" s="749" t="s">
        <v>258</v>
      </c>
      <c r="J202" s="750">
        <v>1901480.8502870165</v>
      </c>
      <c r="K202" s="735">
        <v>0</v>
      </c>
      <c r="L202" s="735" t="s">
        <v>103</v>
      </c>
      <c r="M202" s="750">
        <v>0</v>
      </c>
      <c r="N202" s="750" t="s">
        <v>103</v>
      </c>
      <c r="O202" s="736">
        <v>0</v>
      </c>
      <c r="P202" s="754">
        <v>0</v>
      </c>
      <c r="Q202" s="752">
        <v>0</v>
      </c>
      <c r="R202" s="9" t="s">
        <v>103</v>
      </c>
      <c r="S202" s="9" t="s">
        <v>103</v>
      </c>
    </row>
    <row r="203" spans="2:19">
      <c r="B203" s="746" t="s">
        <v>838</v>
      </c>
      <c r="C203" s="9" t="s">
        <v>1009</v>
      </c>
      <c r="D203" s="730" t="s">
        <v>110</v>
      </c>
      <c r="E203" s="747">
        <v>478688.08620416198</v>
      </c>
      <c r="F203" s="747">
        <v>124647.73256125028</v>
      </c>
      <c r="G203" s="747">
        <v>-822162.96123458748</v>
      </c>
      <c r="H203" s="694">
        <v>6.5958918332556697</v>
      </c>
      <c r="I203" s="749" t="s">
        <v>258</v>
      </c>
      <c r="J203" s="750">
        <v>-822162.96123458748</v>
      </c>
      <c r="K203" s="735">
        <v>0</v>
      </c>
      <c r="L203" s="735" t="s">
        <v>103</v>
      </c>
      <c r="M203" s="750">
        <v>0</v>
      </c>
      <c r="N203" s="750" t="s">
        <v>103</v>
      </c>
      <c r="O203" s="736">
        <v>0</v>
      </c>
      <c r="P203" s="754">
        <v>0</v>
      </c>
      <c r="Q203" s="752">
        <v>0</v>
      </c>
      <c r="R203" s="9" t="s">
        <v>103</v>
      </c>
      <c r="S203" s="9" t="s">
        <v>103</v>
      </c>
    </row>
    <row r="204" spans="2:19">
      <c r="B204" s="746" t="s">
        <v>841</v>
      </c>
      <c r="C204" s="9" t="s">
        <v>1009</v>
      </c>
      <c r="D204" s="730" t="s">
        <v>110</v>
      </c>
      <c r="E204" s="747">
        <v>1060855.3522872715</v>
      </c>
      <c r="F204" s="747">
        <v>450003.79763984855</v>
      </c>
      <c r="G204" s="747">
        <v>1510388.4399271179</v>
      </c>
      <c r="H204" s="748">
        <v>0</v>
      </c>
      <c r="I204" s="749" t="s">
        <v>258</v>
      </c>
      <c r="J204" s="750">
        <v>1510388.4399271179</v>
      </c>
      <c r="K204" s="735">
        <v>0</v>
      </c>
      <c r="L204" s="735" t="s">
        <v>103</v>
      </c>
      <c r="M204" s="750">
        <v>0</v>
      </c>
      <c r="N204" s="750" t="s">
        <v>103</v>
      </c>
      <c r="O204" s="736">
        <v>0</v>
      </c>
      <c r="P204" s="754">
        <v>0</v>
      </c>
      <c r="Q204" s="752">
        <v>0</v>
      </c>
      <c r="R204" s="9" t="s">
        <v>103</v>
      </c>
      <c r="S204" s="9" t="s">
        <v>103</v>
      </c>
    </row>
    <row r="205" spans="2:19">
      <c r="B205" s="746" t="s">
        <v>853</v>
      </c>
      <c r="C205" s="9" t="s">
        <v>1009</v>
      </c>
      <c r="D205" s="730" t="s">
        <v>110</v>
      </c>
      <c r="E205" s="747">
        <v>1150295.9983285475</v>
      </c>
      <c r="F205" s="747">
        <v>57228.312851415481</v>
      </c>
      <c r="G205" s="747">
        <v>-192475.68882003729</v>
      </c>
      <c r="H205" s="694">
        <v>3.3632948313498399</v>
      </c>
      <c r="I205" s="749" t="s">
        <v>258</v>
      </c>
      <c r="J205" s="750">
        <v>-192475.68882003729</v>
      </c>
      <c r="K205" s="735">
        <v>0</v>
      </c>
      <c r="L205" s="735" t="s">
        <v>103</v>
      </c>
      <c r="M205" s="750">
        <v>0</v>
      </c>
      <c r="N205" s="750" t="s">
        <v>103</v>
      </c>
      <c r="O205" s="736">
        <v>0</v>
      </c>
      <c r="P205" s="754">
        <v>0</v>
      </c>
      <c r="Q205" s="752">
        <v>0</v>
      </c>
      <c r="R205" s="9" t="s">
        <v>103</v>
      </c>
      <c r="S205" s="9" t="s">
        <v>103</v>
      </c>
    </row>
    <row r="206" spans="2:19">
      <c r="B206" s="746" t="s">
        <v>861</v>
      </c>
      <c r="C206" s="9" t="s">
        <v>1009</v>
      </c>
      <c r="D206" s="730" t="s">
        <v>110</v>
      </c>
      <c r="E206" s="747">
        <v>2469980.5962644126</v>
      </c>
      <c r="F206" s="747">
        <v>147364.98447028827</v>
      </c>
      <c r="G206" s="747">
        <v>2617345.5807347009</v>
      </c>
      <c r="H206" s="748">
        <v>0</v>
      </c>
      <c r="I206" s="749" t="s">
        <v>258</v>
      </c>
      <c r="J206" s="750">
        <v>2617345.5807347009</v>
      </c>
      <c r="K206" s="735">
        <v>0</v>
      </c>
      <c r="L206" s="735" t="s">
        <v>103</v>
      </c>
      <c r="M206" s="750">
        <v>0</v>
      </c>
      <c r="N206" s="750" t="s">
        <v>103</v>
      </c>
      <c r="O206" s="736">
        <v>0</v>
      </c>
      <c r="P206" s="754">
        <v>0</v>
      </c>
      <c r="Q206" s="752">
        <v>0</v>
      </c>
      <c r="R206" s="9" t="s">
        <v>103</v>
      </c>
      <c r="S206" s="9" t="s">
        <v>103</v>
      </c>
    </row>
    <row r="207" spans="2:19">
      <c r="B207" s="746" t="s">
        <v>862</v>
      </c>
      <c r="C207" s="9" t="s">
        <v>1009</v>
      </c>
      <c r="D207" s="730" t="s">
        <v>110</v>
      </c>
      <c r="E207" s="747">
        <v>354695.39367919677</v>
      </c>
      <c r="F207" s="747">
        <v>61774.17292305702</v>
      </c>
      <c r="G207" s="747">
        <v>419876.65660225379</v>
      </c>
      <c r="H207" s="748">
        <v>0</v>
      </c>
      <c r="I207" s="749" t="s">
        <v>258</v>
      </c>
      <c r="J207" s="750">
        <v>419876.65660225379</v>
      </c>
      <c r="K207" s="735">
        <v>0</v>
      </c>
      <c r="L207" s="735" t="s">
        <v>103</v>
      </c>
      <c r="M207" s="750">
        <v>0</v>
      </c>
      <c r="N207" s="750" t="s">
        <v>103</v>
      </c>
      <c r="O207" s="736">
        <v>0</v>
      </c>
      <c r="P207" s="754">
        <v>0</v>
      </c>
      <c r="Q207" s="752">
        <v>0</v>
      </c>
      <c r="R207" s="9" t="s">
        <v>103</v>
      </c>
      <c r="S207" s="9" t="s">
        <v>103</v>
      </c>
    </row>
    <row r="208" spans="2:19">
      <c r="B208" s="746" t="s">
        <v>869</v>
      </c>
      <c r="C208" s="9" t="s">
        <v>1009</v>
      </c>
      <c r="D208" s="730" t="s">
        <v>110</v>
      </c>
      <c r="E208" s="747">
        <v>-475568.21063329728</v>
      </c>
      <c r="F208" s="747">
        <v>82036.207203196871</v>
      </c>
      <c r="G208" s="747">
        <v>-393532.00343010057</v>
      </c>
      <c r="H208" s="694">
        <v>4.7970526289124322</v>
      </c>
      <c r="I208" s="749" t="s">
        <v>258</v>
      </c>
      <c r="J208" s="750">
        <v>-393532.00343010057</v>
      </c>
      <c r="K208" s="735">
        <v>0</v>
      </c>
      <c r="L208" s="735" t="s">
        <v>103</v>
      </c>
      <c r="M208" s="750">
        <v>0</v>
      </c>
      <c r="N208" s="750" t="s">
        <v>103</v>
      </c>
      <c r="O208" s="736">
        <v>0</v>
      </c>
      <c r="P208" s="754">
        <v>0</v>
      </c>
      <c r="Q208" s="752">
        <v>0</v>
      </c>
      <c r="R208" s="9" t="s">
        <v>103</v>
      </c>
      <c r="S208" s="9" t="s">
        <v>103</v>
      </c>
    </row>
    <row r="209" spans="2:19">
      <c r="B209" s="746" t="s">
        <v>870</v>
      </c>
      <c r="C209" s="9" t="s">
        <v>1009</v>
      </c>
      <c r="D209" s="730" t="s">
        <v>110</v>
      </c>
      <c r="E209" s="747">
        <v>1812135.3829928176</v>
      </c>
      <c r="F209" s="747">
        <v>15690.509437198929</v>
      </c>
      <c r="G209" s="747">
        <v>1827825.8924300165</v>
      </c>
      <c r="H209" s="748">
        <v>0</v>
      </c>
      <c r="I209" s="749" t="s">
        <v>258</v>
      </c>
      <c r="J209" s="750">
        <v>1827825.8924300165</v>
      </c>
      <c r="K209" s="735">
        <v>0</v>
      </c>
      <c r="L209" s="735" t="s">
        <v>103</v>
      </c>
      <c r="M209" s="750">
        <v>0</v>
      </c>
      <c r="N209" s="750" t="s">
        <v>103</v>
      </c>
      <c r="O209" s="736">
        <v>0</v>
      </c>
      <c r="P209" s="754">
        <v>0</v>
      </c>
      <c r="Q209" s="752">
        <v>0</v>
      </c>
      <c r="R209" s="9" t="s">
        <v>103</v>
      </c>
      <c r="S209" s="9" t="s">
        <v>103</v>
      </c>
    </row>
    <row r="210" spans="2:19">
      <c r="B210" s="746" t="s">
        <v>871</v>
      </c>
      <c r="C210" s="9" t="s">
        <v>1009</v>
      </c>
      <c r="D210" s="730" t="s">
        <v>110</v>
      </c>
      <c r="E210" s="747">
        <v>2191300.6392506855</v>
      </c>
      <c r="F210" s="747">
        <v>1093792.9794427902</v>
      </c>
      <c r="G210" s="747">
        <v>3491914.4886934729</v>
      </c>
      <c r="H210" s="748">
        <v>0</v>
      </c>
      <c r="I210" s="755" t="s">
        <v>258</v>
      </c>
      <c r="J210" s="756">
        <v>3491914.4886934729</v>
      </c>
      <c r="K210" s="735">
        <v>0</v>
      </c>
      <c r="L210" s="735" t="s">
        <v>103</v>
      </c>
      <c r="M210" s="756">
        <v>0</v>
      </c>
      <c r="N210" s="756" t="s">
        <v>103</v>
      </c>
      <c r="O210" s="736">
        <v>0</v>
      </c>
      <c r="P210" s="754">
        <v>0</v>
      </c>
      <c r="Q210" s="752">
        <v>0</v>
      </c>
      <c r="R210" s="9" t="s">
        <v>103</v>
      </c>
      <c r="S210" s="9" t="s">
        <v>103</v>
      </c>
    </row>
    <row r="211" spans="2:19" s="101" customFormat="1">
      <c r="B211" s="738" t="s">
        <v>1404</v>
      </c>
      <c r="C211" s="738"/>
      <c r="D211" s="738"/>
      <c r="E211" s="739">
        <v>16618915.491900224</v>
      </c>
      <c r="F211" s="739">
        <v>3364215.7707357937</v>
      </c>
      <c r="G211" s="739">
        <f>SUM(G187:G210)</f>
        <v>14835439.202636015</v>
      </c>
      <c r="H211" s="740">
        <v>0</v>
      </c>
      <c r="I211" s="741"/>
      <c r="J211" s="742">
        <v>14835439.202636015</v>
      </c>
      <c r="K211" s="742">
        <v>0</v>
      </c>
      <c r="L211" s="741"/>
      <c r="M211" s="742">
        <v>0</v>
      </c>
      <c r="N211" s="742">
        <v>0</v>
      </c>
      <c r="O211" s="743">
        <v>0</v>
      </c>
      <c r="P211" s="742">
        <v>0</v>
      </c>
      <c r="Q211" s="744">
        <v>0</v>
      </c>
      <c r="R211" s="741" t="s">
        <v>103</v>
      </c>
      <c r="S211" s="741" t="s">
        <v>103</v>
      </c>
    </row>
    <row r="212" spans="2:19" s="97" customFormat="1">
      <c r="B212" s="723" t="s">
        <v>880</v>
      </c>
      <c r="C212" s="723"/>
      <c r="D212" s="723"/>
      <c r="E212" s="724"/>
      <c r="F212" s="724"/>
      <c r="G212" s="724"/>
      <c r="H212" s="725">
        <v>0</v>
      </c>
      <c r="I212" s="726"/>
      <c r="J212" s="727"/>
      <c r="K212" s="726"/>
      <c r="L212" s="726"/>
      <c r="M212" s="727"/>
      <c r="N212" s="727"/>
      <c r="O212" s="728"/>
      <c r="P212" s="727"/>
      <c r="Q212" s="726"/>
      <c r="R212" s="726"/>
      <c r="S212" s="726"/>
    </row>
    <row r="213" spans="2:19">
      <c r="B213" s="746" t="s">
        <v>881</v>
      </c>
      <c r="C213" s="9" t="s">
        <v>1009</v>
      </c>
      <c r="D213" s="730" t="s">
        <v>110</v>
      </c>
      <c r="E213" s="747">
        <v>1226.7438056025228</v>
      </c>
      <c r="F213" s="747">
        <v>105.15171281232861</v>
      </c>
      <c r="G213" s="747">
        <v>1331.8955184148515</v>
      </c>
      <c r="H213" s="748">
        <v>0</v>
      </c>
      <c r="I213" s="755" t="s">
        <v>258</v>
      </c>
      <c r="J213" s="756">
        <v>1331.8955184148515</v>
      </c>
      <c r="K213" s="735">
        <v>0</v>
      </c>
      <c r="L213" s="735" t="s">
        <v>103</v>
      </c>
      <c r="M213" s="756">
        <v>0</v>
      </c>
      <c r="N213" s="756" t="s">
        <v>103</v>
      </c>
      <c r="O213" s="736">
        <v>0</v>
      </c>
      <c r="P213" s="754">
        <v>0</v>
      </c>
      <c r="Q213" s="752">
        <v>0</v>
      </c>
      <c r="R213" s="9" t="s">
        <v>103</v>
      </c>
      <c r="S213" s="9" t="s">
        <v>103</v>
      </c>
    </row>
    <row r="214" spans="2:19" s="101" customFormat="1">
      <c r="B214" s="738" t="s">
        <v>1430</v>
      </c>
      <c r="C214" s="738"/>
      <c r="D214" s="738"/>
      <c r="E214" s="739">
        <v>1226.7438056025228</v>
      </c>
      <c r="F214" s="739">
        <v>105.15171281232861</v>
      </c>
      <c r="G214" s="739">
        <v>1331.8955184148515</v>
      </c>
      <c r="H214" s="740">
        <v>0</v>
      </c>
      <c r="I214" s="741"/>
      <c r="J214" s="742">
        <f>SUM(J213)</f>
        <v>1331.8955184148515</v>
      </c>
      <c r="K214" s="742">
        <v>0</v>
      </c>
      <c r="L214" s="741"/>
      <c r="M214" s="742">
        <v>0</v>
      </c>
      <c r="N214" s="742">
        <v>0</v>
      </c>
      <c r="O214" s="743">
        <v>0</v>
      </c>
      <c r="P214" s="742">
        <v>0</v>
      </c>
      <c r="Q214" s="744">
        <v>0</v>
      </c>
      <c r="R214" s="741" t="s">
        <v>103</v>
      </c>
      <c r="S214" s="741" t="s">
        <v>103</v>
      </c>
    </row>
    <row r="215" spans="2:19" s="97" customFormat="1">
      <c r="B215" s="723" t="s">
        <v>882</v>
      </c>
      <c r="C215" s="723"/>
      <c r="D215" s="723"/>
      <c r="E215" s="724"/>
      <c r="F215" s="724"/>
      <c r="G215" s="724"/>
      <c r="H215" s="725">
        <v>0</v>
      </c>
      <c r="I215" s="726"/>
      <c r="J215" s="727"/>
      <c r="K215" s="726"/>
      <c r="L215" s="726"/>
      <c r="M215" s="727"/>
      <c r="N215" s="727"/>
      <c r="O215" s="728"/>
      <c r="P215" s="727"/>
      <c r="Q215" s="726"/>
      <c r="R215" s="726"/>
      <c r="S215" s="726"/>
    </row>
    <row r="216" spans="2:19">
      <c r="B216" s="746" t="s">
        <v>883</v>
      </c>
      <c r="C216" s="9" t="s">
        <v>1009</v>
      </c>
      <c r="D216" s="730" t="s">
        <v>110</v>
      </c>
      <c r="E216" s="747">
        <v>84250.978737450467</v>
      </c>
      <c r="F216" s="747">
        <v>28739.531294723303</v>
      </c>
      <c r="G216" s="747">
        <v>112990.51003217374</v>
      </c>
      <c r="H216" s="748">
        <v>0</v>
      </c>
      <c r="I216" s="749" t="s">
        <v>258</v>
      </c>
      <c r="J216" s="750">
        <v>112990.51003217374</v>
      </c>
      <c r="K216" s="735">
        <v>0</v>
      </c>
      <c r="L216" s="735" t="s">
        <v>103</v>
      </c>
      <c r="M216" s="750">
        <v>0</v>
      </c>
      <c r="N216" s="750" t="s">
        <v>103</v>
      </c>
      <c r="O216" s="736">
        <v>0</v>
      </c>
      <c r="P216" s="754">
        <v>0</v>
      </c>
      <c r="Q216" s="752">
        <v>0</v>
      </c>
      <c r="R216" s="9" t="s">
        <v>103</v>
      </c>
      <c r="S216" s="9" t="s">
        <v>103</v>
      </c>
    </row>
    <row r="217" spans="2:19">
      <c r="B217" s="746" t="s">
        <v>884</v>
      </c>
      <c r="C217" s="9" t="s">
        <v>1009</v>
      </c>
      <c r="D217" s="730" t="s">
        <v>110</v>
      </c>
      <c r="E217" s="747">
        <v>1126434.2665770345</v>
      </c>
      <c r="F217" s="747">
        <v>60416.724962137996</v>
      </c>
      <c r="G217" s="747">
        <v>1186850.9915391726</v>
      </c>
      <c r="H217" s="748">
        <v>0</v>
      </c>
      <c r="I217" s="749" t="s">
        <v>258</v>
      </c>
      <c r="J217" s="750">
        <v>1186850.9915391726</v>
      </c>
      <c r="K217" s="735">
        <v>0</v>
      </c>
      <c r="L217" s="735" t="s">
        <v>103</v>
      </c>
      <c r="M217" s="750">
        <v>0</v>
      </c>
      <c r="N217" s="750" t="s">
        <v>103</v>
      </c>
      <c r="O217" s="736">
        <v>0</v>
      </c>
      <c r="P217" s="754">
        <v>0</v>
      </c>
      <c r="Q217" s="752">
        <v>0</v>
      </c>
      <c r="R217" s="9" t="s">
        <v>103</v>
      </c>
      <c r="S217" s="9" t="s">
        <v>103</v>
      </c>
    </row>
    <row r="218" spans="2:19">
      <c r="B218" s="746" t="s">
        <v>885</v>
      </c>
      <c r="C218" s="9" t="s">
        <v>1009</v>
      </c>
      <c r="D218" s="730" t="s">
        <v>110</v>
      </c>
      <c r="E218" s="747">
        <v>639060.00336340885</v>
      </c>
      <c r="F218" s="747">
        <v>330165.56813246128</v>
      </c>
      <c r="G218" s="747">
        <v>969225.57149586943</v>
      </c>
      <c r="H218" s="748">
        <v>0</v>
      </c>
      <c r="I218" s="749" t="s">
        <v>258</v>
      </c>
      <c r="J218" s="750">
        <v>969225.57149586943</v>
      </c>
      <c r="K218" s="735">
        <v>0</v>
      </c>
      <c r="L218" s="735" t="s">
        <v>103</v>
      </c>
      <c r="M218" s="750">
        <v>0</v>
      </c>
      <c r="N218" s="750" t="s">
        <v>103</v>
      </c>
      <c r="O218" s="736">
        <v>0</v>
      </c>
      <c r="P218" s="754">
        <v>0</v>
      </c>
      <c r="Q218" s="752">
        <v>0</v>
      </c>
      <c r="R218" s="9" t="s">
        <v>103</v>
      </c>
      <c r="S218" s="9" t="s">
        <v>103</v>
      </c>
    </row>
    <row r="219" spans="2:19">
      <c r="B219" s="746" t="s">
        <v>889</v>
      </c>
      <c r="C219" s="9" t="s">
        <v>1009</v>
      </c>
      <c r="D219" s="730" t="s">
        <v>110</v>
      </c>
      <c r="E219" s="747">
        <v>-2266112.6424227296</v>
      </c>
      <c r="F219" s="747">
        <v>173750.74179516069</v>
      </c>
      <c r="G219" s="747">
        <v>-2092361.9006275698</v>
      </c>
      <c r="H219" s="694">
        <v>12.042319238523367</v>
      </c>
      <c r="I219" s="755" t="s">
        <v>258</v>
      </c>
      <c r="J219" s="756">
        <v>-2092361.9006275698</v>
      </c>
      <c r="K219" s="735">
        <v>0</v>
      </c>
      <c r="L219" s="735" t="s">
        <v>103</v>
      </c>
      <c r="M219" s="756">
        <v>0</v>
      </c>
      <c r="N219" s="756" t="s">
        <v>103</v>
      </c>
      <c r="O219" s="736">
        <v>0</v>
      </c>
      <c r="P219" s="754">
        <v>0</v>
      </c>
      <c r="Q219" s="752">
        <v>0</v>
      </c>
      <c r="R219" s="9" t="s">
        <v>103</v>
      </c>
      <c r="S219" s="9" t="s">
        <v>103</v>
      </c>
    </row>
    <row r="220" spans="2:19" s="101" customFormat="1">
      <c r="B220" s="738" t="s">
        <v>1433</v>
      </c>
      <c r="C220" s="738"/>
      <c r="D220" s="738"/>
      <c r="E220" s="739">
        <v>-416367.39374483586</v>
      </c>
      <c r="F220" s="739">
        <v>593072.56618448324</v>
      </c>
      <c r="G220" s="739">
        <f>SUM(G216:G219)</f>
        <v>176705.17243964598</v>
      </c>
      <c r="H220" s="740">
        <v>0</v>
      </c>
      <c r="I220" s="741"/>
      <c r="J220" s="742">
        <f>SUM(J216:J219)</f>
        <v>176705.17243964598</v>
      </c>
      <c r="K220" s="742">
        <v>0</v>
      </c>
      <c r="L220" s="741"/>
      <c r="M220" s="742">
        <v>0</v>
      </c>
      <c r="N220" s="742">
        <v>0</v>
      </c>
      <c r="O220" s="743">
        <v>0</v>
      </c>
      <c r="P220" s="742">
        <v>0</v>
      </c>
      <c r="Q220" s="744">
        <v>0</v>
      </c>
      <c r="R220" s="741" t="s">
        <v>103</v>
      </c>
      <c r="S220" s="741" t="s">
        <v>103</v>
      </c>
    </row>
    <row r="221" spans="2:19" s="97" customFormat="1">
      <c r="B221" s="723" t="s">
        <v>897</v>
      </c>
      <c r="C221" s="723"/>
      <c r="D221" s="723"/>
      <c r="E221" s="724"/>
      <c r="F221" s="724"/>
      <c r="G221" s="724"/>
      <c r="H221" s="725">
        <v>0</v>
      </c>
      <c r="I221" s="726"/>
      <c r="J221" s="727"/>
      <c r="K221" s="726"/>
      <c r="L221" s="726"/>
      <c r="M221" s="727"/>
      <c r="N221" s="727"/>
      <c r="O221" s="728"/>
      <c r="P221" s="727"/>
      <c r="Q221" s="726"/>
      <c r="R221" s="726"/>
      <c r="S221" s="726"/>
    </row>
    <row r="222" spans="2:19">
      <c r="B222" s="746" t="s">
        <v>898</v>
      </c>
      <c r="C222" s="9" t="s">
        <v>1009</v>
      </c>
      <c r="D222" s="730" t="s">
        <v>110</v>
      </c>
      <c r="E222" s="747">
        <v>916.83959433882774</v>
      </c>
      <c r="F222" s="747">
        <v>22673.271942097908</v>
      </c>
      <c r="G222" s="747">
        <v>23590.111536436696</v>
      </c>
      <c r="H222" s="748">
        <v>0</v>
      </c>
      <c r="I222" s="749" t="s">
        <v>258</v>
      </c>
      <c r="J222" s="750">
        <v>23590.111536436696</v>
      </c>
      <c r="K222" s="735">
        <v>0</v>
      </c>
      <c r="L222" s="735" t="s">
        <v>103</v>
      </c>
      <c r="M222" s="750">
        <v>0</v>
      </c>
      <c r="N222" s="750" t="s">
        <v>103</v>
      </c>
      <c r="O222" s="736">
        <v>0</v>
      </c>
      <c r="P222" s="754">
        <v>0</v>
      </c>
      <c r="Q222" s="752">
        <v>0</v>
      </c>
      <c r="R222" s="9" t="s">
        <v>103</v>
      </c>
      <c r="S222" s="9" t="s">
        <v>103</v>
      </c>
    </row>
    <row r="223" spans="2:19">
      <c r="B223" s="746" t="s">
        <v>902</v>
      </c>
      <c r="C223" s="9" t="s">
        <v>1009</v>
      </c>
      <c r="D223" s="730" t="s">
        <v>110</v>
      </c>
      <c r="E223" s="747">
        <v>699829.02609570359</v>
      </c>
      <c r="F223" s="747">
        <v>12851.894996062456</v>
      </c>
      <c r="G223" s="747">
        <v>712680.9210917661</v>
      </c>
      <c r="H223" s="748">
        <v>0</v>
      </c>
      <c r="I223" s="749" t="s">
        <v>258</v>
      </c>
      <c r="J223" s="750">
        <v>712680.9210917661</v>
      </c>
      <c r="K223" s="735">
        <v>0</v>
      </c>
      <c r="L223" s="735" t="s">
        <v>103</v>
      </c>
      <c r="M223" s="750">
        <v>0</v>
      </c>
      <c r="N223" s="750" t="s">
        <v>103</v>
      </c>
      <c r="O223" s="736">
        <v>0</v>
      </c>
      <c r="P223" s="754">
        <v>0</v>
      </c>
      <c r="Q223" s="752">
        <v>0</v>
      </c>
      <c r="R223" s="9" t="s">
        <v>103</v>
      </c>
      <c r="S223" s="9" t="s">
        <v>103</v>
      </c>
    </row>
    <row r="224" spans="2:19">
      <c r="B224" s="746" t="s">
        <v>905</v>
      </c>
      <c r="C224" s="9" t="s">
        <v>1009</v>
      </c>
      <c r="D224" s="730" t="s">
        <v>110</v>
      </c>
      <c r="E224" s="747">
        <v>446500.93843607663</v>
      </c>
      <c r="F224" s="747">
        <v>22707.740300912785</v>
      </c>
      <c r="G224" s="747">
        <v>469208.6787369895</v>
      </c>
      <c r="H224" s="748">
        <v>0</v>
      </c>
      <c r="I224" s="749" t="s">
        <v>258</v>
      </c>
      <c r="J224" s="750">
        <v>469208.6787369895</v>
      </c>
      <c r="K224" s="735">
        <v>0</v>
      </c>
      <c r="L224" s="735" t="s">
        <v>103</v>
      </c>
      <c r="M224" s="750">
        <v>0</v>
      </c>
      <c r="N224" s="750" t="s">
        <v>103</v>
      </c>
      <c r="O224" s="736">
        <v>0</v>
      </c>
      <c r="P224" s="754">
        <v>0</v>
      </c>
      <c r="Q224" s="752">
        <v>0</v>
      </c>
      <c r="R224" s="9" t="s">
        <v>103</v>
      </c>
      <c r="S224" s="9" t="s">
        <v>103</v>
      </c>
    </row>
    <row r="225" spans="2:19">
      <c r="B225" s="746" t="s">
        <v>908</v>
      </c>
      <c r="C225" s="9" t="s">
        <v>1009</v>
      </c>
      <c r="D225" s="730" t="s">
        <v>110</v>
      </c>
      <c r="E225" s="747">
        <v>726734.01342833147</v>
      </c>
      <c r="F225" s="747">
        <v>61470.135824525663</v>
      </c>
      <c r="G225" s="747">
        <v>788204.14925285697</v>
      </c>
      <c r="H225" s="748">
        <v>0</v>
      </c>
      <c r="I225" s="749" t="s">
        <v>258</v>
      </c>
      <c r="J225" s="750">
        <v>788204.14925285697</v>
      </c>
      <c r="K225" s="735">
        <v>0</v>
      </c>
      <c r="L225" s="735" t="s">
        <v>103</v>
      </c>
      <c r="M225" s="750">
        <v>0</v>
      </c>
      <c r="N225" s="750" t="s">
        <v>103</v>
      </c>
      <c r="O225" s="736">
        <v>0</v>
      </c>
      <c r="P225" s="754">
        <v>0</v>
      </c>
      <c r="Q225" s="752">
        <v>0</v>
      </c>
      <c r="R225" s="9" t="s">
        <v>103</v>
      </c>
      <c r="S225" s="9" t="s">
        <v>103</v>
      </c>
    </row>
    <row r="226" spans="2:19">
      <c r="B226" s="746" t="s">
        <v>911</v>
      </c>
      <c r="C226" s="9" t="s">
        <v>1009</v>
      </c>
      <c r="D226" s="730" t="s">
        <v>110</v>
      </c>
      <c r="E226" s="747">
        <v>235216.01096888661</v>
      </c>
      <c r="F226" s="747">
        <v>72301.974221417913</v>
      </c>
      <c r="G226" s="747">
        <v>307517.98519030516</v>
      </c>
      <c r="H226" s="748">
        <v>0</v>
      </c>
      <c r="I226" s="749" t="s">
        <v>258</v>
      </c>
      <c r="J226" s="750">
        <v>307517.98519030516</v>
      </c>
      <c r="K226" s="735">
        <v>0</v>
      </c>
      <c r="L226" s="735" t="s">
        <v>103</v>
      </c>
      <c r="M226" s="750">
        <v>0</v>
      </c>
      <c r="N226" s="750" t="s">
        <v>103</v>
      </c>
      <c r="O226" s="736">
        <v>0</v>
      </c>
      <c r="P226" s="754">
        <v>0</v>
      </c>
      <c r="Q226" s="752">
        <v>0</v>
      </c>
      <c r="R226" s="9" t="s">
        <v>103</v>
      </c>
      <c r="S226" s="9" t="s">
        <v>103</v>
      </c>
    </row>
    <row r="227" spans="2:19">
      <c r="B227" s="746" t="s">
        <v>912</v>
      </c>
      <c r="C227" s="9" t="s">
        <v>1009</v>
      </c>
      <c r="D227" s="730" t="s">
        <v>110</v>
      </c>
      <c r="E227" s="747">
        <v>-180206.59702500803</v>
      </c>
      <c r="F227" s="747">
        <v>164829.11656967778</v>
      </c>
      <c r="G227" s="747">
        <v>-15276.090455330501</v>
      </c>
      <c r="H227" s="694">
        <v>9.2678349391461301E-2</v>
      </c>
      <c r="I227" s="749" t="s">
        <v>258</v>
      </c>
      <c r="J227" s="750">
        <v>-15276.090455330501</v>
      </c>
      <c r="K227" s="735">
        <v>0</v>
      </c>
      <c r="L227" s="735" t="s">
        <v>103</v>
      </c>
      <c r="M227" s="750">
        <v>0</v>
      </c>
      <c r="N227" s="750" t="s">
        <v>103</v>
      </c>
      <c r="O227" s="736">
        <v>0</v>
      </c>
      <c r="P227" s="754">
        <v>0</v>
      </c>
      <c r="Q227" s="752">
        <v>0</v>
      </c>
      <c r="R227" s="9" t="s">
        <v>103</v>
      </c>
      <c r="S227" s="9" t="s">
        <v>103</v>
      </c>
    </row>
    <row r="228" spans="2:19">
      <c r="B228" s="746" t="s">
        <v>920</v>
      </c>
      <c r="C228" s="9" t="s">
        <v>1009</v>
      </c>
      <c r="D228" s="730" t="s">
        <v>110</v>
      </c>
      <c r="E228" s="747">
        <v>89698.482217856814</v>
      </c>
      <c r="F228" s="747">
        <v>13754.49429332275</v>
      </c>
      <c r="G228" s="747">
        <v>103452.97651117956</v>
      </c>
      <c r="H228" s="748">
        <v>0</v>
      </c>
      <c r="I228" s="749" t="s">
        <v>258</v>
      </c>
      <c r="J228" s="750">
        <v>103452.97651117956</v>
      </c>
      <c r="K228" s="735">
        <v>0</v>
      </c>
      <c r="L228" s="735" t="s">
        <v>103</v>
      </c>
      <c r="M228" s="750">
        <v>0</v>
      </c>
      <c r="N228" s="750" t="s">
        <v>103</v>
      </c>
      <c r="O228" s="736">
        <v>0</v>
      </c>
      <c r="P228" s="754">
        <v>0</v>
      </c>
      <c r="Q228" s="752">
        <v>0</v>
      </c>
      <c r="R228" s="9" t="s">
        <v>103</v>
      </c>
      <c r="S228" s="9" t="s">
        <v>103</v>
      </c>
    </row>
    <row r="229" spans="2:19">
      <c r="B229" s="746" t="s">
        <v>921</v>
      </c>
      <c r="C229" s="9" t="s">
        <v>1009</v>
      </c>
      <c r="D229" s="730" t="s">
        <v>110</v>
      </c>
      <c r="E229" s="747">
        <v>12116468.881097253</v>
      </c>
      <c r="F229" s="747">
        <v>574044.76255580853</v>
      </c>
      <c r="G229" s="747">
        <v>12690513.643653061</v>
      </c>
      <c r="H229" s="748">
        <v>0</v>
      </c>
      <c r="I229" s="755" t="s">
        <v>258</v>
      </c>
      <c r="J229" s="756">
        <v>12690513.643653061</v>
      </c>
      <c r="K229" s="735">
        <v>0</v>
      </c>
      <c r="L229" s="735" t="s">
        <v>103</v>
      </c>
      <c r="M229" s="756">
        <v>0</v>
      </c>
      <c r="N229" s="756" t="s">
        <v>103</v>
      </c>
      <c r="O229" s="736">
        <v>0</v>
      </c>
      <c r="P229" s="754">
        <v>0</v>
      </c>
      <c r="Q229" s="752">
        <v>0</v>
      </c>
      <c r="R229" s="9" t="s">
        <v>103</v>
      </c>
      <c r="S229" s="9" t="s">
        <v>103</v>
      </c>
    </row>
    <row r="230" spans="2:19" s="101" customFormat="1">
      <c r="B230" s="738" t="s">
        <v>1439</v>
      </c>
      <c r="C230" s="738"/>
      <c r="D230" s="738"/>
      <c r="E230" s="739">
        <v>14135157.59481344</v>
      </c>
      <c r="F230" s="739">
        <v>944633.39070382575</v>
      </c>
      <c r="G230" s="739">
        <f>SUM(G222:G229)</f>
        <v>15079892.375517264</v>
      </c>
      <c r="H230" s="740">
        <v>0</v>
      </c>
      <c r="I230" s="741"/>
      <c r="J230" s="742">
        <v>15079892.375517264</v>
      </c>
      <c r="K230" s="742">
        <v>0</v>
      </c>
      <c r="L230" s="742"/>
      <c r="M230" s="742">
        <v>0</v>
      </c>
      <c r="N230" s="742">
        <v>0</v>
      </c>
      <c r="O230" s="743">
        <v>0</v>
      </c>
      <c r="P230" s="742">
        <v>0</v>
      </c>
      <c r="Q230" s="744">
        <v>0</v>
      </c>
      <c r="R230" s="741" t="s">
        <v>103</v>
      </c>
      <c r="S230" s="741" t="s">
        <v>103</v>
      </c>
    </row>
    <row r="231" spans="2:19" s="97" customFormat="1">
      <c r="B231" s="723" t="s">
        <v>926</v>
      </c>
      <c r="C231" s="723"/>
      <c r="D231" s="723"/>
      <c r="E231" s="724"/>
      <c r="F231" s="724"/>
      <c r="G231" s="724"/>
      <c r="H231" s="725">
        <v>0</v>
      </c>
      <c r="I231" s="726"/>
      <c r="J231" s="727"/>
      <c r="K231" s="726"/>
      <c r="L231" s="726"/>
      <c r="M231" s="727"/>
      <c r="N231" s="727"/>
      <c r="O231" s="728"/>
      <c r="P231" s="727"/>
      <c r="Q231" s="726"/>
      <c r="R231" s="726"/>
      <c r="S231" s="726"/>
    </row>
    <row r="232" spans="2:19">
      <c r="B232" s="746" t="s">
        <v>927</v>
      </c>
      <c r="C232" s="9" t="s">
        <v>1009</v>
      </c>
      <c r="D232" s="730" t="s">
        <v>110</v>
      </c>
      <c r="E232" s="747">
        <v>1547.6725321906238</v>
      </c>
      <c r="F232" s="747">
        <v>17.296459089282784</v>
      </c>
      <c r="G232" s="747">
        <v>1564.9689912799065</v>
      </c>
      <c r="H232" s="748">
        <v>0</v>
      </c>
      <c r="I232" s="755" t="s">
        <v>258</v>
      </c>
      <c r="J232" s="756">
        <v>1564.9689912799065</v>
      </c>
      <c r="K232" s="735">
        <v>0</v>
      </c>
      <c r="L232" s="735" t="s">
        <v>103</v>
      </c>
      <c r="M232" s="756">
        <v>0</v>
      </c>
      <c r="N232" s="756" t="s">
        <v>103</v>
      </c>
      <c r="O232" s="736">
        <v>0</v>
      </c>
      <c r="P232" s="754">
        <v>0</v>
      </c>
      <c r="Q232" s="752">
        <v>0</v>
      </c>
      <c r="R232" s="9" t="s">
        <v>103</v>
      </c>
      <c r="S232" s="9" t="s">
        <v>103</v>
      </c>
    </row>
    <row r="233" spans="2:19" s="101" customFormat="1">
      <c r="B233" s="738" t="s">
        <v>1852</v>
      </c>
      <c r="C233" s="738"/>
      <c r="D233" s="738"/>
      <c r="E233" s="739">
        <v>1547.6725321906238</v>
      </c>
      <c r="F233" s="739">
        <v>17.296459089282784</v>
      </c>
      <c r="G233" s="739">
        <f>SUM(G232)</f>
        <v>1564.9689912799065</v>
      </c>
      <c r="H233" s="740">
        <v>0</v>
      </c>
      <c r="I233" s="741"/>
      <c r="J233" s="742">
        <v>1564.9689912799065</v>
      </c>
      <c r="K233" s="742">
        <v>0</v>
      </c>
      <c r="L233" s="742"/>
      <c r="M233" s="742">
        <v>0</v>
      </c>
      <c r="N233" s="742">
        <v>0</v>
      </c>
      <c r="O233" s="743">
        <v>0</v>
      </c>
      <c r="P233" s="742">
        <v>0</v>
      </c>
      <c r="Q233" s="744">
        <v>0</v>
      </c>
      <c r="R233" s="741" t="s">
        <v>103</v>
      </c>
      <c r="S233" s="741" t="s">
        <v>103</v>
      </c>
    </row>
    <row r="234" spans="2:19" s="97" customFormat="1">
      <c r="B234" s="723" t="s">
        <v>928</v>
      </c>
      <c r="C234" s="723"/>
      <c r="D234" s="723"/>
      <c r="E234" s="724"/>
      <c r="F234" s="724"/>
      <c r="G234" s="724"/>
      <c r="H234" s="725">
        <v>0</v>
      </c>
      <c r="I234" s="726"/>
      <c r="J234" s="727"/>
      <c r="K234" s="726"/>
      <c r="L234" s="726"/>
      <c r="M234" s="727"/>
      <c r="N234" s="727"/>
      <c r="O234" s="728"/>
      <c r="P234" s="727"/>
      <c r="Q234" s="726"/>
      <c r="R234" s="726"/>
      <c r="S234" s="726"/>
    </row>
    <row r="235" spans="2:19">
      <c r="B235" s="746" t="s">
        <v>929</v>
      </c>
      <c r="C235" s="9" t="s">
        <v>1009</v>
      </c>
      <c r="D235" s="730" t="s">
        <v>110</v>
      </c>
      <c r="E235" s="747">
        <v>1744166.0446401685</v>
      </c>
      <c r="F235" s="747">
        <v>86183.730536336981</v>
      </c>
      <c r="G235" s="747">
        <v>-269650.22482349398</v>
      </c>
      <c r="H235" s="694">
        <v>3.1287833927054645</v>
      </c>
      <c r="I235" s="749" t="s">
        <v>258</v>
      </c>
      <c r="J235" s="750">
        <v>-269650.22482349398</v>
      </c>
      <c r="K235" s="735">
        <v>0</v>
      </c>
      <c r="L235" s="735" t="s">
        <v>103</v>
      </c>
      <c r="M235" s="750">
        <v>0</v>
      </c>
      <c r="N235" s="750" t="s">
        <v>103</v>
      </c>
      <c r="O235" s="736">
        <v>0</v>
      </c>
      <c r="P235" s="754">
        <v>0</v>
      </c>
      <c r="Q235" s="752">
        <v>0</v>
      </c>
      <c r="R235" s="9" t="s">
        <v>103</v>
      </c>
      <c r="S235" s="9" t="s">
        <v>103</v>
      </c>
    </row>
    <row r="236" spans="2:19">
      <c r="B236" s="746" t="s">
        <v>939</v>
      </c>
      <c r="C236" s="9" t="s">
        <v>1009</v>
      </c>
      <c r="D236" s="730" t="s">
        <v>110</v>
      </c>
      <c r="E236" s="747">
        <v>536704.02267063153</v>
      </c>
      <c r="F236" s="747">
        <v>22265.920772020316</v>
      </c>
      <c r="G236" s="747">
        <v>558969.94344265177</v>
      </c>
      <c r="H236" s="748">
        <v>0</v>
      </c>
      <c r="I236" s="749" t="s">
        <v>258</v>
      </c>
      <c r="J236" s="750">
        <v>558969.94344265177</v>
      </c>
      <c r="K236" s="735">
        <v>0</v>
      </c>
      <c r="L236" s="735" t="s">
        <v>103</v>
      </c>
      <c r="M236" s="750">
        <v>0</v>
      </c>
      <c r="N236" s="750" t="s">
        <v>103</v>
      </c>
      <c r="O236" s="736">
        <v>0</v>
      </c>
      <c r="P236" s="754">
        <v>0</v>
      </c>
      <c r="Q236" s="752">
        <v>0</v>
      </c>
      <c r="R236" s="9" t="s">
        <v>103</v>
      </c>
      <c r="S236" s="9" t="s">
        <v>103</v>
      </c>
    </row>
    <row r="237" spans="2:19">
      <c r="B237" s="746" t="s">
        <v>940</v>
      </c>
      <c r="C237" s="9" t="s">
        <v>1009</v>
      </c>
      <c r="D237" s="730" t="s">
        <v>110</v>
      </c>
      <c r="E237" s="747">
        <v>462988.22694482125</v>
      </c>
      <c r="F237" s="747">
        <v>33065.615630131426</v>
      </c>
      <c r="G237" s="747">
        <v>496053.84257495275</v>
      </c>
      <c r="H237" s="748">
        <v>0</v>
      </c>
      <c r="I237" s="749" t="s">
        <v>258</v>
      </c>
      <c r="J237" s="750">
        <v>496053.84257495275</v>
      </c>
      <c r="K237" s="735">
        <v>0</v>
      </c>
      <c r="L237" s="735" t="s">
        <v>103</v>
      </c>
      <c r="M237" s="750">
        <v>0</v>
      </c>
      <c r="N237" s="750" t="s">
        <v>103</v>
      </c>
      <c r="O237" s="736">
        <v>0</v>
      </c>
      <c r="P237" s="754">
        <v>0</v>
      </c>
      <c r="Q237" s="752">
        <v>0</v>
      </c>
      <c r="R237" s="9" t="s">
        <v>103</v>
      </c>
      <c r="S237" s="9" t="s">
        <v>103</v>
      </c>
    </row>
    <row r="238" spans="2:19">
      <c r="B238" s="746" t="s">
        <v>941</v>
      </c>
      <c r="C238" s="9" t="s">
        <v>1009</v>
      </c>
      <c r="D238" s="730" t="s">
        <v>110</v>
      </c>
      <c r="E238" s="747">
        <v>-286713.89369142242</v>
      </c>
      <c r="F238" s="747">
        <v>28960.493665637176</v>
      </c>
      <c r="G238" s="747">
        <v>-257753.40002578523</v>
      </c>
      <c r="H238" s="694">
        <v>8.9001728700370979</v>
      </c>
      <c r="I238" s="749" t="s">
        <v>258</v>
      </c>
      <c r="J238" s="750">
        <v>-257753.40002578523</v>
      </c>
      <c r="K238" s="735">
        <v>0</v>
      </c>
      <c r="L238" s="735" t="s">
        <v>103</v>
      </c>
      <c r="M238" s="750">
        <v>0</v>
      </c>
      <c r="N238" s="750" t="s">
        <v>103</v>
      </c>
      <c r="O238" s="736">
        <v>0</v>
      </c>
      <c r="P238" s="754">
        <v>0</v>
      </c>
      <c r="Q238" s="752">
        <v>0</v>
      </c>
      <c r="R238" s="9" t="s">
        <v>103</v>
      </c>
      <c r="S238" s="9" t="s">
        <v>103</v>
      </c>
    </row>
    <row r="239" spans="2:19">
      <c r="B239" s="746" t="s">
        <v>945</v>
      </c>
      <c r="C239" s="9" t="s">
        <v>1009</v>
      </c>
      <c r="D239" s="730" t="s">
        <v>110</v>
      </c>
      <c r="E239" s="747">
        <v>2001721.8493065296</v>
      </c>
      <c r="F239" s="747">
        <v>239744.00980863234</v>
      </c>
      <c r="G239" s="747">
        <v>2366844.2091151616</v>
      </c>
      <c r="H239" s="748">
        <v>0</v>
      </c>
      <c r="I239" s="749" t="s">
        <v>258</v>
      </c>
      <c r="J239" s="750">
        <v>2366844.2091151616</v>
      </c>
      <c r="K239" s="735">
        <v>0</v>
      </c>
      <c r="L239" s="735" t="s">
        <v>103</v>
      </c>
      <c r="M239" s="750">
        <v>0</v>
      </c>
      <c r="N239" s="750" t="s">
        <v>103</v>
      </c>
      <c r="O239" s="736">
        <v>0</v>
      </c>
      <c r="P239" s="754">
        <v>0</v>
      </c>
      <c r="Q239" s="752">
        <v>0</v>
      </c>
      <c r="R239" s="9" t="s">
        <v>103</v>
      </c>
      <c r="S239" s="9" t="s">
        <v>103</v>
      </c>
    </row>
    <row r="240" spans="2:19">
      <c r="B240" s="746" t="s">
        <v>953</v>
      </c>
      <c r="C240" s="9" t="s">
        <v>1009</v>
      </c>
      <c r="D240" s="730" t="s">
        <v>110</v>
      </c>
      <c r="E240" s="747">
        <v>198341.96368587707</v>
      </c>
      <c r="F240" s="747">
        <v>38874.367134520835</v>
      </c>
      <c r="G240" s="747">
        <v>-256176.63917960174</v>
      </c>
      <c r="H240" s="694">
        <v>6.589860055936815</v>
      </c>
      <c r="I240" s="749" t="s">
        <v>258</v>
      </c>
      <c r="J240" s="750">
        <v>-256176.63917960174</v>
      </c>
      <c r="K240" s="735">
        <v>0</v>
      </c>
      <c r="L240" s="735" t="s">
        <v>103</v>
      </c>
      <c r="M240" s="750">
        <v>0</v>
      </c>
      <c r="N240" s="750" t="s">
        <v>103</v>
      </c>
      <c r="O240" s="736">
        <v>0</v>
      </c>
      <c r="P240" s="754">
        <v>0</v>
      </c>
      <c r="Q240" s="752">
        <v>0</v>
      </c>
      <c r="R240" s="9" t="s">
        <v>103</v>
      </c>
      <c r="S240" s="9" t="s">
        <v>103</v>
      </c>
    </row>
    <row r="241" spans="2:19">
      <c r="B241" s="746" t="s">
        <v>958</v>
      </c>
      <c r="C241" s="9" t="s">
        <v>1009</v>
      </c>
      <c r="D241" s="730" t="s">
        <v>110</v>
      </c>
      <c r="E241" s="747">
        <v>761499.63088514772</v>
      </c>
      <c r="F241" s="747">
        <v>63484.251029231273</v>
      </c>
      <c r="G241" s="747">
        <v>824983.88191437919</v>
      </c>
      <c r="H241" s="748">
        <v>0</v>
      </c>
      <c r="I241" s="749" t="s">
        <v>258</v>
      </c>
      <c r="J241" s="750">
        <v>824983.88191437919</v>
      </c>
      <c r="K241" s="735">
        <v>0</v>
      </c>
      <c r="L241" s="735" t="s">
        <v>103</v>
      </c>
      <c r="M241" s="750">
        <v>0</v>
      </c>
      <c r="N241" s="750" t="s">
        <v>103</v>
      </c>
      <c r="O241" s="736">
        <v>0</v>
      </c>
      <c r="P241" s="754">
        <v>0</v>
      </c>
      <c r="Q241" s="752">
        <v>0</v>
      </c>
      <c r="R241" s="9" t="s">
        <v>103</v>
      </c>
      <c r="S241" s="9" t="s">
        <v>103</v>
      </c>
    </row>
    <row r="242" spans="2:19">
      <c r="B242" s="746" t="s">
        <v>961</v>
      </c>
      <c r="C242" s="9" t="s">
        <v>1009</v>
      </c>
      <c r="D242" s="730" t="s">
        <v>110</v>
      </c>
      <c r="E242" s="747">
        <v>133681.75044735282</v>
      </c>
      <c r="F242" s="747">
        <v>184604.15076369874</v>
      </c>
      <c r="G242" s="747">
        <v>318285.90121105209</v>
      </c>
      <c r="H242" s="748">
        <v>0</v>
      </c>
      <c r="I242" s="749" t="s">
        <v>258</v>
      </c>
      <c r="J242" s="750">
        <v>318285.90121105209</v>
      </c>
      <c r="K242" s="735">
        <v>0</v>
      </c>
      <c r="L242" s="735" t="s">
        <v>103</v>
      </c>
      <c r="M242" s="750">
        <v>0</v>
      </c>
      <c r="N242" s="750" t="s">
        <v>103</v>
      </c>
      <c r="O242" s="736">
        <v>0</v>
      </c>
      <c r="P242" s="754">
        <v>0</v>
      </c>
      <c r="Q242" s="752">
        <v>0</v>
      </c>
      <c r="R242" s="9" t="s">
        <v>103</v>
      </c>
      <c r="S242" s="9" t="s">
        <v>103</v>
      </c>
    </row>
    <row r="243" spans="2:19">
      <c r="B243" s="746" t="s">
        <v>968</v>
      </c>
      <c r="C243" s="9" t="s">
        <v>1009</v>
      </c>
      <c r="D243" s="730" t="s">
        <v>110</v>
      </c>
      <c r="E243" s="747">
        <v>1088906.5570190467</v>
      </c>
      <c r="F243" s="747">
        <v>178582.19658819344</v>
      </c>
      <c r="G243" s="747">
        <v>1267488.75360724</v>
      </c>
      <c r="H243" s="748">
        <v>0</v>
      </c>
      <c r="I243" s="749" t="s">
        <v>258</v>
      </c>
      <c r="J243" s="750">
        <v>1267488.75360724</v>
      </c>
      <c r="K243" s="735">
        <v>0</v>
      </c>
      <c r="L243" s="735" t="s">
        <v>103</v>
      </c>
      <c r="M243" s="750">
        <v>0</v>
      </c>
      <c r="N243" s="750" t="s">
        <v>103</v>
      </c>
      <c r="O243" s="736">
        <v>0</v>
      </c>
      <c r="P243" s="754">
        <v>0</v>
      </c>
      <c r="Q243" s="752">
        <v>0</v>
      </c>
      <c r="R243" s="9" t="s">
        <v>103</v>
      </c>
      <c r="S243" s="9" t="s">
        <v>103</v>
      </c>
    </row>
    <row r="244" spans="2:19">
      <c r="B244" s="746" t="s">
        <v>1563</v>
      </c>
      <c r="C244" s="9" t="s">
        <v>1009</v>
      </c>
      <c r="D244" s="730" t="s">
        <v>110</v>
      </c>
      <c r="E244" s="747">
        <v>-63101.015077101067</v>
      </c>
      <c r="F244" s="747">
        <v>233026.79671585522</v>
      </c>
      <c r="G244" s="747">
        <v>169925.78163875415</v>
      </c>
      <c r="H244" s="748">
        <v>0</v>
      </c>
      <c r="I244" s="749" t="s">
        <v>258</v>
      </c>
      <c r="J244" s="750">
        <v>169925.78163875415</v>
      </c>
      <c r="K244" s="735">
        <v>0</v>
      </c>
      <c r="L244" s="735" t="s">
        <v>103</v>
      </c>
      <c r="M244" s="750">
        <v>0</v>
      </c>
      <c r="N244" s="750" t="s">
        <v>103</v>
      </c>
      <c r="O244" s="736">
        <v>0</v>
      </c>
      <c r="P244" s="754">
        <v>0</v>
      </c>
      <c r="Q244" s="752">
        <v>0</v>
      </c>
      <c r="R244" s="9" t="s">
        <v>103</v>
      </c>
      <c r="S244" s="9" t="s">
        <v>103</v>
      </c>
    </row>
    <row r="245" spans="2:19">
      <c r="B245" s="746" t="s">
        <v>973</v>
      </c>
      <c r="C245" s="9" t="s">
        <v>1009</v>
      </c>
      <c r="D245" s="730" t="s">
        <v>110</v>
      </c>
      <c r="E245" s="747">
        <v>1676527.9186403933</v>
      </c>
      <c r="F245" s="747">
        <v>279952.4956288893</v>
      </c>
      <c r="G245" s="747">
        <v>1956480.4142692829</v>
      </c>
      <c r="H245" s="748">
        <v>0</v>
      </c>
      <c r="I245" s="755" t="s">
        <v>258</v>
      </c>
      <c r="J245" s="756">
        <v>1956480.4142692829</v>
      </c>
      <c r="K245" s="735">
        <v>0</v>
      </c>
      <c r="L245" s="735" t="s">
        <v>103</v>
      </c>
      <c r="M245" s="756">
        <v>0</v>
      </c>
      <c r="N245" s="756" t="s">
        <v>103</v>
      </c>
      <c r="O245" s="736">
        <v>0</v>
      </c>
      <c r="P245" s="754">
        <v>0</v>
      </c>
      <c r="Q245" s="752">
        <v>0</v>
      </c>
      <c r="R245" s="9" t="s">
        <v>103</v>
      </c>
      <c r="S245" s="9" t="s">
        <v>103</v>
      </c>
    </row>
    <row r="246" spans="2:19" s="101" customFormat="1">
      <c r="B246" s="738" t="s">
        <v>1452</v>
      </c>
      <c r="C246" s="738"/>
      <c r="D246" s="738"/>
      <c r="E246" s="739">
        <v>8254723.0554714445</v>
      </c>
      <c r="F246" s="739">
        <v>1388744.0282731471</v>
      </c>
      <c r="G246" s="739">
        <f>SUM(G235:G245)</f>
        <v>7175452.4637445938</v>
      </c>
      <c r="H246" s="740">
        <v>0</v>
      </c>
      <c r="I246" s="741"/>
      <c r="J246" s="742">
        <v>7175452.4637445938</v>
      </c>
      <c r="K246" s="743">
        <v>0</v>
      </c>
      <c r="L246" s="743"/>
      <c r="M246" s="742">
        <v>0</v>
      </c>
      <c r="N246" s="742">
        <v>0</v>
      </c>
      <c r="O246" s="743">
        <v>0</v>
      </c>
      <c r="P246" s="742">
        <v>0</v>
      </c>
      <c r="Q246" s="744">
        <v>0</v>
      </c>
      <c r="R246" s="741" t="s">
        <v>103</v>
      </c>
      <c r="S246" s="741" t="s">
        <v>103</v>
      </c>
    </row>
    <row r="247" spans="2:19" s="9" customFormat="1">
      <c r="B247" s="759"/>
      <c r="E247" s="751"/>
      <c r="F247" s="751"/>
      <c r="G247" s="751"/>
      <c r="H247" s="748"/>
      <c r="J247" s="751"/>
      <c r="M247" s="751"/>
      <c r="N247" s="751"/>
      <c r="O247" s="752"/>
      <c r="P247" s="754">
        <v>0</v>
      </c>
    </row>
    <row r="248" spans="2:19" s="101" customFormat="1">
      <c r="B248" s="738" t="s">
        <v>1465</v>
      </c>
      <c r="C248" s="738"/>
      <c r="D248" s="738"/>
      <c r="E248" s="760">
        <f>SUM(E6:E247)/2</f>
        <v>171179246.4843013</v>
      </c>
      <c r="F248" s="760">
        <f>SUM(F6:F247)/2</f>
        <v>28407542.284264047</v>
      </c>
      <c r="G248" s="760">
        <f>SUM(G6:G247)/2</f>
        <v>190834637.64417908</v>
      </c>
      <c r="H248" s="740">
        <v>0</v>
      </c>
      <c r="I248" s="741"/>
      <c r="J248" s="742">
        <f>SUM(J6:J247)/2</f>
        <v>190834637.64417908</v>
      </c>
      <c r="K248" s="743">
        <v>120000</v>
      </c>
      <c r="L248" s="743"/>
      <c r="M248" s="742">
        <v>120000</v>
      </c>
      <c r="N248" s="742"/>
      <c r="O248" s="743">
        <v>395357</v>
      </c>
      <c r="P248" s="742">
        <v>0</v>
      </c>
      <c r="Q248" s="744">
        <v>0</v>
      </c>
      <c r="R248" s="741" t="s">
        <v>103</v>
      </c>
      <c r="S248" s="741" t="s">
        <v>103</v>
      </c>
    </row>
    <row r="249" spans="2:19" s="865" customFormat="1" ht="10.5">
      <c r="E249" s="866"/>
      <c r="F249" s="866">
        <v>28407542.284264039</v>
      </c>
      <c r="G249" s="866">
        <v>190834638</v>
      </c>
      <c r="H249" s="867"/>
      <c r="J249" s="868">
        <v>190834638</v>
      </c>
      <c r="K249" s="868"/>
      <c r="M249" s="869"/>
      <c r="N249" s="870"/>
      <c r="O249" s="868"/>
      <c r="P249" s="866"/>
      <c r="Q249" s="868"/>
    </row>
    <row r="250" spans="2:19" s="871" customFormat="1" ht="10.5">
      <c r="D250" s="877" t="s">
        <v>1853</v>
      </c>
      <c r="E250" s="872"/>
      <c r="F250" s="872">
        <f>F248-F249</f>
        <v>0</v>
      </c>
      <c r="G250" s="872">
        <f>G248-G249</f>
        <v>-0.3558209240436554</v>
      </c>
      <c r="H250" s="873"/>
      <c r="J250" s="874">
        <f>J248-J249</f>
        <v>-0.3558209240436554</v>
      </c>
      <c r="K250" s="874"/>
      <c r="M250" s="875"/>
      <c r="N250" s="876"/>
      <c r="O250" s="874"/>
      <c r="P250" s="872"/>
      <c r="Q250" s="874"/>
    </row>
  </sheetData>
  <autoFilter ref="B5:S248" xr:uid="{00000000-0009-0000-0000-000010000000}"/>
  <mergeCells count="3">
    <mergeCell ref="B3:S3"/>
    <mergeCell ref="E4:G4"/>
    <mergeCell ref="J4:K4"/>
  </mergeCells>
  <dataValidations count="1">
    <dataValidation type="list" allowBlank="1" showInputMessage="1" showErrorMessage="1" sqref="D8:D11 C9:C10 C14:D14 D15 D18:D23 D26:D27 D30:D35 D37:D70 D72:D116 D119 D122:D123 D126:D157 D160:D184 D187:D210 D213 D216:D219 D222:D229 D232 D235:D245" xr:uid="{00000000-0002-0000-1000-000000000000}">
      <formula1>Yes_No_Unsure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2"/>
  <dimension ref="B2:S250"/>
  <sheetViews>
    <sheetView workbookViewId="0">
      <pane xSplit="2" ySplit="5" topLeftCell="C6" activePane="bottomRight" state="frozen"/>
      <selection pane="bottomRight" activeCell="J248" sqref="J248"/>
      <selection pane="bottomLeft" activeCell="A6" sqref="A6"/>
      <selection pane="topRight" activeCell="C1" sqref="C1"/>
    </sheetView>
  </sheetViews>
  <sheetFormatPr defaultRowHeight="14.45"/>
  <cols>
    <col min="1" max="1" width="5.42578125" customWidth="1"/>
    <col min="2" max="2" width="33.85546875" bestFit="1" customWidth="1"/>
    <col min="3" max="3" width="16.85546875" customWidth="1"/>
    <col min="4" max="4" width="17.42578125" customWidth="1"/>
    <col min="5" max="5" width="13.5703125" style="693" bestFit="1" customWidth="1"/>
    <col min="6" max="6" width="18.42578125" style="693" bestFit="1" customWidth="1"/>
    <col min="7" max="7" width="13.5703125" style="693" customWidth="1"/>
    <col min="8" max="8" width="11.85546875" style="694" customWidth="1"/>
    <col min="9" max="9" width="16.42578125" customWidth="1"/>
    <col min="10" max="10" width="13.5703125" style="145" customWidth="1"/>
    <col min="11" max="11" width="14.5703125" style="145" customWidth="1"/>
    <col min="12" max="12" width="13.140625" bestFit="1" customWidth="1"/>
    <col min="13" max="13" width="13.5703125" style="761" bestFit="1" customWidth="1"/>
    <col min="14" max="14" width="12.85546875" style="695" customWidth="1"/>
    <col min="15" max="15" width="12" style="145" customWidth="1"/>
    <col min="16" max="16" width="14.5703125" style="693" bestFit="1" customWidth="1"/>
    <col min="17" max="17" width="11.85546875" style="145" customWidth="1"/>
    <col min="18" max="18" width="10.5703125" customWidth="1"/>
    <col min="19" max="19" width="12.140625" customWidth="1"/>
  </cols>
  <sheetData>
    <row r="2" spans="2:19" ht="15" thickBot="1">
      <c r="M2" s="693"/>
    </row>
    <row r="3" spans="2:19" ht="15" thickBot="1">
      <c r="B3" s="1191" t="s">
        <v>1854</v>
      </c>
      <c r="C3" s="1192"/>
      <c r="D3" s="1192"/>
      <c r="E3" s="1192"/>
      <c r="F3" s="1192"/>
      <c r="G3" s="1192"/>
      <c r="H3" s="1192"/>
      <c r="I3" s="1192"/>
      <c r="J3" s="1192"/>
      <c r="K3" s="1193"/>
      <c r="L3" s="1192"/>
      <c r="M3" s="1194"/>
      <c r="N3" s="1195"/>
      <c r="O3" s="1193"/>
      <c r="P3" s="1192"/>
      <c r="Q3" s="1193"/>
      <c r="R3" s="1192"/>
      <c r="S3" s="1196"/>
    </row>
    <row r="4" spans="2:19" ht="15" thickBot="1">
      <c r="C4" s="696"/>
      <c r="D4" s="697"/>
      <c r="E4" s="1197" t="s">
        <v>1831</v>
      </c>
      <c r="F4" s="1197"/>
      <c r="G4" s="1197"/>
      <c r="H4" s="698"/>
      <c r="I4" s="699"/>
      <c r="J4" s="1198" t="s">
        <v>1832</v>
      </c>
      <c r="K4" s="1199"/>
      <c r="L4" s="699"/>
      <c r="M4" s="700"/>
      <c r="N4" s="701"/>
      <c r="O4" s="702"/>
      <c r="P4" s="703"/>
      <c r="Q4" s="702"/>
      <c r="R4" s="699"/>
      <c r="S4" s="704"/>
    </row>
    <row r="5" spans="2:19" ht="62.25" customHeight="1">
      <c r="B5" s="705" t="s">
        <v>3</v>
      </c>
      <c r="C5" s="706" t="s">
        <v>1833</v>
      </c>
      <c r="D5" s="707" t="s">
        <v>1834</v>
      </c>
      <c r="E5" s="708" t="s">
        <v>1837</v>
      </c>
      <c r="F5" s="708" t="s">
        <v>1855</v>
      </c>
      <c r="G5" s="708" t="s">
        <v>1856</v>
      </c>
      <c r="H5" s="709" t="s">
        <v>1838</v>
      </c>
      <c r="I5" s="707" t="s">
        <v>1839</v>
      </c>
      <c r="J5" s="708" t="s">
        <v>1840</v>
      </c>
      <c r="K5" s="710" t="s">
        <v>1841</v>
      </c>
      <c r="L5" s="711" t="s">
        <v>1842</v>
      </c>
      <c r="M5" s="708" t="s">
        <v>1843</v>
      </c>
      <c r="N5" s="712" t="s">
        <v>1844</v>
      </c>
      <c r="O5" s="713" t="s">
        <v>1845</v>
      </c>
      <c r="P5" s="708" t="s">
        <v>1846</v>
      </c>
      <c r="Q5" s="713" t="s">
        <v>1847</v>
      </c>
      <c r="R5" s="707" t="s">
        <v>1848</v>
      </c>
      <c r="S5" s="714" t="s">
        <v>1849</v>
      </c>
    </row>
    <row r="6" spans="2:19" ht="18" customHeight="1">
      <c r="B6" s="715"/>
      <c r="C6" s="716" t="s">
        <v>88</v>
      </c>
      <c r="D6" s="716" t="s">
        <v>88</v>
      </c>
      <c r="E6" s="717" t="s">
        <v>99</v>
      </c>
      <c r="F6" s="717" t="s">
        <v>99</v>
      </c>
      <c r="G6" s="717" t="s">
        <v>99</v>
      </c>
      <c r="H6" s="718" t="s">
        <v>1850</v>
      </c>
      <c r="I6" s="719" t="s">
        <v>99</v>
      </c>
      <c r="J6" s="717" t="s">
        <v>99</v>
      </c>
      <c r="K6" s="719" t="s">
        <v>99</v>
      </c>
      <c r="L6" s="720" t="s">
        <v>86</v>
      </c>
      <c r="M6" s="717" t="s">
        <v>99</v>
      </c>
      <c r="N6" s="717" t="s">
        <v>1201</v>
      </c>
      <c r="O6" s="721" t="s">
        <v>99</v>
      </c>
      <c r="P6" s="717" t="s">
        <v>99</v>
      </c>
      <c r="Q6" s="719" t="s">
        <v>99</v>
      </c>
      <c r="R6" s="719" t="s">
        <v>99</v>
      </c>
      <c r="S6" s="722" t="s">
        <v>99</v>
      </c>
    </row>
    <row r="7" spans="2:19" s="97" customFormat="1">
      <c r="B7" s="723" t="s">
        <v>101</v>
      </c>
      <c r="C7" s="723"/>
      <c r="D7" s="723"/>
      <c r="E7" s="724"/>
      <c r="F7" s="724"/>
      <c r="G7" s="724"/>
      <c r="H7" s="725"/>
      <c r="I7" s="726"/>
      <c r="J7" s="727"/>
      <c r="K7" s="726"/>
      <c r="L7" s="726"/>
      <c r="M7" s="727"/>
      <c r="N7" s="727"/>
      <c r="O7" s="728"/>
      <c r="P7" s="727"/>
      <c r="Q7" s="726"/>
      <c r="R7" s="726"/>
      <c r="S7" s="726"/>
    </row>
    <row r="8" spans="2:19" s="97" customFormat="1">
      <c r="B8" s="729" t="s">
        <v>102</v>
      </c>
      <c r="C8" s="9" t="s">
        <v>1009</v>
      </c>
      <c r="D8" s="730" t="s">
        <v>110</v>
      </c>
      <c r="E8" s="731">
        <v>737288.96753547748</v>
      </c>
      <c r="F8" s="731">
        <v>19249.574171460714</v>
      </c>
      <c r="G8" s="731">
        <v>756538.5417069383</v>
      </c>
      <c r="H8" s="732">
        <v>0</v>
      </c>
      <c r="I8" s="733" t="s">
        <v>258</v>
      </c>
      <c r="J8" s="734">
        <v>756538.5417069383</v>
      </c>
      <c r="K8" s="735">
        <v>0</v>
      </c>
      <c r="L8" s="735" t="s">
        <v>103</v>
      </c>
      <c r="M8" s="734">
        <v>0</v>
      </c>
      <c r="N8" s="734" t="s">
        <v>103</v>
      </c>
      <c r="O8" s="736">
        <v>0</v>
      </c>
      <c r="P8" s="737" t="s">
        <v>1851</v>
      </c>
      <c r="Q8" s="736">
        <v>0</v>
      </c>
      <c r="R8" s="735" t="s">
        <v>103</v>
      </c>
      <c r="S8" s="735" t="s">
        <v>103</v>
      </c>
    </row>
    <row r="9" spans="2:19" s="101" customFormat="1">
      <c r="B9" s="738" t="s">
        <v>1225</v>
      </c>
      <c r="C9" s="738"/>
      <c r="D9" s="738"/>
      <c r="E9" s="739">
        <v>737288.96753547748</v>
      </c>
      <c r="F9" s="739">
        <v>19249.574171460714</v>
      </c>
      <c r="G9" s="739">
        <v>756538.5417069383</v>
      </c>
      <c r="H9" s="740">
        <v>0</v>
      </c>
      <c r="I9" s="741"/>
      <c r="J9" s="742">
        <v>756538.5417069383</v>
      </c>
      <c r="K9" s="742">
        <v>0</v>
      </c>
      <c r="L9" s="741"/>
      <c r="M9" s="742">
        <v>0</v>
      </c>
      <c r="N9" s="742">
        <v>0</v>
      </c>
      <c r="O9" s="743">
        <v>0</v>
      </c>
      <c r="P9" s="742">
        <v>0</v>
      </c>
      <c r="Q9" s="744">
        <v>0</v>
      </c>
      <c r="R9" s="741" t="s">
        <v>103</v>
      </c>
      <c r="S9" s="741" t="s">
        <v>103</v>
      </c>
    </row>
    <row r="10" spans="2:19" s="97" customFormat="1">
      <c r="B10" s="723" t="s">
        <v>106</v>
      </c>
      <c r="C10" s="723"/>
      <c r="D10" s="723"/>
      <c r="E10" s="724"/>
      <c r="F10" s="724"/>
      <c r="G10" s="724"/>
      <c r="H10" s="725"/>
      <c r="I10" s="726"/>
      <c r="J10" s="727"/>
      <c r="K10" s="726"/>
      <c r="L10" s="726"/>
      <c r="M10" s="727"/>
      <c r="N10" s="727"/>
      <c r="O10" s="728"/>
      <c r="P10" s="727"/>
      <c r="Q10" s="726"/>
      <c r="R10" s="726"/>
      <c r="S10" s="726"/>
    </row>
    <row r="11" spans="2:19" s="97" customFormat="1">
      <c r="B11" s="729" t="s">
        <v>107</v>
      </c>
      <c r="C11" s="9" t="s">
        <v>1009</v>
      </c>
      <c r="D11" s="730" t="s">
        <v>110</v>
      </c>
      <c r="E11" s="731">
        <v>175024.06911240958</v>
      </c>
      <c r="F11" s="731">
        <v>3722.97927975329</v>
      </c>
      <c r="G11" s="731">
        <v>178747.04839216286</v>
      </c>
      <c r="H11" s="732">
        <v>0</v>
      </c>
      <c r="I11" s="745" t="s">
        <v>258</v>
      </c>
      <c r="J11" s="734">
        <v>178747.04839216286</v>
      </c>
      <c r="K11" s="735">
        <v>0</v>
      </c>
      <c r="L11" s="735" t="s">
        <v>103</v>
      </c>
      <c r="M11" s="734">
        <v>0</v>
      </c>
      <c r="N11" s="734" t="s">
        <v>103</v>
      </c>
      <c r="O11" s="736">
        <v>0</v>
      </c>
      <c r="P11" s="737" t="s">
        <v>1851</v>
      </c>
      <c r="Q11" s="736">
        <v>0</v>
      </c>
      <c r="R11" s="735" t="s">
        <v>103</v>
      </c>
      <c r="S11" s="735" t="s">
        <v>103</v>
      </c>
    </row>
    <row r="12" spans="2:19" s="101" customFormat="1">
      <c r="B12" s="738" t="s">
        <v>1228</v>
      </c>
      <c r="C12" s="738" t="s">
        <v>150</v>
      </c>
      <c r="D12" s="738" t="s">
        <v>150</v>
      </c>
      <c r="E12" s="739">
        <v>175024.06911240958</v>
      </c>
      <c r="F12" s="739">
        <v>3722.97927975329</v>
      </c>
      <c r="G12" s="739">
        <v>178747.04839216286</v>
      </c>
      <c r="H12" s="740">
        <v>0</v>
      </c>
      <c r="I12" s="741"/>
      <c r="J12" s="742">
        <v>178747.04839216286</v>
      </c>
      <c r="K12" s="742">
        <v>0</v>
      </c>
      <c r="L12" s="741"/>
      <c r="M12" s="742">
        <v>0</v>
      </c>
      <c r="N12" s="742">
        <v>0</v>
      </c>
      <c r="O12" s="743">
        <v>0</v>
      </c>
      <c r="P12" s="742">
        <v>0</v>
      </c>
      <c r="Q12" s="744">
        <v>0</v>
      </c>
      <c r="R12" s="741" t="s">
        <v>103</v>
      </c>
      <c r="S12" s="741" t="s">
        <v>103</v>
      </c>
    </row>
    <row r="13" spans="2:19" s="97" customFormat="1">
      <c r="B13" s="723" t="s">
        <v>108</v>
      </c>
      <c r="C13" s="723"/>
      <c r="D13" s="723"/>
      <c r="E13" s="724"/>
      <c r="F13" s="724"/>
      <c r="G13" s="724"/>
      <c r="H13" s="725"/>
      <c r="I13" s="726"/>
      <c r="J13" s="727"/>
      <c r="K13" s="726"/>
      <c r="L13" s="726"/>
      <c r="M13" s="727"/>
      <c r="N13" s="727"/>
      <c r="O13" s="728"/>
      <c r="P13" s="727"/>
      <c r="Q13" s="726"/>
      <c r="R13" s="726"/>
      <c r="S13" s="726"/>
    </row>
    <row r="14" spans="2:19">
      <c r="B14" s="746" t="s">
        <v>109</v>
      </c>
      <c r="C14" s="9" t="s">
        <v>1009</v>
      </c>
      <c r="D14" s="730" t="s">
        <v>110</v>
      </c>
      <c r="E14" s="747">
        <v>105503.9107374836</v>
      </c>
      <c r="F14" s="747">
        <v>2846.1186717901569</v>
      </c>
      <c r="G14" s="747">
        <v>108350.02940927375</v>
      </c>
      <c r="H14" s="748">
        <v>0</v>
      </c>
      <c r="I14" s="749" t="s">
        <v>258</v>
      </c>
      <c r="J14" s="750">
        <v>108350.02940927375</v>
      </c>
      <c r="K14" s="735">
        <v>0</v>
      </c>
      <c r="L14" s="735" t="s">
        <v>103</v>
      </c>
      <c r="M14" s="750">
        <v>0</v>
      </c>
      <c r="N14" s="750" t="s">
        <v>103</v>
      </c>
      <c r="O14" s="736">
        <v>0</v>
      </c>
      <c r="P14" s="751">
        <v>0</v>
      </c>
      <c r="Q14" s="752">
        <v>0</v>
      </c>
      <c r="R14" s="9" t="s">
        <v>103</v>
      </c>
      <c r="S14" s="9" t="s">
        <v>103</v>
      </c>
    </row>
    <row r="15" spans="2:19" s="97" customFormat="1">
      <c r="B15" s="729" t="s">
        <v>111</v>
      </c>
      <c r="C15" s="9" t="s">
        <v>1009</v>
      </c>
      <c r="D15" s="730" t="s">
        <v>110</v>
      </c>
      <c r="E15" s="731">
        <v>580301.55555131135</v>
      </c>
      <c r="F15" s="731">
        <v>28398.660605358575</v>
      </c>
      <c r="G15" s="731">
        <v>608700.21615666989</v>
      </c>
      <c r="H15" s="753">
        <v>0</v>
      </c>
      <c r="I15" s="745" t="s">
        <v>258</v>
      </c>
      <c r="J15" s="734">
        <v>608700.21615666989</v>
      </c>
      <c r="K15" s="735">
        <v>0</v>
      </c>
      <c r="L15" s="735" t="s">
        <v>103</v>
      </c>
      <c r="M15" s="734">
        <v>0</v>
      </c>
      <c r="N15" s="734" t="s">
        <v>103</v>
      </c>
      <c r="O15" s="736">
        <v>0</v>
      </c>
      <c r="P15" s="754">
        <v>0</v>
      </c>
      <c r="Q15" s="736">
        <v>0</v>
      </c>
      <c r="R15" s="100" t="s">
        <v>103</v>
      </c>
      <c r="S15" s="100" t="s">
        <v>103</v>
      </c>
    </row>
    <row r="16" spans="2:19" s="101" customFormat="1">
      <c r="B16" s="738" t="s">
        <v>1231</v>
      </c>
      <c r="C16" s="738" t="s">
        <v>150</v>
      </c>
      <c r="D16" s="738" t="s">
        <v>150</v>
      </c>
      <c r="E16" s="739">
        <v>685805.466288795</v>
      </c>
      <c r="F16" s="739">
        <v>31244.779277148733</v>
      </c>
      <c r="G16" s="739">
        <v>717050.24556594365</v>
      </c>
      <c r="H16" s="740">
        <v>0</v>
      </c>
      <c r="I16" s="741"/>
      <c r="J16" s="742">
        <v>717050.24556594365</v>
      </c>
      <c r="K16" s="742">
        <v>0</v>
      </c>
      <c r="L16" s="741"/>
      <c r="M16" s="742">
        <v>0</v>
      </c>
      <c r="N16" s="742">
        <v>0</v>
      </c>
      <c r="O16" s="743">
        <v>0</v>
      </c>
      <c r="P16" s="742">
        <v>0</v>
      </c>
      <c r="Q16" s="744">
        <v>0</v>
      </c>
      <c r="R16" s="741" t="s">
        <v>103</v>
      </c>
      <c r="S16" s="741" t="s">
        <v>103</v>
      </c>
    </row>
    <row r="17" spans="2:19" s="97" customFormat="1">
      <c r="B17" s="723" t="s">
        <v>112</v>
      </c>
      <c r="C17" s="723"/>
      <c r="D17" s="723"/>
      <c r="E17" s="724"/>
      <c r="F17" s="724"/>
      <c r="G17" s="724"/>
      <c r="H17" s="725"/>
      <c r="I17" s="726"/>
      <c r="J17" s="727"/>
      <c r="K17" s="726"/>
      <c r="L17" s="726"/>
      <c r="M17" s="727"/>
      <c r="N17" s="727"/>
      <c r="O17" s="728"/>
      <c r="P17" s="727"/>
      <c r="Q17" s="726"/>
      <c r="R17" s="726"/>
      <c r="S17" s="726"/>
    </row>
    <row r="18" spans="2:19">
      <c r="B18" s="746" t="s">
        <v>113</v>
      </c>
      <c r="C18" s="9" t="s">
        <v>1009</v>
      </c>
      <c r="D18" s="730" t="s">
        <v>110</v>
      </c>
      <c r="E18" s="747">
        <v>669633.58719979832</v>
      </c>
      <c r="F18" s="747">
        <v>15826.450351540741</v>
      </c>
      <c r="G18" s="747">
        <v>685460.0375513389</v>
      </c>
      <c r="H18" s="748">
        <v>0</v>
      </c>
      <c r="I18" s="749" t="s">
        <v>258</v>
      </c>
      <c r="J18" s="750">
        <v>685460.0375513389</v>
      </c>
      <c r="K18" s="735">
        <v>0</v>
      </c>
      <c r="L18" s="735" t="s">
        <v>103</v>
      </c>
      <c r="M18" s="750">
        <v>0</v>
      </c>
      <c r="N18" s="750" t="s">
        <v>103</v>
      </c>
      <c r="O18" s="736">
        <v>0</v>
      </c>
      <c r="P18" s="754">
        <v>0</v>
      </c>
      <c r="Q18" s="752">
        <v>0</v>
      </c>
      <c r="R18" s="9" t="s">
        <v>103</v>
      </c>
      <c r="S18" s="9" t="s">
        <v>103</v>
      </c>
    </row>
    <row r="19" spans="2:19">
      <c r="B19" s="746" t="s">
        <v>126</v>
      </c>
      <c r="C19" s="9" t="s">
        <v>1009</v>
      </c>
      <c r="D19" s="730" t="s">
        <v>110</v>
      </c>
      <c r="E19" s="747">
        <v>-377236.14917334798</v>
      </c>
      <c r="F19" s="747">
        <v>43417.923235766197</v>
      </c>
      <c r="G19" s="747">
        <v>56641.77406241915</v>
      </c>
      <c r="H19" s="694">
        <v>0</v>
      </c>
      <c r="I19" s="749" t="s">
        <v>258</v>
      </c>
      <c r="J19" s="750">
        <v>56641.77406241915</v>
      </c>
      <c r="K19" s="735">
        <v>0</v>
      </c>
      <c r="L19" s="735" t="s">
        <v>103</v>
      </c>
      <c r="M19" s="750">
        <v>0</v>
      </c>
      <c r="N19" s="750" t="s">
        <v>103</v>
      </c>
      <c r="O19" s="736">
        <v>0</v>
      </c>
      <c r="P19" s="754">
        <v>0</v>
      </c>
      <c r="Q19" s="752">
        <v>0</v>
      </c>
      <c r="R19" s="9" t="s">
        <v>103</v>
      </c>
      <c r="S19" s="9" t="s">
        <v>103</v>
      </c>
    </row>
    <row r="20" spans="2:19">
      <c r="B20" s="746" t="s">
        <v>1707</v>
      </c>
      <c r="C20" s="9" t="s">
        <v>1009</v>
      </c>
      <c r="D20" s="730" t="s">
        <v>110</v>
      </c>
      <c r="E20" s="747">
        <v>124609.80883118929</v>
      </c>
      <c r="F20" s="747">
        <v>6465.99932806996</v>
      </c>
      <c r="G20" s="747">
        <v>131075.80815925926</v>
      </c>
      <c r="H20" s="748">
        <v>0</v>
      </c>
      <c r="I20" s="749" t="s">
        <v>258</v>
      </c>
      <c r="J20" s="750">
        <v>131075.80815925926</v>
      </c>
      <c r="K20" s="735">
        <v>0</v>
      </c>
      <c r="L20" s="735" t="s">
        <v>103</v>
      </c>
      <c r="M20" s="750">
        <v>0</v>
      </c>
      <c r="N20" s="750" t="s">
        <v>103</v>
      </c>
      <c r="O20" s="736">
        <v>0</v>
      </c>
      <c r="P20" s="754">
        <v>0</v>
      </c>
      <c r="Q20" s="752">
        <v>0</v>
      </c>
      <c r="R20" s="9" t="s">
        <v>103</v>
      </c>
      <c r="S20" s="9" t="s">
        <v>103</v>
      </c>
    </row>
    <row r="21" spans="2:19">
      <c r="B21" s="746" t="s">
        <v>133</v>
      </c>
      <c r="C21" s="9" t="s">
        <v>1009</v>
      </c>
      <c r="D21" s="730" t="s">
        <v>110</v>
      </c>
      <c r="E21" s="747">
        <v>3247833.1298648142</v>
      </c>
      <c r="F21" s="747">
        <v>58524.100751665144</v>
      </c>
      <c r="G21" s="747">
        <v>3306357.2306164792</v>
      </c>
      <c r="H21" s="748">
        <v>0</v>
      </c>
      <c r="I21" s="749" t="s">
        <v>258</v>
      </c>
      <c r="J21" s="750">
        <v>3306357.2306164792</v>
      </c>
      <c r="K21" s="735">
        <v>0</v>
      </c>
      <c r="L21" s="735" t="s">
        <v>103</v>
      </c>
      <c r="M21" s="750">
        <v>0</v>
      </c>
      <c r="N21" s="750" t="s">
        <v>103</v>
      </c>
      <c r="O21" s="736">
        <v>0</v>
      </c>
      <c r="P21" s="754">
        <v>0</v>
      </c>
      <c r="Q21" s="752">
        <v>0</v>
      </c>
      <c r="R21" s="9" t="s">
        <v>103</v>
      </c>
      <c r="S21" s="9" t="s">
        <v>103</v>
      </c>
    </row>
    <row r="22" spans="2:19">
      <c r="B22" s="746" t="s">
        <v>134</v>
      </c>
      <c r="C22" s="9" t="s">
        <v>1009</v>
      </c>
      <c r="D22" s="730" t="s">
        <v>110</v>
      </c>
      <c r="E22" s="747">
        <v>793563.53468764387</v>
      </c>
      <c r="F22" s="747">
        <v>13045.582848901007</v>
      </c>
      <c r="G22" s="747">
        <v>806609.1175365448</v>
      </c>
      <c r="H22" s="748">
        <v>0</v>
      </c>
      <c r="I22" s="749" t="s">
        <v>258</v>
      </c>
      <c r="J22" s="750">
        <v>806609.1175365448</v>
      </c>
      <c r="K22" s="735">
        <v>0</v>
      </c>
      <c r="L22" s="735" t="s">
        <v>103</v>
      </c>
      <c r="M22" s="750">
        <v>0</v>
      </c>
      <c r="N22" s="750" t="s">
        <v>103</v>
      </c>
      <c r="O22" s="736">
        <v>0</v>
      </c>
      <c r="P22" s="754">
        <v>0</v>
      </c>
      <c r="Q22" s="752">
        <v>0</v>
      </c>
      <c r="R22" s="9" t="s">
        <v>103</v>
      </c>
      <c r="S22" s="9" t="s">
        <v>103</v>
      </c>
    </row>
    <row r="23" spans="2:19">
      <c r="B23" s="746" t="s">
        <v>135</v>
      </c>
      <c r="C23" s="9" t="s">
        <v>1009</v>
      </c>
      <c r="D23" s="730" t="s">
        <v>110</v>
      </c>
      <c r="E23" s="747">
        <v>5084860.7516927291</v>
      </c>
      <c r="F23" s="747">
        <v>294399.73751357116</v>
      </c>
      <c r="G23" s="747">
        <v>5379260.4892063001</v>
      </c>
      <c r="H23" s="748">
        <v>0</v>
      </c>
      <c r="I23" s="755" t="s">
        <v>258</v>
      </c>
      <c r="J23" s="756">
        <v>5379260.4892063001</v>
      </c>
      <c r="K23" s="735">
        <v>0</v>
      </c>
      <c r="L23" s="735" t="s">
        <v>103</v>
      </c>
      <c r="M23" s="756">
        <v>0</v>
      </c>
      <c r="N23" s="756" t="s">
        <v>103</v>
      </c>
      <c r="O23" s="736">
        <v>0</v>
      </c>
      <c r="P23" s="754">
        <v>0</v>
      </c>
      <c r="Q23" s="752">
        <v>0</v>
      </c>
      <c r="R23" s="9" t="s">
        <v>103</v>
      </c>
      <c r="S23" s="9" t="s">
        <v>103</v>
      </c>
    </row>
    <row r="24" spans="2:19" s="101" customFormat="1">
      <c r="B24" s="738" t="s">
        <v>1235</v>
      </c>
      <c r="C24" s="738"/>
      <c r="D24" s="738"/>
      <c r="E24" s="739">
        <v>9543264.663102828</v>
      </c>
      <c r="F24" s="739">
        <v>431679.79402951419</v>
      </c>
      <c r="G24" s="739">
        <v>10365404.457132341</v>
      </c>
      <c r="H24" s="740">
        <v>0</v>
      </c>
      <c r="I24" s="741"/>
      <c r="J24" s="742">
        <v>10365404.457132341</v>
      </c>
      <c r="K24" s="742">
        <v>0</v>
      </c>
      <c r="L24" s="741"/>
      <c r="M24" s="742">
        <v>0</v>
      </c>
      <c r="N24" s="742">
        <v>0</v>
      </c>
      <c r="O24" s="743">
        <v>0</v>
      </c>
      <c r="P24" s="742">
        <v>0</v>
      </c>
      <c r="Q24" s="744">
        <v>0</v>
      </c>
      <c r="R24" s="741" t="s">
        <v>103</v>
      </c>
      <c r="S24" s="741" t="s">
        <v>103</v>
      </c>
    </row>
    <row r="25" spans="2:19" s="97" customFormat="1">
      <c r="B25" s="723" t="s">
        <v>140</v>
      </c>
      <c r="C25" s="723"/>
      <c r="D25" s="723"/>
      <c r="E25" s="724"/>
      <c r="F25" s="724"/>
      <c r="G25" s="724"/>
      <c r="H25" s="725">
        <v>0</v>
      </c>
      <c r="I25" s="726"/>
      <c r="J25" s="727"/>
      <c r="K25" s="726"/>
      <c r="L25" s="726"/>
      <c r="M25" s="727"/>
      <c r="N25" s="727"/>
      <c r="O25" s="728"/>
      <c r="P25" s="727"/>
      <c r="Q25" s="726"/>
      <c r="R25" s="726"/>
      <c r="S25" s="726"/>
    </row>
    <row r="26" spans="2:19">
      <c r="B26" s="746" t="s">
        <v>141</v>
      </c>
      <c r="C26" s="9" t="s">
        <v>1009</v>
      </c>
      <c r="D26" s="730" t="s">
        <v>110</v>
      </c>
      <c r="E26" s="747">
        <v>1257838.6365674303</v>
      </c>
      <c r="F26" s="747">
        <v>68769.102213452497</v>
      </c>
      <c r="G26" s="747">
        <v>1326607.7387808831</v>
      </c>
      <c r="H26" s="748">
        <v>0</v>
      </c>
      <c r="I26" s="749" t="s">
        <v>258</v>
      </c>
      <c r="J26" s="750">
        <v>1326607.7387808831</v>
      </c>
      <c r="K26" s="735">
        <v>0</v>
      </c>
      <c r="L26" s="735" t="s">
        <v>103</v>
      </c>
      <c r="M26" s="750">
        <v>0</v>
      </c>
      <c r="N26" s="750" t="s">
        <v>103</v>
      </c>
      <c r="O26" s="736">
        <v>0</v>
      </c>
      <c r="P26" s="754">
        <v>0</v>
      </c>
      <c r="Q26" s="752">
        <v>0</v>
      </c>
      <c r="R26" s="9" t="s">
        <v>103</v>
      </c>
      <c r="S26" s="9" t="s">
        <v>103</v>
      </c>
    </row>
    <row r="27" spans="2:19">
      <c r="B27" s="746" t="s">
        <v>142</v>
      </c>
      <c r="C27" s="9" t="s">
        <v>1009</v>
      </c>
      <c r="D27" s="730" t="s">
        <v>110</v>
      </c>
      <c r="E27" s="747">
        <v>483672.07600342104</v>
      </c>
      <c r="F27" s="747">
        <v>49410.010744425424</v>
      </c>
      <c r="G27" s="747">
        <v>533082.08674784657</v>
      </c>
      <c r="H27" s="748">
        <v>0</v>
      </c>
      <c r="I27" s="755" t="s">
        <v>258</v>
      </c>
      <c r="J27" s="756">
        <v>533082.08674784657</v>
      </c>
      <c r="K27" s="735">
        <v>0</v>
      </c>
      <c r="L27" s="735" t="s">
        <v>103</v>
      </c>
      <c r="M27" s="756">
        <v>0</v>
      </c>
      <c r="N27" s="756" t="s">
        <v>103</v>
      </c>
      <c r="O27" s="736">
        <v>0</v>
      </c>
      <c r="P27" s="754">
        <v>0</v>
      </c>
      <c r="Q27" s="752">
        <v>0</v>
      </c>
      <c r="R27" s="9" t="s">
        <v>103</v>
      </c>
      <c r="S27" s="9" t="s">
        <v>103</v>
      </c>
    </row>
    <row r="28" spans="2:19" s="101" customFormat="1">
      <c r="B28" s="738" t="s">
        <v>1243</v>
      </c>
      <c r="C28" s="738"/>
      <c r="D28" s="738"/>
      <c r="E28" s="739">
        <v>1741510.7125708514</v>
      </c>
      <c r="F28" s="739">
        <v>118179.11295787792</v>
      </c>
      <c r="G28" s="739">
        <v>1859689.8255287297</v>
      </c>
      <c r="H28" s="740">
        <v>0</v>
      </c>
      <c r="I28" s="741"/>
      <c r="J28" s="742">
        <v>1859689.8255287297</v>
      </c>
      <c r="K28" s="742">
        <v>0</v>
      </c>
      <c r="L28" s="741"/>
      <c r="M28" s="742">
        <v>0</v>
      </c>
      <c r="N28" s="742">
        <v>0</v>
      </c>
      <c r="O28" s="743">
        <v>0</v>
      </c>
      <c r="P28" s="742">
        <v>0</v>
      </c>
      <c r="Q28" s="744">
        <v>0</v>
      </c>
      <c r="R28" s="741" t="s">
        <v>103</v>
      </c>
      <c r="S28" s="741" t="s">
        <v>103</v>
      </c>
    </row>
    <row r="29" spans="2:19" s="97" customFormat="1">
      <c r="B29" s="723" t="s">
        <v>143</v>
      </c>
      <c r="C29" s="723"/>
      <c r="D29" s="723"/>
      <c r="E29" s="724"/>
      <c r="F29" s="724"/>
      <c r="G29" s="724"/>
      <c r="H29" s="725">
        <v>0</v>
      </c>
      <c r="I29" s="726"/>
      <c r="J29" s="727"/>
      <c r="K29" s="726"/>
      <c r="L29" s="726"/>
      <c r="M29" s="727"/>
      <c r="N29" s="727"/>
      <c r="O29" s="728"/>
      <c r="P29" s="727"/>
      <c r="Q29" s="726"/>
      <c r="R29" s="726"/>
      <c r="S29" s="726"/>
    </row>
    <row r="30" spans="2:19">
      <c r="B30" s="746" t="s">
        <v>144</v>
      </c>
      <c r="C30" s="9" t="s">
        <v>1009</v>
      </c>
      <c r="D30" s="730" t="s">
        <v>110</v>
      </c>
      <c r="E30" s="747">
        <v>1177116.682682181</v>
      </c>
      <c r="F30" s="747">
        <v>29002.335163629999</v>
      </c>
      <c r="G30" s="747">
        <v>1206119.0178458111</v>
      </c>
      <c r="H30" s="748">
        <v>0</v>
      </c>
      <c r="I30" s="749" t="s">
        <v>258</v>
      </c>
      <c r="J30" s="750">
        <v>1206119.0178458111</v>
      </c>
      <c r="K30" s="735">
        <v>0</v>
      </c>
      <c r="L30" s="735" t="s">
        <v>103</v>
      </c>
      <c r="M30" s="750">
        <v>0</v>
      </c>
      <c r="N30" s="750" t="s">
        <v>103</v>
      </c>
      <c r="O30" s="736">
        <v>0</v>
      </c>
      <c r="P30" s="754">
        <v>0</v>
      </c>
      <c r="Q30" s="752">
        <v>0</v>
      </c>
      <c r="R30" s="9" t="s">
        <v>103</v>
      </c>
      <c r="S30" s="9" t="s">
        <v>103</v>
      </c>
    </row>
    <row r="31" spans="2:19">
      <c r="B31" s="746" t="s">
        <v>145</v>
      </c>
      <c r="C31" s="9" t="s">
        <v>1009</v>
      </c>
      <c r="D31" s="730" t="s">
        <v>110</v>
      </c>
      <c r="E31" s="747">
        <v>5890650.711769456</v>
      </c>
      <c r="F31" s="747">
        <v>304356.75066733907</v>
      </c>
      <c r="G31" s="747">
        <v>6195007.4624367952</v>
      </c>
      <c r="H31" s="748">
        <v>0</v>
      </c>
      <c r="I31" s="749" t="s">
        <v>258</v>
      </c>
      <c r="J31" s="750">
        <v>6195007.4624367952</v>
      </c>
      <c r="K31" s="735">
        <v>0</v>
      </c>
      <c r="L31" s="735" t="s">
        <v>103</v>
      </c>
      <c r="M31" s="750">
        <v>0</v>
      </c>
      <c r="N31" s="750" t="s">
        <v>103</v>
      </c>
      <c r="O31" s="736">
        <v>0</v>
      </c>
      <c r="P31" s="754">
        <v>0</v>
      </c>
      <c r="Q31" s="752">
        <v>0</v>
      </c>
      <c r="R31" s="9" t="s">
        <v>103</v>
      </c>
      <c r="S31" s="9" t="s">
        <v>103</v>
      </c>
    </row>
    <row r="32" spans="2:19">
      <c r="B32" s="746" t="s">
        <v>157</v>
      </c>
      <c r="C32" s="9" t="s">
        <v>1009</v>
      </c>
      <c r="D32" s="730" t="s">
        <v>110</v>
      </c>
      <c r="E32" s="747">
        <v>-973236.5213228541</v>
      </c>
      <c r="F32" s="747">
        <v>192748.01491308078</v>
      </c>
      <c r="G32" s="747">
        <v>-780488.50640977314</v>
      </c>
      <c r="H32" s="694">
        <v>4.0492687136712275</v>
      </c>
      <c r="I32" s="749" t="s">
        <v>258</v>
      </c>
      <c r="J32" s="750">
        <v>-780488.50640977314</v>
      </c>
      <c r="K32" s="735">
        <v>0</v>
      </c>
      <c r="L32" s="735" t="s">
        <v>103</v>
      </c>
      <c r="M32" s="750">
        <v>0</v>
      </c>
      <c r="N32" s="750" t="s">
        <v>103</v>
      </c>
      <c r="O32" s="736">
        <v>0</v>
      </c>
      <c r="P32" s="754">
        <v>0</v>
      </c>
      <c r="Q32" s="752">
        <v>0</v>
      </c>
      <c r="R32" s="9" t="s">
        <v>103</v>
      </c>
      <c r="S32" s="9" t="s">
        <v>103</v>
      </c>
    </row>
    <row r="33" spans="2:19">
      <c r="B33" s="746" t="s">
        <v>160</v>
      </c>
      <c r="C33" s="9" t="s">
        <v>1009</v>
      </c>
      <c r="D33" s="730" t="s">
        <v>110</v>
      </c>
      <c r="E33" s="747">
        <v>1036512.6861290587</v>
      </c>
      <c r="F33" s="747">
        <v>43810.146772947846</v>
      </c>
      <c r="G33" s="747">
        <v>1080322.8329020066</v>
      </c>
      <c r="H33" s="748">
        <v>0</v>
      </c>
      <c r="I33" s="749" t="s">
        <v>258</v>
      </c>
      <c r="J33" s="750">
        <v>1080322.8329020066</v>
      </c>
      <c r="K33" s="735">
        <v>0</v>
      </c>
      <c r="L33" s="735" t="s">
        <v>103</v>
      </c>
      <c r="M33" s="750">
        <v>0</v>
      </c>
      <c r="N33" s="750" t="s">
        <v>103</v>
      </c>
      <c r="O33" s="736">
        <v>0</v>
      </c>
      <c r="P33" s="754">
        <v>0</v>
      </c>
      <c r="Q33" s="752">
        <v>0</v>
      </c>
      <c r="R33" s="9" t="s">
        <v>103</v>
      </c>
      <c r="S33" s="9" t="s">
        <v>103</v>
      </c>
    </row>
    <row r="34" spans="2:19">
      <c r="B34" s="746" t="s">
        <v>161</v>
      </c>
      <c r="C34" s="9" t="s">
        <v>1009</v>
      </c>
      <c r="D34" s="730" t="s">
        <v>110</v>
      </c>
      <c r="E34" s="747">
        <v>200753.9494122274</v>
      </c>
      <c r="F34" s="747">
        <v>14602.386036041386</v>
      </c>
      <c r="G34" s="747">
        <v>215356.33544826877</v>
      </c>
      <c r="H34" s="748">
        <v>0</v>
      </c>
      <c r="I34" s="749" t="s">
        <v>258</v>
      </c>
      <c r="J34" s="750">
        <v>215356.33544826877</v>
      </c>
      <c r="K34" s="735">
        <v>0</v>
      </c>
      <c r="L34" s="735" t="s">
        <v>103</v>
      </c>
      <c r="M34" s="750">
        <v>0</v>
      </c>
      <c r="N34" s="750" t="s">
        <v>103</v>
      </c>
      <c r="O34" s="736">
        <v>0</v>
      </c>
      <c r="P34" s="754">
        <v>0</v>
      </c>
      <c r="Q34" s="752">
        <v>0</v>
      </c>
      <c r="R34" s="9" t="s">
        <v>103</v>
      </c>
      <c r="S34" s="9" t="s">
        <v>103</v>
      </c>
    </row>
    <row r="35" spans="2:19">
      <c r="B35" s="746" t="s">
        <v>162</v>
      </c>
      <c r="C35" s="9" t="s">
        <v>1009</v>
      </c>
      <c r="D35" s="730" t="s">
        <v>110</v>
      </c>
      <c r="E35" s="747">
        <v>77598.682754474314</v>
      </c>
      <c r="F35" s="747">
        <v>6443.2863396918619</v>
      </c>
      <c r="G35" s="747">
        <v>84041.969094166154</v>
      </c>
      <c r="H35" s="748">
        <v>0</v>
      </c>
      <c r="I35" s="749" t="s">
        <v>258</v>
      </c>
      <c r="J35" s="750">
        <v>84041.969094166154</v>
      </c>
      <c r="K35" s="735">
        <v>0</v>
      </c>
      <c r="L35" s="735" t="s">
        <v>103</v>
      </c>
      <c r="M35" s="750">
        <v>0</v>
      </c>
      <c r="N35" s="750" t="s">
        <v>103</v>
      </c>
      <c r="O35" s="736">
        <v>0</v>
      </c>
      <c r="P35" s="754">
        <v>0</v>
      </c>
      <c r="Q35" s="752">
        <v>0</v>
      </c>
      <c r="R35" s="9" t="s">
        <v>103</v>
      </c>
      <c r="S35" s="9" t="s">
        <v>103</v>
      </c>
    </row>
    <row r="36" spans="2:19">
      <c r="B36" s="746" t="s">
        <v>163</v>
      </c>
      <c r="C36" s="9" t="s">
        <v>1009</v>
      </c>
      <c r="D36" s="9" t="s">
        <v>104</v>
      </c>
      <c r="E36" s="747">
        <v>2586527.8182663005</v>
      </c>
      <c r="F36" s="747">
        <v>146560.09065355803</v>
      </c>
      <c r="G36" s="747">
        <v>-266912.09108014149</v>
      </c>
      <c r="H36" s="748">
        <v>1.8211785342782993</v>
      </c>
      <c r="I36" s="749" t="s">
        <v>258</v>
      </c>
      <c r="J36" s="750">
        <v>-266912.09108014149</v>
      </c>
      <c r="K36" s="735">
        <v>0</v>
      </c>
      <c r="L36" s="735" t="s">
        <v>103</v>
      </c>
      <c r="M36" s="750">
        <v>0</v>
      </c>
      <c r="N36" s="750" t="s">
        <v>103</v>
      </c>
      <c r="O36" s="752">
        <v>0</v>
      </c>
      <c r="P36" s="754">
        <v>0</v>
      </c>
      <c r="Q36" s="752">
        <v>0</v>
      </c>
      <c r="R36" s="9" t="s">
        <v>103</v>
      </c>
      <c r="S36" s="9" t="s">
        <v>103</v>
      </c>
    </row>
    <row r="37" spans="2:19">
      <c r="B37" s="746" t="s">
        <v>168</v>
      </c>
      <c r="C37" s="9" t="s">
        <v>1009</v>
      </c>
      <c r="D37" s="730" t="s">
        <v>110</v>
      </c>
      <c r="E37" s="747">
        <v>-284200.86472103448</v>
      </c>
      <c r="F37" s="747">
        <v>94108.823141477042</v>
      </c>
      <c r="G37" s="747">
        <v>-190092.04157955761</v>
      </c>
      <c r="H37" s="694">
        <v>2.01991731735701</v>
      </c>
      <c r="I37" s="749" t="s">
        <v>258</v>
      </c>
      <c r="J37" s="750">
        <v>-190092.04157955761</v>
      </c>
      <c r="K37" s="735">
        <v>0</v>
      </c>
      <c r="L37" s="735" t="s">
        <v>103</v>
      </c>
      <c r="M37" s="750">
        <v>0</v>
      </c>
      <c r="N37" s="750" t="s">
        <v>103</v>
      </c>
      <c r="O37" s="736">
        <v>0</v>
      </c>
      <c r="P37" s="754">
        <v>0</v>
      </c>
      <c r="Q37" s="752">
        <v>0</v>
      </c>
      <c r="R37" s="9" t="s">
        <v>103</v>
      </c>
      <c r="S37" s="9" t="s">
        <v>103</v>
      </c>
    </row>
    <row r="38" spans="2:19">
      <c r="B38" s="746" t="s">
        <v>174</v>
      </c>
      <c r="C38" s="9" t="s">
        <v>1009</v>
      </c>
      <c r="D38" s="730" t="s">
        <v>110</v>
      </c>
      <c r="E38" s="747">
        <v>-100983.53634562122</v>
      </c>
      <c r="F38" s="747">
        <v>97346.429914416949</v>
      </c>
      <c r="G38" s="747">
        <v>-228637.10643120462</v>
      </c>
      <c r="H38" s="694">
        <v>2.3486953412900005</v>
      </c>
      <c r="I38" s="749" t="s">
        <v>258</v>
      </c>
      <c r="J38" s="750">
        <v>-228637.10643120462</v>
      </c>
      <c r="K38" s="735">
        <v>0</v>
      </c>
      <c r="L38" s="735" t="s">
        <v>103</v>
      </c>
      <c r="M38" s="750">
        <v>0</v>
      </c>
      <c r="N38" s="750" t="s">
        <v>103</v>
      </c>
      <c r="O38" s="736">
        <v>0</v>
      </c>
      <c r="P38" s="754">
        <v>0</v>
      </c>
      <c r="Q38" s="752">
        <v>0</v>
      </c>
      <c r="R38" s="9" t="s">
        <v>103</v>
      </c>
      <c r="S38" s="9" t="s">
        <v>103</v>
      </c>
    </row>
    <row r="39" spans="2:19">
      <c r="B39" s="746" t="s">
        <v>179</v>
      </c>
      <c r="C39" s="9" t="s">
        <v>1009</v>
      </c>
      <c r="D39" s="730" t="s">
        <v>110</v>
      </c>
      <c r="E39" s="747">
        <v>583012.8316183344</v>
      </c>
      <c r="F39" s="747">
        <v>208603.3337452769</v>
      </c>
      <c r="G39" s="747">
        <v>1283276.2253636126</v>
      </c>
      <c r="H39" s="748">
        <v>0</v>
      </c>
      <c r="I39" s="749" t="s">
        <v>258</v>
      </c>
      <c r="J39" s="750">
        <v>1283276.2253636126</v>
      </c>
      <c r="K39" s="735">
        <v>0</v>
      </c>
      <c r="L39" s="735" t="s">
        <v>103</v>
      </c>
      <c r="M39" s="750">
        <v>0</v>
      </c>
      <c r="N39" s="750" t="s">
        <v>103</v>
      </c>
      <c r="O39" s="752">
        <v>0</v>
      </c>
      <c r="P39" s="751">
        <v>0</v>
      </c>
      <c r="Q39" s="752">
        <v>0</v>
      </c>
      <c r="R39" s="9" t="s">
        <v>103</v>
      </c>
      <c r="S39" s="9" t="s">
        <v>103</v>
      </c>
    </row>
    <row r="40" spans="2:19">
      <c r="B40" s="746" t="s">
        <v>184</v>
      </c>
      <c r="C40" s="9" t="s">
        <v>1009</v>
      </c>
      <c r="D40" s="730" t="s">
        <v>110</v>
      </c>
      <c r="E40" s="747">
        <v>-469436.83550151211</v>
      </c>
      <c r="F40" s="747">
        <v>139014.75185978564</v>
      </c>
      <c r="G40" s="747">
        <v>-102937.06364172732</v>
      </c>
      <c r="H40" s="694">
        <v>0.74047582910878884</v>
      </c>
      <c r="I40" s="749" t="s">
        <v>258</v>
      </c>
      <c r="J40" s="750">
        <v>-102937.06364172732</v>
      </c>
      <c r="K40" s="735">
        <v>0</v>
      </c>
      <c r="L40" s="735" t="s">
        <v>103</v>
      </c>
      <c r="M40" s="750">
        <v>0</v>
      </c>
      <c r="N40" s="750" t="s">
        <v>103</v>
      </c>
      <c r="O40" s="736">
        <v>0</v>
      </c>
      <c r="P40" s="754">
        <v>0</v>
      </c>
      <c r="Q40" s="752">
        <v>0</v>
      </c>
      <c r="R40" s="9" t="s">
        <v>103</v>
      </c>
      <c r="S40" s="9" t="s">
        <v>103</v>
      </c>
    </row>
    <row r="41" spans="2:19">
      <c r="B41" s="746" t="s">
        <v>188</v>
      </c>
      <c r="C41" s="9" t="s">
        <v>1009</v>
      </c>
      <c r="D41" s="730" t="s">
        <v>110</v>
      </c>
      <c r="E41" s="747">
        <v>127203.23277590267</v>
      </c>
      <c r="F41" s="747">
        <v>3565.1051009304983</v>
      </c>
      <c r="G41" s="747">
        <v>130768.33787683316</v>
      </c>
      <c r="H41" s="748">
        <v>0</v>
      </c>
      <c r="I41" s="749" t="s">
        <v>258</v>
      </c>
      <c r="J41" s="750">
        <v>130768.33787683316</v>
      </c>
      <c r="K41" s="735">
        <v>0</v>
      </c>
      <c r="L41" s="735" t="s">
        <v>103</v>
      </c>
      <c r="M41" s="750">
        <v>0</v>
      </c>
      <c r="N41" s="750" t="s">
        <v>103</v>
      </c>
      <c r="O41" s="736">
        <v>0</v>
      </c>
      <c r="P41" s="754">
        <v>0</v>
      </c>
      <c r="Q41" s="752">
        <v>0</v>
      </c>
      <c r="R41" s="9" t="s">
        <v>103</v>
      </c>
      <c r="S41" s="9" t="s">
        <v>103</v>
      </c>
    </row>
    <row r="42" spans="2:19">
      <c r="B42" s="746" t="s">
        <v>189</v>
      </c>
      <c r="C42" s="9" t="s">
        <v>1009</v>
      </c>
      <c r="D42" s="730" t="s">
        <v>110</v>
      </c>
      <c r="E42" s="747">
        <v>1052995.3876719854</v>
      </c>
      <c r="F42" s="747">
        <v>22263.317817739742</v>
      </c>
      <c r="G42" s="747">
        <v>1075258.7054897251</v>
      </c>
      <c r="H42" s="748">
        <v>0</v>
      </c>
      <c r="I42" s="749" t="s">
        <v>258</v>
      </c>
      <c r="J42" s="750">
        <v>1075258.7054897251</v>
      </c>
      <c r="K42" s="735">
        <v>0</v>
      </c>
      <c r="L42" s="735" t="s">
        <v>103</v>
      </c>
      <c r="M42" s="750">
        <v>0</v>
      </c>
      <c r="N42" s="750" t="s">
        <v>103</v>
      </c>
      <c r="O42" s="736">
        <v>0</v>
      </c>
      <c r="P42" s="754">
        <v>0</v>
      </c>
      <c r="Q42" s="752">
        <v>0</v>
      </c>
      <c r="R42" s="9" t="s">
        <v>103</v>
      </c>
      <c r="S42" s="9" t="s">
        <v>103</v>
      </c>
    </row>
    <row r="43" spans="2:19">
      <c r="B43" s="746" t="s">
        <v>190</v>
      </c>
      <c r="C43" s="9" t="s">
        <v>1009</v>
      </c>
      <c r="D43" s="730" t="s">
        <v>110</v>
      </c>
      <c r="E43" s="747">
        <v>-297641.38316149154</v>
      </c>
      <c r="F43" s="747">
        <v>198628.2679135495</v>
      </c>
      <c r="G43" s="747">
        <v>113183.48485205631</v>
      </c>
      <c r="H43" s="694">
        <v>0</v>
      </c>
      <c r="I43" s="749" t="s">
        <v>258</v>
      </c>
      <c r="J43" s="750">
        <v>113183.48485205631</v>
      </c>
      <c r="K43" s="735">
        <v>0</v>
      </c>
      <c r="L43" s="735" t="s">
        <v>103</v>
      </c>
      <c r="M43" s="750">
        <v>0</v>
      </c>
      <c r="N43" s="750" t="s">
        <v>103</v>
      </c>
      <c r="O43" s="736">
        <v>0</v>
      </c>
      <c r="P43" s="754">
        <v>0</v>
      </c>
      <c r="Q43" s="752">
        <v>0</v>
      </c>
      <c r="R43" s="9" t="s">
        <v>103</v>
      </c>
      <c r="S43" s="9" t="s">
        <v>103</v>
      </c>
    </row>
    <row r="44" spans="2:19">
      <c r="B44" s="746" t="s">
        <v>201</v>
      </c>
      <c r="C44" s="9" t="s">
        <v>1009</v>
      </c>
      <c r="D44" s="730" t="s">
        <v>110</v>
      </c>
      <c r="E44" s="747">
        <v>-251777.67129842029</v>
      </c>
      <c r="F44" s="747">
        <v>57872.604902956373</v>
      </c>
      <c r="G44" s="747">
        <v>-193905.06639546217</v>
      </c>
      <c r="H44" s="694">
        <v>3.3505501734475529</v>
      </c>
      <c r="I44" s="749" t="s">
        <v>258</v>
      </c>
      <c r="J44" s="750">
        <v>-193905.06639546217</v>
      </c>
      <c r="K44" s="735">
        <v>0</v>
      </c>
      <c r="L44" s="735" t="s">
        <v>103</v>
      </c>
      <c r="M44" s="750">
        <v>0</v>
      </c>
      <c r="N44" s="750" t="s">
        <v>103</v>
      </c>
      <c r="O44" s="736">
        <v>0</v>
      </c>
      <c r="P44" s="754">
        <v>0</v>
      </c>
      <c r="Q44" s="752">
        <v>0</v>
      </c>
      <c r="R44" s="9" t="s">
        <v>103</v>
      </c>
      <c r="S44" s="9" t="s">
        <v>103</v>
      </c>
    </row>
    <row r="45" spans="2:19">
      <c r="B45" s="746" t="s">
        <v>206</v>
      </c>
      <c r="C45" s="9" t="s">
        <v>1009</v>
      </c>
      <c r="D45" s="730" t="s">
        <v>110</v>
      </c>
      <c r="E45" s="747">
        <v>605232.2024730324</v>
      </c>
      <c r="F45" s="747">
        <v>78272.723357970652</v>
      </c>
      <c r="G45" s="747">
        <v>683504.92583100288</v>
      </c>
      <c r="H45" s="748">
        <v>0</v>
      </c>
      <c r="I45" s="749" t="s">
        <v>258</v>
      </c>
      <c r="J45" s="750">
        <v>683504.92583100288</v>
      </c>
      <c r="K45" s="735">
        <v>0</v>
      </c>
      <c r="L45" s="735" t="s">
        <v>103</v>
      </c>
      <c r="M45" s="750">
        <v>0</v>
      </c>
      <c r="N45" s="750" t="s">
        <v>103</v>
      </c>
      <c r="O45" s="736">
        <v>0</v>
      </c>
      <c r="P45" s="754">
        <v>0</v>
      </c>
      <c r="Q45" s="752">
        <v>0</v>
      </c>
      <c r="R45" s="9" t="s">
        <v>103</v>
      </c>
      <c r="S45" s="9" t="s">
        <v>103</v>
      </c>
    </row>
    <row r="46" spans="2:19">
      <c r="B46" s="746" t="s">
        <v>207</v>
      </c>
      <c r="C46" s="9" t="s">
        <v>1009</v>
      </c>
      <c r="D46" s="730" t="s">
        <v>110</v>
      </c>
      <c r="E46" s="747">
        <v>1239878.1291254074</v>
      </c>
      <c r="F46" s="747">
        <v>49366.184728210195</v>
      </c>
      <c r="G46" s="747">
        <v>1289244.3138536173</v>
      </c>
      <c r="H46" s="748">
        <v>0</v>
      </c>
      <c r="I46" s="749" t="s">
        <v>258</v>
      </c>
      <c r="J46" s="750">
        <v>1289244.3138536173</v>
      </c>
      <c r="K46" s="735">
        <v>0</v>
      </c>
      <c r="L46" s="735" t="s">
        <v>103</v>
      </c>
      <c r="M46" s="750">
        <v>0</v>
      </c>
      <c r="N46" s="750" t="s">
        <v>103</v>
      </c>
      <c r="O46" s="736">
        <v>0</v>
      </c>
      <c r="P46" s="754">
        <v>0</v>
      </c>
      <c r="Q46" s="752">
        <v>0</v>
      </c>
      <c r="R46" s="9" t="s">
        <v>103</v>
      </c>
      <c r="S46" s="9" t="s">
        <v>103</v>
      </c>
    </row>
    <row r="47" spans="2:19">
      <c r="B47" s="746" t="s">
        <v>208</v>
      </c>
      <c r="C47" s="9" t="s">
        <v>1009</v>
      </c>
      <c r="D47" s="730" t="s">
        <v>110</v>
      </c>
      <c r="E47" s="747">
        <v>5448636.4101776676</v>
      </c>
      <c r="F47" s="747">
        <v>237007.3836571009</v>
      </c>
      <c r="G47" s="747">
        <v>5685643.7938347682</v>
      </c>
      <c r="H47" s="748">
        <v>0</v>
      </c>
      <c r="I47" s="749" t="s">
        <v>258</v>
      </c>
      <c r="J47" s="750">
        <v>5685643.7938347682</v>
      </c>
      <c r="K47" s="735">
        <v>0</v>
      </c>
      <c r="L47" s="735" t="s">
        <v>103</v>
      </c>
      <c r="M47" s="750">
        <v>0</v>
      </c>
      <c r="N47" s="750" t="s">
        <v>103</v>
      </c>
      <c r="O47" s="736">
        <v>0</v>
      </c>
      <c r="P47" s="754">
        <v>0</v>
      </c>
      <c r="Q47" s="752">
        <v>0</v>
      </c>
      <c r="R47" s="9" t="s">
        <v>103</v>
      </c>
      <c r="S47" s="9" t="s">
        <v>103</v>
      </c>
    </row>
    <row r="48" spans="2:19">
      <c r="B48" s="746" t="s">
        <v>211</v>
      </c>
      <c r="C48" s="9" t="s">
        <v>1009</v>
      </c>
      <c r="D48" s="730" t="s">
        <v>110</v>
      </c>
      <c r="E48" s="747">
        <v>1953726.5836190591</v>
      </c>
      <c r="F48" s="747">
        <v>141845.22414451488</v>
      </c>
      <c r="G48" s="747">
        <v>2095571.8077635739</v>
      </c>
      <c r="H48" s="748">
        <v>0</v>
      </c>
      <c r="I48" s="749" t="s">
        <v>258</v>
      </c>
      <c r="J48" s="750">
        <v>2095571.8077635739</v>
      </c>
      <c r="K48" s="735">
        <v>0</v>
      </c>
      <c r="L48" s="735" t="s">
        <v>103</v>
      </c>
      <c r="M48" s="750">
        <v>0</v>
      </c>
      <c r="N48" s="750" t="s">
        <v>103</v>
      </c>
      <c r="O48" s="736">
        <v>0</v>
      </c>
      <c r="P48" s="754">
        <v>0</v>
      </c>
      <c r="Q48" s="752">
        <v>0</v>
      </c>
      <c r="R48" s="9" t="s">
        <v>103</v>
      </c>
      <c r="S48" s="9" t="s">
        <v>103</v>
      </c>
    </row>
    <row r="49" spans="2:19">
      <c r="B49" s="746" t="s">
        <v>212</v>
      </c>
      <c r="C49" s="9" t="s">
        <v>1009</v>
      </c>
      <c r="D49" s="730" t="s">
        <v>110</v>
      </c>
      <c r="E49" s="747">
        <v>125233.64228511089</v>
      </c>
      <c r="F49" s="747">
        <v>50338.98574729915</v>
      </c>
      <c r="G49" s="747">
        <v>175572.62803240982</v>
      </c>
      <c r="H49" s="748">
        <v>0</v>
      </c>
      <c r="I49" s="749" t="s">
        <v>258</v>
      </c>
      <c r="J49" s="750">
        <v>175572.62803240982</v>
      </c>
      <c r="K49" s="735">
        <v>0</v>
      </c>
      <c r="L49" s="735" t="s">
        <v>103</v>
      </c>
      <c r="M49" s="750">
        <v>0</v>
      </c>
      <c r="N49" s="750" t="s">
        <v>103</v>
      </c>
      <c r="O49" s="736">
        <v>0</v>
      </c>
      <c r="P49" s="754">
        <v>0</v>
      </c>
      <c r="Q49" s="752">
        <v>0</v>
      </c>
      <c r="R49" s="9" t="s">
        <v>103</v>
      </c>
      <c r="S49" s="9" t="s">
        <v>103</v>
      </c>
    </row>
    <row r="50" spans="2:19">
      <c r="B50" s="746" t="s">
        <v>218</v>
      </c>
      <c r="C50" s="9" t="s">
        <v>1009</v>
      </c>
      <c r="D50" s="730" t="s">
        <v>110</v>
      </c>
      <c r="E50" s="747">
        <v>889187.44481555081</v>
      </c>
      <c r="F50" s="747">
        <v>136697.8168551405</v>
      </c>
      <c r="G50" s="747">
        <v>-474114.73832930857</v>
      </c>
      <c r="H50" s="748">
        <v>3.4683416987685387</v>
      </c>
      <c r="I50" s="749" t="s">
        <v>258</v>
      </c>
      <c r="J50" s="750">
        <v>-474114.73832930857</v>
      </c>
      <c r="K50" s="735">
        <v>0</v>
      </c>
      <c r="L50" s="735" t="s">
        <v>103</v>
      </c>
      <c r="M50" s="750">
        <v>0</v>
      </c>
      <c r="N50" s="750" t="s">
        <v>103</v>
      </c>
      <c r="O50" s="736">
        <v>0</v>
      </c>
      <c r="P50" s="754">
        <v>0</v>
      </c>
      <c r="Q50" s="752">
        <v>0</v>
      </c>
      <c r="R50" s="9" t="s">
        <v>103</v>
      </c>
      <c r="S50" s="9" t="s">
        <v>103</v>
      </c>
    </row>
    <row r="51" spans="2:19">
      <c r="B51" s="746" t="s">
        <v>226</v>
      </c>
      <c r="C51" s="9" t="s">
        <v>1009</v>
      </c>
      <c r="D51" s="730" t="s">
        <v>110</v>
      </c>
      <c r="E51" s="747">
        <v>1267784.2568610427</v>
      </c>
      <c r="F51" s="747">
        <v>72982.527316481399</v>
      </c>
      <c r="G51" s="747">
        <v>1340766.784177524</v>
      </c>
      <c r="H51" s="748">
        <v>0</v>
      </c>
      <c r="I51" s="749" t="s">
        <v>258</v>
      </c>
      <c r="J51" s="750">
        <v>1340766.784177524</v>
      </c>
      <c r="K51" s="735">
        <v>0</v>
      </c>
      <c r="L51" s="735" t="s">
        <v>103</v>
      </c>
      <c r="M51" s="750">
        <v>0</v>
      </c>
      <c r="N51" s="750" t="s">
        <v>103</v>
      </c>
      <c r="O51" s="736">
        <v>0</v>
      </c>
      <c r="P51" s="754">
        <v>0</v>
      </c>
      <c r="Q51" s="752">
        <v>0</v>
      </c>
      <c r="R51" s="9" t="s">
        <v>103</v>
      </c>
      <c r="S51" s="9" t="s">
        <v>103</v>
      </c>
    </row>
    <row r="52" spans="2:19">
      <c r="B52" s="746" t="s">
        <v>227</v>
      </c>
      <c r="C52" s="9" t="s">
        <v>1009</v>
      </c>
      <c r="D52" s="730" t="s">
        <v>110</v>
      </c>
      <c r="E52" s="747">
        <v>1747248.2315389612</v>
      </c>
      <c r="F52" s="747">
        <v>344271.97126808215</v>
      </c>
      <c r="G52" s="747">
        <v>2077314.4828070421</v>
      </c>
      <c r="H52" s="748">
        <v>0</v>
      </c>
      <c r="I52" s="749" t="s">
        <v>258</v>
      </c>
      <c r="J52" s="750">
        <v>2077314.4828070421</v>
      </c>
      <c r="K52" s="735">
        <v>0</v>
      </c>
      <c r="L52" s="735" t="s">
        <v>103</v>
      </c>
      <c r="M52" s="750">
        <v>0</v>
      </c>
      <c r="N52" s="750" t="s">
        <v>103</v>
      </c>
      <c r="O52" s="736">
        <v>0</v>
      </c>
      <c r="P52" s="754">
        <v>0</v>
      </c>
      <c r="Q52" s="752">
        <v>0</v>
      </c>
      <c r="R52" s="9" t="s">
        <v>103</v>
      </c>
      <c r="S52" s="9" t="s">
        <v>103</v>
      </c>
    </row>
    <row r="53" spans="2:19">
      <c r="B53" s="746" t="s">
        <v>235</v>
      </c>
      <c r="C53" s="9" t="s">
        <v>1009</v>
      </c>
      <c r="D53" s="730" t="s">
        <v>110</v>
      </c>
      <c r="E53" s="747">
        <v>-130464.75522574259</v>
      </c>
      <c r="F53" s="747">
        <v>42640.459435435943</v>
      </c>
      <c r="G53" s="747">
        <v>-87824.295790306758</v>
      </c>
      <c r="H53" s="694">
        <v>2.0596470336649615</v>
      </c>
      <c r="I53" s="749" t="s">
        <v>258</v>
      </c>
      <c r="J53" s="750">
        <v>-87824.295790306758</v>
      </c>
      <c r="K53" s="735">
        <v>0</v>
      </c>
      <c r="L53" s="735" t="s">
        <v>103</v>
      </c>
      <c r="M53" s="750">
        <v>0</v>
      </c>
      <c r="N53" s="750" t="s">
        <v>103</v>
      </c>
      <c r="O53" s="736">
        <v>0</v>
      </c>
      <c r="P53" s="754">
        <v>0</v>
      </c>
      <c r="Q53" s="752">
        <v>0</v>
      </c>
      <c r="R53" s="9" t="s">
        <v>103</v>
      </c>
      <c r="S53" s="9" t="s">
        <v>103</v>
      </c>
    </row>
    <row r="54" spans="2:19">
      <c r="B54" s="746" t="s">
        <v>236</v>
      </c>
      <c r="C54" s="9" t="s">
        <v>1009</v>
      </c>
      <c r="D54" s="730" t="s">
        <v>110</v>
      </c>
      <c r="E54" s="747">
        <v>2311625.0162025513</v>
      </c>
      <c r="F54" s="747">
        <v>264972.80465256947</v>
      </c>
      <c r="G54" s="747">
        <v>2576597.8208551197</v>
      </c>
      <c r="H54" s="748">
        <v>0</v>
      </c>
      <c r="I54" s="749" t="s">
        <v>258</v>
      </c>
      <c r="J54" s="750">
        <v>2576597.8208551197</v>
      </c>
      <c r="K54" s="735">
        <v>0</v>
      </c>
      <c r="L54" s="735" t="s">
        <v>103</v>
      </c>
      <c r="M54" s="750">
        <v>0</v>
      </c>
      <c r="N54" s="750" t="s">
        <v>103</v>
      </c>
      <c r="O54" s="736">
        <v>0</v>
      </c>
      <c r="P54" s="754">
        <v>0</v>
      </c>
      <c r="Q54" s="752">
        <v>0</v>
      </c>
      <c r="R54" s="9" t="s">
        <v>103</v>
      </c>
      <c r="S54" s="9" t="s">
        <v>103</v>
      </c>
    </row>
    <row r="55" spans="2:19">
      <c r="B55" s="746" t="s">
        <v>237</v>
      </c>
      <c r="C55" s="9" t="s">
        <v>1009</v>
      </c>
      <c r="D55" s="730" t="s">
        <v>110</v>
      </c>
      <c r="E55" s="747">
        <v>907375.01905726118</v>
      </c>
      <c r="F55" s="747">
        <v>79188.567673168873</v>
      </c>
      <c r="G55" s="747">
        <v>986563.58673042967</v>
      </c>
      <c r="H55" s="748">
        <v>0</v>
      </c>
      <c r="I55" s="749" t="s">
        <v>258</v>
      </c>
      <c r="J55" s="750">
        <v>986563.58673042967</v>
      </c>
      <c r="K55" s="735">
        <v>0</v>
      </c>
      <c r="L55" s="735" t="s">
        <v>103</v>
      </c>
      <c r="M55" s="750">
        <v>0</v>
      </c>
      <c r="N55" s="750" t="s">
        <v>103</v>
      </c>
      <c r="O55" s="736">
        <v>0</v>
      </c>
      <c r="P55" s="754">
        <v>0</v>
      </c>
      <c r="Q55" s="752">
        <v>0</v>
      </c>
      <c r="R55" s="9" t="s">
        <v>103</v>
      </c>
      <c r="S55" s="9" t="s">
        <v>103</v>
      </c>
    </row>
    <row r="56" spans="2:19">
      <c r="B56" s="746" t="s">
        <v>238</v>
      </c>
      <c r="C56" s="9" t="s">
        <v>1009</v>
      </c>
      <c r="D56" s="730" t="s">
        <v>110</v>
      </c>
      <c r="E56" s="747">
        <v>-2170540.126832962</v>
      </c>
      <c r="F56" s="747">
        <v>194360.25545084762</v>
      </c>
      <c r="G56" s="747">
        <v>-1702125.9113821136</v>
      </c>
      <c r="H56" s="694">
        <v>8.7575821889808623</v>
      </c>
      <c r="I56" s="749" t="s">
        <v>258</v>
      </c>
      <c r="J56" s="750">
        <v>-1702125.9113821136</v>
      </c>
      <c r="K56" s="735">
        <v>0</v>
      </c>
      <c r="L56" s="735" t="s">
        <v>103</v>
      </c>
      <c r="M56" s="750">
        <v>0</v>
      </c>
      <c r="N56" s="750" t="s">
        <v>103</v>
      </c>
      <c r="O56" s="736">
        <v>0</v>
      </c>
      <c r="P56" s="754">
        <v>0</v>
      </c>
      <c r="Q56" s="752">
        <v>0</v>
      </c>
      <c r="R56" s="9" t="s">
        <v>103</v>
      </c>
      <c r="S56" s="9" t="s">
        <v>103</v>
      </c>
    </row>
    <row r="57" spans="2:19">
      <c r="B57" s="746" t="s">
        <v>247</v>
      </c>
      <c r="C57" s="9" t="s">
        <v>1009</v>
      </c>
      <c r="D57" s="730" t="s">
        <v>110</v>
      </c>
      <c r="E57" s="747">
        <v>61213.124955558094</v>
      </c>
      <c r="F57" s="747">
        <v>4687.8542501597267</v>
      </c>
      <c r="G57" s="747">
        <v>65900.979205717827</v>
      </c>
      <c r="H57" s="748">
        <v>0</v>
      </c>
      <c r="I57" s="749" t="s">
        <v>258</v>
      </c>
      <c r="J57" s="750">
        <v>65900.979205717827</v>
      </c>
      <c r="K57" s="735">
        <v>0</v>
      </c>
      <c r="L57" s="735" t="s">
        <v>103</v>
      </c>
      <c r="M57" s="750">
        <v>0</v>
      </c>
      <c r="N57" s="750" t="s">
        <v>103</v>
      </c>
      <c r="O57" s="736">
        <v>0</v>
      </c>
      <c r="P57" s="754">
        <v>0</v>
      </c>
      <c r="Q57" s="752">
        <v>0</v>
      </c>
      <c r="R57" s="9" t="s">
        <v>103</v>
      </c>
      <c r="S57" s="9" t="s">
        <v>103</v>
      </c>
    </row>
    <row r="58" spans="2:19">
      <c r="B58" s="746" t="s">
        <v>248</v>
      </c>
      <c r="C58" s="9" t="s">
        <v>1009</v>
      </c>
      <c r="D58" s="730" t="s">
        <v>110</v>
      </c>
      <c r="E58" s="747">
        <v>-380539.54898770456</v>
      </c>
      <c r="F58" s="747">
        <v>132416.00376036123</v>
      </c>
      <c r="G58" s="747">
        <v>-248123.54522734263</v>
      </c>
      <c r="H58" s="694">
        <v>1.8738184069984636</v>
      </c>
      <c r="I58" s="749" t="s">
        <v>258</v>
      </c>
      <c r="J58" s="750">
        <v>-248123.54522734263</v>
      </c>
      <c r="K58" s="735">
        <v>0</v>
      </c>
      <c r="L58" s="735" t="s">
        <v>103</v>
      </c>
      <c r="M58" s="750">
        <v>0</v>
      </c>
      <c r="N58" s="750" t="s">
        <v>103</v>
      </c>
      <c r="O58" s="736">
        <v>0</v>
      </c>
      <c r="P58" s="754">
        <v>0</v>
      </c>
      <c r="Q58" s="752">
        <v>0</v>
      </c>
      <c r="R58" s="9" t="s">
        <v>103</v>
      </c>
      <c r="S58" s="9" t="s">
        <v>103</v>
      </c>
    </row>
    <row r="59" spans="2:19">
      <c r="B59" s="746" t="s">
        <v>259</v>
      </c>
      <c r="C59" s="9" t="s">
        <v>1009</v>
      </c>
      <c r="D59" s="730" t="s">
        <v>110</v>
      </c>
      <c r="E59" s="747">
        <v>822222.02350656129</v>
      </c>
      <c r="F59" s="747">
        <v>28871.934949673272</v>
      </c>
      <c r="G59" s="747">
        <v>851093.95845623454</v>
      </c>
      <c r="H59" s="748">
        <v>0</v>
      </c>
      <c r="I59" s="749" t="s">
        <v>258</v>
      </c>
      <c r="J59" s="750">
        <v>851093.95845623454</v>
      </c>
      <c r="K59" s="735">
        <v>0</v>
      </c>
      <c r="L59" s="735" t="s">
        <v>103</v>
      </c>
      <c r="M59" s="750">
        <v>0</v>
      </c>
      <c r="N59" s="750" t="s">
        <v>103</v>
      </c>
      <c r="O59" s="736">
        <v>0</v>
      </c>
      <c r="P59" s="754">
        <v>0</v>
      </c>
      <c r="Q59" s="752">
        <v>0</v>
      </c>
      <c r="R59" s="9" t="s">
        <v>103</v>
      </c>
      <c r="S59" s="9" t="s">
        <v>103</v>
      </c>
    </row>
    <row r="60" spans="2:19">
      <c r="B60" s="746" t="s">
        <v>260</v>
      </c>
      <c r="C60" s="9" t="s">
        <v>1009</v>
      </c>
      <c r="D60" s="730" t="s">
        <v>110</v>
      </c>
      <c r="E60" s="747">
        <v>508928.7706279048</v>
      </c>
      <c r="F60" s="747">
        <v>229185.93443028207</v>
      </c>
      <c r="G60" s="747">
        <v>738114.70505818678</v>
      </c>
      <c r="H60" s="748">
        <v>0</v>
      </c>
      <c r="I60" s="749" t="s">
        <v>258</v>
      </c>
      <c r="J60" s="750">
        <v>738114.70505818678</v>
      </c>
      <c r="K60" s="735">
        <v>0</v>
      </c>
      <c r="L60" s="735" t="s">
        <v>103</v>
      </c>
      <c r="M60" s="750">
        <v>0</v>
      </c>
      <c r="N60" s="750" t="s">
        <v>103</v>
      </c>
      <c r="O60" s="736">
        <v>0</v>
      </c>
      <c r="P60" s="754">
        <v>0</v>
      </c>
      <c r="Q60" s="752">
        <v>0</v>
      </c>
      <c r="R60" s="9" t="s">
        <v>103</v>
      </c>
      <c r="S60" s="9" t="s">
        <v>103</v>
      </c>
    </row>
    <row r="61" spans="2:19">
      <c r="B61" s="746" t="s">
        <v>264</v>
      </c>
      <c r="C61" s="9" t="s">
        <v>1009</v>
      </c>
      <c r="D61" s="730" t="s">
        <v>110</v>
      </c>
      <c r="E61" s="747">
        <v>222628.66227827058</v>
      </c>
      <c r="F61" s="747">
        <v>95762.25090494717</v>
      </c>
      <c r="G61" s="747">
        <v>318390.91318321752</v>
      </c>
      <c r="H61" s="748">
        <v>0</v>
      </c>
      <c r="I61" s="749" t="s">
        <v>258</v>
      </c>
      <c r="J61" s="750">
        <v>318390.91318321752</v>
      </c>
      <c r="K61" s="735">
        <v>0</v>
      </c>
      <c r="L61" s="735" t="s">
        <v>103</v>
      </c>
      <c r="M61" s="750">
        <v>0</v>
      </c>
      <c r="N61" s="750" t="s">
        <v>103</v>
      </c>
      <c r="O61" s="736">
        <v>0</v>
      </c>
      <c r="P61" s="754">
        <v>0</v>
      </c>
      <c r="Q61" s="752">
        <v>0</v>
      </c>
      <c r="R61" s="9" t="s">
        <v>103</v>
      </c>
      <c r="S61" s="9" t="s">
        <v>103</v>
      </c>
    </row>
    <row r="62" spans="2:19">
      <c r="B62" s="746" t="s">
        <v>265</v>
      </c>
      <c r="C62" s="9" t="s">
        <v>1009</v>
      </c>
      <c r="D62" s="730" t="s">
        <v>110</v>
      </c>
      <c r="E62" s="747">
        <v>6040.2299872059093</v>
      </c>
      <c r="F62" s="747">
        <v>4706.2816046243879</v>
      </c>
      <c r="G62" s="747">
        <v>10746.511591830296</v>
      </c>
      <c r="H62" s="748">
        <v>0</v>
      </c>
      <c r="I62" s="749" t="s">
        <v>258</v>
      </c>
      <c r="J62" s="750">
        <v>10746.511591830296</v>
      </c>
      <c r="K62" s="735">
        <v>0</v>
      </c>
      <c r="L62" s="735" t="s">
        <v>103</v>
      </c>
      <c r="M62" s="750">
        <v>0</v>
      </c>
      <c r="N62" s="750" t="s">
        <v>103</v>
      </c>
      <c r="O62" s="736">
        <v>0</v>
      </c>
      <c r="P62" s="754">
        <v>0</v>
      </c>
      <c r="Q62" s="752">
        <v>0</v>
      </c>
      <c r="R62" s="9" t="s">
        <v>103</v>
      </c>
      <c r="S62" s="9" t="s">
        <v>103</v>
      </c>
    </row>
    <row r="63" spans="2:19">
      <c r="B63" s="746" t="s">
        <v>266</v>
      </c>
      <c r="C63" s="9" t="s">
        <v>1009</v>
      </c>
      <c r="D63" s="730" t="s">
        <v>110</v>
      </c>
      <c r="E63" s="747">
        <v>2445720.076280151</v>
      </c>
      <c r="F63" s="747">
        <v>148257.88735225287</v>
      </c>
      <c r="G63" s="747">
        <v>2593977.9636324043</v>
      </c>
      <c r="H63" s="748">
        <v>0</v>
      </c>
      <c r="I63" s="749" t="s">
        <v>258</v>
      </c>
      <c r="J63" s="750">
        <v>2593977.9636324043</v>
      </c>
      <c r="K63" s="735">
        <v>0</v>
      </c>
      <c r="L63" s="735" t="s">
        <v>103</v>
      </c>
      <c r="M63" s="750">
        <v>0</v>
      </c>
      <c r="N63" s="750" t="s">
        <v>103</v>
      </c>
      <c r="O63" s="736">
        <v>0</v>
      </c>
      <c r="P63" s="754">
        <v>0</v>
      </c>
      <c r="Q63" s="752">
        <v>0</v>
      </c>
      <c r="R63" s="9" t="s">
        <v>103</v>
      </c>
      <c r="S63" s="9" t="s">
        <v>103</v>
      </c>
    </row>
    <row r="64" spans="2:19">
      <c r="B64" s="746" t="s">
        <v>271</v>
      </c>
      <c r="C64" s="9" t="s">
        <v>1009</v>
      </c>
      <c r="D64" s="730" t="s">
        <v>110</v>
      </c>
      <c r="E64" s="747">
        <v>417475.22967496212</v>
      </c>
      <c r="F64" s="747">
        <v>12935.896416199072</v>
      </c>
      <c r="G64" s="747">
        <v>430411.1260911611</v>
      </c>
      <c r="H64" s="748">
        <v>0</v>
      </c>
      <c r="I64" s="749" t="s">
        <v>258</v>
      </c>
      <c r="J64" s="750">
        <v>430411.1260911611</v>
      </c>
      <c r="K64" s="735">
        <v>0</v>
      </c>
      <c r="L64" s="735" t="s">
        <v>103</v>
      </c>
      <c r="M64" s="750">
        <v>0</v>
      </c>
      <c r="N64" s="750" t="s">
        <v>103</v>
      </c>
      <c r="O64" s="736">
        <v>0</v>
      </c>
      <c r="P64" s="754">
        <v>0</v>
      </c>
      <c r="Q64" s="752">
        <v>0</v>
      </c>
      <c r="R64" s="9" t="s">
        <v>103</v>
      </c>
      <c r="S64" s="9" t="s">
        <v>103</v>
      </c>
    </row>
    <row r="65" spans="2:19">
      <c r="B65" s="746" t="s">
        <v>272</v>
      </c>
      <c r="C65" s="9" t="s">
        <v>1009</v>
      </c>
      <c r="D65" s="730" t="s">
        <v>110</v>
      </c>
      <c r="E65" s="747">
        <v>414704.54206233856</v>
      </c>
      <c r="F65" s="747">
        <v>393544.90787536913</v>
      </c>
      <c r="G65" s="747">
        <v>808249.44993770751</v>
      </c>
      <c r="H65" s="748">
        <v>0</v>
      </c>
      <c r="I65" s="749" t="s">
        <v>258</v>
      </c>
      <c r="J65" s="750">
        <v>808249.44993770751</v>
      </c>
      <c r="K65" s="735">
        <v>0</v>
      </c>
      <c r="L65" s="735" t="s">
        <v>103</v>
      </c>
      <c r="M65" s="750">
        <v>0</v>
      </c>
      <c r="N65" s="750" t="s">
        <v>103</v>
      </c>
      <c r="O65" s="736">
        <v>0</v>
      </c>
      <c r="P65" s="754">
        <v>0</v>
      </c>
      <c r="Q65" s="752">
        <v>0</v>
      </c>
      <c r="R65" s="9" t="s">
        <v>103</v>
      </c>
      <c r="S65" s="9" t="s">
        <v>103</v>
      </c>
    </row>
    <row r="66" spans="2:19">
      <c r="B66" s="746" t="s">
        <v>276</v>
      </c>
      <c r="C66" s="9" t="s">
        <v>1009</v>
      </c>
      <c r="D66" s="730" t="s">
        <v>110</v>
      </c>
      <c r="E66" s="747">
        <v>-132255.21678386291</v>
      </c>
      <c r="F66" s="747">
        <v>9039.1856143343593</v>
      </c>
      <c r="G66" s="747">
        <v>-123216.03116952855</v>
      </c>
      <c r="H66" s="694">
        <v>13.631319947024023</v>
      </c>
      <c r="I66" s="749" t="s">
        <v>258</v>
      </c>
      <c r="J66" s="750">
        <v>-123216.03116952855</v>
      </c>
      <c r="K66" s="735">
        <v>0</v>
      </c>
      <c r="L66" s="735" t="s">
        <v>103</v>
      </c>
      <c r="M66" s="750">
        <v>0</v>
      </c>
      <c r="N66" s="750" t="s">
        <v>103</v>
      </c>
      <c r="O66" s="736">
        <v>0</v>
      </c>
      <c r="P66" s="754">
        <v>0</v>
      </c>
      <c r="Q66" s="752">
        <v>0</v>
      </c>
      <c r="R66" s="9" t="s">
        <v>103</v>
      </c>
      <c r="S66" s="9" t="s">
        <v>103</v>
      </c>
    </row>
    <row r="67" spans="2:19">
      <c r="B67" s="746" t="s">
        <v>277</v>
      </c>
      <c r="C67" s="9" t="s">
        <v>1009</v>
      </c>
      <c r="D67" s="730" t="s">
        <v>110</v>
      </c>
      <c r="E67" s="747">
        <v>-3683009.4589335551</v>
      </c>
      <c r="F67" s="747">
        <v>68527.88124567036</v>
      </c>
      <c r="G67" s="747">
        <v>-3614481.5776878851</v>
      </c>
      <c r="H67" s="694">
        <v>52.744685987446175</v>
      </c>
      <c r="I67" s="749" t="s">
        <v>258</v>
      </c>
      <c r="J67" s="750">
        <v>-3614481.5776878851</v>
      </c>
      <c r="K67" s="735">
        <v>0</v>
      </c>
      <c r="L67" s="735" t="s">
        <v>103</v>
      </c>
      <c r="M67" s="750">
        <v>0</v>
      </c>
      <c r="N67" s="750" t="s">
        <v>103</v>
      </c>
      <c r="O67" s="736">
        <v>0</v>
      </c>
      <c r="P67" s="754">
        <v>0</v>
      </c>
      <c r="Q67" s="752">
        <v>0</v>
      </c>
      <c r="R67" s="9" t="s">
        <v>103</v>
      </c>
      <c r="S67" s="9" t="s">
        <v>103</v>
      </c>
    </row>
    <row r="68" spans="2:19">
      <c r="B68" s="746" t="s">
        <v>278</v>
      </c>
      <c r="C68" s="9" t="s">
        <v>1009</v>
      </c>
      <c r="D68" s="730" t="s">
        <v>110</v>
      </c>
      <c r="E68" s="747">
        <v>160635.1849401354</v>
      </c>
      <c r="F68" s="747">
        <v>16362.822705446313</v>
      </c>
      <c r="G68" s="747">
        <v>176998.00764558165</v>
      </c>
      <c r="H68" s="748">
        <v>0</v>
      </c>
      <c r="I68" s="749" t="s">
        <v>258</v>
      </c>
      <c r="J68" s="750">
        <v>176998.00764558165</v>
      </c>
      <c r="K68" s="735">
        <v>0</v>
      </c>
      <c r="L68" s="735" t="s">
        <v>103</v>
      </c>
      <c r="M68" s="750">
        <v>0</v>
      </c>
      <c r="N68" s="750" t="s">
        <v>103</v>
      </c>
      <c r="O68" s="736">
        <v>0</v>
      </c>
      <c r="P68" s="754">
        <v>0</v>
      </c>
      <c r="Q68" s="752">
        <v>0</v>
      </c>
      <c r="R68" s="9" t="s">
        <v>103</v>
      </c>
      <c r="S68" s="9" t="s">
        <v>103</v>
      </c>
    </row>
    <row r="69" spans="2:19">
      <c r="B69" s="746" t="s">
        <v>284</v>
      </c>
      <c r="C69" s="9" t="s">
        <v>1009</v>
      </c>
      <c r="D69" s="730" t="s">
        <v>110</v>
      </c>
      <c r="E69" s="747">
        <v>1311322.920987308</v>
      </c>
      <c r="F69" s="747">
        <v>112038.54968500607</v>
      </c>
      <c r="G69" s="747">
        <v>1423361.4706723141</v>
      </c>
      <c r="H69" s="748">
        <v>0</v>
      </c>
      <c r="I69" s="749" t="s">
        <v>258</v>
      </c>
      <c r="J69" s="750">
        <v>1423361.4706723141</v>
      </c>
      <c r="K69" s="735">
        <v>0</v>
      </c>
      <c r="L69" s="735" t="s">
        <v>103</v>
      </c>
      <c r="M69" s="750">
        <v>0</v>
      </c>
      <c r="N69" s="750" t="s">
        <v>103</v>
      </c>
      <c r="O69" s="736">
        <v>0</v>
      </c>
      <c r="P69" s="754">
        <v>0</v>
      </c>
      <c r="Q69" s="752">
        <v>0</v>
      </c>
      <c r="R69" s="9" t="s">
        <v>103</v>
      </c>
      <c r="S69" s="9" t="s">
        <v>103</v>
      </c>
    </row>
    <row r="70" spans="2:19">
      <c r="B70" s="746" t="s">
        <v>285</v>
      </c>
      <c r="C70" s="9" t="s">
        <v>1009</v>
      </c>
      <c r="D70" s="730" t="s">
        <v>110</v>
      </c>
      <c r="E70" s="747">
        <v>-199310.94400645717</v>
      </c>
      <c r="F70" s="747">
        <v>83752.967022442914</v>
      </c>
      <c r="G70" s="747">
        <v>-115557.97698401408</v>
      </c>
      <c r="H70" s="694">
        <v>1.3797478595958101</v>
      </c>
      <c r="I70" s="749" t="s">
        <v>258</v>
      </c>
      <c r="J70" s="750">
        <v>-115557.97698401408</v>
      </c>
      <c r="K70" s="735">
        <v>0</v>
      </c>
      <c r="L70" s="735" t="s">
        <v>103</v>
      </c>
      <c r="M70" s="750">
        <v>0</v>
      </c>
      <c r="N70" s="750" t="s">
        <v>103</v>
      </c>
      <c r="O70" s="736">
        <v>0</v>
      </c>
      <c r="P70" s="754">
        <v>0</v>
      </c>
      <c r="Q70" s="752">
        <v>0</v>
      </c>
      <c r="R70" s="9" t="s">
        <v>103</v>
      </c>
      <c r="S70" s="9" t="s">
        <v>103</v>
      </c>
    </row>
    <row r="71" spans="2:19">
      <c r="B71" s="746" t="s">
        <v>289</v>
      </c>
      <c r="C71" s="9" t="s">
        <v>1009</v>
      </c>
      <c r="D71" s="9" t="s">
        <v>104</v>
      </c>
      <c r="E71" s="747">
        <v>3866478.0643750308</v>
      </c>
      <c r="F71" s="747">
        <v>49914.752921116989</v>
      </c>
      <c r="G71" s="747">
        <v>116392.81729614826</v>
      </c>
      <c r="H71" s="748">
        <v>0</v>
      </c>
      <c r="I71" s="749" t="s">
        <v>258</v>
      </c>
      <c r="J71" s="750">
        <v>116392.81729614826</v>
      </c>
      <c r="K71" s="735">
        <v>0</v>
      </c>
      <c r="L71" s="735" t="s">
        <v>103</v>
      </c>
      <c r="M71" s="750">
        <v>0</v>
      </c>
      <c r="N71" s="750" t="s">
        <v>103</v>
      </c>
      <c r="O71" s="752">
        <v>0</v>
      </c>
      <c r="P71" s="751">
        <v>0</v>
      </c>
      <c r="Q71" s="752">
        <v>0</v>
      </c>
      <c r="R71" s="9" t="s">
        <v>103</v>
      </c>
      <c r="S71" s="9" t="s">
        <v>103</v>
      </c>
    </row>
    <row r="72" spans="2:19">
      <c r="B72" s="746" t="s">
        <v>295</v>
      </c>
      <c r="C72" s="9" t="s">
        <v>1009</v>
      </c>
      <c r="D72" s="730" t="s">
        <v>110</v>
      </c>
      <c r="E72" s="747">
        <v>3804009.8825341631</v>
      </c>
      <c r="F72" s="747">
        <v>249418.40532807185</v>
      </c>
      <c r="G72" s="747">
        <v>4053428.2878622347</v>
      </c>
      <c r="H72" s="748">
        <v>0</v>
      </c>
      <c r="I72" s="749" t="s">
        <v>258</v>
      </c>
      <c r="J72" s="750">
        <v>4053428.2878622347</v>
      </c>
      <c r="K72" s="735">
        <v>0</v>
      </c>
      <c r="L72" s="735" t="s">
        <v>103</v>
      </c>
      <c r="M72" s="750">
        <v>0</v>
      </c>
      <c r="N72" s="750" t="s">
        <v>103</v>
      </c>
      <c r="O72" s="736">
        <v>0</v>
      </c>
      <c r="P72" s="754">
        <v>0</v>
      </c>
      <c r="Q72" s="752">
        <v>0</v>
      </c>
      <c r="R72" s="9" t="s">
        <v>103</v>
      </c>
      <c r="S72" s="9" t="s">
        <v>103</v>
      </c>
    </row>
    <row r="73" spans="2:19">
      <c r="B73" s="746" t="s">
        <v>303</v>
      </c>
      <c r="C73" s="9" t="s">
        <v>1009</v>
      </c>
      <c r="D73" s="730" t="s">
        <v>110</v>
      </c>
      <c r="E73" s="747">
        <v>3085659.9978944696</v>
      </c>
      <c r="F73" s="747">
        <v>164350.93463711126</v>
      </c>
      <c r="G73" s="747">
        <v>3250010.9325315799</v>
      </c>
      <c r="H73" s="748">
        <v>0</v>
      </c>
      <c r="I73" s="749" t="s">
        <v>258</v>
      </c>
      <c r="J73" s="750">
        <v>3250010.9325315799</v>
      </c>
      <c r="K73" s="735">
        <v>0</v>
      </c>
      <c r="L73" s="735" t="s">
        <v>103</v>
      </c>
      <c r="M73" s="750">
        <v>0</v>
      </c>
      <c r="N73" s="750" t="s">
        <v>103</v>
      </c>
      <c r="O73" s="736">
        <v>0</v>
      </c>
      <c r="P73" s="754">
        <v>0</v>
      </c>
      <c r="Q73" s="752">
        <v>0</v>
      </c>
      <c r="R73" s="9" t="s">
        <v>103</v>
      </c>
      <c r="S73" s="9" t="s">
        <v>103</v>
      </c>
    </row>
    <row r="74" spans="2:19">
      <c r="B74" s="746" t="s">
        <v>309</v>
      </c>
      <c r="C74" s="9" t="s">
        <v>1009</v>
      </c>
      <c r="D74" s="730" t="s">
        <v>110</v>
      </c>
      <c r="E74" s="747">
        <v>-807473.39695666928</v>
      </c>
      <c r="F74" s="747">
        <v>94186.890879778977</v>
      </c>
      <c r="G74" s="747">
        <v>-713286.50607689016</v>
      </c>
      <c r="H74" s="694">
        <v>7.5730974811275562</v>
      </c>
      <c r="I74" s="749" t="s">
        <v>258</v>
      </c>
      <c r="J74" s="750">
        <v>-713286.50607689016</v>
      </c>
      <c r="K74" s="735">
        <v>0</v>
      </c>
      <c r="L74" s="735" t="s">
        <v>103</v>
      </c>
      <c r="M74" s="750">
        <v>0</v>
      </c>
      <c r="N74" s="750" t="s">
        <v>103</v>
      </c>
      <c r="O74" s="736">
        <v>0</v>
      </c>
      <c r="P74" s="754">
        <v>0</v>
      </c>
      <c r="Q74" s="752">
        <v>0</v>
      </c>
      <c r="R74" s="9" t="s">
        <v>103</v>
      </c>
      <c r="S74" s="9" t="s">
        <v>103</v>
      </c>
    </row>
    <row r="75" spans="2:19">
      <c r="B75" s="746" t="s">
        <v>313</v>
      </c>
      <c r="C75" s="9" t="s">
        <v>1009</v>
      </c>
      <c r="D75" s="730" t="s">
        <v>110</v>
      </c>
      <c r="E75" s="747">
        <v>-142494.6430474598</v>
      </c>
      <c r="F75" s="747">
        <v>71956.56598800444</v>
      </c>
      <c r="G75" s="747">
        <v>-70538.077059454983</v>
      </c>
      <c r="H75" s="694">
        <v>0.98028687293407069</v>
      </c>
      <c r="I75" s="749" t="s">
        <v>258</v>
      </c>
      <c r="J75" s="750">
        <v>-70538.077059454983</v>
      </c>
      <c r="K75" s="735">
        <v>0</v>
      </c>
      <c r="L75" s="735" t="s">
        <v>103</v>
      </c>
      <c r="M75" s="750">
        <v>0</v>
      </c>
      <c r="N75" s="750" t="s">
        <v>103</v>
      </c>
      <c r="O75" s="736">
        <v>0</v>
      </c>
      <c r="P75" s="754">
        <v>0</v>
      </c>
      <c r="Q75" s="752">
        <v>0</v>
      </c>
      <c r="R75" s="9" t="s">
        <v>103</v>
      </c>
      <c r="S75" s="9" t="s">
        <v>103</v>
      </c>
    </row>
    <row r="76" spans="2:19">
      <c r="B76" s="746" t="s">
        <v>314</v>
      </c>
      <c r="C76" s="9" t="s">
        <v>1009</v>
      </c>
      <c r="D76" s="730" t="s">
        <v>110</v>
      </c>
      <c r="E76" s="747">
        <v>15303931.197004665</v>
      </c>
      <c r="F76" s="747">
        <v>1479241.5565266574</v>
      </c>
      <c r="G76" s="747">
        <v>16167775.86353131</v>
      </c>
      <c r="H76" s="748">
        <v>0</v>
      </c>
      <c r="I76" s="749" t="s">
        <v>258</v>
      </c>
      <c r="J76" s="750">
        <v>16167775.86353131</v>
      </c>
      <c r="K76" s="735">
        <v>0</v>
      </c>
      <c r="L76" s="735" t="s">
        <v>103</v>
      </c>
      <c r="M76" s="750">
        <v>0</v>
      </c>
      <c r="N76" s="750" t="s">
        <v>103</v>
      </c>
      <c r="O76" s="736">
        <v>0</v>
      </c>
      <c r="P76" s="754">
        <v>0</v>
      </c>
      <c r="Q76" s="752">
        <v>0</v>
      </c>
      <c r="R76" s="9" t="s">
        <v>103</v>
      </c>
      <c r="S76" s="9" t="s">
        <v>103</v>
      </c>
    </row>
    <row r="77" spans="2:19">
      <c r="B77" s="746" t="s">
        <v>324</v>
      </c>
      <c r="C77" s="9" t="s">
        <v>1009</v>
      </c>
      <c r="D77" s="730" t="s">
        <v>110</v>
      </c>
      <c r="E77" s="747">
        <v>70323.802311128311</v>
      </c>
      <c r="F77" s="747">
        <v>4470.3461530036693</v>
      </c>
      <c r="G77" s="747">
        <v>74794.148464131984</v>
      </c>
      <c r="H77" s="748">
        <v>0</v>
      </c>
      <c r="I77" s="749" t="s">
        <v>258</v>
      </c>
      <c r="J77" s="750">
        <v>74794.148464131984</v>
      </c>
      <c r="K77" s="735">
        <v>0</v>
      </c>
      <c r="L77" s="735" t="s">
        <v>103</v>
      </c>
      <c r="M77" s="750">
        <v>0</v>
      </c>
      <c r="N77" s="750" t="s">
        <v>103</v>
      </c>
      <c r="O77" s="736">
        <v>0</v>
      </c>
      <c r="P77" s="754">
        <v>0</v>
      </c>
      <c r="Q77" s="752">
        <v>0</v>
      </c>
      <c r="R77" s="9" t="s">
        <v>103</v>
      </c>
      <c r="S77" s="9" t="s">
        <v>103</v>
      </c>
    </row>
    <row r="78" spans="2:19">
      <c r="B78" s="746" t="s">
        <v>325</v>
      </c>
      <c r="C78" s="9" t="s">
        <v>1009</v>
      </c>
      <c r="D78" s="730" t="s">
        <v>110</v>
      </c>
      <c r="E78" s="747">
        <v>2302275.8445766261</v>
      </c>
      <c r="F78" s="747">
        <v>158359.23436975721</v>
      </c>
      <c r="G78" s="747">
        <v>2464613.1489463826</v>
      </c>
      <c r="H78" s="748">
        <v>0</v>
      </c>
      <c r="I78" s="749" t="s">
        <v>258</v>
      </c>
      <c r="J78" s="750">
        <v>2464613.1489463826</v>
      </c>
      <c r="K78" s="735">
        <v>0</v>
      </c>
      <c r="L78" s="735" t="s">
        <v>103</v>
      </c>
      <c r="M78" s="750">
        <v>0</v>
      </c>
      <c r="N78" s="750" t="s">
        <v>103</v>
      </c>
      <c r="O78" s="736">
        <v>0</v>
      </c>
      <c r="P78" s="754">
        <v>0</v>
      </c>
      <c r="Q78" s="752">
        <v>0</v>
      </c>
      <c r="R78" s="9" t="s">
        <v>103</v>
      </c>
      <c r="S78" s="9" t="s">
        <v>103</v>
      </c>
    </row>
    <row r="79" spans="2:19">
      <c r="B79" s="746" t="s">
        <v>330</v>
      </c>
      <c r="C79" s="9" t="s">
        <v>1009</v>
      </c>
      <c r="D79" s="730" t="s">
        <v>110</v>
      </c>
      <c r="E79" s="747">
        <v>-492069.32449700177</v>
      </c>
      <c r="F79" s="747">
        <v>34167.386956268965</v>
      </c>
      <c r="G79" s="747">
        <v>-457901.93754073273</v>
      </c>
      <c r="H79" s="694">
        <v>13.40172539757881</v>
      </c>
      <c r="I79" s="749" t="s">
        <v>258</v>
      </c>
      <c r="J79" s="750">
        <v>-457901.93754073273</v>
      </c>
      <c r="K79" s="735">
        <v>0</v>
      </c>
      <c r="L79" s="735" t="s">
        <v>103</v>
      </c>
      <c r="M79" s="750">
        <v>0</v>
      </c>
      <c r="N79" s="750" t="s">
        <v>103</v>
      </c>
      <c r="O79" s="736">
        <v>0</v>
      </c>
      <c r="P79" s="754">
        <v>0</v>
      </c>
      <c r="Q79" s="752">
        <v>0</v>
      </c>
      <c r="R79" s="9" t="s">
        <v>103</v>
      </c>
      <c r="S79" s="9" t="s">
        <v>103</v>
      </c>
    </row>
    <row r="80" spans="2:19">
      <c r="B80" s="746" t="s">
        <v>331</v>
      </c>
      <c r="C80" s="9" t="s">
        <v>1009</v>
      </c>
      <c r="D80" s="730" t="s">
        <v>110</v>
      </c>
      <c r="E80" s="747">
        <v>-4507083.7063741069</v>
      </c>
      <c r="F80" s="747">
        <v>151436.09307089265</v>
      </c>
      <c r="G80" s="747">
        <v>-4355647.6133032143</v>
      </c>
      <c r="H80" s="694">
        <v>28.762281996169698</v>
      </c>
      <c r="I80" s="749" t="s">
        <v>258</v>
      </c>
      <c r="J80" s="750">
        <v>-4355647.6133032143</v>
      </c>
      <c r="K80" s="735">
        <v>0</v>
      </c>
      <c r="L80" s="735" t="s">
        <v>103</v>
      </c>
      <c r="M80" s="750">
        <v>0</v>
      </c>
      <c r="N80" s="750" t="s">
        <v>103</v>
      </c>
      <c r="O80" s="736">
        <v>0</v>
      </c>
      <c r="P80" s="754">
        <v>0</v>
      </c>
      <c r="Q80" s="752">
        <v>0</v>
      </c>
      <c r="R80" s="9" t="s">
        <v>103</v>
      </c>
      <c r="S80" s="9" t="s">
        <v>103</v>
      </c>
    </row>
    <row r="81" spans="2:19">
      <c r="B81" s="746" t="s">
        <v>335</v>
      </c>
      <c r="C81" s="9" t="s">
        <v>1009</v>
      </c>
      <c r="D81" s="730" t="s">
        <v>110</v>
      </c>
      <c r="E81" s="747">
        <v>2736633.8454288035</v>
      </c>
      <c r="F81" s="747">
        <v>70457.551157495705</v>
      </c>
      <c r="G81" s="747">
        <v>2807091.3965862989</v>
      </c>
      <c r="H81" s="748">
        <v>0</v>
      </c>
      <c r="I81" s="749" t="s">
        <v>258</v>
      </c>
      <c r="J81" s="750">
        <v>2807091.3965862989</v>
      </c>
      <c r="K81" s="735">
        <v>0</v>
      </c>
      <c r="L81" s="735" t="s">
        <v>103</v>
      </c>
      <c r="M81" s="750">
        <v>0</v>
      </c>
      <c r="N81" s="750" t="s">
        <v>103</v>
      </c>
      <c r="O81" s="736">
        <v>0</v>
      </c>
      <c r="P81" s="754">
        <v>0</v>
      </c>
      <c r="Q81" s="752">
        <v>0</v>
      </c>
      <c r="R81" s="9" t="s">
        <v>103</v>
      </c>
      <c r="S81" s="9" t="s">
        <v>103</v>
      </c>
    </row>
    <row r="82" spans="2:19">
      <c r="B82" s="746" t="s">
        <v>336</v>
      </c>
      <c r="C82" s="9" t="s">
        <v>1009</v>
      </c>
      <c r="D82" s="730" t="s">
        <v>110</v>
      </c>
      <c r="E82" s="747">
        <v>-88187.13392717822</v>
      </c>
      <c r="F82" s="747">
        <v>131448.68976904597</v>
      </c>
      <c r="G82" s="747">
        <v>43261.555841867405</v>
      </c>
      <c r="H82" s="694">
        <v>0</v>
      </c>
      <c r="I82" s="749" t="s">
        <v>258</v>
      </c>
      <c r="J82" s="750">
        <v>43261.555841867405</v>
      </c>
      <c r="K82" s="735">
        <v>0</v>
      </c>
      <c r="L82" s="735" t="s">
        <v>103</v>
      </c>
      <c r="M82" s="750">
        <v>0</v>
      </c>
      <c r="N82" s="750" t="s">
        <v>103</v>
      </c>
      <c r="O82" s="736">
        <v>0</v>
      </c>
      <c r="P82" s="754">
        <v>0</v>
      </c>
      <c r="Q82" s="752">
        <v>0</v>
      </c>
      <c r="R82" s="9" t="s">
        <v>103</v>
      </c>
      <c r="S82" s="9" t="s">
        <v>103</v>
      </c>
    </row>
    <row r="83" spans="2:19">
      <c r="B83" s="746" t="s">
        <v>341</v>
      </c>
      <c r="C83" s="9" t="s">
        <v>1009</v>
      </c>
      <c r="D83" s="730" t="s">
        <v>110</v>
      </c>
      <c r="E83" s="747">
        <v>-1017172.5898153237</v>
      </c>
      <c r="F83" s="747">
        <v>174529.11687047171</v>
      </c>
      <c r="G83" s="747">
        <v>-842643.4729448529</v>
      </c>
      <c r="H83" s="694">
        <v>4.8280968130390987</v>
      </c>
      <c r="I83" s="749" t="s">
        <v>258</v>
      </c>
      <c r="J83" s="750">
        <v>-842643.4729448529</v>
      </c>
      <c r="K83" s="735">
        <v>0</v>
      </c>
      <c r="L83" s="735" t="s">
        <v>103</v>
      </c>
      <c r="M83" s="750">
        <v>0</v>
      </c>
      <c r="N83" s="750" t="s">
        <v>103</v>
      </c>
      <c r="O83" s="736">
        <v>0</v>
      </c>
      <c r="P83" s="754">
        <v>0</v>
      </c>
      <c r="Q83" s="752">
        <v>0</v>
      </c>
      <c r="R83" s="9" t="s">
        <v>103</v>
      </c>
      <c r="S83" s="9" t="s">
        <v>103</v>
      </c>
    </row>
    <row r="84" spans="2:19">
      <c r="B84" s="746" t="s">
        <v>352</v>
      </c>
      <c r="C84" s="9" t="s">
        <v>1009</v>
      </c>
      <c r="D84" s="730" t="s">
        <v>110</v>
      </c>
      <c r="E84" s="747">
        <v>1217060.0675817125</v>
      </c>
      <c r="F84" s="747">
        <v>192890.13162712823</v>
      </c>
      <c r="G84" s="747">
        <v>1409950.1992088414</v>
      </c>
      <c r="H84" s="748">
        <v>0</v>
      </c>
      <c r="I84" s="749" t="s">
        <v>258</v>
      </c>
      <c r="J84" s="750">
        <v>1409950.1992088414</v>
      </c>
      <c r="K84" s="735">
        <v>0</v>
      </c>
      <c r="L84" s="735" t="s">
        <v>103</v>
      </c>
      <c r="M84" s="750">
        <v>0</v>
      </c>
      <c r="N84" s="750" t="s">
        <v>103</v>
      </c>
      <c r="O84" s="736">
        <v>0</v>
      </c>
      <c r="P84" s="754">
        <v>0</v>
      </c>
      <c r="Q84" s="752">
        <v>0</v>
      </c>
      <c r="R84" s="9" t="s">
        <v>103</v>
      </c>
      <c r="S84" s="9" t="s">
        <v>103</v>
      </c>
    </row>
    <row r="85" spans="2:19">
      <c r="B85" s="746" t="s">
        <v>356</v>
      </c>
      <c r="C85" s="9" t="s">
        <v>1009</v>
      </c>
      <c r="D85" s="730" t="s">
        <v>110</v>
      </c>
      <c r="E85" s="747">
        <v>1093862.0558507445</v>
      </c>
      <c r="F85" s="747">
        <v>247268.35610591166</v>
      </c>
      <c r="G85" s="747">
        <v>2641130.4119566553</v>
      </c>
      <c r="H85" s="748">
        <v>0</v>
      </c>
      <c r="I85" s="749" t="s">
        <v>258</v>
      </c>
      <c r="J85" s="750">
        <v>2641130.4119566553</v>
      </c>
      <c r="K85" s="735">
        <v>0</v>
      </c>
      <c r="L85" s="735" t="s">
        <v>103</v>
      </c>
      <c r="M85" s="750">
        <v>0</v>
      </c>
      <c r="N85" s="750" t="s">
        <v>103</v>
      </c>
      <c r="O85" s="736">
        <v>0</v>
      </c>
      <c r="P85" s="754">
        <v>0</v>
      </c>
      <c r="Q85" s="752">
        <v>0</v>
      </c>
      <c r="R85" s="9" t="s">
        <v>103</v>
      </c>
      <c r="S85" s="9" t="s">
        <v>103</v>
      </c>
    </row>
    <row r="86" spans="2:19">
      <c r="B86" s="746" t="s">
        <v>362</v>
      </c>
      <c r="C86" s="9" t="s">
        <v>1009</v>
      </c>
      <c r="D86" s="730" t="s">
        <v>110</v>
      </c>
      <c r="E86" s="747">
        <v>1585269.6636145557</v>
      </c>
      <c r="F86" s="747">
        <v>74150.859697551437</v>
      </c>
      <c r="G86" s="747">
        <v>1659420.5233121072</v>
      </c>
      <c r="H86" s="748">
        <v>0</v>
      </c>
      <c r="I86" s="749" t="s">
        <v>258</v>
      </c>
      <c r="J86" s="750">
        <v>1659420.5233121072</v>
      </c>
      <c r="K86" s="735">
        <v>0</v>
      </c>
      <c r="L86" s="735" t="s">
        <v>103</v>
      </c>
      <c r="M86" s="750">
        <v>0</v>
      </c>
      <c r="N86" s="750" t="s">
        <v>103</v>
      </c>
      <c r="O86" s="736">
        <v>0</v>
      </c>
      <c r="P86" s="754">
        <v>0</v>
      </c>
      <c r="Q86" s="752">
        <v>0</v>
      </c>
      <c r="R86" s="9" t="s">
        <v>103</v>
      </c>
      <c r="S86" s="9" t="s">
        <v>103</v>
      </c>
    </row>
    <row r="87" spans="2:19">
      <c r="B87" s="746" t="s">
        <v>363</v>
      </c>
      <c r="C87" s="9" t="s">
        <v>1009</v>
      </c>
      <c r="D87" s="730" t="s">
        <v>110</v>
      </c>
      <c r="E87" s="747">
        <v>1062854.1767785733</v>
      </c>
      <c r="F87" s="747">
        <v>30305.470081848096</v>
      </c>
      <c r="G87" s="747">
        <v>1093159.6468604214</v>
      </c>
      <c r="H87" s="748">
        <v>0</v>
      </c>
      <c r="I87" s="749" t="s">
        <v>258</v>
      </c>
      <c r="J87" s="750">
        <v>1093159.6468604214</v>
      </c>
      <c r="K87" s="735">
        <v>0</v>
      </c>
      <c r="L87" s="735" t="s">
        <v>103</v>
      </c>
      <c r="M87" s="750">
        <v>0</v>
      </c>
      <c r="N87" s="750" t="s">
        <v>103</v>
      </c>
      <c r="O87" s="736">
        <v>0</v>
      </c>
      <c r="P87" s="754">
        <v>0</v>
      </c>
      <c r="Q87" s="752">
        <v>0</v>
      </c>
      <c r="R87" s="9" t="s">
        <v>103</v>
      </c>
      <c r="S87" s="9" t="s">
        <v>103</v>
      </c>
    </row>
    <row r="88" spans="2:19">
      <c r="B88" s="746" t="s">
        <v>364</v>
      </c>
      <c r="C88" s="9" t="s">
        <v>1009</v>
      </c>
      <c r="D88" s="730" t="s">
        <v>110</v>
      </c>
      <c r="E88" s="747">
        <v>954635.01550407137</v>
      </c>
      <c r="F88" s="747">
        <v>111779.61074662491</v>
      </c>
      <c r="G88" s="747">
        <v>1066414.6262506964</v>
      </c>
      <c r="H88" s="748">
        <v>0</v>
      </c>
      <c r="I88" s="749" t="s">
        <v>258</v>
      </c>
      <c r="J88" s="750">
        <v>1066414.6262506964</v>
      </c>
      <c r="K88" s="735">
        <v>0</v>
      </c>
      <c r="L88" s="735" t="s">
        <v>103</v>
      </c>
      <c r="M88" s="750">
        <v>0</v>
      </c>
      <c r="N88" s="750" t="s">
        <v>103</v>
      </c>
      <c r="O88" s="736">
        <v>0</v>
      </c>
      <c r="P88" s="754">
        <v>0</v>
      </c>
      <c r="Q88" s="752">
        <v>0</v>
      </c>
      <c r="R88" s="9" t="s">
        <v>103</v>
      </c>
      <c r="S88" s="9" t="s">
        <v>103</v>
      </c>
    </row>
    <row r="89" spans="2:19">
      <c r="B89" s="746" t="s">
        <v>365</v>
      </c>
      <c r="C89" s="9" t="s">
        <v>1009</v>
      </c>
      <c r="D89" s="730" t="s">
        <v>110</v>
      </c>
      <c r="E89" s="747">
        <v>8581.3308191985034</v>
      </c>
      <c r="F89" s="747">
        <v>649.29009617883037</v>
      </c>
      <c r="G89" s="747">
        <v>9230.6209153773343</v>
      </c>
      <c r="H89" s="748">
        <v>0</v>
      </c>
      <c r="I89" s="749" t="s">
        <v>258</v>
      </c>
      <c r="J89" s="750">
        <v>9230.6209153773343</v>
      </c>
      <c r="K89" s="735">
        <v>0</v>
      </c>
      <c r="L89" s="735" t="s">
        <v>103</v>
      </c>
      <c r="M89" s="750">
        <v>0</v>
      </c>
      <c r="N89" s="750" t="s">
        <v>103</v>
      </c>
      <c r="O89" s="736">
        <v>0</v>
      </c>
      <c r="P89" s="754">
        <v>0</v>
      </c>
      <c r="Q89" s="752">
        <v>0</v>
      </c>
      <c r="R89" s="9" t="s">
        <v>103</v>
      </c>
      <c r="S89" s="9" t="s">
        <v>103</v>
      </c>
    </row>
    <row r="90" spans="2:19">
      <c r="B90" s="746" t="s">
        <v>366</v>
      </c>
      <c r="C90" s="9" t="s">
        <v>1009</v>
      </c>
      <c r="D90" s="730" t="s">
        <v>110</v>
      </c>
      <c r="E90" s="747">
        <v>448364.26329521491</v>
      </c>
      <c r="F90" s="747">
        <v>153078.4520282374</v>
      </c>
      <c r="G90" s="747">
        <v>601442.71532345109</v>
      </c>
      <c r="H90" s="748">
        <v>0</v>
      </c>
      <c r="I90" s="749" t="s">
        <v>258</v>
      </c>
      <c r="J90" s="750">
        <v>601442.71532345109</v>
      </c>
      <c r="K90" s="735">
        <v>0</v>
      </c>
      <c r="L90" s="735" t="s">
        <v>103</v>
      </c>
      <c r="M90" s="750">
        <v>0</v>
      </c>
      <c r="N90" s="750" t="s">
        <v>103</v>
      </c>
      <c r="O90" s="736">
        <v>0</v>
      </c>
      <c r="P90" s="754">
        <v>0</v>
      </c>
      <c r="Q90" s="752">
        <v>0</v>
      </c>
      <c r="R90" s="9" t="s">
        <v>103</v>
      </c>
      <c r="S90" s="9" t="s">
        <v>103</v>
      </c>
    </row>
    <row r="91" spans="2:19">
      <c r="B91" s="746" t="s">
        <v>371</v>
      </c>
      <c r="C91" s="9" t="s">
        <v>1009</v>
      </c>
      <c r="D91" s="730" t="s">
        <v>110</v>
      </c>
      <c r="E91" s="747">
        <v>7253894.6939828387</v>
      </c>
      <c r="F91" s="747">
        <v>292647.09843673056</v>
      </c>
      <c r="G91" s="747">
        <v>7546541.7924195686</v>
      </c>
      <c r="H91" s="748">
        <v>0</v>
      </c>
      <c r="I91" s="749" t="s">
        <v>258</v>
      </c>
      <c r="J91" s="750">
        <v>7546541.7924195686</v>
      </c>
      <c r="K91" s="735">
        <v>0</v>
      </c>
      <c r="L91" s="735" t="s">
        <v>103</v>
      </c>
      <c r="M91" s="750">
        <v>0</v>
      </c>
      <c r="N91" s="750" t="s">
        <v>103</v>
      </c>
      <c r="O91" s="736">
        <v>0</v>
      </c>
      <c r="P91" s="754">
        <v>0</v>
      </c>
      <c r="Q91" s="752">
        <v>0</v>
      </c>
      <c r="R91" s="9" t="s">
        <v>103</v>
      </c>
      <c r="S91" s="9" t="s">
        <v>103</v>
      </c>
    </row>
    <row r="92" spans="2:19">
      <c r="B92" s="746" t="s">
        <v>378</v>
      </c>
      <c r="C92" s="9" t="s">
        <v>1009</v>
      </c>
      <c r="D92" s="730" t="s">
        <v>110</v>
      </c>
      <c r="E92" s="747">
        <v>1331781.7918674233</v>
      </c>
      <c r="F92" s="747">
        <v>89447.377065206732</v>
      </c>
      <c r="G92" s="747">
        <v>1421229.1689326295</v>
      </c>
      <c r="H92" s="748">
        <v>0</v>
      </c>
      <c r="I92" s="749" t="s">
        <v>258</v>
      </c>
      <c r="J92" s="750">
        <v>1421229.1689326295</v>
      </c>
      <c r="K92" s="735">
        <v>0</v>
      </c>
      <c r="L92" s="735" t="s">
        <v>103</v>
      </c>
      <c r="M92" s="750">
        <v>0</v>
      </c>
      <c r="N92" s="750" t="s">
        <v>103</v>
      </c>
      <c r="O92" s="736">
        <v>0</v>
      </c>
      <c r="P92" s="754">
        <v>0</v>
      </c>
      <c r="Q92" s="752">
        <v>0</v>
      </c>
      <c r="R92" s="9" t="s">
        <v>103</v>
      </c>
      <c r="S92" s="9" t="s">
        <v>103</v>
      </c>
    </row>
    <row r="93" spans="2:19">
      <c r="B93" s="746" t="s">
        <v>384</v>
      </c>
      <c r="C93" s="9" t="s">
        <v>1009</v>
      </c>
      <c r="D93" s="730" t="s">
        <v>110</v>
      </c>
      <c r="E93" s="747">
        <v>-1101886.9506096428</v>
      </c>
      <c r="F93" s="747">
        <v>274376.60349062469</v>
      </c>
      <c r="G93" s="747">
        <v>-827510.34711901878</v>
      </c>
      <c r="H93" s="694">
        <v>3.0159654161157161</v>
      </c>
      <c r="I93" s="749" t="s">
        <v>258</v>
      </c>
      <c r="J93" s="750">
        <v>-827510.34711901878</v>
      </c>
      <c r="K93" s="735">
        <v>0</v>
      </c>
      <c r="L93" s="735" t="s">
        <v>103</v>
      </c>
      <c r="M93" s="750">
        <v>0</v>
      </c>
      <c r="N93" s="750" t="s">
        <v>103</v>
      </c>
      <c r="O93" s="736">
        <v>0</v>
      </c>
      <c r="P93" s="754">
        <v>0</v>
      </c>
      <c r="Q93" s="752">
        <v>0</v>
      </c>
      <c r="R93" s="9" t="s">
        <v>103</v>
      </c>
      <c r="S93" s="9" t="s">
        <v>103</v>
      </c>
    </row>
    <row r="94" spans="2:19">
      <c r="B94" s="746" t="s">
        <v>388</v>
      </c>
      <c r="C94" s="9" t="s">
        <v>1009</v>
      </c>
      <c r="D94" s="730" t="s">
        <v>110</v>
      </c>
      <c r="E94" s="747">
        <v>51022.474402716944</v>
      </c>
      <c r="F94" s="747">
        <v>6318.2712179022692</v>
      </c>
      <c r="G94" s="747">
        <v>57340.745620619236</v>
      </c>
      <c r="H94" s="748">
        <v>0</v>
      </c>
      <c r="I94" s="749" t="s">
        <v>258</v>
      </c>
      <c r="J94" s="750">
        <v>57340.745620619236</v>
      </c>
      <c r="K94" s="735">
        <v>0</v>
      </c>
      <c r="L94" s="735" t="s">
        <v>103</v>
      </c>
      <c r="M94" s="750">
        <v>0</v>
      </c>
      <c r="N94" s="750" t="s">
        <v>103</v>
      </c>
      <c r="O94" s="736">
        <v>0</v>
      </c>
      <c r="P94" s="754">
        <v>0</v>
      </c>
      <c r="Q94" s="752">
        <v>0</v>
      </c>
      <c r="R94" s="9" t="s">
        <v>103</v>
      </c>
      <c r="S94" s="9" t="s">
        <v>103</v>
      </c>
    </row>
    <row r="95" spans="2:19">
      <c r="B95" s="746" t="s">
        <v>389</v>
      </c>
      <c r="C95" s="9" t="s">
        <v>1009</v>
      </c>
      <c r="D95" s="730" t="s">
        <v>110</v>
      </c>
      <c r="E95" s="747">
        <v>-165166.263553347</v>
      </c>
      <c r="F95" s="747">
        <v>19357.20038424943</v>
      </c>
      <c r="G95" s="747">
        <v>107683.11683090216</v>
      </c>
      <c r="H95" s="694">
        <v>0</v>
      </c>
      <c r="I95" s="749" t="s">
        <v>258</v>
      </c>
      <c r="J95" s="750">
        <v>107683.11683090216</v>
      </c>
      <c r="K95" s="735">
        <v>0</v>
      </c>
      <c r="L95" s="735" t="s">
        <v>103</v>
      </c>
      <c r="M95" s="750">
        <v>0</v>
      </c>
      <c r="N95" s="750" t="s">
        <v>103</v>
      </c>
      <c r="O95" s="736">
        <v>0</v>
      </c>
      <c r="P95" s="754">
        <v>0</v>
      </c>
      <c r="Q95" s="752">
        <v>0</v>
      </c>
      <c r="R95" s="9" t="s">
        <v>103</v>
      </c>
      <c r="S95" s="9" t="s">
        <v>103</v>
      </c>
    </row>
    <row r="96" spans="2:19">
      <c r="B96" s="746" t="s">
        <v>392</v>
      </c>
      <c r="C96" s="9" t="s">
        <v>1009</v>
      </c>
      <c r="D96" s="730" t="s">
        <v>110</v>
      </c>
      <c r="E96" s="747">
        <v>-578446.51991047792</v>
      </c>
      <c r="F96" s="747">
        <v>137947.56972351007</v>
      </c>
      <c r="G96" s="747">
        <v>-460498.95018696797</v>
      </c>
      <c r="H96" s="694">
        <v>3.3382172017234621</v>
      </c>
      <c r="I96" s="749" t="s">
        <v>258</v>
      </c>
      <c r="J96" s="750">
        <v>-460498.95018696797</v>
      </c>
      <c r="K96" s="735">
        <v>0</v>
      </c>
      <c r="L96" s="735" t="s">
        <v>103</v>
      </c>
      <c r="M96" s="750">
        <v>0</v>
      </c>
      <c r="N96" s="750" t="s">
        <v>103</v>
      </c>
      <c r="O96" s="736">
        <v>0</v>
      </c>
      <c r="P96" s="754">
        <v>0</v>
      </c>
      <c r="Q96" s="752">
        <v>0</v>
      </c>
      <c r="R96" s="9" t="s">
        <v>103</v>
      </c>
      <c r="S96" s="9" t="s">
        <v>103</v>
      </c>
    </row>
    <row r="97" spans="2:19">
      <c r="B97" s="746" t="s">
        <v>396</v>
      </c>
      <c r="C97" s="9" t="s">
        <v>1009</v>
      </c>
      <c r="D97" s="730" t="s">
        <v>110</v>
      </c>
      <c r="E97" s="747">
        <v>1034430.9515821197</v>
      </c>
      <c r="F97" s="747">
        <v>55613.215523938023</v>
      </c>
      <c r="G97" s="747">
        <v>1090044.1671060575</v>
      </c>
      <c r="H97" s="748">
        <v>0</v>
      </c>
      <c r="I97" s="749" t="s">
        <v>258</v>
      </c>
      <c r="J97" s="750">
        <v>1090044.1671060575</v>
      </c>
      <c r="K97" s="735">
        <v>0</v>
      </c>
      <c r="L97" s="735" t="s">
        <v>103</v>
      </c>
      <c r="M97" s="750">
        <v>0</v>
      </c>
      <c r="N97" s="750" t="s">
        <v>103</v>
      </c>
      <c r="O97" s="736">
        <v>0</v>
      </c>
      <c r="P97" s="754">
        <v>0</v>
      </c>
      <c r="Q97" s="752">
        <v>0</v>
      </c>
      <c r="R97" s="9" t="s">
        <v>103</v>
      </c>
      <c r="S97" s="9" t="s">
        <v>103</v>
      </c>
    </row>
    <row r="98" spans="2:19">
      <c r="B98" s="746" t="s">
        <v>397</v>
      </c>
      <c r="C98" s="9" t="s">
        <v>1009</v>
      </c>
      <c r="D98" s="730" t="s">
        <v>110</v>
      </c>
      <c r="E98" s="747">
        <v>178832.57194625642</v>
      </c>
      <c r="F98" s="747">
        <v>64620.649383598771</v>
      </c>
      <c r="G98" s="747">
        <v>243453.22132985509</v>
      </c>
      <c r="H98" s="748">
        <v>0</v>
      </c>
      <c r="I98" s="749" t="s">
        <v>258</v>
      </c>
      <c r="J98" s="750">
        <v>243453.22132985509</v>
      </c>
      <c r="K98" s="735">
        <v>0</v>
      </c>
      <c r="L98" s="735" t="s">
        <v>103</v>
      </c>
      <c r="M98" s="750">
        <v>0</v>
      </c>
      <c r="N98" s="750" t="s">
        <v>103</v>
      </c>
      <c r="O98" s="736">
        <v>0</v>
      </c>
      <c r="P98" s="754">
        <v>0</v>
      </c>
      <c r="Q98" s="752">
        <v>0</v>
      </c>
      <c r="R98" s="9" t="s">
        <v>103</v>
      </c>
      <c r="S98" s="9" t="s">
        <v>103</v>
      </c>
    </row>
    <row r="99" spans="2:19">
      <c r="B99" s="746" t="s">
        <v>398</v>
      </c>
      <c r="C99" s="9" t="s">
        <v>1009</v>
      </c>
      <c r="D99" s="730" t="s">
        <v>110</v>
      </c>
      <c r="E99" s="747">
        <v>-998462.014371539</v>
      </c>
      <c r="F99" s="747">
        <v>140429.1897756104</v>
      </c>
      <c r="G99" s="747">
        <v>-424211.60459590604</v>
      </c>
      <c r="H99" s="694">
        <v>3.0208221330176945</v>
      </c>
      <c r="I99" s="749" t="s">
        <v>258</v>
      </c>
      <c r="J99" s="750">
        <v>-424211.60459590604</v>
      </c>
      <c r="K99" s="735">
        <v>0</v>
      </c>
      <c r="L99" s="735" t="s">
        <v>103</v>
      </c>
      <c r="M99" s="750">
        <v>0</v>
      </c>
      <c r="N99" s="750" t="s">
        <v>103</v>
      </c>
      <c r="O99" s="736">
        <v>0</v>
      </c>
      <c r="P99" s="751">
        <v>0</v>
      </c>
      <c r="Q99" s="752">
        <v>0</v>
      </c>
      <c r="R99" s="9" t="s">
        <v>103</v>
      </c>
      <c r="S99" s="9" t="s">
        <v>103</v>
      </c>
    </row>
    <row r="100" spans="2:19">
      <c r="B100" s="746" t="s">
        <v>405</v>
      </c>
      <c r="C100" s="9" t="s">
        <v>1009</v>
      </c>
      <c r="D100" s="730" t="s">
        <v>110</v>
      </c>
      <c r="E100" s="747">
        <v>-208412.85888276008</v>
      </c>
      <c r="F100" s="747">
        <v>44124.312304681967</v>
      </c>
      <c r="G100" s="747">
        <v>-164288.54657807818</v>
      </c>
      <c r="H100" s="694">
        <v>3.7233112086518743</v>
      </c>
      <c r="I100" s="749" t="s">
        <v>258</v>
      </c>
      <c r="J100" s="750">
        <v>-164288.54657807818</v>
      </c>
      <c r="K100" s="735">
        <v>0</v>
      </c>
      <c r="L100" s="735" t="s">
        <v>103</v>
      </c>
      <c r="M100" s="750">
        <v>0</v>
      </c>
      <c r="N100" s="750" t="s">
        <v>103</v>
      </c>
      <c r="O100" s="736">
        <v>0</v>
      </c>
      <c r="P100" s="754">
        <v>0</v>
      </c>
      <c r="Q100" s="752">
        <v>0</v>
      </c>
      <c r="R100" s="9" t="s">
        <v>103</v>
      </c>
      <c r="S100" s="9" t="s">
        <v>103</v>
      </c>
    </row>
    <row r="101" spans="2:19">
      <c r="B101" s="746" t="s">
        <v>409</v>
      </c>
      <c r="C101" s="9" t="s">
        <v>1009</v>
      </c>
      <c r="D101" s="730" t="s">
        <v>110</v>
      </c>
      <c r="E101" s="747">
        <v>-332124.396802234</v>
      </c>
      <c r="F101" s="747">
        <v>141689.70824614968</v>
      </c>
      <c r="G101" s="747">
        <v>-190434.68855608386</v>
      </c>
      <c r="H101" s="694">
        <v>1.3440262593049612</v>
      </c>
      <c r="I101" s="749" t="s">
        <v>258</v>
      </c>
      <c r="J101" s="750">
        <v>-190434.68855608386</v>
      </c>
      <c r="K101" s="735">
        <v>0</v>
      </c>
      <c r="L101" s="735" t="s">
        <v>103</v>
      </c>
      <c r="M101" s="750">
        <v>0</v>
      </c>
      <c r="N101" s="750" t="s">
        <v>103</v>
      </c>
      <c r="O101" s="736">
        <v>0</v>
      </c>
      <c r="P101" s="754">
        <v>0</v>
      </c>
      <c r="Q101" s="752">
        <v>0</v>
      </c>
      <c r="R101" s="9" t="s">
        <v>103</v>
      </c>
      <c r="S101" s="9" t="s">
        <v>103</v>
      </c>
    </row>
    <row r="102" spans="2:19">
      <c r="B102" s="746" t="s">
        <v>410</v>
      </c>
      <c r="C102" s="9" t="s">
        <v>1009</v>
      </c>
      <c r="D102" s="730" t="s">
        <v>110</v>
      </c>
      <c r="E102" s="747">
        <v>1128740.8819148962</v>
      </c>
      <c r="F102" s="747">
        <v>57836.012818212504</v>
      </c>
      <c r="G102" s="747">
        <v>1186576.894733109</v>
      </c>
      <c r="H102" s="748">
        <v>0</v>
      </c>
      <c r="I102" s="749" t="s">
        <v>258</v>
      </c>
      <c r="J102" s="750">
        <v>1186576.894733109</v>
      </c>
      <c r="K102" s="735">
        <v>0</v>
      </c>
      <c r="L102" s="735" t="s">
        <v>103</v>
      </c>
      <c r="M102" s="750">
        <v>0</v>
      </c>
      <c r="N102" s="750" t="s">
        <v>103</v>
      </c>
      <c r="O102" s="736">
        <v>0</v>
      </c>
      <c r="P102" s="754">
        <v>0</v>
      </c>
      <c r="Q102" s="752">
        <v>0</v>
      </c>
      <c r="R102" s="9" t="s">
        <v>103</v>
      </c>
      <c r="S102" s="9" t="s">
        <v>103</v>
      </c>
    </row>
    <row r="103" spans="2:19">
      <c r="B103" s="746" t="s">
        <v>411</v>
      </c>
      <c r="C103" s="9" t="s">
        <v>1009</v>
      </c>
      <c r="D103" s="730" t="s">
        <v>110</v>
      </c>
      <c r="E103" s="747">
        <v>-1478748.08954428</v>
      </c>
      <c r="F103" s="747">
        <v>480246.60516360117</v>
      </c>
      <c r="G103" s="747">
        <v>-1260582.4043806782</v>
      </c>
      <c r="H103" s="694">
        <v>2.6248647899369266</v>
      </c>
      <c r="I103" s="749" t="s">
        <v>258</v>
      </c>
      <c r="J103" s="750">
        <v>-1260582.4043806782</v>
      </c>
      <c r="K103" s="735">
        <v>0</v>
      </c>
      <c r="L103" s="735" t="s">
        <v>103</v>
      </c>
      <c r="M103" s="750">
        <v>0</v>
      </c>
      <c r="N103" s="750" t="s">
        <v>103</v>
      </c>
      <c r="O103" s="736">
        <v>0</v>
      </c>
      <c r="P103" s="754">
        <v>0</v>
      </c>
      <c r="Q103" s="752">
        <v>0</v>
      </c>
      <c r="R103" s="9" t="s">
        <v>103</v>
      </c>
      <c r="S103" s="9" t="s">
        <v>103</v>
      </c>
    </row>
    <row r="104" spans="2:19">
      <c r="B104" s="746" t="s">
        <v>417</v>
      </c>
      <c r="C104" s="9" t="s">
        <v>1009</v>
      </c>
      <c r="D104" s="730" t="s">
        <v>110</v>
      </c>
      <c r="E104" s="747">
        <v>1092952.9720831993</v>
      </c>
      <c r="F104" s="747">
        <v>49227.408075656116</v>
      </c>
      <c r="G104" s="747">
        <v>1142180.3801588553</v>
      </c>
      <c r="H104" s="748">
        <v>0</v>
      </c>
      <c r="I104" s="749" t="s">
        <v>258</v>
      </c>
      <c r="J104" s="750">
        <v>1142180.3801588553</v>
      </c>
      <c r="K104" s="735">
        <v>0</v>
      </c>
      <c r="L104" s="735" t="s">
        <v>103</v>
      </c>
      <c r="M104" s="750">
        <v>0</v>
      </c>
      <c r="N104" s="750" t="s">
        <v>103</v>
      </c>
      <c r="O104" s="736">
        <v>0</v>
      </c>
      <c r="P104" s="754">
        <v>0</v>
      </c>
      <c r="Q104" s="752">
        <v>0</v>
      </c>
      <c r="R104" s="9" t="s">
        <v>103</v>
      </c>
      <c r="S104" s="9" t="s">
        <v>103</v>
      </c>
    </row>
    <row r="105" spans="2:19">
      <c r="B105" s="746" t="s">
        <v>418</v>
      </c>
      <c r="C105" s="9" t="s">
        <v>1009</v>
      </c>
      <c r="D105" s="730" t="s">
        <v>110</v>
      </c>
      <c r="E105" s="747">
        <v>672079.47139669571</v>
      </c>
      <c r="F105" s="747">
        <v>35039.122853388522</v>
      </c>
      <c r="G105" s="747">
        <v>707118.59425008437</v>
      </c>
      <c r="H105" s="748">
        <v>0</v>
      </c>
      <c r="I105" s="749" t="s">
        <v>258</v>
      </c>
      <c r="J105" s="750">
        <v>707118.59425008437</v>
      </c>
      <c r="K105" s="735">
        <v>0</v>
      </c>
      <c r="L105" s="735" t="s">
        <v>103</v>
      </c>
      <c r="M105" s="750">
        <v>0</v>
      </c>
      <c r="N105" s="750" t="s">
        <v>103</v>
      </c>
      <c r="O105" s="736">
        <v>0</v>
      </c>
      <c r="P105" s="754">
        <v>0</v>
      </c>
      <c r="Q105" s="752">
        <v>0</v>
      </c>
      <c r="R105" s="9" t="s">
        <v>103</v>
      </c>
      <c r="S105" s="9" t="s">
        <v>103</v>
      </c>
    </row>
    <row r="106" spans="2:19">
      <c r="B106" s="746" t="s">
        <v>419</v>
      </c>
      <c r="C106" s="9" t="s">
        <v>1009</v>
      </c>
      <c r="D106" s="730" t="s">
        <v>110</v>
      </c>
      <c r="E106" s="747">
        <v>-180900.41813137755</v>
      </c>
      <c r="F106" s="747">
        <v>72563.972538333692</v>
      </c>
      <c r="G106" s="747">
        <v>-108336.44559304386</v>
      </c>
      <c r="H106" s="694">
        <v>1.4929784272189961</v>
      </c>
      <c r="I106" s="749" t="s">
        <v>258</v>
      </c>
      <c r="J106" s="750">
        <v>-108336.44559304386</v>
      </c>
      <c r="K106" s="735">
        <v>0</v>
      </c>
      <c r="L106" s="735" t="s">
        <v>103</v>
      </c>
      <c r="M106" s="750">
        <v>0</v>
      </c>
      <c r="N106" s="750" t="s">
        <v>103</v>
      </c>
      <c r="O106" s="736">
        <v>0</v>
      </c>
      <c r="P106" s="754">
        <v>0</v>
      </c>
      <c r="Q106" s="752">
        <v>0</v>
      </c>
      <c r="R106" s="9" t="s">
        <v>103</v>
      </c>
      <c r="S106" s="9" t="s">
        <v>103</v>
      </c>
    </row>
    <row r="107" spans="2:19">
      <c r="B107" s="746" t="s">
        <v>423</v>
      </c>
      <c r="C107" s="9" t="s">
        <v>1009</v>
      </c>
      <c r="D107" s="730" t="s">
        <v>110</v>
      </c>
      <c r="E107" s="747">
        <v>4025220.3311363021</v>
      </c>
      <c r="F107" s="747">
        <v>246918.8655555771</v>
      </c>
      <c r="G107" s="747">
        <v>4272139.1966918781</v>
      </c>
      <c r="H107" s="748">
        <v>0</v>
      </c>
      <c r="I107" s="749" t="s">
        <v>258</v>
      </c>
      <c r="J107" s="750">
        <v>4272139.1966918781</v>
      </c>
      <c r="K107" s="735">
        <v>0</v>
      </c>
      <c r="L107" s="735" t="s">
        <v>103</v>
      </c>
      <c r="M107" s="750">
        <v>0</v>
      </c>
      <c r="N107" s="750" t="s">
        <v>103</v>
      </c>
      <c r="O107" s="736">
        <v>0</v>
      </c>
      <c r="P107" s="754">
        <v>0</v>
      </c>
      <c r="Q107" s="752">
        <v>0</v>
      </c>
      <c r="R107" s="9" t="s">
        <v>103</v>
      </c>
      <c r="S107" s="9" t="s">
        <v>103</v>
      </c>
    </row>
    <row r="108" spans="2:19">
      <c r="B108" s="746" t="s">
        <v>429</v>
      </c>
      <c r="C108" s="9" t="s">
        <v>1009</v>
      </c>
      <c r="D108" s="730" t="s">
        <v>110</v>
      </c>
      <c r="E108" s="747">
        <v>2313804.3227139083</v>
      </c>
      <c r="F108" s="747">
        <v>101818.33085700261</v>
      </c>
      <c r="G108" s="747">
        <v>-184377.34642908865</v>
      </c>
      <c r="H108" s="748">
        <v>1.8108462874728808</v>
      </c>
      <c r="I108" s="749" t="s">
        <v>258</v>
      </c>
      <c r="J108" s="750">
        <v>-184377.34642908865</v>
      </c>
      <c r="K108" s="735">
        <v>0</v>
      </c>
      <c r="L108" s="735" t="s">
        <v>103</v>
      </c>
      <c r="M108" s="750">
        <v>0</v>
      </c>
      <c r="N108" s="750" t="s">
        <v>103</v>
      </c>
      <c r="O108" s="736">
        <v>0</v>
      </c>
      <c r="P108" s="754">
        <v>0</v>
      </c>
      <c r="Q108" s="752">
        <v>0</v>
      </c>
      <c r="R108" s="9" t="s">
        <v>103</v>
      </c>
      <c r="S108" s="9" t="s">
        <v>103</v>
      </c>
    </row>
    <row r="109" spans="2:19">
      <c r="B109" s="746" t="s">
        <v>433</v>
      </c>
      <c r="C109" s="9" t="s">
        <v>1009</v>
      </c>
      <c r="D109" s="730" t="s">
        <v>110</v>
      </c>
      <c r="E109" s="747">
        <v>-895958.09732063871</v>
      </c>
      <c r="F109" s="747">
        <v>121837.40706890951</v>
      </c>
      <c r="G109" s="747">
        <v>-774120.6902517291</v>
      </c>
      <c r="H109" s="694">
        <v>6.3537193451096465</v>
      </c>
      <c r="I109" s="749" t="s">
        <v>258</v>
      </c>
      <c r="J109" s="750">
        <v>-774120.6902517291</v>
      </c>
      <c r="K109" s="735">
        <v>0</v>
      </c>
      <c r="L109" s="735" t="s">
        <v>103</v>
      </c>
      <c r="M109" s="750">
        <v>0</v>
      </c>
      <c r="N109" s="750" t="s">
        <v>103</v>
      </c>
      <c r="O109" s="736">
        <v>0</v>
      </c>
      <c r="P109" s="754">
        <v>0</v>
      </c>
      <c r="Q109" s="752">
        <v>0</v>
      </c>
      <c r="R109" s="9" t="s">
        <v>103</v>
      </c>
      <c r="S109" s="9" t="s">
        <v>103</v>
      </c>
    </row>
    <row r="110" spans="2:19">
      <c r="B110" s="746" t="s">
        <v>438</v>
      </c>
      <c r="C110" s="9" t="s">
        <v>1009</v>
      </c>
      <c r="D110" s="730" t="s">
        <v>110</v>
      </c>
      <c r="E110" s="747">
        <v>-141805.43389276497</v>
      </c>
      <c r="F110" s="747">
        <v>477521.91036432714</v>
      </c>
      <c r="G110" s="747">
        <v>335716.47647156019</v>
      </c>
      <c r="H110" s="694">
        <v>0</v>
      </c>
      <c r="I110" s="749" t="s">
        <v>258</v>
      </c>
      <c r="J110" s="750">
        <v>335716.47647156019</v>
      </c>
      <c r="K110" s="735">
        <v>0</v>
      </c>
      <c r="L110" s="735" t="s">
        <v>103</v>
      </c>
      <c r="M110" s="750">
        <v>0</v>
      </c>
      <c r="N110" s="750" t="s">
        <v>103</v>
      </c>
      <c r="O110" s="736">
        <v>0</v>
      </c>
      <c r="P110" s="754">
        <v>0</v>
      </c>
      <c r="Q110" s="752">
        <v>0</v>
      </c>
      <c r="R110" s="9" t="s">
        <v>103</v>
      </c>
      <c r="S110" s="9" t="s">
        <v>103</v>
      </c>
    </row>
    <row r="111" spans="2:19">
      <c r="B111" s="746" t="s">
        <v>444</v>
      </c>
      <c r="C111" s="9" t="s">
        <v>1009</v>
      </c>
      <c r="D111" s="730" t="s">
        <v>110</v>
      </c>
      <c r="E111" s="747">
        <v>695370.91655577265</v>
      </c>
      <c r="F111" s="747">
        <v>36081.766198666402</v>
      </c>
      <c r="G111" s="747">
        <v>731452.68275443919</v>
      </c>
      <c r="H111" s="748">
        <v>0</v>
      </c>
      <c r="I111" s="749" t="s">
        <v>258</v>
      </c>
      <c r="J111" s="750">
        <v>731452.68275443919</v>
      </c>
      <c r="K111" s="735">
        <v>0</v>
      </c>
      <c r="L111" s="735" t="s">
        <v>103</v>
      </c>
      <c r="M111" s="750">
        <v>0</v>
      </c>
      <c r="N111" s="750" t="s">
        <v>103</v>
      </c>
      <c r="O111" s="736">
        <v>0</v>
      </c>
      <c r="P111" s="754">
        <v>0</v>
      </c>
      <c r="Q111" s="752">
        <v>0</v>
      </c>
      <c r="R111" s="9" t="s">
        <v>103</v>
      </c>
      <c r="S111" s="9" t="s">
        <v>103</v>
      </c>
    </row>
    <row r="112" spans="2:19">
      <c r="B112" s="746" t="s">
        <v>448</v>
      </c>
      <c r="C112" s="9" t="s">
        <v>1009</v>
      </c>
      <c r="D112" s="730" t="s">
        <v>110</v>
      </c>
      <c r="E112" s="747">
        <v>432390.64589517727</v>
      </c>
      <c r="F112" s="747">
        <v>193671.59635661155</v>
      </c>
      <c r="G112" s="747">
        <v>626062.24225178908</v>
      </c>
      <c r="H112" s="748">
        <v>0</v>
      </c>
      <c r="I112" s="749" t="s">
        <v>258</v>
      </c>
      <c r="J112" s="750">
        <v>626062.24225178908</v>
      </c>
      <c r="K112" s="735">
        <v>0</v>
      </c>
      <c r="L112" s="735" t="s">
        <v>103</v>
      </c>
      <c r="M112" s="750">
        <v>0</v>
      </c>
      <c r="N112" s="750" t="s">
        <v>103</v>
      </c>
      <c r="O112" s="736">
        <v>0</v>
      </c>
      <c r="P112" s="754">
        <v>0</v>
      </c>
      <c r="Q112" s="752">
        <v>0</v>
      </c>
      <c r="R112" s="9" t="s">
        <v>103</v>
      </c>
      <c r="S112" s="9" t="s">
        <v>103</v>
      </c>
    </row>
    <row r="113" spans="2:19">
      <c r="B113" s="746" t="s">
        <v>449</v>
      </c>
      <c r="C113" s="9" t="s">
        <v>1009</v>
      </c>
      <c r="D113" s="730" t="s">
        <v>110</v>
      </c>
      <c r="E113" s="747">
        <v>129923.90712410686</v>
      </c>
      <c r="F113" s="747">
        <v>235210.7330458978</v>
      </c>
      <c r="G113" s="747">
        <v>365134.64017000608</v>
      </c>
      <c r="H113" s="748">
        <v>0</v>
      </c>
      <c r="I113" s="749" t="s">
        <v>258</v>
      </c>
      <c r="J113" s="750">
        <v>365134.64017000608</v>
      </c>
      <c r="K113" s="735">
        <v>0</v>
      </c>
      <c r="L113" s="735" t="s">
        <v>103</v>
      </c>
      <c r="M113" s="750">
        <v>0</v>
      </c>
      <c r="N113" s="750" t="s">
        <v>103</v>
      </c>
      <c r="O113" s="736">
        <v>0</v>
      </c>
      <c r="P113" s="754">
        <v>0</v>
      </c>
      <c r="Q113" s="752">
        <v>0</v>
      </c>
      <c r="R113" s="9" t="s">
        <v>103</v>
      </c>
      <c r="S113" s="9" t="s">
        <v>103</v>
      </c>
    </row>
    <row r="114" spans="2:19">
      <c r="B114" s="746" t="s">
        <v>456</v>
      </c>
      <c r="C114" s="9" t="s">
        <v>1009</v>
      </c>
      <c r="D114" s="730" t="s">
        <v>110</v>
      </c>
      <c r="E114" s="747">
        <v>165047.97700038838</v>
      </c>
      <c r="F114" s="747">
        <v>11421.088190933144</v>
      </c>
      <c r="G114" s="747">
        <v>176469.06519132151</v>
      </c>
      <c r="H114" s="748">
        <v>0</v>
      </c>
      <c r="I114" s="749" t="s">
        <v>258</v>
      </c>
      <c r="J114" s="750">
        <v>176469.06519132151</v>
      </c>
      <c r="K114" s="735">
        <v>0</v>
      </c>
      <c r="L114" s="735" t="s">
        <v>103</v>
      </c>
      <c r="M114" s="750">
        <v>0</v>
      </c>
      <c r="N114" s="750" t="s">
        <v>103</v>
      </c>
      <c r="O114" s="736">
        <v>0</v>
      </c>
      <c r="P114" s="754">
        <v>0</v>
      </c>
      <c r="Q114" s="752">
        <v>0</v>
      </c>
      <c r="R114" s="9" t="s">
        <v>103</v>
      </c>
      <c r="S114" s="9" t="s">
        <v>103</v>
      </c>
    </row>
    <row r="115" spans="2:19">
      <c r="B115" s="746" t="s">
        <v>457</v>
      </c>
      <c r="C115" s="9" t="s">
        <v>1009</v>
      </c>
      <c r="D115" s="730" t="s">
        <v>110</v>
      </c>
      <c r="E115" s="747">
        <v>5015274.6973323217</v>
      </c>
      <c r="F115" s="747">
        <v>275893.84303883929</v>
      </c>
      <c r="G115" s="747">
        <v>-1088831.4596288381</v>
      </c>
      <c r="H115" s="748">
        <v>3.9465594724256188</v>
      </c>
      <c r="I115" s="749" t="s">
        <v>258</v>
      </c>
      <c r="J115" s="750">
        <v>-1088831.4596288381</v>
      </c>
      <c r="K115" s="735">
        <v>0</v>
      </c>
      <c r="L115" s="735" t="s">
        <v>103</v>
      </c>
      <c r="M115" s="750">
        <v>0</v>
      </c>
      <c r="N115" s="750" t="s">
        <v>103</v>
      </c>
      <c r="O115" s="736">
        <v>0</v>
      </c>
      <c r="P115" s="754">
        <v>0</v>
      </c>
      <c r="Q115" s="752">
        <v>0</v>
      </c>
      <c r="R115" s="9" t="s">
        <v>103</v>
      </c>
      <c r="S115" s="9" t="s">
        <v>103</v>
      </c>
    </row>
    <row r="116" spans="2:19">
      <c r="B116" s="746" t="s">
        <v>469</v>
      </c>
      <c r="C116" s="9" t="s">
        <v>1009</v>
      </c>
      <c r="D116" s="730" t="s">
        <v>110</v>
      </c>
      <c r="E116" s="747">
        <v>31472476.405541185</v>
      </c>
      <c r="F116" s="747">
        <v>2331628.3778865417</v>
      </c>
      <c r="G116" s="747">
        <v>30420047.333427712</v>
      </c>
      <c r="H116" s="748">
        <v>0</v>
      </c>
      <c r="I116" s="755" t="s">
        <v>258</v>
      </c>
      <c r="J116" s="756">
        <v>30420047.333427712</v>
      </c>
      <c r="K116" s="735">
        <v>0</v>
      </c>
      <c r="L116" s="735" t="s">
        <v>103</v>
      </c>
      <c r="M116" s="756">
        <v>0</v>
      </c>
      <c r="N116" s="756" t="s">
        <v>103</v>
      </c>
      <c r="O116" s="736">
        <v>0</v>
      </c>
      <c r="P116" s="754">
        <v>0</v>
      </c>
      <c r="Q116" s="752">
        <v>0</v>
      </c>
      <c r="R116" s="9" t="s">
        <v>103</v>
      </c>
      <c r="S116" s="9" t="s">
        <v>103</v>
      </c>
    </row>
    <row r="117" spans="2:19" s="101" customFormat="1">
      <c r="B117" s="738" t="s">
        <v>1247</v>
      </c>
      <c r="C117" s="738"/>
      <c r="D117" s="738"/>
      <c r="E117" s="739">
        <v>107922585.2038222</v>
      </c>
      <c r="F117" s="739">
        <v>14228508.837621871</v>
      </c>
      <c r="G117" s="739">
        <v>103547040.17154405</v>
      </c>
      <c r="H117" s="740">
        <v>0</v>
      </c>
      <c r="I117" s="741"/>
      <c r="J117" s="742">
        <v>103547040.17154405</v>
      </c>
      <c r="K117" s="742">
        <v>0</v>
      </c>
      <c r="L117" s="741"/>
      <c r="M117" s="742">
        <v>0</v>
      </c>
      <c r="N117" s="742">
        <v>0</v>
      </c>
      <c r="O117" s="743">
        <v>0</v>
      </c>
      <c r="P117" s="742">
        <v>0</v>
      </c>
      <c r="Q117" s="744">
        <v>0</v>
      </c>
      <c r="R117" s="741" t="s">
        <v>103</v>
      </c>
      <c r="S117" s="741" t="s">
        <v>103</v>
      </c>
    </row>
    <row r="118" spans="2:19" s="97" customFormat="1">
      <c r="B118" s="723" t="s">
        <v>502</v>
      </c>
      <c r="C118" s="723"/>
      <c r="D118" s="723"/>
      <c r="E118" s="724"/>
      <c r="F118" s="724"/>
      <c r="G118" s="724"/>
      <c r="H118" s="725">
        <v>0</v>
      </c>
      <c r="I118" s="726"/>
      <c r="J118" s="727"/>
      <c r="K118" s="726"/>
      <c r="L118" s="726"/>
      <c r="M118" s="727">
        <v>0</v>
      </c>
      <c r="N118" s="727" t="s">
        <v>103</v>
      </c>
      <c r="O118" s="728"/>
      <c r="P118" s="727"/>
      <c r="Q118" s="726"/>
      <c r="R118" s="726"/>
      <c r="S118" s="726"/>
    </row>
    <row r="119" spans="2:19">
      <c r="B119" s="746" t="s">
        <v>503</v>
      </c>
      <c r="C119" s="9" t="s">
        <v>1009</v>
      </c>
      <c r="D119" s="730" t="s">
        <v>110</v>
      </c>
      <c r="E119" s="747">
        <v>6861.732486617535</v>
      </c>
      <c r="F119" s="747">
        <v>105.38472495232477</v>
      </c>
      <c r="G119" s="747">
        <v>6967.11721156986</v>
      </c>
      <c r="H119" s="748">
        <v>0</v>
      </c>
      <c r="I119" s="755" t="s">
        <v>258</v>
      </c>
      <c r="J119" s="756">
        <v>6967.11721156986</v>
      </c>
      <c r="K119" s="735">
        <v>0</v>
      </c>
      <c r="L119" s="735" t="s">
        <v>103</v>
      </c>
      <c r="M119" s="756">
        <v>0</v>
      </c>
      <c r="N119" s="756" t="s">
        <v>103</v>
      </c>
      <c r="O119" s="736">
        <v>0</v>
      </c>
      <c r="P119" s="754">
        <v>0</v>
      </c>
      <c r="Q119" s="752">
        <v>0</v>
      </c>
      <c r="R119" s="9" t="s">
        <v>103</v>
      </c>
      <c r="S119" s="9" t="s">
        <v>103</v>
      </c>
    </row>
    <row r="120" spans="2:19" s="101" customFormat="1">
      <c r="B120" s="738" t="s">
        <v>1336</v>
      </c>
      <c r="C120" s="738"/>
      <c r="D120" s="738"/>
      <c r="E120" s="739">
        <v>6861.732486617535</v>
      </c>
      <c r="F120" s="739">
        <v>105.38472495232477</v>
      </c>
      <c r="G120" s="739">
        <v>6967.11721156986</v>
      </c>
      <c r="H120" s="740">
        <v>0</v>
      </c>
      <c r="I120" s="741"/>
      <c r="J120" s="742">
        <v>6967.11721156986</v>
      </c>
      <c r="K120" s="742">
        <v>0</v>
      </c>
      <c r="L120" s="741"/>
      <c r="M120" s="742">
        <v>0</v>
      </c>
      <c r="N120" s="742">
        <v>0</v>
      </c>
      <c r="O120" s="743">
        <v>0</v>
      </c>
      <c r="P120" s="742">
        <v>0</v>
      </c>
      <c r="Q120" s="744">
        <v>0</v>
      </c>
      <c r="R120" s="741" t="s">
        <v>103</v>
      </c>
      <c r="S120" s="741" t="s">
        <v>103</v>
      </c>
    </row>
    <row r="121" spans="2:19" s="97" customFormat="1">
      <c r="B121" s="723" t="s">
        <v>504</v>
      </c>
      <c r="C121" s="723"/>
      <c r="D121" s="723"/>
      <c r="E121" s="724"/>
      <c r="F121" s="724"/>
      <c r="G121" s="724"/>
      <c r="H121" s="725">
        <v>0</v>
      </c>
      <c r="I121" s="726"/>
      <c r="J121" s="727"/>
      <c r="K121" s="726"/>
      <c r="L121" s="726"/>
      <c r="M121" s="727">
        <v>0</v>
      </c>
      <c r="N121" s="727" t="s">
        <v>103</v>
      </c>
      <c r="O121" s="728"/>
      <c r="P121" s="727"/>
      <c r="Q121" s="726"/>
      <c r="R121" s="726"/>
      <c r="S121" s="726"/>
    </row>
    <row r="122" spans="2:19">
      <c r="B122" s="746" t="s">
        <v>505</v>
      </c>
      <c r="C122" s="9" t="s">
        <v>1009</v>
      </c>
      <c r="D122" s="730" t="s">
        <v>110</v>
      </c>
      <c r="E122" s="747">
        <v>-197241.34222679189</v>
      </c>
      <c r="F122" s="747">
        <v>32560.713190633585</v>
      </c>
      <c r="G122" s="747">
        <v>223966.58096384164</v>
      </c>
      <c r="H122" s="694">
        <v>0</v>
      </c>
      <c r="I122" s="749" t="s">
        <v>258</v>
      </c>
      <c r="J122" s="750">
        <v>223966.58096384164</v>
      </c>
      <c r="K122" s="735">
        <v>0</v>
      </c>
      <c r="L122" s="735" t="s">
        <v>103</v>
      </c>
      <c r="M122" s="750">
        <v>0</v>
      </c>
      <c r="N122" s="750" t="s">
        <v>103</v>
      </c>
      <c r="O122" s="736">
        <v>0</v>
      </c>
      <c r="P122" s="751">
        <v>0</v>
      </c>
      <c r="Q122" s="752">
        <v>0</v>
      </c>
      <c r="R122" s="9" t="s">
        <v>103</v>
      </c>
      <c r="S122" s="9" t="s">
        <v>103</v>
      </c>
    </row>
    <row r="123" spans="2:19">
      <c r="B123" s="746" t="s">
        <v>510</v>
      </c>
      <c r="C123" s="9" t="s">
        <v>1009</v>
      </c>
      <c r="D123" s="730" t="s">
        <v>110</v>
      </c>
      <c r="E123" s="747">
        <v>172736.53994863419</v>
      </c>
      <c r="F123" s="747">
        <v>24932.946085770025</v>
      </c>
      <c r="G123" s="747">
        <v>197669.48603440414</v>
      </c>
      <c r="H123" s="748">
        <v>0</v>
      </c>
      <c r="I123" s="755" t="s">
        <v>258</v>
      </c>
      <c r="J123" s="756">
        <v>197669.48603440414</v>
      </c>
      <c r="K123" s="735">
        <v>0</v>
      </c>
      <c r="L123" s="735" t="s">
        <v>103</v>
      </c>
      <c r="M123" s="756">
        <v>0</v>
      </c>
      <c r="N123" s="756" t="s">
        <v>103</v>
      </c>
      <c r="O123" s="736">
        <v>0</v>
      </c>
      <c r="P123" s="754">
        <v>0</v>
      </c>
      <c r="Q123" s="752">
        <v>0</v>
      </c>
      <c r="R123" s="9" t="s">
        <v>103</v>
      </c>
      <c r="S123" s="9" t="s">
        <v>103</v>
      </c>
    </row>
    <row r="124" spans="2:19" s="101" customFormat="1">
      <c r="B124" s="738" t="s">
        <v>1339</v>
      </c>
      <c r="C124" s="738"/>
      <c r="D124" s="738"/>
      <c r="E124" s="739">
        <v>-24504.802278157702</v>
      </c>
      <c r="F124" s="739">
        <v>57493.65927640361</v>
      </c>
      <c r="G124" s="739">
        <v>421636.06699824578</v>
      </c>
      <c r="H124" s="740">
        <v>0</v>
      </c>
      <c r="I124" s="741"/>
      <c r="J124" s="742">
        <v>421636.06699824578</v>
      </c>
      <c r="K124" s="742">
        <v>0</v>
      </c>
      <c r="L124" s="741"/>
      <c r="M124" s="742">
        <v>0</v>
      </c>
      <c r="N124" s="742">
        <v>0</v>
      </c>
      <c r="O124" s="743">
        <v>0</v>
      </c>
      <c r="P124" s="742">
        <v>0</v>
      </c>
      <c r="Q124" s="744">
        <v>0</v>
      </c>
      <c r="R124" s="741" t="s">
        <v>103</v>
      </c>
      <c r="S124" s="741" t="s">
        <v>103</v>
      </c>
    </row>
    <row r="125" spans="2:19" s="97" customFormat="1">
      <c r="B125" s="723" t="s">
        <v>514</v>
      </c>
      <c r="C125" s="723"/>
      <c r="D125" s="723"/>
      <c r="E125" s="724"/>
      <c r="F125" s="724"/>
      <c r="G125" s="724"/>
      <c r="H125" s="725">
        <v>0</v>
      </c>
      <c r="I125" s="726"/>
      <c r="J125" s="727"/>
      <c r="K125" s="726"/>
      <c r="L125" s="726"/>
      <c r="M125" s="727">
        <v>0</v>
      </c>
      <c r="N125" s="727" t="s">
        <v>103</v>
      </c>
      <c r="O125" s="728"/>
      <c r="P125" s="727"/>
      <c r="Q125" s="726"/>
      <c r="R125" s="726"/>
      <c r="S125" s="726"/>
    </row>
    <row r="126" spans="2:19">
      <c r="B126" s="746" t="s">
        <v>515</v>
      </c>
      <c r="C126" s="9" t="s">
        <v>1009</v>
      </c>
      <c r="D126" s="730" t="s">
        <v>110</v>
      </c>
      <c r="E126" s="747">
        <v>46977.534992055516</v>
      </c>
      <c r="F126" s="747">
        <v>42501.118109820149</v>
      </c>
      <c r="G126" s="747">
        <v>89478.65310187565</v>
      </c>
      <c r="H126" s="748">
        <v>0</v>
      </c>
      <c r="I126" s="749" t="s">
        <v>258</v>
      </c>
      <c r="J126" s="750">
        <v>89478.65310187565</v>
      </c>
      <c r="K126" s="735">
        <v>0</v>
      </c>
      <c r="L126" s="735" t="s">
        <v>103</v>
      </c>
      <c r="M126" s="750">
        <v>0</v>
      </c>
      <c r="N126" s="750" t="s">
        <v>103</v>
      </c>
      <c r="O126" s="736">
        <v>0</v>
      </c>
      <c r="P126" s="754">
        <v>0</v>
      </c>
      <c r="Q126" s="752">
        <v>0</v>
      </c>
      <c r="R126" s="9" t="s">
        <v>103</v>
      </c>
      <c r="S126" s="9" t="s">
        <v>103</v>
      </c>
    </row>
    <row r="127" spans="2:19">
      <c r="B127" s="746" t="s">
        <v>516</v>
      </c>
      <c r="C127" s="9" t="s">
        <v>1009</v>
      </c>
      <c r="D127" s="730" t="s">
        <v>110</v>
      </c>
      <c r="E127" s="747">
        <v>2392.8896782709721</v>
      </c>
      <c r="F127" s="747">
        <v>114.15120233369467</v>
      </c>
      <c r="G127" s="747">
        <v>2507.0408806046667</v>
      </c>
      <c r="H127" s="748">
        <v>0</v>
      </c>
      <c r="I127" s="749" t="s">
        <v>258</v>
      </c>
      <c r="J127" s="750">
        <v>2507.0408806046667</v>
      </c>
      <c r="K127" s="735">
        <v>0</v>
      </c>
      <c r="L127" s="735" t="s">
        <v>103</v>
      </c>
      <c r="M127" s="750">
        <v>0</v>
      </c>
      <c r="N127" s="750" t="s">
        <v>103</v>
      </c>
      <c r="O127" s="736">
        <v>0</v>
      </c>
      <c r="P127" s="754">
        <v>0</v>
      </c>
      <c r="Q127" s="752">
        <v>0</v>
      </c>
      <c r="R127" s="9" t="s">
        <v>103</v>
      </c>
      <c r="S127" s="9" t="s">
        <v>103</v>
      </c>
    </row>
    <row r="128" spans="2:19">
      <c r="B128" s="746" t="s">
        <v>517</v>
      </c>
      <c r="C128" s="9" t="s">
        <v>1009</v>
      </c>
      <c r="D128" s="730" t="s">
        <v>110</v>
      </c>
      <c r="E128" s="747">
        <v>-102818.34354124687</v>
      </c>
      <c r="F128" s="747">
        <v>66009.130403740288</v>
      </c>
      <c r="G128" s="747">
        <v>-36809.213137506784</v>
      </c>
      <c r="H128" s="694">
        <v>0.55763820720506052</v>
      </c>
      <c r="I128" s="749" t="s">
        <v>258</v>
      </c>
      <c r="J128" s="750">
        <v>-36809.213137506784</v>
      </c>
      <c r="K128" s="735">
        <v>0</v>
      </c>
      <c r="L128" s="735" t="s">
        <v>103</v>
      </c>
      <c r="M128" s="750">
        <v>0</v>
      </c>
      <c r="N128" s="750" t="s">
        <v>103</v>
      </c>
      <c r="O128" s="736">
        <v>0</v>
      </c>
      <c r="P128" s="754">
        <v>0</v>
      </c>
      <c r="Q128" s="752">
        <v>0</v>
      </c>
      <c r="R128" s="9" t="s">
        <v>103</v>
      </c>
      <c r="S128" s="9" t="s">
        <v>103</v>
      </c>
    </row>
    <row r="129" spans="2:19">
      <c r="B129" s="746" t="s">
        <v>521</v>
      </c>
      <c r="C129" s="9" t="s">
        <v>1009</v>
      </c>
      <c r="D129" s="730" t="s">
        <v>110</v>
      </c>
      <c r="E129" s="747">
        <v>1726842.2915227308</v>
      </c>
      <c r="F129" s="747">
        <v>192822.64633976272</v>
      </c>
      <c r="G129" s="747">
        <v>1919514.847862493</v>
      </c>
      <c r="H129" s="748">
        <v>0</v>
      </c>
      <c r="I129" s="749" t="s">
        <v>258</v>
      </c>
      <c r="J129" s="750">
        <v>1919514.847862493</v>
      </c>
      <c r="K129" s="735">
        <v>0</v>
      </c>
      <c r="L129" s="735" t="s">
        <v>103</v>
      </c>
      <c r="M129" s="750">
        <v>0</v>
      </c>
      <c r="N129" s="750" t="s">
        <v>103</v>
      </c>
      <c r="O129" s="736">
        <v>0</v>
      </c>
      <c r="P129" s="754">
        <v>0</v>
      </c>
      <c r="Q129" s="752">
        <v>0</v>
      </c>
      <c r="R129" s="9" t="s">
        <v>103</v>
      </c>
      <c r="S129" s="9" t="s">
        <v>103</v>
      </c>
    </row>
    <row r="130" spans="2:19">
      <c r="B130" s="746" t="s">
        <v>525</v>
      </c>
      <c r="C130" s="9" t="s">
        <v>1009</v>
      </c>
      <c r="D130" s="730" t="s">
        <v>110</v>
      </c>
      <c r="E130" s="747">
        <v>1363979.9970617304</v>
      </c>
      <c r="F130" s="747">
        <v>262737.65230976528</v>
      </c>
      <c r="G130" s="747">
        <v>1626717.6493714948</v>
      </c>
      <c r="H130" s="748">
        <v>0</v>
      </c>
      <c r="I130" s="749" t="s">
        <v>258</v>
      </c>
      <c r="J130" s="750">
        <v>1626717.6493714948</v>
      </c>
      <c r="K130" s="735">
        <v>0</v>
      </c>
      <c r="L130" s="735" t="s">
        <v>103</v>
      </c>
      <c r="M130" s="750">
        <v>0</v>
      </c>
      <c r="N130" s="750" t="s">
        <v>103</v>
      </c>
      <c r="O130" s="736">
        <v>0</v>
      </c>
      <c r="P130" s="754">
        <v>0</v>
      </c>
      <c r="Q130" s="752">
        <v>0</v>
      </c>
      <c r="R130" s="9" t="s">
        <v>103</v>
      </c>
      <c r="S130" s="9" t="s">
        <v>103</v>
      </c>
    </row>
    <row r="131" spans="2:19">
      <c r="B131" s="746" t="s">
        <v>526</v>
      </c>
      <c r="C131" s="9" t="s">
        <v>1009</v>
      </c>
      <c r="D131" s="730" t="s">
        <v>110</v>
      </c>
      <c r="E131" s="747">
        <v>1619589.1565059482</v>
      </c>
      <c r="F131" s="747">
        <v>78006.574851960293</v>
      </c>
      <c r="G131" s="747">
        <v>1697595.7313579088</v>
      </c>
      <c r="H131" s="748">
        <v>0</v>
      </c>
      <c r="I131" s="749" t="s">
        <v>258</v>
      </c>
      <c r="J131" s="750">
        <v>1697595.7313579088</v>
      </c>
      <c r="K131" s="735">
        <v>0</v>
      </c>
      <c r="L131" s="735" t="s">
        <v>103</v>
      </c>
      <c r="M131" s="750">
        <v>0</v>
      </c>
      <c r="N131" s="750" t="s">
        <v>103</v>
      </c>
      <c r="O131" s="736">
        <v>0</v>
      </c>
      <c r="P131" s="754">
        <v>0</v>
      </c>
      <c r="Q131" s="752">
        <v>0</v>
      </c>
      <c r="R131" s="9" t="s">
        <v>103</v>
      </c>
      <c r="S131" s="9" t="s">
        <v>103</v>
      </c>
    </row>
    <row r="132" spans="2:19">
      <c r="B132" s="746" t="s">
        <v>527</v>
      </c>
      <c r="C132" s="9" t="s">
        <v>1009</v>
      </c>
      <c r="D132" s="730" t="s">
        <v>110</v>
      </c>
      <c r="E132" s="747">
        <v>708643.80598386552</v>
      </c>
      <c r="F132" s="747">
        <v>87738.703431824499</v>
      </c>
      <c r="G132" s="747">
        <v>796382.50941569009</v>
      </c>
      <c r="H132" s="748">
        <v>0</v>
      </c>
      <c r="I132" s="749" t="s">
        <v>258</v>
      </c>
      <c r="J132" s="750">
        <v>796382.50941569009</v>
      </c>
      <c r="K132" s="735">
        <v>0</v>
      </c>
      <c r="L132" s="735" t="s">
        <v>103</v>
      </c>
      <c r="M132" s="750">
        <v>0</v>
      </c>
      <c r="N132" s="750" t="s">
        <v>103</v>
      </c>
      <c r="O132" s="736">
        <v>0</v>
      </c>
      <c r="P132" s="754">
        <v>0</v>
      </c>
      <c r="Q132" s="752">
        <v>0</v>
      </c>
      <c r="R132" s="9" t="s">
        <v>103</v>
      </c>
      <c r="S132" s="9" t="s">
        <v>103</v>
      </c>
    </row>
    <row r="133" spans="2:19">
      <c r="B133" s="746" t="s">
        <v>530</v>
      </c>
      <c r="C133" s="9" t="s">
        <v>1009</v>
      </c>
      <c r="D133" s="730" t="s">
        <v>110</v>
      </c>
      <c r="E133" s="747">
        <v>3774801.3613054371</v>
      </c>
      <c r="F133" s="747">
        <v>263397.64527020231</v>
      </c>
      <c r="G133" s="747">
        <v>4130359.1965756416</v>
      </c>
      <c r="H133" s="748">
        <v>0</v>
      </c>
      <c r="I133" s="749" t="s">
        <v>258</v>
      </c>
      <c r="J133" s="750">
        <v>4130359.1965756416</v>
      </c>
      <c r="K133" s="735">
        <v>0</v>
      </c>
      <c r="L133" s="735" t="s">
        <v>103</v>
      </c>
      <c r="M133" s="750">
        <v>0</v>
      </c>
      <c r="N133" s="750" t="s">
        <v>103</v>
      </c>
      <c r="O133" s="736">
        <v>0</v>
      </c>
      <c r="P133" s="754">
        <v>0</v>
      </c>
      <c r="Q133" s="752">
        <v>0</v>
      </c>
      <c r="R133" s="9" t="s">
        <v>103</v>
      </c>
      <c r="S133" s="9" t="s">
        <v>103</v>
      </c>
    </row>
    <row r="134" spans="2:19">
      <c r="B134" s="746" t="s">
        <v>540</v>
      </c>
      <c r="C134" s="9" t="s">
        <v>1009</v>
      </c>
      <c r="D134" s="730" t="s">
        <v>110</v>
      </c>
      <c r="E134" s="747">
        <v>3053180.4056267259</v>
      </c>
      <c r="F134" s="747">
        <v>391168.9428161417</v>
      </c>
      <c r="G134" s="747">
        <v>3444349.3484428688</v>
      </c>
      <c r="H134" s="748">
        <v>0</v>
      </c>
      <c r="I134" s="749" t="s">
        <v>258</v>
      </c>
      <c r="J134" s="750">
        <v>3444349.3484428688</v>
      </c>
      <c r="K134" s="735">
        <v>0</v>
      </c>
      <c r="L134" s="735" t="s">
        <v>103</v>
      </c>
      <c r="M134" s="750">
        <v>0</v>
      </c>
      <c r="N134" s="750" t="s">
        <v>103</v>
      </c>
      <c r="O134" s="736">
        <v>0</v>
      </c>
      <c r="P134" s="754">
        <v>0</v>
      </c>
      <c r="Q134" s="752">
        <v>0</v>
      </c>
      <c r="R134" s="9" t="s">
        <v>103</v>
      </c>
      <c r="S134" s="9" t="s">
        <v>103</v>
      </c>
    </row>
    <row r="135" spans="2:19">
      <c r="B135" s="746" t="s">
        <v>552</v>
      </c>
      <c r="C135" s="9" t="s">
        <v>1009</v>
      </c>
      <c r="D135" s="730" t="s">
        <v>110</v>
      </c>
      <c r="E135" s="747">
        <v>-761707.84857804654</v>
      </c>
      <c r="F135" s="747">
        <v>376456.71410611866</v>
      </c>
      <c r="G135" s="747">
        <v>-385251.13447192649</v>
      </c>
      <c r="H135" s="694">
        <v>1.0233610400247206</v>
      </c>
      <c r="I135" s="749" t="s">
        <v>258</v>
      </c>
      <c r="J135" s="750">
        <v>-385251.13447192649</v>
      </c>
      <c r="K135" s="735">
        <v>0</v>
      </c>
      <c r="L135" s="735" t="s">
        <v>103</v>
      </c>
      <c r="M135" s="750">
        <v>0</v>
      </c>
      <c r="N135" s="750" t="s">
        <v>103</v>
      </c>
      <c r="O135" s="736">
        <v>0</v>
      </c>
      <c r="P135" s="754">
        <v>0</v>
      </c>
      <c r="Q135" s="752">
        <v>0</v>
      </c>
      <c r="R135" s="9" t="s">
        <v>103</v>
      </c>
      <c r="S135" s="9" t="s">
        <v>103</v>
      </c>
    </row>
    <row r="136" spans="2:19">
      <c r="B136" s="746" t="s">
        <v>561</v>
      </c>
      <c r="C136" s="9" t="s">
        <v>1009</v>
      </c>
      <c r="D136" s="730" t="s">
        <v>110</v>
      </c>
      <c r="E136" s="747">
        <v>1586319.0578296594</v>
      </c>
      <c r="F136" s="747">
        <v>82947.948466120419</v>
      </c>
      <c r="G136" s="747">
        <v>1669267.00629578</v>
      </c>
      <c r="H136" s="748">
        <v>0</v>
      </c>
      <c r="I136" s="749" t="s">
        <v>258</v>
      </c>
      <c r="J136" s="750">
        <v>1669267.00629578</v>
      </c>
      <c r="K136" s="735">
        <v>0</v>
      </c>
      <c r="L136" s="735" t="s">
        <v>103</v>
      </c>
      <c r="M136" s="750">
        <v>0</v>
      </c>
      <c r="N136" s="750" t="s">
        <v>103</v>
      </c>
      <c r="O136" s="736">
        <v>0</v>
      </c>
      <c r="P136" s="754">
        <v>0</v>
      </c>
      <c r="Q136" s="752">
        <v>0</v>
      </c>
      <c r="R136" s="9" t="s">
        <v>103</v>
      </c>
      <c r="S136" s="9" t="s">
        <v>103</v>
      </c>
    </row>
    <row r="137" spans="2:19">
      <c r="B137" s="746" t="s">
        <v>562</v>
      </c>
      <c r="C137" s="9" t="s">
        <v>1009</v>
      </c>
      <c r="D137" s="730" t="s">
        <v>110</v>
      </c>
      <c r="E137" s="747">
        <v>493531.59802541829</v>
      </c>
      <c r="F137" s="747">
        <v>132505.52191902851</v>
      </c>
      <c r="G137" s="747">
        <v>626037.11994444637</v>
      </c>
      <c r="H137" s="748">
        <v>0</v>
      </c>
      <c r="I137" s="749" t="s">
        <v>258</v>
      </c>
      <c r="J137" s="750">
        <v>626037.11994444637</v>
      </c>
      <c r="K137" s="735">
        <v>0</v>
      </c>
      <c r="L137" s="735" t="s">
        <v>103</v>
      </c>
      <c r="M137" s="750">
        <v>0</v>
      </c>
      <c r="N137" s="750" t="s">
        <v>103</v>
      </c>
      <c r="O137" s="736">
        <v>0</v>
      </c>
      <c r="P137" s="754">
        <v>0</v>
      </c>
      <c r="Q137" s="752">
        <v>0</v>
      </c>
      <c r="R137" s="9" t="s">
        <v>103</v>
      </c>
      <c r="S137" s="9" t="s">
        <v>103</v>
      </c>
    </row>
    <row r="138" spans="2:19">
      <c r="B138" s="746" t="s">
        <v>567</v>
      </c>
      <c r="C138" s="9" t="s">
        <v>1009</v>
      </c>
      <c r="D138" s="730" t="s">
        <v>110</v>
      </c>
      <c r="E138" s="747">
        <v>62590.067679505679</v>
      </c>
      <c r="F138" s="747">
        <v>17878.952642864337</v>
      </c>
      <c r="G138" s="747">
        <v>80469.020322370023</v>
      </c>
      <c r="H138" s="748">
        <v>0</v>
      </c>
      <c r="I138" s="749" t="s">
        <v>258</v>
      </c>
      <c r="J138" s="750">
        <v>80469.020322370023</v>
      </c>
      <c r="K138" s="735">
        <v>0</v>
      </c>
      <c r="L138" s="735" t="s">
        <v>103</v>
      </c>
      <c r="M138" s="750">
        <v>0</v>
      </c>
      <c r="N138" s="750" t="s">
        <v>103</v>
      </c>
      <c r="O138" s="736">
        <v>0</v>
      </c>
      <c r="P138" s="754">
        <v>0</v>
      </c>
      <c r="Q138" s="752">
        <v>0</v>
      </c>
      <c r="R138" s="9" t="s">
        <v>103</v>
      </c>
      <c r="S138" s="9" t="s">
        <v>103</v>
      </c>
    </row>
    <row r="139" spans="2:19">
      <c r="B139" s="746" t="s">
        <v>571</v>
      </c>
      <c r="C139" s="9" t="s">
        <v>1009</v>
      </c>
      <c r="D139" s="730" t="s">
        <v>110</v>
      </c>
      <c r="E139" s="747">
        <v>2088705.46932801</v>
      </c>
      <c r="F139" s="747">
        <v>79680.452786416514</v>
      </c>
      <c r="G139" s="747">
        <v>1684447.2421144254</v>
      </c>
      <c r="H139" s="748">
        <v>0</v>
      </c>
      <c r="I139" s="749" t="s">
        <v>258</v>
      </c>
      <c r="J139" s="750">
        <v>1684447.2421144254</v>
      </c>
      <c r="K139" s="735">
        <v>0</v>
      </c>
      <c r="L139" s="735" t="s">
        <v>103</v>
      </c>
      <c r="M139" s="750">
        <v>0</v>
      </c>
      <c r="N139" s="750" t="s">
        <v>103</v>
      </c>
      <c r="O139" s="736">
        <v>0</v>
      </c>
      <c r="P139" s="754">
        <v>0</v>
      </c>
      <c r="Q139" s="752">
        <v>0</v>
      </c>
      <c r="R139" s="9" t="s">
        <v>103</v>
      </c>
      <c r="S139" s="9" t="s">
        <v>103</v>
      </c>
    </row>
    <row r="140" spans="2:19">
      <c r="B140" s="746" t="s">
        <v>578</v>
      </c>
      <c r="C140" s="9" t="s">
        <v>1009</v>
      </c>
      <c r="D140" s="730" t="s">
        <v>110</v>
      </c>
      <c r="E140" s="747">
        <v>126545.32081026811</v>
      </c>
      <c r="F140" s="747">
        <v>0</v>
      </c>
      <c r="G140" s="747">
        <v>126545.32081026811</v>
      </c>
      <c r="H140" s="748">
        <v>0</v>
      </c>
      <c r="I140" s="749" t="s">
        <v>258</v>
      </c>
      <c r="J140" s="750">
        <v>126545.32081026811</v>
      </c>
      <c r="K140" s="735">
        <v>0</v>
      </c>
      <c r="L140" s="735" t="s">
        <v>103</v>
      </c>
      <c r="M140" s="750">
        <v>0</v>
      </c>
      <c r="N140" s="750" t="s">
        <v>103</v>
      </c>
      <c r="O140" s="736">
        <v>0</v>
      </c>
      <c r="P140" s="754">
        <v>0</v>
      </c>
      <c r="Q140" s="752">
        <v>0</v>
      </c>
      <c r="R140" s="9" t="s">
        <v>103</v>
      </c>
      <c r="S140" s="9" t="s">
        <v>103</v>
      </c>
    </row>
    <row r="141" spans="2:19">
      <c r="B141" s="746" t="s">
        <v>579</v>
      </c>
      <c r="C141" s="9" t="s">
        <v>1009</v>
      </c>
      <c r="D141" s="730" t="s">
        <v>110</v>
      </c>
      <c r="E141" s="747">
        <v>52550.430500391521</v>
      </c>
      <c r="F141" s="747">
        <v>7981.9058232296775</v>
      </c>
      <c r="G141" s="747">
        <v>60532.336323621203</v>
      </c>
      <c r="H141" s="748">
        <v>0</v>
      </c>
      <c r="I141" s="749" t="s">
        <v>258</v>
      </c>
      <c r="J141" s="750">
        <v>60532.336323621203</v>
      </c>
      <c r="K141" s="735">
        <v>0</v>
      </c>
      <c r="L141" s="735" t="s">
        <v>103</v>
      </c>
      <c r="M141" s="750">
        <v>0</v>
      </c>
      <c r="N141" s="750" t="s">
        <v>103</v>
      </c>
      <c r="O141" s="736">
        <v>0</v>
      </c>
      <c r="P141" s="754">
        <v>0</v>
      </c>
      <c r="Q141" s="752">
        <v>0</v>
      </c>
      <c r="R141" s="9" t="s">
        <v>103</v>
      </c>
      <c r="S141" s="9" t="s">
        <v>103</v>
      </c>
    </row>
    <row r="142" spans="2:19">
      <c r="B142" s="746" t="s">
        <v>580</v>
      </c>
      <c r="C142" s="9" t="s">
        <v>1009</v>
      </c>
      <c r="D142" s="730" t="s">
        <v>110</v>
      </c>
      <c r="E142" s="747">
        <v>533718.82014085772</v>
      </c>
      <c r="F142" s="747">
        <v>19109.551220093781</v>
      </c>
      <c r="G142" s="747">
        <v>552828.37136095145</v>
      </c>
      <c r="H142" s="748">
        <v>0</v>
      </c>
      <c r="I142" s="749" t="s">
        <v>258</v>
      </c>
      <c r="J142" s="750">
        <v>552828.37136095145</v>
      </c>
      <c r="K142" s="735">
        <v>0</v>
      </c>
      <c r="L142" s="735" t="s">
        <v>103</v>
      </c>
      <c r="M142" s="750">
        <v>0</v>
      </c>
      <c r="N142" s="750" t="s">
        <v>103</v>
      </c>
      <c r="O142" s="736">
        <v>0</v>
      </c>
      <c r="P142" s="754">
        <v>0</v>
      </c>
      <c r="Q142" s="752">
        <v>0</v>
      </c>
      <c r="R142" s="9" t="s">
        <v>103</v>
      </c>
      <c r="S142" s="9" t="s">
        <v>103</v>
      </c>
    </row>
    <row r="143" spans="2:19">
      <c r="B143" s="746" t="s">
        <v>581</v>
      </c>
      <c r="C143" s="9" t="s">
        <v>1009</v>
      </c>
      <c r="D143" s="730" t="s">
        <v>110</v>
      </c>
      <c r="E143" s="747">
        <v>-1300357.5813848323</v>
      </c>
      <c r="F143" s="747">
        <v>0</v>
      </c>
      <c r="G143" s="747">
        <v>-1300357.5813848323</v>
      </c>
      <c r="H143" s="694">
        <v>0</v>
      </c>
      <c r="I143" s="749" t="s">
        <v>258</v>
      </c>
      <c r="J143" s="750">
        <v>-1300357.5813848323</v>
      </c>
      <c r="K143" s="735">
        <v>0</v>
      </c>
      <c r="L143" s="735" t="s">
        <v>103</v>
      </c>
      <c r="M143" s="750">
        <v>0</v>
      </c>
      <c r="N143" s="750" t="s">
        <v>103</v>
      </c>
      <c r="O143" s="736">
        <v>0</v>
      </c>
      <c r="P143" s="754">
        <v>0</v>
      </c>
      <c r="Q143" s="752">
        <v>0</v>
      </c>
      <c r="R143" s="9" t="s">
        <v>103</v>
      </c>
      <c r="S143" s="9" t="s">
        <v>103</v>
      </c>
    </row>
    <row r="144" spans="2:19">
      <c r="B144" s="746" t="s">
        <v>582</v>
      </c>
      <c r="C144" s="9" t="s">
        <v>1009</v>
      </c>
      <c r="D144" s="730" t="s">
        <v>110</v>
      </c>
      <c r="E144" s="747">
        <v>-3158.5846192258177</v>
      </c>
      <c r="F144" s="747">
        <v>39985.147620727243</v>
      </c>
      <c r="G144" s="747">
        <v>35799.693001501197</v>
      </c>
      <c r="H144" s="694">
        <v>0</v>
      </c>
      <c r="I144" s="749" t="s">
        <v>258</v>
      </c>
      <c r="J144" s="750">
        <v>35799.693001501197</v>
      </c>
      <c r="K144" s="735">
        <v>0</v>
      </c>
      <c r="L144" s="735" t="s">
        <v>103</v>
      </c>
      <c r="M144" s="750">
        <v>0</v>
      </c>
      <c r="N144" s="750" t="s">
        <v>103</v>
      </c>
      <c r="O144" s="736">
        <v>0</v>
      </c>
      <c r="P144" s="754">
        <v>0</v>
      </c>
      <c r="Q144" s="752">
        <v>0</v>
      </c>
      <c r="R144" s="9" t="s">
        <v>103</v>
      </c>
      <c r="S144" s="9" t="s">
        <v>103</v>
      </c>
    </row>
    <row r="145" spans="2:19">
      <c r="B145" s="746" t="s">
        <v>585</v>
      </c>
      <c r="C145" s="9" t="s">
        <v>1009</v>
      </c>
      <c r="D145" s="730" t="s">
        <v>110</v>
      </c>
      <c r="E145" s="747">
        <v>68951.83091976904</v>
      </c>
      <c r="F145" s="747">
        <v>62809.774765962153</v>
      </c>
      <c r="G145" s="747">
        <v>131761.60568573128</v>
      </c>
      <c r="H145" s="748">
        <v>0</v>
      </c>
      <c r="I145" s="749" t="s">
        <v>258</v>
      </c>
      <c r="J145" s="750">
        <v>131761.60568573128</v>
      </c>
      <c r="K145" s="735">
        <v>0</v>
      </c>
      <c r="L145" s="735" t="s">
        <v>103</v>
      </c>
      <c r="M145" s="750">
        <v>0</v>
      </c>
      <c r="N145" s="750" t="s">
        <v>103</v>
      </c>
      <c r="O145" s="736">
        <v>0</v>
      </c>
      <c r="P145" s="754">
        <v>0</v>
      </c>
      <c r="Q145" s="752">
        <v>0</v>
      </c>
      <c r="R145" s="9" t="s">
        <v>103</v>
      </c>
      <c r="S145" s="9" t="s">
        <v>103</v>
      </c>
    </row>
    <row r="146" spans="2:19">
      <c r="B146" s="746" t="s">
        <v>589</v>
      </c>
      <c r="C146" s="9" t="s">
        <v>1009</v>
      </c>
      <c r="D146" s="730" t="s">
        <v>110</v>
      </c>
      <c r="E146" s="747">
        <v>-2107422.8946528523</v>
      </c>
      <c r="F146" s="747">
        <v>197449.57340053309</v>
      </c>
      <c r="G146" s="747">
        <v>-1209973.3212523197</v>
      </c>
      <c r="H146" s="694">
        <v>6.1280118281028049</v>
      </c>
      <c r="I146" s="749" t="s">
        <v>258</v>
      </c>
      <c r="J146" s="750">
        <v>-1209973.3212523197</v>
      </c>
      <c r="K146" s="735">
        <v>0</v>
      </c>
      <c r="L146" s="735" t="s">
        <v>103</v>
      </c>
      <c r="M146" s="750">
        <v>0</v>
      </c>
      <c r="N146" s="750" t="s">
        <v>103</v>
      </c>
      <c r="O146" s="736">
        <v>0</v>
      </c>
      <c r="P146" s="754">
        <v>0</v>
      </c>
      <c r="Q146" s="752">
        <v>0</v>
      </c>
      <c r="R146" s="9" t="s">
        <v>103</v>
      </c>
      <c r="S146" s="9" t="s">
        <v>103</v>
      </c>
    </row>
    <row r="147" spans="2:19">
      <c r="B147" s="746" t="s">
        <v>596</v>
      </c>
      <c r="C147" s="9" t="s">
        <v>1009</v>
      </c>
      <c r="D147" s="730" t="s">
        <v>110</v>
      </c>
      <c r="E147" s="747">
        <v>-533497.22560832417</v>
      </c>
      <c r="F147" s="747">
        <v>248199.83845364154</v>
      </c>
      <c r="G147" s="747">
        <v>-285297.38715468312</v>
      </c>
      <c r="H147" s="694">
        <v>1.1494664498259559</v>
      </c>
      <c r="I147" s="749" t="s">
        <v>258</v>
      </c>
      <c r="J147" s="750">
        <v>-285297.38715468312</v>
      </c>
      <c r="K147" s="735">
        <v>0</v>
      </c>
      <c r="L147" s="735" t="s">
        <v>103</v>
      </c>
      <c r="M147" s="750">
        <v>0</v>
      </c>
      <c r="N147" s="750" t="s">
        <v>103</v>
      </c>
      <c r="O147" s="736">
        <v>0</v>
      </c>
      <c r="P147" s="754">
        <v>0</v>
      </c>
      <c r="Q147" s="752">
        <v>0</v>
      </c>
      <c r="R147" s="9" t="s">
        <v>103</v>
      </c>
      <c r="S147" s="9" t="s">
        <v>103</v>
      </c>
    </row>
    <row r="148" spans="2:19">
      <c r="B148" s="746" t="s">
        <v>599</v>
      </c>
      <c r="C148" s="9" t="s">
        <v>1009</v>
      </c>
      <c r="D148" s="730" t="s">
        <v>110</v>
      </c>
      <c r="E148" s="747">
        <v>540949.8045809801</v>
      </c>
      <c r="F148" s="747">
        <v>66839.177436970567</v>
      </c>
      <c r="G148" s="747">
        <v>607788.9820179505</v>
      </c>
      <c r="H148" s="748">
        <v>0</v>
      </c>
      <c r="I148" s="749" t="s">
        <v>258</v>
      </c>
      <c r="J148" s="750">
        <v>607788.9820179505</v>
      </c>
      <c r="K148" s="735">
        <v>0</v>
      </c>
      <c r="L148" s="735" t="s">
        <v>103</v>
      </c>
      <c r="M148" s="750">
        <v>0</v>
      </c>
      <c r="N148" s="750" t="s">
        <v>103</v>
      </c>
      <c r="O148" s="736">
        <v>0</v>
      </c>
      <c r="P148" s="754">
        <v>0</v>
      </c>
      <c r="Q148" s="752">
        <v>0</v>
      </c>
      <c r="R148" s="9" t="s">
        <v>103</v>
      </c>
      <c r="S148" s="9" t="s">
        <v>103</v>
      </c>
    </row>
    <row r="149" spans="2:19">
      <c r="B149" s="746" t="s">
        <v>603</v>
      </c>
      <c r="C149" s="9" t="s">
        <v>1009</v>
      </c>
      <c r="D149" s="730" t="s">
        <v>110</v>
      </c>
      <c r="E149" s="747">
        <v>50839.592111009966</v>
      </c>
      <c r="F149" s="747">
        <v>46628.458438688373</v>
      </c>
      <c r="G149" s="747">
        <v>97468.050549698237</v>
      </c>
      <c r="H149" s="748">
        <v>0</v>
      </c>
      <c r="I149" s="749" t="s">
        <v>258</v>
      </c>
      <c r="J149" s="750">
        <v>97468.050549698237</v>
      </c>
      <c r="K149" s="735">
        <v>0</v>
      </c>
      <c r="L149" s="735" t="s">
        <v>103</v>
      </c>
      <c r="M149" s="750">
        <v>0</v>
      </c>
      <c r="N149" s="750" t="s">
        <v>103</v>
      </c>
      <c r="O149" s="736">
        <v>0</v>
      </c>
      <c r="P149" s="754">
        <v>0</v>
      </c>
      <c r="Q149" s="752">
        <v>0</v>
      </c>
      <c r="R149" s="9" t="s">
        <v>103</v>
      </c>
      <c r="S149" s="9" t="s">
        <v>103</v>
      </c>
    </row>
    <row r="150" spans="2:19">
      <c r="B150" s="746" t="s">
        <v>604</v>
      </c>
      <c r="C150" s="9" t="s">
        <v>1009</v>
      </c>
      <c r="D150" s="730" t="s">
        <v>110</v>
      </c>
      <c r="E150" s="747">
        <v>1055902.8149190343</v>
      </c>
      <c r="F150" s="747">
        <v>504316.01343734062</v>
      </c>
      <c r="G150" s="747">
        <v>1560218.8283563764</v>
      </c>
      <c r="H150" s="748">
        <v>0</v>
      </c>
      <c r="I150" s="749" t="s">
        <v>258</v>
      </c>
      <c r="J150" s="750">
        <v>1560218.8283563764</v>
      </c>
      <c r="K150" s="735">
        <v>0</v>
      </c>
      <c r="L150" s="735" t="s">
        <v>103</v>
      </c>
      <c r="M150" s="750">
        <v>0</v>
      </c>
      <c r="N150" s="750" t="s">
        <v>103</v>
      </c>
      <c r="O150" s="736">
        <v>0</v>
      </c>
      <c r="P150" s="754">
        <v>0</v>
      </c>
      <c r="Q150" s="752">
        <v>0</v>
      </c>
      <c r="R150" s="9" t="s">
        <v>103</v>
      </c>
      <c r="S150" s="9" t="s">
        <v>103</v>
      </c>
    </row>
    <row r="151" spans="2:19">
      <c r="B151" s="746" t="s">
        <v>622</v>
      </c>
      <c r="C151" s="9" t="s">
        <v>1009</v>
      </c>
      <c r="D151" s="730" t="s">
        <v>110</v>
      </c>
      <c r="E151" s="747">
        <v>631022.02704034839</v>
      </c>
      <c r="F151" s="747">
        <v>69061.923959477266</v>
      </c>
      <c r="G151" s="747">
        <v>700083.95099982561</v>
      </c>
      <c r="H151" s="748">
        <v>0</v>
      </c>
      <c r="I151" s="749" t="s">
        <v>258</v>
      </c>
      <c r="J151" s="750">
        <v>700083.95099982561</v>
      </c>
      <c r="K151" s="735">
        <v>0</v>
      </c>
      <c r="L151" s="735" t="s">
        <v>103</v>
      </c>
      <c r="M151" s="750">
        <v>0</v>
      </c>
      <c r="N151" s="750" t="s">
        <v>103</v>
      </c>
      <c r="O151" s="736">
        <v>0</v>
      </c>
      <c r="P151" s="754">
        <v>0</v>
      </c>
      <c r="Q151" s="752">
        <v>0</v>
      </c>
      <c r="R151" s="9" t="s">
        <v>103</v>
      </c>
      <c r="S151" s="9" t="s">
        <v>103</v>
      </c>
    </row>
    <row r="152" spans="2:19">
      <c r="B152" s="746" t="s">
        <v>629</v>
      </c>
      <c r="C152" s="9" t="s">
        <v>1009</v>
      </c>
      <c r="D152" s="730" t="s">
        <v>110</v>
      </c>
      <c r="E152" s="747">
        <v>-121374.30739944511</v>
      </c>
      <c r="F152" s="747">
        <v>60735.145139482767</v>
      </c>
      <c r="G152" s="747">
        <v>-60639.16225996198</v>
      </c>
      <c r="H152" s="694">
        <v>0.99841964847041442</v>
      </c>
      <c r="I152" s="749" t="s">
        <v>258</v>
      </c>
      <c r="J152" s="750">
        <v>-60639.16225996198</v>
      </c>
      <c r="K152" s="735">
        <v>0</v>
      </c>
      <c r="L152" s="735" t="s">
        <v>103</v>
      </c>
      <c r="M152" s="750">
        <v>0</v>
      </c>
      <c r="N152" s="750" t="s">
        <v>103</v>
      </c>
      <c r="O152" s="736">
        <v>0</v>
      </c>
      <c r="P152" s="754">
        <v>0</v>
      </c>
      <c r="Q152" s="752">
        <v>0</v>
      </c>
      <c r="R152" s="9" t="s">
        <v>103</v>
      </c>
      <c r="S152" s="9" t="s">
        <v>103</v>
      </c>
    </row>
    <row r="153" spans="2:19">
      <c r="B153" s="746" t="s">
        <v>633</v>
      </c>
      <c r="C153" s="9" t="s">
        <v>1009</v>
      </c>
      <c r="D153" s="730" t="s">
        <v>110</v>
      </c>
      <c r="E153" s="747">
        <v>1010450.1899686614</v>
      </c>
      <c r="F153" s="747">
        <v>101390.22176302057</v>
      </c>
      <c r="G153" s="747">
        <v>1111840.411731682</v>
      </c>
      <c r="H153" s="748">
        <v>0</v>
      </c>
      <c r="I153" s="749" t="s">
        <v>258</v>
      </c>
      <c r="J153" s="750">
        <v>1111840.411731682</v>
      </c>
      <c r="K153" s="735">
        <v>0</v>
      </c>
      <c r="L153" s="735" t="s">
        <v>103</v>
      </c>
      <c r="M153" s="750">
        <v>0</v>
      </c>
      <c r="N153" s="750" t="s">
        <v>103</v>
      </c>
      <c r="O153" s="736">
        <v>0</v>
      </c>
      <c r="P153" s="754">
        <v>0</v>
      </c>
      <c r="Q153" s="752">
        <v>0</v>
      </c>
      <c r="R153" s="9" t="s">
        <v>103</v>
      </c>
      <c r="S153" s="9" t="s">
        <v>103</v>
      </c>
    </row>
    <row r="154" spans="2:19">
      <c r="B154" s="746" t="s">
        <v>634</v>
      </c>
      <c r="C154" s="9" t="s">
        <v>1009</v>
      </c>
      <c r="D154" s="730" t="s">
        <v>110</v>
      </c>
      <c r="E154" s="747">
        <v>36582.404401492589</v>
      </c>
      <c r="F154" s="747">
        <v>9189.7130158472173</v>
      </c>
      <c r="G154" s="747">
        <v>45772.11741733989</v>
      </c>
      <c r="H154" s="748">
        <v>0</v>
      </c>
      <c r="I154" s="749" t="s">
        <v>258</v>
      </c>
      <c r="J154" s="750">
        <v>45772.11741733989</v>
      </c>
      <c r="K154" s="752">
        <v>120000</v>
      </c>
      <c r="L154" s="9" t="s">
        <v>580</v>
      </c>
      <c r="M154" s="750">
        <v>120000</v>
      </c>
      <c r="N154" s="757">
        <v>2024</v>
      </c>
      <c r="O154" s="736">
        <v>395357</v>
      </c>
      <c r="P154" s="754">
        <v>0</v>
      </c>
      <c r="Q154" s="752">
        <v>0</v>
      </c>
      <c r="R154" s="9" t="s">
        <v>103</v>
      </c>
      <c r="S154" s="9" t="s">
        <v>103</v>
      </c>
    </row>
    <row r="155" spans="2:19">
      <c r="B155" s="746" t="s">
        <v>638</v>
      </c>
      <c r="C155" s="9" t="s">
        <v>1009</v>
      </c>
      <c r="D155" s="730" t="s">
        <v>110</v>
      </c>
      <c r="E155" s="747">
        <v>2140124.9451405313</v>
      </c>
      <c r="F155" s="747">
        <v>154998.69045842299</v>
      </c>
      <c r="G155" s="747">
        <v>2295123.6355989543</v>
      </c>
      <c r="H155" s="748">
        <v>0</v>
      </c>
      <c r="I155" s="749" t="s">
        <v>258</v>
      </c>
      <c r="J155" s="750">
        <v>2295123.6355989543</v>
      </c>
      <c r="K155" s="735">
        <v>0</v>
      </c>
      <c r="L155" s="735" t="s">
        <v>103</v>
      </c>
      <c r="M155" s="750">
        <v>0</v>
      </c>
      <c r="N155" s="750" t="s">
        <v>103</v>
      </c>
      <c r="O155" s="736">
        <v>0</v>
      </c>
      <c r="P155" s="754">
        <v>0</v>
      </c>
      <c r="Q155" s="752">
        <v>0</v>
      </c>
      <c r="R155" s="9" t="s">
        <v>103</v>
      </c>
      <c r="S155" s="9" t="s">
        <v>103</v>
      </c>
    </row>
    <row r="156" spans="2:19">
      <c r="B156" s="746" t="s">
        <v>643</v>
      </c>
      <c r="C156" s="9" t="s">
        <v>1009</v>
      </c>
      <c r="D156" s="730" t="s">
        <v>110</v>
      </c>
      <c r="E156" s="747">
        <v>765957.65463185799</v>
      </c>
      <c r="F156" s="747">
        <v>68885.4080185333</v>
      </c>
      <c r="G156" s="747">
        <v>834843.06265039148</v>
      </c>
      <c r="H156" s="748">
        <v>0</v>
      </c>
      <c r="I156" s="749" t="s">
        <v>258</v>
      </c>
      <c r="J156" s="750">
        <v>834843.06265039148</v>
      </c>
      <c r="K156" s="735">
        <v>0</v>
      </c>
      <c r="L156" s="735" t="s">
        <v>103</v>
      </c>
      <c r="M156" s="750">
        <v>0</v>
      </c>
      <c r="N156" s="750" t="s">
        <v>103</v>
      </c>
      <c r="O156" s="736">
        <v>0</v>
      </c>
      <c r="P156" s="754">
        <v>0</v>
      </c>
      <c r="Q156" s="752">
        <v>0</v>
      </c>
      <c r="R156" s="9" t="s">
        <v>103</v>
      </c>
      <c r="S156" s="9" t="s">
        <v>103</v>
      </c>
    </row>
    <row r="157" spans="2:19">
      <c r="B157" s="746" t="s">
        <v>647</v>
      </c>
      <c r="C157" s="9" t="s">
        <v>1009</v>
      </c>
      <c r="D157" s="730" t="s">
        <v>110</v>
      </c>
      <c r="E157" s="747">
        <v>84284.989924997324</v>
      </c>
      <c r="F157" s="747">
        <v>275767.558081005</v>
      </c>
      <c r="G157" s="747">
        <v>360052.54800600489</v>
      </c>
      <c r="H157" s="748">
        <v>0</v>
      </c>
      <c r="I157" s="755" t="s">
        <v>258</v>
      </c>
      <c r="J157" s="756">
        <v>360052.54800600489</v>
      </c>
      <c r="K157" s="735">
        <v>0</v>
      </c>
      <c r="L157" s="735" t="s">
        <v>103</v>
      </c>
      <c r="M157" s="756">
        <v>0</v>
      </c>
      <c r="N157" s="756" t="s">
        <v>103</v>
      </c>
      <c r="O157" s="736">
        <v>0</v>
      </c>
      <c r="P157" s="754">
        <v>0</v>
      </c>
      <c r="Q157" s="752">
        <v>0</v>
      </c>
      <c r="R157" s="9" t="s">
        <v>103</v>
      </c>
      <c r="S157" s="9" t="s">
        <v>103</v>
      </c>
    </row>
    <row r="158" spans="2:19" s="101" customFormat="1">
      <c r="B158" s="738" t="s">
        <v>1343</v>
      </c>
      <c r="C158" s="738"/>
      <c r="D158" s="738"/>
      <c r="E158" s="739">
        <v>18695097.67484558</v>
      </c>
      <c r="F158" s="739">
        <v>4007314.2556890761</v>
      </c>
      <c r="G158" s="739">
        <v>23009456.480534665</v>
      </c>
      <c r="H158" s="740">
        <v>0</v>
      </c>
      <c r="I158" s="741"/>
      <c r="J158" s="742">
        <v>23009456.480534665</v>
      </c>
      <c r="K158" s="742">
        <v>120000</v>
      </c>
      <c r="L158" s="741"/>
      <c r="M158" s="742">
        <v>120000</v>
      </c>
      <c r="N158" s="742">
        <v>2024</v>
      </c>
      <c r="O158" s="743">
        <v>395357</v>
      </c>
      <c r="P158" s="742">
        <v>0</v>
      </c>
      <c r="Q158" s="744">
        <v>0</v>
      </c>
      <c r="R158" s="741" t="s">
        <v>103</v>
      </c>
      <c r="S158" s="741" t="s">
        <v>103</v>
      </c>
    </row>
    <row r="159" spans="2:19" s="97" customFormat="1">
      <c r="B159" s="723" t="s">
        <v>658</v>
      </c>
      <c r="C159" s="723"/>
      <c r="D159" s="723"/>
      <c r="E159" s="724"/>
      <c r="F159" s="724"/>
      <c r="G159" s="724"/>
      <c r="H159" s="725">
        <v>0</v>
      </c>
      <c r="I159" s="726"/>
      <c r="J159" s="727"/>
      <c r="K159" s="726"/>
      <c r="L159" s="726"/>
      <c r="M159" s="727">
        <v>0</v>
      </c>
      <c r="N159" s="727"/>
      <c r="O159" s="728"/>
      <c r="P159" s="727"/>
      <c r="Q159" s="726"/>
      <c r="R159" s="726"/>
      <c r="S159" s="726"/>
    </row>
    <row r="160" spans="2:19">
      <c r="B160" s="746" t="s">
        <v>659</v>
      </c>
      <c r="C160" s="9" t="s">
        <v>1009</v>
      </c>
      <c r="D160" s="730" t="s">
        <v>110</v>
      </c>
      <c r="E160" s="747">
        <v>35620.504121183032</v>
      </c>
      <c r="F160" s="747">
        <v>15792.6877425522</v>
      </c>
      <c r="G160" s="747">
        <v>51413.191863735148</v>
      </c>
      <c r="H160" s="748">
        <v>0</v>
      </c>
      <c r="I160" s="749" t="s">
        <v>258</v>
      </c>
      <c r="J160" s="750">
        <v>51413.191863735148</v>
      </c>
      <c r="K160" s="735">
        <v>0</v>
      </c>
      <c r="L160" s="735" t="s">
        <v>103</v>
      </c>
      <c r="M160" s="750">
        <v>0</v>
      </c>
      <c r="N160" s="750" t="s">
        <v>103</v>
      </c>
      <c r="O160" s="736">
        <v>0</v>
      </c>
      <c r="P160" s="754">
        <v>0</v>
      </c>
      <c r="Q160" s="752">
        <v>0</v>
      </c>
      <c r="R160" s="9" t="s">
        <v>103</v>
      </c>
      <c r="S160" s="9" t="s">
        <v>103</v>
      </c>
    </row>
    <row r="161" spans="2:19">
      <c r="B161" s="746" t="s">
        <v>664</v>
      </c>
      <c r="C161" s="9" t="s">
        <v>1009</v>
      </c>
      <c r="D161" s="730" t="s">
        <v>110</v>
      </c>
      <c r="E161" s="747">
        <v>603723.92047232343</v>
      </c>
      <c r="F161" s="747">
        <v>20226.543183404818</v>
      </c>
      <c r="G161" s="747">
        <v>623950.46365572826</v>
      </c>
      <c r="H161" s="748">
        <v>0</v>
      </c>
      <c r="I161" s="749" t="s">
        <v>258</v>
      </c>
      <c r="J161" s="750">
        <v>623950.46365572826</v>
      </c>
      <c r="K161" s="735">
        <v>0</v>
      </c>
      <c r="L161" s="735" t="s">
        <v>103</v>
      </c>
      <c r="M161" s="750">
        <v>0</v>
      </c>
      <c r="N161" s="750" t="s">
        <v>103</v>
      </c>
      <c r="O161" s="736">
        <v>0</v>
      </c>
      <c r="P161" s="754">
        <v>0</v>
      </c>
      <c r="Q161" s="752">
        <v>0</v>
      </c>
      <c r="R161" s="9" t="s">
        <v>103</v>
      </c>
      <c r="S161" s="9" t="s">
        <v>103</v>
      </c>
    </row>
    <row r="162" spans="2:19">
      <c r="B162" s="746" t="s">
        <v>665</v>
      </c>
      <c r="C162" s="9" t="s">
        <v>1009</v>
      </c>
      <c r="D162" s="730" t="s">
        <v>110</v>
      </c>
      <c r="E162" s="747">
        <v>191662.70428318478</v>
      </c>
      <c r="F162" s="747">
        <v>13406.664825753713</v>
      </c>
      <c r="G162" s="747">
        <v>205069.36910893844</v>
      </c>
      <c r="H162" s="748">
        <v>0</v>
      </c>
      <c r="I162" s="749" t="s">
        <v>258</v>
      </c>
      <c r="J162" s="750">
        <v>205069.36910893844</v>
      </c>
      <c r="K162" s="735">
        <v>0</v>
      </c>
      <c r="L162" s="735" t="s">
        <v>103</v>
      </c>
      <c r="M162" s="750">
        <v>0</v>
      </c>
      <c r="N162" s="750" t="s">
        <v>103</v>
      </c>
      <c r="O162" s="736">
        <v>0</v>
      </c>
      <c r="P162" s="754">
        <v>0</v>
      </c>
      <c r="Q162" s="752">
        <v>0</v>
      </c>
      <c r="R162" s="9" t="s">
        <v>103</v>
      </c>
      <c r="S162" s="9" t="s">
        <v>103</v>
      </c>
    </row>
    <row r="163" spans="2:19">
      <c r="B163" s="746" t="s">
        <v>666</v>
      </c>
      <c r="C163" s="9" t="s">
        <v>1009</v>
      </c>
      <c r="D163" s="730" t="s">
        <v>110</v>
      </c>
      <c r="E163" s="747">
        <v>-55173.648701293198</v>
      </c>
      <c r="F163" s="747">
        <v>8048.7795304595011</v>
      </c>
      <c r="G163" s="747">
        <v>-47124.869170833721</v>
      </c>
      <c r="H163" s="694">
        <v>5.8549086842913418</v>
      </c>
      <c r="I163" s="749" t="s">
        <v>258</v>
      </c>
      <c r="J163" s="750">
        <v>-47124.869170833721</v>
      </c>
      <c r="K163" s="735">
        <v>0</v>
      </c>
      <c r="L163" s="735" t="s">
        <v>103</v>
      </c>
      <c r="M163" s="750">
        <v>0</v>
      </c>
      <c r="N163" s="750" t="s">
        <v>103</v>
      </c>
      <c r="O163" s="736">
        <v>0</v>
      </c>
      <c r="P163" s="754">
        <v>0</v>
      </c>
      <c r="Q163" s="752">
        <v>0</v>
      </c>
      <c r="R163" s="9" t="s">
        <v>103</v>
      </c>
      <c r="S163" s="9" t="s">
        <v>103</v>
      </c>
    </row>
    <row r="164" spans="2:19">
      <c r="B164" s="746" t="s">
        <v>670</v>
      </c>
      <c r="C164" s="9" t="s">
        <v>1009</v>
      </c>
      <c r="D164" s="730" t="s">
        <v>110</v>
      </c>
      <c r="E164" s="747">
        <v>314027.58865496796</v>
      </c>
      <c r="F164" s="747">
        <v>81344.384013698087</v>
      </c>
      <c r="G164" s="747">
        <v>395371.97266866604</v>
      </c>
      <c r="H164" s="748">
        <v>0</v>
      </c>
      <c r="I164" s="749" t="s">
        <v>258</v>
      </c>
      <c r="J164" s="750">
        <v>395371.97266866604</v>
      </c>
      <c r="K164" s="735">
        <v>0</v>
      </c>
      <c r="L164" s="735" t="s">
        <v>103</v>
      </c>
      <c r="M164" s="750">
        <v>0</v>
      </c>
      <c r="N164" s="750" t="s">
        <v>103</v>
      </c>
      <c r="O164" s="736">
        <v>0</v>
      </c>
      <c r="P164" s="754">
        <v>0</v>
      </c>
      <c r="Q164" s="752">
        <v>0</v>
      </c>
      <c r="R164" s="9" t="s">
        <v>103</v>
      </c>
      <c r="S164" s="9" t="s">
        <v>103</v>
      </c>
    </row>
    <row r="165" spans="2:19">
      <c r="B165" s="746" t="s">
        <v>678</v>
      </c>
      <c r="C165" s="9" t="s">
        <v>1009</v>
      </c>
      <c r="D165" s="730" t="s">
        <v>110</v>
      </c>
      <c r="E165" s="747">
        <v>80513.775781259697</v>
      </c>
      <c r="F165" s="747">
        <v>113487.17192443532</v>
      </c>
      <c r="G165" s="747">
        <v>194000.94770569517</v>
      </c>
      <c r="H165" s="748">
        <v>0</v>
      </c>
      <c r="I165" s="749" t="s">
        <v>258</v>
      </c>
      <c r="J165" s="750">
        <v>194000.94770569517</v>
      </c>
      <c r="K165" s="735">
        <v>0</v>
      </c>
      <c r="L165" s="735" t="s">
        <v>103</v>
      </c>
      <c r="M165" s="750">
        <v>0</v>
      </c>
      <c r="N165" s="750" t="s">
        <v>103</v>
      </c>
      <c r="O165" s="736">
        <v>0</v>
      </c>
      <c r="P165" s="754">
        <v>0</v>
      </c>
      <c r="Q165" s="752">
        <v>0</v>
      </c>
      <c r="R165" s="9" t="s">
        <v>103</v>
      </c>
      <c r="S165" s="9" t="s">
        <v>103</v>
      </c>
    </row>
    <row r="166" spans="2:19">
      <c r="B166" s="746" t="s">
        <v>679</v>
      </c>
      <c r="C166" s="9" t="s">
        <v>1009</v>
      </c>
      <c r="D166" s="730" t="s">
        <v>110</v>
      </c>
      <c r="E166" s="747">
        <v>772934.49893840996</v>
      </c>
      <c r="F166" s="747">
        <v>44251.003939246802</v>
      </c>
      <c r="G166" s="747">
        <v>817185.50287765684</v>
      </c>
      <c r="H166" s="748">
        <v>0</v>
      </c>
      <c r="I166" s="749" t="s">
        <v>258</v>
      </c>
      <c r="J166" s="750">
        <v>817185.50287765684</v>
      </c>
      <c r="K166" s="735">
        <v>0</v>
      </c>
      <c r="L166" s="735" t="s">
        <v>103</v>
      </c>
      <c r="M166" s="750">
        <v>0</v>
      </c>
      <c r="N166" s="750" t="s">
        <v>103</v>
      </c>
      <c r="O166" s="736">
        <v>0</v>
      </c>
      <c r="P166" s="754">
        <v>0</v>
      </c>
      <c r="Q166" s="752">
        <v>0</v>
      </c>
      <c r="R166" s="9" t="s">
        <v>103</v>
      </c>
      <c r="S166" s="9" t="s">
        <v>103</v>
      </c>
    </row>
    <row r="167" spans="2:19">
      <c r="B167" s="746" t="s">
        <v>684</v>
      </c>
      <c r="C167" s="9" t="s">
        <v>1009</v>
      </c>
      <c r="D167" s="730" t="s">
        <v>110</v>
      </c>
      <c r="E167" s="758">
        <v>279710.31190705148</v>
      </c>
      <c r="F167" s="758">
        <v>36921.150195674971</v>
      </c>
      <c r="G167" s="758">
        <v>316631.46210272645</v>
      </c>
      <c r="H167" s="748">
        <v>0</v>
      </c>
      <c r="I167" s="749" t="s">
        <v>258</v>
      </c>
      <c r="J167" s="750">
        <v>316631.46210272645</v>
      </c>
      <c r="K167" s="735">
        <v>0</v>
      </c>
      <c r="L167" s="735" t="s">
        <v>103</v>
      </c>
      <c r="M167" s="750">
        <v>0</v>
      </c>
      <c r="N167" s="750" t="s">
        <v>103</v>
      </c>
      <c r="O167" s="736">
        <v>0</v>
      </c>
      <c r="P167" s="754">
        <v>0</v>
      </c>
      <c r="Q167" s="752">
        <v>0</v>
      </c>
      <c r="R167" s="9" t="s">
        <v>103</v>
      </c>
      <c r="S167" s="9" t="s">
        <v>103</v>
      </c>
    </row>
    <row r="168" spans="2:19">
      <c r="B168" s="746" t="s">
        <v>685</v>
      </c>
      <c r="C168" s="9" t="s">
        <v>1009</v>
      </c>
      <c r="D168" s="730" t="s">
        <v>110</v>
      </c>
      <c r="E168" s="747">
        <v>597150.07622288284</v>
      </c>
      <c r="F168" s="747">
        <v>60633.803071402814</v>
      </c>
      <c r="G168" s="747">
        <v>657783.8792942859</v>
      </c>
      <c r="H168" s="748">
        <v>0</v>
      </c>
      <c r="I168" s="749" t="s">
        <v>258</v>
      </c>
      <c r="J168" s="750">
        <v>657783.8792942859</v>
      </c>
      <c r="K168" s="735">
        <v>0</v>
      </c>
      <c r="L168" s="735" t="s">
        <v>103</v>
      </c>
      <c r="M168" s="750">
        <v>0</v>
      </c>
      <c r="N168" s="750" t="s">
        <v>103</v>
      </c>
      <c r="O168" s="736">
        <v>0</v>
      </c>
      <c r="P168" s="754">
        <v>0</v>
      </c>
      <c r="Q168" s="752">
        <v>0</v>
      </c>
      <c r="R168" s="9" t="s">
        <v>103</v>
      </c>
      <c r="S168" s="9" t="s">
        <v>103</v>
      </c>
    </row>
    <row r="169" spans="2:19">
      <c r="B169" s="746" t="s">
        <v>688</v>
      </c>
      <c r="C169" s="9" t="s">
        <v>1009</v>
      </c>
      <c r="D169" s="730" t="s">
        <v>110</v>
      </c>
      <c r="E169" s="747">
        <v>256759.4844781158</v>
      </c>
      <c r="F169" s="747">
        <v>8845.5346973468022</v>
      </c>
      <c r="G169" s="747">
        <v>265605.01917546237</v>
      </c>
      <c r="H169" s="748">
        <v>0</v>
      </c>
      <c r="I169" s="749" t="s">
        <v>258</v>
      </c>
      <c r="J169" s="750">
        <v>265605.01917546237</v>
      </c>
      <c r="K169" s="735">
        <v>0</v>
      </c>
      <c r="L169" s="735" t="s">
        <v>103</v>
      </c>
      <c r="M169" s="750">
        <v>0</v>
      </c>
      <c r="N169" s="750" t="s">
        <v>103</v>
      </c>
      <c r="O169" s="736">
        <v>0</v>
      </c>
      <c r="P169" s="754">
        <v>0</v>
      </c>
      <c r="Q169" s="752">
        <v>0</v>
      </c>
      <c r="R169" s="9" t="s">
        <v>103</v>
      </c>
      <c r="S169" s="9" t="s">
        <v>103</v>
      </c>
    </row>
    <row r="170" spans="2:19">
      <c r="B170" s="746" t="s">
        <v>692</v>
      </c>
      <c r="C170" s="9" t="s">
        <v>1009</v>
      </c>
      <c r="D170" s="730" t="s">
        <v>110</v>
      </c>
      <c r="E170" s="758">
        <v>137594.16850431403</v>
      </c>
      <c r="F170" s="758">
        <v>0</v>
      </c>
      <c r="G170" s="758">
        <v>137594.16850431403</v>
      </c>
      <c r="H170" s="748">
        <v>0</v>
      </c>
      <c r="I170" s="749" t="s">
        <v>258</v>
      </c>
      <c r="J170" s="750">
        <v>137594.16850431403</v>
      </c>
      <c r="K170" s="735">
        <v>0</v>
      </c>
      <c r="L170" s="735" t="s">
        <v>103</v>
      </c>
      <c r="M170" s="750">
        <v>0</v>
      </c>
      <c r="N170" s="750" t="s">
        <v>103</v>
      </c>
      <c r="O170" s="736">
        <v>0</v>
      </c>
      <c r="P170" s="754">
        <v>0</v>
      </c>
      <c r="Q170" s="752">
        <v>0</v>
      </c>
      <c r="R170" s="9" t="s">
        <v>103</v>
      </c>
      <c r="S170" s="9" t="s">
        <v>103</v>
      </c>
    </row>
    <row r="171" spans="2:19">
      <c r="B171" s="746" t="s">
        <v>693</v>
      </c>
      <c r="C171" s="9" t="s">
        <v>1009</v>
      </c>
      <c r="D171" s="730" t="s">
        <v>110</v>
      </c>
      <c r="E171" s="747">
        <v>-174411.91778836446</v>
      </c>
      <c r="F171" s="747">
        <v>16013.27213980761</v>
      </c>
      <c r="G171" s="747">
        <v>-92243.015648556728</v>
      </c>
      <c r="H171" s="694">
        <v>5.7604101674665582</v>
      </c>
      <c r="I171" s="749" t="s">
        <v>258</v>
      </c>
      <c r="J171" s="750">
        <v>-92243.015648556728</v>
      </c>
      <c r="K171" s="735">
        <v>0</v>
      </c>
      <c r="L171" s="735" t="s">
        <v>103</v>
      </c>
      <c r="M171" s="750">
        <v>0</v>
      </c>
      <c r="N171" s="750" t="s">
        <v>103</v>
      </c>
      <c r="O171" s="736">
        <v>0</v>
      </c>
      <c r="P171" s="751">
        <v>0</v>
      </c>
      <c r="Q171" s="752">
        <v>0</v>
      </c>
      <c r="R171" s="9" t="s">
        <v>103</v>
      </c>
      <c r="S171" s="9" t="s">
        <v>103</v>
      </c>
    </row>
    <row r="172" spans="2:19">
      <c r="B172" s="746" t="s">
        <v>697</v>
      </c>
      <c r="C172" s="9" t="s">
        <v>1009</v>
      </c>
      <c r="D172" s="730" t="s">
        <v>110</v>
      </c>
      <c r="E172" s="758">
        <v>622903.9251113768</v>
      </c>
      <c r="F172" s="758">
        <v>48867.606657171142</v>
      </c>
      <c r="G172" s="758">
        <v>671771.53176854795</v>
      </c>
      <c r="H172" s="748">
        <v>0</v>
      </c>
      <c r="I172" s="749" t="s">
        <v>258</v>
      </c>
      <c r="J172" s="750">
        <v>671771.53176854795</v>
      </c>
      <c r="K172" s="735">
        <v>0</v>
      </c>
      <c r="L172" s="735" t="s">
        <v>103</v>
      </c>
      <c r="M172" s="750">
        <v>0</v>
      </c>
      <c r="N172" s="750" t="s">
        <v>103</v>
      </c>
      <c r="O172" s="736">
        <v>0</v>
      </c>
      <c r="P172" s="754">
        <v>0</v>
      </c>
      <c r="Q172" s="752">
        <v>0</v>
      </c>
      <c r="R172" s="9" t="s">
        <v>103</v>
      </c>
      <c r="S172" s="9" t="s">
        <v>103</v>
      </c>
    </row>
    <row r="173" spans="2:19">
      <c r="B173" s="746" t="s">
        <v>698</v>
      </c>
      <c r="C173" s="9" t="s">
        <v>1009</v>
      </c>
      <c r="D173" s="730" t="s">
        <v>110</v>
      </c>
      <c r="E173" s="747">
        <v>717305.89351965953</v>
      </c>
      <c r="F173" s="747">
        <v>137370.45871350681</v>
      </c>
      <c r="G173" s="747">
        <v>870584.95223316597</v>
      </c>
      <c r="H173" s="748">
        <v>0</v>
      </c>
      <c r="I173" s="749" t="s">
        <v>258</v>
      </c>
      <c r="J173" s="750">
        <v>870584.95223316597</v>
      </c>
      <c r="K173" s="735">
        <v>0</v>
      </c>
      <c r="L173" s="735" t="s">
        <v>103</v>
      </c>
      <c r="M173" s="750">
        <v>0</v>
      </c>
      <c r="N173" s="750" t="s">
        <v>103</v>
      </c>
      <c r="O173" s="736">
        <v>0</v>
      </c>
      <c r="P173" s="754">
        <v>0</v>
      </c>
      <c r="Q173" s="752">
        <v>0</v>
      </c>
      <c r="R173" s="9" t="s">
        <v>103</v>
      </c>
      <c r="S173" s="9" t="s">
        <v>103</v>
      </c>
    </row>
    <row r="174" spans="2:19">
      <c r="B174" s="746" t="s">
        <v>704</v>
      </c>
      <c r="C174" s="9" t="s">
        <v>1009</v>
      </c>
      <c r="D174" s="730" t="s">
        <v>110</v>
      </c>
      <c r="E174" s="747">
        <v>-101516.40775611634</v>
      </c>
      <c r="F174" s="747">
        <v>5605.3071092607133</v>
      </c>
      <c r="G174" s="747">
        <v>-95911.100646855528</v>
      </c>
      <c r="H174" s="694">
        <v>17.110766417846691</v>
      </c>
      <c r="I174" s="749" t="s">
        <v>258</v>
      </c>
      <c r="J174" s="750">
        <v>-95911.100646855528</v>
      </c>
      <c r="K174" s="735">
        <v>0</v>
      </c>
      <c r="L174" s="735" t="s">
        <v>103</v>
      </c>
      <c r="M174" s="750">
        <v>0</v>
      </c>
      <c r="N174" s="750" t="s">
        <v>103</v>
      </c>
      <c r="O174" s="736">
        <v>0</v>
      </c>
      <c r="P174" s="754">
        <v>0</v>
      </c>
      <c r="Q174" s="752">
        <v>0</v>
      </c>
      <c r="R174" s="9" t="s">
        <v>103</v>
      </c>
      <c r="S174" s="9" t="s">
        <v>103</v>
      </c>
    </row>
    <row r="175" spans="2:19">
      <c r="B175" s="746" t="s">
        <v>708</v>
      </c>
      <c r="C175" s="9" t="s">
        <v>1009</v>
      </c>
      <c r="D175" s="730" t="s">
        <v>110</v>
      </c>
      <c r="E175" s="747">
        <v>970113.55904270022</v>
      </c>
      <c r="F175" s="747">
        <v>40069.274903790283</v>
      </c>
      <c r="G175" s="747">
        <v>1010182.8339464907</v>
      </c>
      <c r="H175" s="748">
        <v>0</v>
      </c>
      <c r="I175" s="749" t="s">
        <v>258</v>
      </c>
      <c r="J175" s="750">
        <v>1010182.8339464907</v>
      </c>
      <c r="K175" s="735">
        <v>0</v>
      </c>
      <c r="L175" s="735" t="s">
        <v>103</v>
      </c>
      <c r="M175" s="750">
        <v>0</v>
      </c>
      <c r="N175" s="750" t="s">
        <v>103</v>
      </c>
      <c r="O175" s="736">
        <v>0</v>
      </c>
      <c r="P175" s="754">
        <v>0</v>
      </c>
      <c r="Q175" s="752">
        <v>0</v>
      </c>
      <c r="R175" s="9" t="s">
        <v>103</v>
      </c>
      <c r="S175" s="9" t="s">
        <v>103</v>
      </c>
    </row>
    <row r="176" spans="2:19">
      <c r="B176" s="746" t="s">
        <v>709</v>
      </c>
      <c r="C176" s="9" t="s">
        <v>1009</v>
      </c>
      <c r="D176" s="730" t="s">
        <v>110</v>
      </c>
      <c r="E176" s="747">
        <v>639424.0258841645</v>
      </c>
      <c r="F176" s="747">
        <v>72944.44265387929</v>
      </c>
      <c r="G176" s="747">
        <v>712368.46853804379</v>
      </c>
      <c r="H176" s="748">
        <v>0</v>
      </c>
      <c r="I176" s="749" t="s">
        <v>258</v>
      </c>
      <c r="J176" s="750">
        <v>712368.46853804379</v>
      </c>
      <c r="K176" s="735">
        <v>0</v>
      </c>
      <c r="L176" s="735" t="s">
        <v>103</v>
      </c>
      <c r="M176" s="750">
        <v>0</v>
      </c>
      <c r="N176" s="750" t="s">
        <v>103</v>
      </c>
      <c r="O176" s="736">
        <v>0</v>
      </c>
      <c r="P176" s="754">
        <v>0</v>
      </c>
      <c r="Q176" s="752">
        <v>0</v>
      </c>
      <c r="R176" s="9" t="s">
        <v>103</v>
      </c>
      <c r="S176" s="9" t="s">
        <v>103</v>
      </c>
    </row>
    <row r="177" spans="2:19">
      <c r="B177" s="746" t="s">
        <v>710</v>
      </c>
      <c r="C177" s="9" t="s">
        <v>1009</v>
      </c>
      <c r="D177" s="730" t="s">
        <v>110</v>
      </c>
      <c r="E177" s="747">
        <v>-1365081.2695640891</v>
      </c>
      <c r="F177" s="747">
        <v>146243.75976092397</v>
      </c>
      <c r="G177" s="747">
        <v>-1218837.509803165</v>
      </c>
      <c r="H177" s="694">
        <v>8.3342873008441067</v>
      </c>
      <c r="I177" s="749" t="s">
        <v>258</v>
      </c>
      <c r="J177" s="750">
        <v>-1218837.509803165</v>
      </c>
      <c r="K177" s="735">
        <v>0</v>
      </c>
      <c r="L177" s="735" t="s">
        <v>103</v>
      </c>
      <c r="M177" s="750">
        <v>0</v>
      </c>
      <c r="N177" s="750" t="s">
        <v>103</v>
      </c>
      <c r="O177" s="736">
        <v>0</v>
      </c>
      <c r="P177" s="754">
        <v>0</v>
      </c>
      <c r="Q177" s="752">
        <v>0</v>
      </c>
      <c r="R177" s="9" t="s">
        <v>103</v>
      </c>
      <c r="S177" s="9" t="s">
        <v>103</v>
      </c>
    </row>
    <row r="178" spans="2:19">
      <c r="B178" s="746" t="s">
        <v>715</v>
      </c>
      <c r="C178" s="9" t="s">
        <v>1009</v>
      </c>
      <c r="D178" s="730" t="s">
        <v>110</v>
      </c>
      <c r="E178" s="747">
        <v>-114280.27573417476</v>
      </c>
      <c r="F178" s="747">
        <v>25406.414582923357</v>
      </c>
      <c r="G178" s="747">
        <v>-88873.861151251403</v>
      </c>
      <c r="H178" s="694">
        <v>3.498087495233861</v>
      </c>
      <c r="I178" s="749" t="s">
        <v>258</v>
      </c>
      <c r="J178" s="750">
        <v>-88873.861151251403</v>
      </c>
      <c r="K178" s="735">
        <v>0</v>
      </c>
      <c r="L178" s="735" t="s">
        <v>103</v>
      </c>
      <c r="M178" s="750">
        <v>0</v>
      </c>
      <c r="N178" s="750" t="s">
        <v>103</v>
      </c>
      <c r="O178" s="736">
        <v>0</v>
      </c>
      <c r="P178" s="754">
        <v>0</v>
      </c>
      <c r="Q178" s="752">
        <v>0</v>
      </c>
      <c r="R178" s="9" t="s">
        <v>103</v>
      </c>
      <c r="S178" s="9" t="s">
        <v>103</v>
      </c>
    </row>
    <row r="179" spans="2:19">
      <c r="B179" s="746" t="s">
        <v>719</v>
      </c>
      <c r="C179" s="9" t="s">
        <v>1009</v>
      </c>
      <c r="D179" s="730" t="s">
        <v>110</v>
      </c>
      <c r="E179" s="747">
        <v>-251850.83976147074</v>
      </c>
      <c r="F179" s="747">
        <v>35825.67510418297</v>
      </c>
      <c r="G179" s="747">
        <v>-216025.16465728771</v>
      </c>
      <c r="H179" s="694">
        <v>6.0298979441161968</v>
      </c>
      <c r="I179" s="749" t="s">
        <v>258</v>
      </c>
      <c r="J179" s="750">
        <v>-216025.16465728771</v>
      </c>
      <c r="K179" s="735">
        <v>0</v>
      </c>
      <c r="L179" s="735" t="s">
        <v>103</v>
      </c>
      <c r="M179" s="750">
        <v>0</v>
      </c>
      <c r="N179" s="750" t="s">
        <v>103</v>
      </c>
      <c r="O179" s="736">
        <v>0</v>
      </c>
      <c r="P179" s="754">
        <v>0</v>
      </c>
      <c r="Q179" s="752">
        <v>0</v>
      </c>
      <c r="R179" s="9" t="s">
        <v>103</v>
      </c>
      <c r="S179" s="9" t="s">
        <v>103</v>
      </c>
    </row>
    <row r="180" spans="2:19">
      <c r="B180" s="746" t="s">
        <v>720</v>
      </c>
      <c r="C180" s="9" t="s">
        <v>1009</v>
      </c>
      <c r="D180" s="730" t="s">
        <v>110</v>
      </c>
      <c r="E180" s="747">
        <v>6334.0784089472472</v>
      </c>
      <c r="F180" s="747">
        <v>0</v>
      </c>
      <c r="G180" s="747">
        <v>6334.0784089472472</v>
      </c>
      <c r="H180" s="748">
        <v>0</v>
      </c>
      <c r="I180" s="749" t="s">
        <v>258</v>
      </c>
      <c r="J180" s="750">
        <v>6334.0784089472472</v>
      </c>
      <c r="K180" s="735">
        <v>0</v>
      </c>
      <c r="L180" s="735" t="s">
        <v>103</v>
      </c>
      <c r="M180" s="750">
        <v>0</v>
      </c>
      <c r="N180" s="750" t="s">
        <v>103</v>
      </c>
      <c r="O180" s="736">
        <v>0</v>
      </c>
      <c r="P180" s="754">
        <v>0</v>
      </c>
      <c r="Q180" s="752">
        <v>0</v>
      </c>
      <c r="R180" s="9" t="s">
        <v>103</v>
      </c>
      <c r="S180" s="9" t="s">
        <v>103</v>
      </c>
    </row>
    <row r="181" spans="2:19">
      <c r="B181" s="746" t="s">
        <v>721</v>
      </c>
      <c r="C181" s="9" t="s">
        <v>1009</v>
      </c>
      <c r="D181" s="730" t="s">
        <v>110</v>
      </c>
      <c r="E181" s="747">
        <v>151240.20610298467</v>
      </c>
      <c r="F181" s="747">
        <v>18473.602151083811</v>
      </c>
      <c r="G181" s="747">
        <v>169713.80825406854</v>
      </c>
      <c r="H181" s="748">
        <v>0</v>
      </c>
      <c r="I181" s="749" t="s">
        <v>258</v>
      </c>
      <c r="J181" s="750">
        <v>169713.80825406854</v>
      </c>
      <c r="K181" s="735">
        <v>0</v>
      </c>
      <c r="L181" s="735" t="s">
        <v>103</v>
      </c>
      <c r="M181" s="750">
        <v>0</v>
      </c>
      <c r="N181" s="750" t="s">
        <v>103</v>
      </c>
      <c r="O181" s="736">
        <v>0</v>
      </c>
      <c r="P181" s="754">
        <v>0</v>
      </c>
      <c r="Q181" s="752">
        <v>0</v>
      </c>
      <c r="R181" s="9" t="s">
        <v>103</v>
      </c>
      <c r="S181" s="9" t="s">
        <v>103</v>
      </c>
    </row>
    <row r="182" spans="2:19">
      <c r="B182" s="746" t="s">
        <v>724</v>
      </c>
      <c r="C182" s="9" t="s">
        <v>1009</v>
      </c>
      <c r="D182" s="730" t="s">
        <v>110</v>
      </c>
      <c r="E182" s="747">
        <v>310491.00326201844</v>
      </c>
      <c r="F182" s="747">
        <v>17560.380952942447</v>
      </c>
      <c r="G182" s="747">
        <v>328051.38421496074</v>
      </c>
      <c r="H182" s="748">
        <v>0</v>
      </c>
      <c r="I182" s="749" t="s">
        <v>258</v>
      </c>
      <c r="J182" s="750">
        <v>328051.38421496074</v>
      </c>
      <c r="K182" s="735">
        <v>0</v>
      </c>
      <c r="L182" s="735" t="s">
        <v>103</v>
      </c>
      <c r="M182" s="750">
        <v>0</v>
      </c>
      <c r="N182" s="750" t="s">
        <v>103</v>
      </c>
      <c r="O182" s="736">
        <v>0</v>
      </c>
      <c r="P182" s="754">
        <v>0</v>
      </c>
      <c r="Q182" s="752">
        <v>0</v>
      </c>
      <c r="R182" s="9" t="s">
        <v>103</v>
      </c>
      <c r="S182" s="9" t="s">
        <v>103</v>
      </c>
    </row>
    <row r="183" spans="2:19">
      <c r="B183" s="746" t="s">
        <v>728</v>
      </c>
      <c r="C183" s="9" t="s">
        <v>1009</v>
      </c>
      <c r="D183" s="730" t="s">
        <v>110</v>
      </c>
      <c r="E183" s="758">
        <v>265288.32004245935</v>
      </c>
      <c r="F183" s="758">
        <v>21675.976234120371</v>
      </c>
      <c r="G183" s="758">
        <v>286964.29627657973</v>
      </c>
      <c r="H183" s="748">
        <v>0</v>
      </c>
      <c r="I183" s="749" t="s">
        <v>258</v>
      </c>
      <c r="J183" s="750">
        <v>286964.29627657973</v>
      </c>
      <c r="K183" s="735">
        <v>0</v>
      </c>
      <c r="L183" s="735" t="s">
        <v>103</v>
      </c>
      <c r="M183" s="750">
        <v>0</v>
      </c>
      <c r="N183" s="750" t="s">
        <v>103</v>
      </c>
      <c r="O183" s="736">
        <v>0</v>
      </c>
      <c r="P183" s="754">
        <v>0</v>
      </c>
      <c r="Q183" s="752">
        <v>0</v>
      </c>
      <c r="R183" s="9" t="s">
        <v>103</v>
      </c>
      <c r="S183" s="9" t="s">
        <v>103</v>
      </c>
    </row>
    <row r="184" spans="2:19">
      <c r="B184" s="746" t="s">
        <v>729</v>
      </c>
      <c r="C184" s="9" t="s">
        <v>1009</v>
      </c>
      <c r="D184" s="730" t="s">
        <v>110</v>
      </c>
      <c r="E184" s="747">
        <v>9190834.1924128439</v>
      </c>
      <c r="F184" s="747">
        <v>513382.35847907292</v>
      </c>
      <c r="G184" s="747">
        <v>9720618.7708919179</v>
      </c>
      <c r="H184" s="748">
        <v>0</v>
      </c>
      <c r="I184" s="755" t="s">
        <v>258</v>
      </c>
      <c r="J184" s="756">
        <v>9720618.7708919179</v>
      </c>
      <c r="K184" s="735">
        <v>0</v>
      </c>
      <c r="L184" s="735" t="s">
        <v>103</v>
      </c>
      <c r="M184" s="756">
        <v>0</v>
      </c>
      <c r="N184" s="756" t="s">
        <v>103</v>
      </c>
      <c r="O184" s="736">
        <v>0</v>
      </c>
      <c r="P184" s="754">
        <v>0</v>
      </c>
      <c r="Q184" s="752">
        <v>0</v>
      </c>
      <c r="R184" s="9" t="s">
        <v>103</v>
      </c>
      <c r="S184" s="9" t="s">
        <v>103</v>
      </c>
    </row>
    <row r="185" spans="2:19" s="101" customFormat="1">
      <c r="B185" s="738" t="s">
        <v>1377</v>
      </c>
      <c r="C185" s="738"/>
      <c r="D185" s="738"/>
      <c r="E185" s="739">
        <v>14081317.877845339</v>
      </c>
      <c r="F185" s="739">
        <v>1502396.2525666407</v>
      </c>
      <c r="G185" s="739">
        <v>15682180.580411982</v>
      </c>
      <c r="H185" s="740">
        <v>0</v>
      </c>
      <c r="I185" s="741"/>
      <c r="J185" s="742">
        <v>15682180.580411982</v>
      </c>
      <c r="K185" s="742">
        <v>0</v>
      </c>
      <c r="L185" s="741"/>
      <c r="M185" s="742">
        <v>0</v>
      </c>
      <c r="N185" s="742">
        <v>0</v>
      </c>
      <c r="O185" s="743">
        <v>0</v>
      </c>
      <c r="P185" s="742">
        <v>0</v>
      </c>
      <c r="Q185" s="744">
        <v>0</v>
      </c>
      <c r="R185" s="741" t="s">
        <v>103</v>
      </c>
      <c r="S185" s="741" t="s">
        <v>103</v>
      </c>
    </row>
    <row r="186" spans="2:19" s="97" customFormat="1">
      <c r="B186" s="723" t="s">
        <v>746</v>
      </c>
      <c r="C186" s="723"/>
      <c r="D186" s="723"/>
      <c r="E186" s="724"/>
      <c r="F186" s="724"/>
      <c r="G186" s="724"/>
      <c r="H186" s="725">
        <v>0</v>
      </c>
      <c r="I186" s="726"/>
      <c r="J186" s="727"/>
      <c r="K186" s="726"/>
      <c r="L186" s="726"/>
      <c r="M186" s="727">
        <v>0</v>
      </c>
      <c r="N186" s="727"/>
      <c r="O186" s="728"/>
      <c r="P186" s="727"/>
      <c r="Q186" s="726"/>
      <c r="R186" s="726"/>
      <c r="S186" s="726"/>
    </row>
    <row r="187" spans="2:19">
      <c r="B187" s="746" t="s">
        <v>747</v>
      </c>
      <c r="C187" s="9" t="s">
        <v>1009</v>
      </c>
      <c r="D187" s="730" t="s">
        <v>110</v>
      </c>
      <c r="E187" s="747">
        <v>-59221.88070689141</v>
      </c>
      <c r="F187" s="747">
        <v>8007.8837250338493</v>
      </c>
      <c r="G187" s="747">
        <v>-51213.99698185757</v>
      </c>
      <c r="H187" s="694">
        <v>6.395447129402605</v>
      </c>
      <c r="I187" s="749" t="s">
        <v>258</v>
      </c>
      <c r="J187" s="750">
        <v>-51213.99698185757</v>
      </c>
      <c r="K187" s="735">
        <v>0</v>
      </c>
      <c r="L187" s="735" t="s">
        <v>103</v>
      </c>
      <c r="M187" s="750">
        <v>0</v>
      </c>
      <c r="N187" s="750" t="s">
        <v>103</v>
      </c>
      <c r="O187" s="736">
        <v>0</v>
      </c>
      <c r="P187" s="754">
        <v>0</v>
      </c>
      <c r="Q187" s="752">
        <v>0</v>
      </c>
      <c r="R187" s="9" t="s">
        <v>103</v>
      </c>
      <c r="S187" s="9" t="s">
        <v>103</v>
      </c>
    </row>
    <row r="188" spans="2:19">
      <c r="B188" s="746" t="s">
        <v>752</v>
      </c>
      <c r="C188" s="9" t="s">
        <v>1009</v>
      </c>
      <c r="D188" s="730" t="s">
        <v>110</v>
      </c>
      <c r="E188" s="747">
        <v>336835.31347315526</v>
      </c>
      <c r="F188" s="747">
        <v>119224.46137806162</v>
      </c>
      <c r="G188" s="747">
        <v>446759.60485121649</v>
      </c>
      <c r="H188" s="748">
        <v>0</v>
      </c>
      <c r="I188" s="749" t="s">
        <v>258</v>
      </c>
      <c r="J188" s="750">
        <v>446759.60485121649</v>
      </c>
      <c r="K188" s="735">
        <v>0</v>
      </c>
      <c r="L188" s="735" t="s">
        <v>103</v>
      </c>
      <c r="M188" s="750">
        <v>0</v>
      </c>
      <c r="N188" s="750" t="s">
        <v>103</v>
      </c>
      <c r="O188" s="736">
        <v>0</v>
      </c>
      <c r="P188" s="754">
        <v>0</v>
      </c>
      <c r="Q188" s="752">
        <v>0</v>
      </c>
      <c r="R188" s="9" t="s">
        <v>103</v>
      </c>
      <c r="S188" s="9" t="s">
        <v>103</v>
      </c>
    </row>
    <row r="189" spans="2:19">
      <c r="B189" s="746" t="s">
        <v>759</v>
      </c>
      <c r="C189" s="9" t="s">
        <v>1009</v>
      </c>
      <c r="D189" s="730" t="s">
        <v>110</v>
      </c>
      <c r="E189" s="747">
        <v>4418.0634764375409</v>
      </c>
      <c r="F189" s="747">
        <v>309.6868398201895</v>
      </c>
      <c r="G189" s="747">
        <v>4727.7503162577304</v>
      </c>
      <c r="H189" s="748">
        <v>0</v>
      </c>
      <c r="I189" s="749" t="s">
        <v>258</v>
      </c>
      <c r="J189" s="750">
        <v>4727.7503162577304</v>
      </c>
      <c r="K189" s="735">
        <v>0</v>
      </c>
      <c r="L189" s="735" t="s">
        <v>103</v>
      </c>
      <c r="M189" s="750">
        <v>0</v>
      </c>
      <c r="N189" s="750" t="s">
        <v>103</v>
      </c>
      <c r="O189" s="736">
        <v>0</v>
      </c>
      <c r="P189" s="754">
        <v>0</v>
      </c>
      <c r="Q189" s="752">
        <v>0</v>
      </c>
      <c r="R189" s="9" t="s">
        <v>103</v>
      </c>
      <c r="S189" s="9" t="s">
        <v>103</v>
      </c>
    </row>
    <row r="190" spans="2:19">
      <c r="B190" s="746" t="s">
        <v>760</v>
      </c>
      <c r="C190" s="9" t="s">
        <v>1009</v>
      </c>
      <c r="D190" s="730" t="s">
        <v>110</v>
      </c>
      <c r="E190" s="747">
        <v>-383918.22874735127</v>
      </c>
      <c r="F190" s="747">
        <v>54779.22021110553</v>
      </c>
      <c r="G190" s="747">
        <v>-329139.00853624556</v>
      </c>
      <c r="H190" s="694">
        <v>6.0084646562661064</v>
      </c>
      <c r="I190" s="749" t="s">
        <v>258</v>
      </c>
      <c r="J190" s="750">
        <v>-329139.00853624556</v>
      </c>
      <c r="K190" s="735">
        <v>0</v>
      </c>
      <c r="L190" s="735" t="s">
        <v>103</v>
      </c>
      <c r="M190" s="750">
        <v>0</v>
      </c>
      <c r="N190" s="750" t="s">
        <v>103</v>
      </c>
      <c r="O190" s="736">
        <v>0</v>
      </c>
      <c r="P190" s="754">
        <v>0</v>
      </c>
      <c r="Q190" s="752">
        <v>0</v>
      </c>
      <c r="R190" s="9" t="s">
        <v>103</v>
      </c>
      <c r="S190" s="9" t="s">
        <v>103</v>
      </c>
    </row>
    <row r="191" spans="2:19">
      <c r="B191" s="746" t="s">
        <v>764</v>
      </c>
      <c r="C191" s="9" t="s">
        <v>1009</v>
      </c>
      <c r="D191" s="730" t="s">
        <v>110</v>
      </c>
      <c r="E191" s="747">
        <v>828387.92941271828</v>
      </c>
      <c r="F191" s="747">
        <v>76637.87597697234</v>
      </c>
      <c r="G191" s="747">
        <v>905025.80538969068</v>
      </c>
      <c r="H191" s="748">
        <v>0</v>
      </c>
      <c r="I191" s="749" t="s">
        <v>258</v>
      </c>
      <c r="J191" s="750">
        <v>905025.80538969068</v>
      </c>
      <c r="K191" s="735">
        <v>0</v>
      </c>
      <c r="L191" s="735" t="s">
        <v>103</v>
      </c>
      <c r="M191" s="750">
        <v>0</v>
      </c>
      <c r="N191" s="750" t="s">
        <v>103</v>
      </c>
      <c r="O191" s="736">
        <v>0</v>
      </c>
      <c r="P191" s="754">
        <v>0</v>
      </c>
      <c r="Q191" s="752">
        <v>0</v>
      </c>
      <c r="R191" s="9" t="s">
        <v>103</v>
      </c>
      <c r="S191" s="9" t="s">
        <v>103</v>
      </c>
    </row>
    <row r="192" spans="2:19">
      <c r="B192" s="746" t="s">
        <v>772</v>
      </c>
      <c r="C192" s="9" t="s">
        <v>1009</v>
      </c>
      <c r="D192" s="730" t="s">
        <v>110</v>
      </c>
      <c r="E192" s="747">
        <v>-908479.41729851067</v>
      </c>
      <c r="F192" s="747">
        <v>0</v>
      </c>
      <c r="G192" s="747">
        <v>-908479.41729851067</v>
      </c>
      <c r="H192" s="694">
        <v>0</v>
      </c>
      <c r="I192" s="749" t="s">
        <v>258</v>
      </c>
      <c r="J192" s="750">
        <v>-908479.41729851067</v>
      </c>
      <c r="K192" s="735">
        <v>0</v>
      </c>
      <c r="L192" s="735" t="s">
        <v>103</v>
      </c>
      <c r="M192" s="750">
        <v>0</v>
      </c>
      <c r="N192" s="750" t="s">
        <v>103</v>
      </c>
      <c r="O192" s="736">
        <v>0</v>
      </c>
      <c r="P192" s="754">
        <v>0</v>
      </c>
      <c r="Q192" s="752">
        <v>0</v>
      </c>
      <c r="R192" s="9" t="s">
        <v>103</v>
      </c>
      <c r="S192" s="9" t="s">
        <v>103</v>
      </c>
    </row>
    <row r="193" spans="2:19">
      <c r="B193" s="746" t="s">
        <v>777</v>
      </c>
      <c r="C193" s="9" t="s">
        <v>1009</v>
      </c>
      <c r="D193" s="730" t="s">
        <v>110</v>
      </c>
      <c r="E193" s="747">
        <v>17551.863148012861</v>
      </c>
      <c r="F193" s="747">
        <v>924.69018355031164</v>
      </c>
      <c r="G193" s="747">
        <v>18476.553331563173</v>
      </c>
      <c r="H193" s="748">
        <v>0</v>
      </c>
      <c r="I193" s="749" t="s">
        <v>258</v>
      </c>
      <c r="J193" s="750">
        <v>18476.553331563173</v>
      </c>
      <c r="K193" s="735">
        <v>0</v>
      </c>
      <c r="L193" s="735" t="s">
        <v>103</v>
      </c>
      <c r="M193" s="750">
        <v>0</v>
      </c>
      <c r="N193" s="750" t="s">
        <v>103</v>
      </c>
      <c r="O193" s="736">
        <v>0</v>
      </c>
      <c r="P193" s="754">
        <v>0</v>
      </c>
      <c r="Q193" s="752">
        <v>0</v>
      </c>
      <c r="R193" s="9" t="s">
        <v>103</v>
      </c>
      <c r="S193" s="9" t="s">
        <v>103</v>
      </c>
    </row>
    <row r="194" spans="2:19">
      <c r="B194" s="746" t="s">
        <v>778</v>
      </c>
      <c r="C194" s="9" t="s">
        <v>1009</v>
      </c>
      <c r="D194" s="730" t="s">
        <v>110</v>
      </c>
      <c r="E194" s="747">
        <v>2635267.9928333848</v>
      </c>
      <c r="F194" s="747">
        <v>114058.39043589399</v>
      </c>
      <c r="G194" s="747">
        <v>2749326.3832692793</v>
      </c>
      <c r="H194" s="748">
        <v>0</v>
      </c>
      <c r="I194" s="749" t="s">
        <v>258</v>
      </c>
      <c r="J194" s="750">
        <v>2749326.3832692793</v>
      </c>
      <c r="K194" s="735">
        <v>0</v>
      </c>
      <c r="L194" s="735" t="s">
        <v>103</v>
      </c>
      <c r="M194" s="750">
        <v>0</v>
      </c>
      <c r="N194" s="750" t="s">
        <v>103</v>
      </c>
      <c r="O194" s="736">
        <v>0</v>
      </c>
      <c r="P194" s="754">
        <v>0</v>
      </c>
      <c r="Q194" s="752">
        <v>0</v>
      </c>
      <c r="R194" s="9" t="s">
        <v>103</v>
      </c>
      <c r="S194" s="9" t="s">
        <v>103</v>
      </c>
    </row>
    <row r="195" spans="2:19">
      <c r="B195" s="746" t="s">
        <v>794</v>
      </c>
      <c r="C195" s="9" t="s">
        <v>1009</v>
      </c>
      <c r="D195" s="730" t="s">
        <v>110</v>
      </c>
      <c r="E195" s="747">
        <v>897060.3816641809</v>
      </c>
      <c r="F195" s="747">
        <v>14096.677347902738</v>
      </c>
      <c r="G195" s="747">
        <v>911157.05901208369</v>
      </c>
      <c r="H195" s="748">
        <v>0</v>
      </c>
      <c r="I195" s="749" t="s">
        <v>258</v>
      </c>
      <c r="J195" s="750">
        <v>911157.05901208369</v>
      </c>
      <c r="K195" s="735">
        <v>0</v>
      </c>
      <c r="L195" s="735" t="s">
        <v>103</v>
      </c>
      <c r="M195" s="750">
        <v>0</v>
      </c>
      <c r="N195" s="750" t="s">
        <v>103</v>
      </c>
      <c r="O195" s="736">
        <v>0</v>
      </c>
      <c r="P195" s="754">
        <v>0</v>
      </c>
      <c r="Q195" s="752">
        <v>0</v>
      </c>
      <c r="R195" s="9" t="s">
        <v>103</v>
      </c>
      <c r="S195" s="9" t="s">
        <v>103</v>
      </c>
    </row>
    <row r="196" spans="2:19">
      <c r="B196" s="746" t="s">
        <v>795</v>
      </c>
      <c r="C196" s="9" t="s">
        <v>1009</v>
      </c>
      <c r="D196" s="730" t="s">
        <v>110</v>
      </c>
      <c r="E196" s="747">
        <v>1264074.3361750576</v>
      </c>
      <c r="F196" s="747">
        <v>128330.46579496894</v>
      </c>
      <c r="G196" s="747">
        <v>1382766.4219700261</v>
      </c>
      <c r="H196" s="748">
        <v>0</v>
      </c>
      <c r="I196" s="749" t="s">
        <v>258</v>
      </c>
      <c r="J196" s="750">
        <v>1382766.4219700261</v>
      </c>
      <c r="K196" s="735">
        <v>0</v>
      </c>
      <c r="L196" s="735" t="s">
        <v>103</v>
      </c>
      <c r="M196" s="750">
        <v>0</v>
      </c>
      <c r="N196" s="750" t="s">
        <v>103</v>
      </c>
      <c r="O196" s="736">
        <v>0</v>
      </c>
      <c r="P196" s="754">
        <v>0</v>
      </c>
      <c r="Q196" s="752">
        <v>0</v>
      </c>
      <c r="R196" s="9" t="s">
        <v>103</v>
      </c>
      <c r="S196" s="9" t="s">
        <v>103</v>
      </c>
    </row>
    <row r="197" spans="2:19">
      <c r="B197" s="746" t="s">
        <v>802</v>
      </c>
      <c r="C197" s="9" t="s">
        <v>1009</v>
      </c>
      <c r="D197" s="730" t="s">
        <v>110</v>
      </c>
      <c r="E197" s="747">
        <v>-278503.69652468595</v>
      </c>
      <c r="F197" s="747">
        <v>66165.43889583803</v>
      </c>
      <c r="G197" s="747">
        <v>-212338.25762884814</v>
      </c>
      <c r="H197" s="694">
        <v>3.2092019817646027</v>
      </c>
      <c r="I197" s="749" t="s">
        <v>258</v>
      </c>
      <c r="J197" s="750">
        <v>-212338.25762884814</v>
      </c>
      <c r="K197" s="735">
        <v>0</v>
      </c>
      <c r="L197" s="735" t="s">
        <v>103</v>
      </c>
      <c r="M197" s="750">
        <v>0</v>
      </c>
      <c r="N197" s="750" t="s">
        <v>103</v>
      </c>
      <c r="O197" s="736">
        <v>0</v>
      </c>
      <c r="P197" s="754">
        <v>0</v>
      </c>
      <c r="Q197" s="752">
        <v>0</v>
      </c>
      <c r="R197" s="9" t="s">
        <v>103</v>
      </c>
      <c r="S197" s="9" t="s">
        <v>103</v>
      </c>
    </row>
    <row r="198" spans="2:19">
      <c r="B198" s="746" t="s">
        <v>806</v>
      </c>
      <c r="C198" s="9" t="s">
        <v>1009</v>
      </c>
      <c r="D198" s="730" t="s">
        <v>110</v>
      </c>
      <c r="E198" s="747">
        <v>195661.43326419196</v>
      </c>
      <c r="F198" s="747">
        <v>30796.159858409839</v>
      </c>
      <c r="G198" s="747">
        <v>226457.5931226018</v>
      </c>
      <c r="H198" s="748">
        <v>0</v>
      </c>
      <c r="I198" s="749" t="s">
        <v>258</v>
      </c>
      <c r="J198" s="750">
        <v>226457.5931226018</v>
      </c>
      <c r="K198" s="735">
        <v>0</v>
      </c>
      <c r="L198" s="735" t="s">
        <v>103</v>
      </c>
      <c r="M198" s="750">
        <v>0</v>
      </c>
      <c r="N198" s="750" t="s">
        <v>103</v>
      </c>
      <c r="O198" s="736">
        <v>0</v>
      </c>
      <c r="P198" s="754">
        <v>0</v>
      </c>
      <c r="Q198" s="752">
        <v>0</v>
      </c>
      <c r="R198" s="9" t="s">
        <v>103</v>
      </c>
      <c r="S198" s="9" t="s">
        <v>103</v>
      </c>
    </row>
    <row r="199" spans="2:19">
      <c r="B199" s="746" t="s">
        <v>809</v>
      </c>
      <c r="C199" s="9" t="s">
        <v>1009</v>
      </c>
      <c r="D199" s="730" t="s">
        <v>110</v>
      </c>
      <c r="E199" s="747">
        <v>-383971.77135542629</v>
      </c>
      <c r="F199" s="747">
        <v>71776.872530902154</v>
      </c>
      <c r="G199" s="747">
        <v>-298369.73882452445</v>
      </c>
      <c r="H199" s="694">
        <v>4.1569063725375761</v>
      </c>
      <c r="I199" s="749" t="s">
        <v>258</v>
      </c>
      <c r="J199" s="750">
        <v>-298369.73882452445</v>
      </c>
      <c r="K199" s="735">
        <v>0</v>
      </c>
      <c r="L199" s="735" t="s">
        <v>103</v>
      </c>
      <c r="M199" s="750">
        <v>0</v>
      </c>
      <c r="N199" s="750" t="s">
        <v>103</v>
      </c>
      <c r="O199" s="736">
        <v>0</v>
      </c>
      <c r="P199" s="754">
        <v>0</v>
      </c>
      <c r="Q199" s="752">
        <v>0</v>
      </c>
      <c r="R199" s="9" t="s">
        <v>103</v>
      </c>
      <c r="S199" s="9" t="s">
        <v>103</v>
      </c>
    </row>
    <row r="200" spans="2:19">
      <c r="B200" s="746" t="s">
        <v>818</v>
      </c>
      <c r="C200" s="9" t="s">
        <v>1009</v>
      </c>
      <c r="D200" s="730" t="s">
        <v>110</v>
      </c>
      <c r="E200" s="747">
        <v>1113672.2860750984</v>
      </c>
      <c r="F200" s="747">
        <v>244455.19827713782</v>
      </c>
      <c r="G200" s="747">
        <v>1358127.4843522361</v>
      </c>
      <c r="H200" s="748">
        <v>0</v>
      </c>
      <c r="I200" s="749" t="s">
        <v>258</v>
      </c>
      <c r="J200" s="750">
        <v>1358127.4843522361</v>
      </c>
      <c r="K200" s="735">
        <v>0</v>
      </c>
      <c r="L200" s="735" t="s">
        <v>103</v>
      </c>
      <c r="M200" s="750">
        <v>0</v>
      </c>
      <c r="N200" s="750" t="s">
        <v>103</v>
      </c>
      <c r="O200" s="736">
        <v>0</v>
      </c>
      <c r="P200" s="754">
        <v>0</v>
      </c>
      <c r="Q200" s="752">
        <v>0</v>
      </c>
      <c r="R200" s="9" t="s">
        <v>103</v>
      </c>
      <c r="S200" s="9" t="s">
        <v>103</v>
      </c>
    </row>
    <row r="201" spans="2:19">
      <c r="B201" s="746" t="s">
        <v>826</v>
      </c>
      <c r="C201" s="9" t="s">
        <v>1009</v>
      </c>
      <c r="D201" s="730" t="s">
        <v>110</v>
      </c>
      <c r="E201" s="747">
        <v>-804056.65744321037</v>
      </c>
      <c r="F201" s="747">
        <v>128711.36875415211</v>
      </c>
      <c r="G201" s="747">
        <v>-675345.28868905746</v>
      </c>
      <c r="H201" s="694">
        <v>5.2469746474300578</v>
      </c>
      <c r="I201" s="749" t="s">
        <v>258</v>
      </c>
      <c r="J201" s="750">
        <v>-675345.28868905746</v>
      </c>
      <c r="K201" s="735">
        <v>0</v>
      </c>
      <c r="L201" s="735" t="s">
        <v>103</v>
      </c>
      <c r="M201" s="750">
        <v>0</v>
      </c>
      <c r="N201" s="750" t="s">
        <v>103</v>
      </c>
      <c r="O201" s="736">
        <v>0</v>
      </c>
      <c r="P201" s="754">
        <v>0</v>
      </c>
      <c r="Q201" s="752">
        <v>0</v>
      </c>
      <c r="R201" s="9" t="s">
        <v>103</v>
      </c>
      <c r="S201" s="9" t="s">
        <v>103</v>
      </c>
    </row>
    <row r="202" spans="2:19">
      <c r="B202" s="746" t="s">
        <v>833</v>
      </c>
      <c r="C202" s="9" t="s">
        <v>1009</v>
      </c>
      <c r="D202" s="730" t="s">
        <v>110</v>
      </c>
      <c r="E202" s="747">
        <v>1901480.8502870165</v>
      </c>
      <c r="F202" s="747">
        <v>125997.22534293</v>
      </c>
      <c r="G202" s="747">
        <v>2027478.0756299465</v>
      </c>
      <c r="H202" s="748">
        <v>0</v>
      </c>
      <c r="I202" s="749" t="s">
        <v>258</v>
      </c>
      <c r="J202" s="750">
        <v>2027478.0756299465</v>
      </c>
      <c r="K202" s="735">
        <v>0</v>
      </c>
      <c r="L202" s="735" t="s">
        <v>103</v>
      </c>
      <c r="M202" s="750">
        <v>0</v>
      </c>
      <c r="N202" s="750" t="s">
        <v>103</v>
      </c>
      <c r="O202" s="736">
        <v>0</v>
      </c>
      <c r="P202" s="754">
        <v>0</v>
      </c>
      <c r="Q202" s="752">
        <v>0</v>
      </c>
      <c r="R202" s="9" t="s">
        <v>103</v>
      </c>
      <c r="S202" s="9" t="s">
        <v>103</v>
      </c>
    </row>
    <row r="203" spans="2:19">
      <c r="B203" s="746" t="s">
        <v>838</v>
      </c>
      <c r="C203" s="9" t="s">
        <v>1009</v>
      </c>
      <c r="D203" s="730" t="s">
        <v>110</v>
      </c>
      <c r="E203" s="747">
        <v>-822162.96123458748</v>
      </c>
      <c r="F203" s="747">
        <v>113343.12943712718</v>
      </c>
      <c r="G203" s="747">
        <v>-708819.83179746033</v>
      </c>
      <c r="H203" s="694">
        <v>6.2537520828790187</v>
      </c>
      <c r="I203" s="749" t="s">
        <v>258</v>
      </c>
      <c r="J203" s="750">
        <v>-708819.83179746033</v>
      </c>
      <c r="K203" s="735">
        <v>0</v>
      </c>
      <c r="L203" s="735" t="s">
        <v>103</v>
      </c>
      <c r="M203" s="750">
        <v>0</v>
      </c>
      <c r="N203" s="750" t="s">
        <v>103</v>
      </c>
      <c r="O203" s="736">
        <v>0</v>
      </c>
      <c r="P203" s="754">
        <v>0</v>
      </c>
      <c r="Q203" s="752">
        <v>0</v>
      </c>
      <c r="R203" s="9" t="s">
        <v>103</v>
      </c>
      <c r="S203" s="9" t="s">
        <v>103</v>
      </c>
    </row>
    <row r="204" spans="2:19">
      <c r="B204" s="746" t="s">
        <v>841</v>
      </c>
      <c r="C204" s="9" t="s">
        <v>1009</v>
      </c>
      <c r="D204" s="730" t="s">
        <v>110</v>
      </c>
      <c r="E204" s="747">
        <v>1510388.4399271179</v>
      </c>
      <c r="F204" s="747">
        <v>413485.22181414964</v>
      </c>
      <c r="G204" s="747">
        <v>1923873.6617412656</v>
      </c>
      <c r="H204" s="748">
        <v>0</v>
      </c>
      <c r="I204" s="749" t="s">
        <v>258</v>
      </c>
      <c r="J204" s="750">
        <v>1923873.6617412656</v>
      </c>
      <c r="K204" s="735">
        <v>0</v>
      </c>
      <c r="L204" s="735" t="s">
        <v>103</v>
      </c>
      <c r="M204" s="750">
        <v>0</v>
      </c>
      <c r="N204" s="750" t="s">
        <v>103</v>
      </c>
      <c r="O204" s="736">
        <v>0</v>
      </c>
      <c r="P204" s="754">
        <v>0</v>
      </c>
      <c r="Q204" s="752">
        <v>0</v>
      </c>
      <c r="R204" s="9" t="s">
        <v>103</v>
      </c>
      <c r="S204" s="9" t="s">
        <v>103</v>
      </c>
    </row>
    <row r="205" spans="2:19">
      <c r="B205" s="746" t="s">
        <v>853</v>
      </c>
      <c r="C205" s="9" t="s">
        <v>1009</v>
      </c>
      <c r="D205" s="730" t="s">
        <v>110</v>
      </c>
      <c r="E205" s="747">
        <v>-192475.68882003729</v>
      </c>
      <c r="F205" s="747">
        <v>52529.912962864568</v>
      </c>
      <c r="G205" s="747">
        <v>-139945.77585717273</v>
      </c>
      <c r="H205" s="694">
        <v>2.6641158906184716</v>
      </c>
      <c r="I205" s="749" t="s">
        <v>258</v>
      </c>
      <c r="J205" s="750">
        <v>-139945.77585717273</v>
      </c>
      <c r="K205" s="735">
        <v>0</v>
      </c>
      <c r="L205" s="735" t="s">
        <v>103</v>
      </c>
      <c r="M205" s="750">
        <v>0</v>
      </c>
      <c r="N205" s="750" t="s">
        <v>103</v>
      </c>
      <c r="O205" s="736">
        <v>0</v>
      </c>
      <c r="P205" s="754">
        <v>0</v>
      </c>
      <c r="Q205" s="752">
        <v>0</v>
      </c>
      <c r="R205" s="9" t="s">
        <v>103</v>
      </c>
      <c r="S205" s="9" t="s">
        <v>103</v>
      </c>
    </row>
    <row r="206" spans="2:19">
      <c r="B206" s="746" t="s">
        <v>861</v>
      </c>
      <c r="C206" s="9" t="s">
        <v>1009</v>
      </c>
      <c r="D206" s="730" t="s">
        <v>110</v>
      </c>
      <c r="E206" s="747">
        <v>2617345.5807347009</v>
      </c>
      <c r="F206" s="747">
        <v>134421.28251117017</v>
      </c>
      <c r="G206" s="747">
        <v>2751766.8632458709</v>
      </c>
      <c r="H206" s="748">
        <v>0</v>
      </c>
      <c r="I206" s="749" t="s">
        <v>258</v>
      </c>
      <c r="J206" s="750">
        <v>2751766.8632458709</v>
      </c>
      <c r="K206" s="735">
        <v>0</v>
      </c>
      <c r="L206" s="735" t="s">
        <v>103</v>
      </c>
      <c r="M206" s="750">
        <v>0</v>
      </c>
      <c r="N206" s="750" t="s">
        <v>103</v>
      </c>
      <c r="O206" s="736">
        <v>0</v>
      </c>
      <c r="P206" s="754">
        <v>0</v>
      </c>
      <c r="Q206" s="752">
        <v>0</v>
      </c>
      <c r="R206" s="9" t="s">
        <v>103</v>
      </c>
      <c r="S206" s="9" t="s">
        <v>103</v>
      </c>
    </row>
    <row r="207" spans="2:19">
      <c r="B207" s="746" t="s">
        <v>862</v>
      </c>
      <c r="C207" s="9" t="s">
        <v>1009</v>
      </c>
      <c r="D207" s="730" t="s">
        <v>110</v>
      </c>
      <c r="E207" s="747">
        <v>419876.65660225379</v>
      </c>
      <c r="F207" s="747">
        <v>49253.182922462627</v>
      </c>
      <c r="G207" s="747">
        <v>469129.83952471631</v>
      </c>
      <c r="H207" s="748">
        <v>0</v>
      </c>
      <c r="I207" s="749" t="s">
        <v>258</v>
      </c>
      <c r="J207" s="750">
        <v>469129.83952471631</v>
      </c>
      <c r="K207" s="735">
        <v>0</v>
      </c>
      <c r="L207" s="735" t="s">
        <v>103</v>
      </c>
      <c r="M207" s="750">
        <v>0</v>
      </c>
      <c r="N207" s="750" t="s">
        <v>103</v>
      </c>
      <c r="O207" s="736">
        <v>0</v>
      </c>
      <c r="P207" s="754">
        <v>0</v>
      </c>
      <c r="Q207" s="752">
        <v>0</v>
      </c>
      <c r="R207" s="9" t="s">
        <v>103</v>
      </c>
      <c r="S207" s="9" t="s">
        <v>103</v>
      </c>
    </row>
    <row r="208" spans="2:19">
      <c r="B208" s="746" t="s">
        <v>869</v>
      </c>
      <c r="C208" s="9" t="s">
        <v>1009</v>
      </c>
      <c r="D208" s="730" t="s">
        <v>110</v>
      </c>
      <c r="E208" s="747">
        <v>-393532.00343010057</v>
      </c>
      <c r="F208" s="747">
        <v>73723.05947939679</v>
      </c>
      <c r="G208" s="747">
        <v>-319808.94395070337</v>
      </c>
      <c r="H208" s="694">
        <v>4.3379771025384484</v>
      </c>
      <c r="I208" s="749" t="s">
        <v>258</v>
      </c>
      <c r="J208" s="750">
        <v>-319808.94395070337</v>
      </c>
      <c r="K208" s="735">
        <v>0</v>
      </c>
      <c r="L208" s="735" t="s">
        <v>103</v>
      </c>
      <c r="M208" s="750">
        <v>0</v>
      </c>
      <c r="N208" s="750" t="s">
        <v>103</v>
      </c>
      <c r="O208" s="736">
        <v>0</v>
      </c>
      <c r="P208" s="754">
        <v>0</v>
      </c>
      <c r="Q208" s="752">
        <v>0</v>
      </c>
      <c r="R208" s="9" t="s">
        <v>103</v>
      </c>
      <c r="S208" s="9" t="s">
        <v>103</v>
      </c>
    </row>
    <row r="209" spans="2:19">
      <c r="B209" s="746" t="s">
        <v>870</v>
      </c>
      <c r="C209" s="9" t="s">
        <v>1009</v>
      </c>
      <c r="D209" s="730" t="s">
        <v>110</v>
      </c>
      <c r="E209" s="747">
        <v>1827825.8924300165</v>
      </c>
      <c r="F209" s="747">
        <v>9376.0991514480556</v>
      </c>
      <c r="G209" s="747">
        <v>1837201.9915814647</v>
      </c>
      <c r="H209" s="748">
        <v>0</v>
      </c>
      <c r="I209" s="749" t="s">
        <v>258</v>
      </c>
      <c r="J209" s="750">
        <v>1837201.9915814647</v>
      </c>
      <c r="K209" s="735">
        <v>0</v>
      </c>
      <c r="L209" s="735" t="s">
        <v>103</v>
      </c>
      <c r="M209" s="750">
        <v>0</v>
      </c>
      <c r="N209" s="750" t="s">
        <v>103</v>
      </c>
      <c r="O209" s="736">
        <v>0</v>
      </c>
      <c r="P209" s="754">
        <v>0</v>
      </c>
      <c r="Q209" s="752">
        <v>0</v>
      </c>
      <c r="R209" s="9" t="s">
        <v>103</v>
      </c>
      <c r="S209" s="9" t="s">
        <v>103</v>
      </c>
    </row>
    <row r="210" spans="2:19">
      <c r="B210" s="746" t="s">
        <v>871</v>
      </c>
      <c r="C210" s="9" t="s">
        <v>1009</v>
      </c>
      <c r="D210" s="730" t="s">
        <v>110</v>
      </c>
      <c r="E210" s="747">
        <v>3491914.4886934729</v>
      </c>
      <c r="F210" s="747">
        <v>1024782.8886518881</v>
      </c>
      <c r="G210" s="747">
        <v>4516697.3773453599</v>
      </c>
      <c r="H210" s="748">
        <v>0</v>
      </c>
      <c r="I210" s="755" t="s">
        <v>258</v>
      </c>
      <c r="J210" s="756">
        <v>4516697.3773453599</v>
      </c>
      <c r="K210" s="735">
        <v>0</v>
      </c>
      <c r="L210" s="735" t="s">
        <v>103</v>
      </c>
      <c r="M210" s="756">
        <v>0</v>
      </c>
      <c r="N210" s="756" t="s">
        <v>103</v>
      </c>
      <c r="O210" s="736">
        <v>0</v>
      </c>
      <c r="P210" s="754">
        <v>0</v>
      </c>
      <c r="Q210" s="752">
        <v>0</v>
      </c>
      <c r="R210" s="9" t="s">
        <v>103</v>
      </c>
      <c r="S210" s="9" t="s">
        <v>103</v>
      </c>
    </row>
    <row r="211" spans="2:19" s="101" customFormat="1">
      <c r="B211" s="738" t="s">
        <v>1404</v>
      </c>
      <c r="C211" s="738"/>
      <c r="D211" s="738"/>
      <c r="E211" s="739">
        <v>14835439.202636015</v>
      </c>
      <c r="F211" s="739">
        <v>3055186.3924831869</v>
      </c>
      <c r="G211" s="739">
        <v>17885512.2051192</v>
      </c>
      <c r="H211" s="740">
        <v>0</v>
      </c>
      <c r="I211" s="741"/>
      <c r="J211" s="742">
        <v>17885512.2051192</v>
      </c>
      <c r="K211" s="742">
        <v>0</v>
      </c>
      <c r="L211" s="741"/>
      <c r="M211" s="742">
        <v>0</v>
      </c>
      <c r="N211" s="742">
        <v>0</v>
      </c>
      <c r="O211" s="743">
        <v>0</v>
      </c>
      <c r="P211" s="742">
        <v>0</v>
      </c>
      <c r="Q211" s="744">
        <v>0</v>
      </c>
      <c r="R211" s="741" t="s">
        <v>103</v>
      </c>
      <c r="S211" s="741" t="s">
        <v>103</v>
      </c>
    </row>
    <row r="212" spans="2:19" s="97" customFormat="1">
      <c r="B212" s="723" t="s">
        <v>880</v>
      </c>
      <c r="C212" s="723"/>
      <c r="D212" s="723"/>
      <c r="E212" s="724"/>
      <c r="F212" s="724"/>
      <c r="G212" s="724"/>
      <c r="H212" s="725">
        <v>0</v>
      </c>
      <c r="I212" s="726"/>
      <c r="J212" s="727"/>
      <c r="K212" s="726"/>
      <c r="L212" s="726"/>
      <c r="M212" s="727"/>
      <c r="N212" s="727"/>
      <c r="O212" s="728"/>
      <c r="P212" s="727"/>
      <c r="Q212" s="726"/>
      <c r="R212" s="726"/>
      <c r="S212" s="726"/>
    </row>
    <row r="213" spans="2:19">
      <c r="B213" s="746" t="s">
        <v>881</v>
      </c>
      <c r="C213" s="9" t="s">
        <v>1009</v>
      </c>
      <c r="D213" s="730" t="s">
        <v>110</v>
      </c>
      <c r="E213" s="747">
        <v>1331.8955184148515</v>
      </c>
      <c r="F213" s="747">
        <v>95.981142683608851</v>
      </c>
      <c r="G213" s="747">
        <v>1427.8766610984603</v>
      </c>
      <c r="H213" s="748">
        <v>0</v>
      </c>
      <c r="I213" s="755" t="s">
        <v>258</v>
      </c>
      <c r="J213" s="756">
        <v>1427.8766610984603</v>
      </c>
      <c r="K213" s="735">
        <v>0</v>
      </c>
      <c r="L213" s="735" t="s">
        <v>103</v>
      </c>
      <c r="M213" s="756">
        <v>0</v>
      </c>
      <c r="N213" s="756" t="s">
        <v>103</v>
      </c>
      <c r="O213" s="736">
        <v>0</v>
      </c>
      <c r="P213" s="754">
        <v>0</v>
      </c>
      <c r="Q213" s="752">
        <v>0</v>
      </c>
      <c r="R213" s="9" t="s">
        <v>103</v>
      </c>
      <c r="S213" s="9" t="s">
        <v>103</v>
      </c>
    </row>
    <row r="214" spans="2:19" s="101" customFormat="1">
      <c r="B214" s="738" t="s">
        <v>1430</v>
      </c>
      <c r="C214" s="738"/>
      <c r="D214" s="738"/>
      <c r="E214" s="739">
        <v>1331.8955184148515</v>
      </c>
      <c r="F214" s="739">
        <v>95.981142683608851</v>
      </c>
      <c r="G214" s="739">
        <v>1427.8766610984603</v>
      </c>
      <c r="H214" s="740">
        <v>0</v>
      </c>
      <c r="I214" s="741"/>
      <c r="J214" s="742">
        <v>1427.8766610984603</v>
      </c>
      <c r="K214" s="742">
        <v>0</v>
      </c>
      <c r="L214" s="741"/>
      <c r="M214" s="742">
        <v>0</v>
      </c>
      <c r="N214" s="742">
        <v>0</v>
      </c>
      <c r="O214" s="743">
        <v>0</v>
      </c>
      <c r="P214" s="742">
        <v>0</v>
      </c>
      <c r="Q214" s="744">
        <v>0</v>
      </c>
      <c r="R214" s="741" t="s">
        <v>103</v>
      </c>
      <c r="S214" s="741" t="s">
        <v>103</v>
      </c>
    </row>
    <row r="215" spans="2:19" s="97" customFormat="1">
      <c r="B215" s="723" t="s">
        <v>882</v>
      </c>
      <c r="C215" s="723"/>
      <c r="D215" s="723"/>
      <c r="E215" s="724"/>
      <c r="F215" s="724"/>
      <c r="G215" s="724"/>
      <c r="H215" s="725">
        <v>0</v>
      </c>
      <c r="I215" s="726"/>
      <c r="J215" s="727"/>
      <c r="K215" s="726"/>
      <c r="L215" s="726"/>
      <c r="M215" s="727"/>
      <c r="N215" s="727"/>
      <c r="O215" s="728"/>
      <c r="P215" s="727"/>
      <c r="Q215" s="726"/>
      <c r="R215" s="726"/>
      <c r="S215" s="726"/>
    </row>
    <row r="216" spans="2:19">
      <c r="B216" s="746" t="s">
        <v>883</v>
      </c>
      <c r="C216" s="9" t="s">
        <v>1009</v>
      </c>
      <c r="D216" s="730" t="s">
        <v>110</v>
      </c>
      <c r="E216" s="747">
        <v>112990.51003217374</v>
      </c>
      <c r="F216" s="747">
        <v>26495.579277059202</v>
      </c>
      <c r="G216" s="747">
        <v>139486.08930923292</v>
      </c>
      <c r="H216" s="748">
        <v>0</v>
      </c>
      <c r="I216" s="749" t="s">
        <v>258</v>
      </c>
      <c r="J216" s="750">
        <v>139486.08930923292</v>
      </c>
      <c r="K216" s="735">
        <v>0</v>
      </c>
      <c r="L216" s="735" t="s">
        <v>103</v>
      </c>
      <c r="M216" s="750">
        <v>0</v>
      </c>
      <c r="N216" s="750" t="s">
        <v>103</v>
      </c>
      <c r="O216" s="736">
        <v>0</v>
      </c>
      <c r="P216" s="754">
        <v>0</v>
      </c>
      <c r="Q216" s="752">
        <v>0</v>
      </c>
      <c r="R216" s="9" t="s">
        <v>103</v>
      </c>
      <c r="S216" s="9" t="s">
        <v>103</v>
      </c>
    </row>
    <row r="217" spans="2:19">
      <c r="B217" s="746" t="s">
        <v>884</v>
      </c>
      <c r="C217" s="9" t="s">
        <v>1009</v>
      </c>
      <c r="D217" s="730" t="s">
        <v>110</v>
      </c>
      <c r="E217" s="747">
        <v>1186850.9915391726</v>
      </c>
      <c r="F217" s="747">
        <v>55354.60364538282</v>
      </c>
      <c r="G217" s="747">
        <v>1242205.5951845555</v>
      </c>
      <c r="H217" s="748">
        <v>0</v>
      </c>
      <c r="I217" s="749" t="s">
        <v>258</v>
      </c>
      <c r="J217" s="750">
        <v>1242205.5951845555</v>
      </c>
      <c r="K217" s="735">
        <v>0</v>
      </c>
      <c r="L217" s="735" t="s">
        <v>103</v>
      </c>
      <c r="M217" s="750">
        <v>0</v>
      </c>
      <c r="N217" s="750" t="s">
        <v>103</v>
      </c>
      <c r="O217" s="736">
        <v>0</v>
      </c>
      <c r="P217" s="754">
        <v>0</v>
      </c>
      <c r="Q217" s="752">
        <v>0</v>
      </c>
      <c r="R217" s="9" t="s">
        <v>103</v>
      </c>
      <c r="S217" s="9" t="s">
        <v>103</v>
      </c>
    </row>
    <row r="218" spans="2:19">
      <c r="B218" s="746" t="s">
        <v>885</v>
      </c>
      <c r="C218" s="9" t="s">
        <v>1009</v>
      </c>
      <c r="D218" s="730" t="s">
        <v>110</v>
      </c>
      <c r="E218" s="747">
        <v>969225.57149586943</v>
      </c>
      <c r="F218" s="747">
        <v>310118.09644667752</v>
      </c>
      <c r="G218" s="747">
        <v>1279343.6679425477</v>
      </c>
      <c r="H218" s="748">
        <v>0</v>
      </c>
      <c r="I218" s="749" t="s">
        <v>258</v>
      </c>
      <c r="J218" s="750">
        <v>1279343.6679425477</v>
      </c>
      <c r="K218" s="735">
        <v>0</v>
      </c>
      <c r="L218" s="735" t="s">
        <v>103</v>
      </c>
      <c r="M218" s="750">
        <v>0</v>
      </c>
      <c r="N218" s="750" t="s">
        <v>103</v>
      </c>
      <c r="O218" s="736">
        <v>0</v>
      </c>
      <c r="P218" s="754">
        <v>0</v>
      </c>
      <c r="Q218" s="752">
        <v>0</v>
      </c>
      <c r="R218" s="9" t="s">
        <v>103</v>
      </c>
      <c r="S218" s="9" t="s">
        <v>103</v>
      </c>
    </row>
    <row r="219" spans="2:19">
      <c r="B219" s="746" t="s">
        <v>889</v>
      </c>
      <c r="C219" s="9" t="s">
        <v>1009</v>
      </c>
      <c r="D219" s="730" t="s">
        <v>110</v>
      </c>
      <c r="E219" s="747">
        <v>-2092361.9006275698</v>
      </c>
      <c r="F219" s="747">
        <v>161316.09541028022</v>
      </c>
      <c r="G219" s="747">
        <v>-531045.80521729053</v>
      </c>
      <c r="H219" s="694">
        <v>3.2919579653020072</v>
      </c>
      <c r="I219" s="755" t="s">
        <v>258</v>
      </c>
      <c r="J219" s="756">
        <v>-531045.80521729053</v>
      </c>
      <c r="K219" s="735">
        <v>0</v>
      </c>
      <c r="L219" s="735" t="s">
        <v>103</v>
      </c>
      <c r="M219" s="756">
        <v>0</v>
      </c>
      <c r="N219" s="756" t="s">
        <v>103</v>
      </c>
      <c r="O219" s="736">
        <v>0</v>
      </c>
      <c r="P219" s="754">
        <v>0</v>
      </c>
      <c r="Q219" s="752">
        <v>0</v>
      </c>
      <c r="R219" s="9" t="s">
        <v>103</v>
      </c>
      <c r="S219" s="9" t="s">
        <v>103</v>
      </c>
    </row>
    <row r="220" spans="2:19" s="101" customFormat="1">
      <c r="B220" s="738" t="s">
        <v>1433</v>
      </c>
      <c r="C220" s="738"/>
      <c r="D220" s="738"/>
      <c r="E220" s="739">
        <v>176705.17243964598</v>
      </c>
      <c r="F220" s="739">
        <v>553284.37477939972</v>
      </c>
      <c r="G220" s="739">
        <v>2129989.5472190455</v>
      </c>
      <c r="H220" s="740">
        <v>0</v>
      </c>
      <c r="I220" s="741"/>
      <c r="J220" s="742">
        <v>2129989.5472190455</v>
      </c>
      <c r="K220" s="742">
        <v>0</v>
      </c>
      <c r="L220" s="741"/>
      <c r="M220" s="742">
        <v>0</v>
      </c>
      <c r="N220" s="742">
        <v>0</v>
      </c>
      <c r="O220" s="743">
        <v>0</v>
      </c>
      <c r="P220" s="742">
        <v>0</v>
      </c>
      <c r="Q220" s="744">
        <v>0</v>
      </c>
      <c r="R220" s="741" t="s">
        <v>103</v>
      </c>
      <c r="S220" s="741" t="s">
        <v>103</v>
      </c>
    </row>
    <row r="221" spans="2:19" s="97" customFormat="1">
      <c r="B221" s="723" t="s">
        <v>897</v>
      </c>
      <c r="C221" s="723"/>
      <c r="D221" s="723"/>
      <c r="E221" s="724"/>
      <c r="F221" s="724"/>
      <c r="G221" s="724"/>
      <c r="H221" s="725">
        <v>0</v>
      </c>
      <c r="I221" s="726"/>
      <c r="J221" s="727"/>
      <c r="K221" s="726"/>
      <c r="L221" s="726"/>
      <c r="M221" s="727"/>
      <c r="N221" s="727"/>
      <c r="O221" s="728"/>
      <c r="P221" s="727"/>
      <c r="Q221" s="726"/>
      <c r="R221" s="726"/>
      <c r="S221" s="726"/>
    </row>
    <row r="222" spans="2:19">
      <c r="B222" s="746" t="s">
        <v>898</v>
      </c>
      <c r="C222" s="9" t="s">
        <v>1009</v>
      </c>
      <c r="D222" s="730" t="s">
        <v>110</v>
      </c>
      <c r="E222" s="747">
        <v>23590.111536436696</v>
      </c>
      <c r="F222" s="747">
        <v>20795.835471817292</v>
      </c>
      <c r="G222" s="747">
        <v>44385.947008254007</v>
      </c>
      <c r="H222" s="748">
        <v>0</v>
      </c>
      <c r="I222" s="749" t="s">
        <v>258</v>
      </c>
      <c r="J222" s="750">
        <v>44385.947008254007</v>
      </c>
      <c r="K222" s="735">
        <v>0</v>
      </c>
      <c r="L222" s="735" t="s">
        <v>103</v>
      </c>
      <c r="M222" s="750">
        <v>0</v>
      </c>
      <c r="N222" s="750" t="s">
        <v>103</v>
      </c>
      <c r="O222" s="736">
        <v>0</v>
      </c>
      <c r="P222" s="754">
        <v>0</v>
      </c>
      <c r="Q222" s="752">
        <v>0</v>
      </c>
      <c r="R222" s="9" t="s">
        <v>103</v>
      </c>
      <c r="S222" s="9" t="s">
        <v>103</v>
      </c>
    </row>
    <row r="223" spans="2:19">
      <c r="B223" s="746" t="s">
        <v>902</v>
      </c>
      <c r="C223" s="9" t="s">
        <v>1009</v>
      </c>
      <c r="D223" s="730" t="s">
        <v>110</v>
      </c>
      <c r="E223" s="747">
        <v>712680.9210917661</v>
      </c>
      <c r="F223" s="747">
        <v>11657.208532001307</v>
      </c>
      <c r="G223" s="747">
        <v>724338.12962376745</v>
      </c>
      <c r="H223" s="748">
        <v>0</v>
      </c>
      <c r="I223" s="749" t="s">
        <v>258</v>
      </c>
      <c r="J223" s="750">
        <v>724338.12962376745</v>
      </c>
      <c r="K223" s="735">
        <v>0</v>
      </c>
      <c r="L223" s="735" t="s">
        <v>103</v>
      </c>
      <c r="M223" s="750">
        <v>0</v>
      </c>
      <c r="N223" s="750" t="s">
        <v>103</v>
      </c>
      <c r="O223" s="736">
        <v>0</v>
      </c>
      <c r="P223" s="754">
        <v>0</v>
      </c>
      <c r="Q223" s="752">
        <v>0</v>
      </c>
      <c r="R223" s="9" t="s">
        <v>103</v>
      </c>
      <c r="S223" s="9" t="s">
        <v>103</v>
      </c>
    </row>
    <row r="224" spans="2:19">
      <c r="B224" s="746" t="s">
        <v>905</v>
      </c>
      <c r="C224" s="9" t="s">
        <v>1009</v>
      </c>
      <c r="D224" s="730" t="s">
        <v>110</v>
      </c>
      <c r="E224" s="747">
        <v>469208.6787369895</v>
      </c>
      <c r="F224" s="747">
        <v>20651.847047928663</v>
      </c>
      <c r="G224" s="747">
        <v>489860.52578491828</v>
      </c>
      <c r="H224" s="748">
        <v>0</v>
      </c>
      <c r="I224" s="749" t="s">
        <v>258</v>
      </c>
      <c r="J224" s="750">
        <v>489860.52578491828</v>
      </c>
      <c r="K224" s="735">
        <v>0</v>
      </c>
      <c r="L224" s="735" t="s">
        <v>103</v>
      </c>
      <c r="M224" s="750">
        <v>0</v>
      </c>
      <c r="N224" s="750" t="s">
        <v>103</v>
      </c>
      <c r="O224" s="736">
        <v>0</v>
      </c>
      <c r="P224" s="754">
        <v>0</v>
      </c>
      <c r="Q224" s="752">
        <v>0</v>
      </c>
      <c r="R224" s="9" t="s">
        <v>103</v>
      </c>
      <c r="S224" s="9" t="s">
        <v>103</v>
      </c>
    </row>
    <row r="225" spans="2:19">
      <c r="B225" s="746" t="s">
        <v>908</v>
      </c>
      <c r="C225" s="9" t="s">
        <v>1009</v>
      </c>
      <c r="D225" s="730" t="s">
        <v>110</v>
      </c>
      <c r="E225" s="747">
        <v>788204.14925285697</v>
      </c>
      <c r="F225" s="747">
        <v>53673.78927611612</v>
      </c>
      <c r="G225" s="747">
        <v>841877.93852897314</v>
      </c>
      <c r="H225" s="748">
        <v>0</v>
      </c>
      <c r="I225" s="749" t="s">
        <v>258</v>
      </c>
      <c r="J225" s="750">
        <v>841877.93852897314</v>
      </c>
      <c r="K225" s="735">
        <v>0</v>
      </c>
      <c r="L225" s="735" t="s">
        <v>103</v>
      </c>
      <c r="M225" s="750">
        <v>0</v>
      </c>
      <c r="N225" s="750" t="s">
        <v>103</v>
      </c>
      <c r="O225" s="736">
        <v>0</v>
      </c>
      <c r="P225" s="754">
        <v>0</v>
      </c>
      <c r="Q225" s="752">
        <v>0</v>
      </c>
      <c r="R225" s="9" t="s">
        <v>103</v>
      </c>
      <c r="S225" s="9" t="s">
        <v>103</v>
      </c>
    </row>
    <row r="226" spans="2:19">
      <c r="B226" s="746" t="s">
        <v>911</v>
      </c>
      <c r="C226" s="9" t="s">
        <v>1009</v>
      </c>
      <c r="D226" s="730" t="s">
        <v>110</v>
      </c>
      <c r="E226" s="747">
        <v>307517.98519030516</v>
      </c>
      <c r="F226" s="747">
        <v>63471.475755701162</v>
      </c>
      <c r="G226" s="747">
        <v>370989.46094600612</v>
      </c>
      <c r="H226" s="748">
        <v>0</v>
      </c>
      <c r="I226" s="749" t="s">
        <v>258</v>
      </c>
      <c r="J226" s="750">
        <v>370989.46094600612</v>
      </c>
      <c r="K226" s="735">
        <v>0</v>
      </c>
      <c r="L226" s="735" t="s">
        <v>103</v>
      </c>
      <c r="M226" s="750">
        <v>0</v>
      </c>
      <c r="N226" s="750" t="s">
        <v>103</v>
      </c>
      <c r="O226" s="736">
        <v>0</v>
      </c>
      <c r="P226" s="754">
        <v>0</v>
      </c>
      <c r="Q226" s="752">
        <v>0</v>
      </c>
      <c r="R226" s="9" t="s">
        <v>103</v>
      </c>
      <c r="S226" s="9" t="s">
        <v>103</v>
      </c>
    </row>
    <row r="227" spans="2:19">
      <c r="B227" s="746" t="s">
        <v>912</v>
      </c>
      <c r="C227" s="9" t="s">
        <v>1009</v>
      </c>
      <c r="D227" s="730" t="s">
        <v>110</v>
      </c>
      <c r="E227" s="747">
        <v>-15276.090455330501</v>
      </c>
      <c r="F227" s="747">
        <v>145670.51530834081</v>
      </c>
      <c r="G227" s="747">
        <v>130394.4248530099</v>
      </c>
      <c r="I227" s="749" t="s">
        <v>258</v>
      </c>
      <c r="J227" s="750">
        <v>130394.4248530099</v>
      </c>
      <c r="K227" s="735">
        <v>0</v>
      </c>
      <c r="L227" s="735" t="s">
        <v>103</v>
      </c>
      <c r="M227" s="750">
        <v>0</v>
      </c>
      <c r="N227" s="750" t="s">
        <v>103</v>
      </c>
      <c r="O227" s="736">
        <v>0</v>
      </c>
      <c r="P227" s="754">
        <v>0</v>
      </c>
      <c r="Q227" s="752">
        <v>0</v>
      </c>
      <c r="R227" s="9" t="s">
        <v>103</v>
      </c>
      <c r="S227" s="9" t="s">
        <v>103</v>
      </c>
    </row>
    <row r="228" spans="2:19">
      <c r="B228" s="746" t="s">
        <v>920</v>
      </c>
      <c r="C228" s="9" t="s">
        <v>1009</v>
      </c>
      <c r="D228" s="730" t="s">
        <v>110</v>
      </c>
      <c r="E228" s="747">
        <v>103452.97651117956</v>
      </c>
      <c r="F228" s="747">
        <v>12528.655959335198</v>
      </c>
      <c r="G228" s="747">
        <v>115981.63247051479</v>
      </c>
      <c r="H228" s="748">
        <v>0</v>
      </c>
      <c r="I228" s="749" t="s">
        <v>258</v>
      </c>
      <c r="J228" s="750">
        <v>115981.63247051479</v>
      </c>
      <c r="K228" s="735">
        <v>0</v>
      </c>
      <c r="L228" s="735" t="s">
        <v>103</v>
      </c>
      <c r="M228" s="750">
        <v>0</v>
      </c>
      <c r="N228" s="750" t="s">
        <v>103</v>
      </c>
      <c r="O228" s="736">
        <v>0</v>
      </c>
      <c r="P228" s="754">
        <v>0</v>
      </c>
      <c r="Q228" s="752">
        <v>0</v>
      </c>
      <c r="R228" s="9" t="s">
        <v>103</v>
      </c>
      <c r="S228" s="9" t="s">
        <v>103</v>
      </c>
    </row>
    <row r="229" spans="2:19">
      <c r="B229" s="746" t="s">
        <v>921</v>
      </c>
      <c r="C229" s="9" t="s">
        <v>1009</v>
      </c>
      <c r="D229" s="730" t="s">
        <v>110</v>
      </c>
      <c r="E229" s="747">
        <v>12690513.643653061</v>
      </c>
      <c r="F229" s="747">
        <v>537434.70120732067</v>
      </c>
      <c r="G229" s="747">
        <v>13227948.344860382</v>
      </c>
      <c r="H229" s="748">
        <v>0</v>
      </c>
      <c r="I229" s="755" t="s">
        <v>258</v>
      </c>
      <c r="J229" s="756">
        <v>13227948.344860382</v>
      </c>
      <c r="K229" s="735">
        <v>0</v>
      </c>
      <c r="L229" s="735" t="s">
        <v>103</v>
      </c>
      <c r="M229" s="756">
        <v>0</v>
      </c>
      <c r="N229" s="756" t="s">
        <v>103</v>
      </c>
      <c r="O229" s="736">
        <v>0</v>
      </c>
      <c r="P229" s="754">
        <v>0</v>
      </c>
      <c r="Q229" s="752">
        <v>0</v>
      </c>
      <c r="R229" s="9" t="s">
        <v>103</v>
      </c>
      <c r="S229" s="9" t="s">
        <v>103</v>
      </c>
    </row>
    <row r="230" spans="2:19" s="101" customFormat="1">
      <c r="B230" s="738" t="s">
        <v>1439</v>
      </c>
      <c r="C230" s="738"/>
      <c r="D230" s="738"/>
      <c r="E230" s="739">
        <v>15079892.375517264</v>
      </c>
      <c r="F230" s="739">
        <v>865884.02855856123</v>
      </c>
      <c r="G230" s="739">
        <v>15945776.404075826</v>
      </c>
      <c r="H230" s="740">
        <v>0</v>
      </c>
      <c r="I230" s="741"/>
      <c r="J230" s="742">
        <v>15945776.404075826</v>
      </c>
      <c r="K230" s="742">
        <v>0</v>
      </c>
      <c r="L230" s="742"/>
      <c r="M230" s="742">
        <v>0</v>
      </c>
      <c r="N230" s="742">
        <v>0</v>
      </c>
      <c r="O230" s="743">
        <v>0</v>
      </c>
      <c r="P230" s="742">
        <v>0</v>
      </c>
      <c r="Q230" s="744">
        <v>0</v>
      </c>
      <c r="R230" s="741" t="s">
        <v>103</v>
      </c>
      <c r="S230" s="741" t="s">
        <v>103</v>
      </c>
    </row>
    <row r="231" spans="2:19" s="97" customFormat="1">
      <c r="B231" s="723" t="s">
        <v>926</v>
      </c>
      <c r="C231" s="723"/>
      <c r="D231" s="723"/>
      <c r="E231" s="724"/>
      <c r="F231" s="724"/>
      <c r="G231" s="724"/>
      <c r="H231" s="725">
        <v>0</v>
      </c>
      <c r="I231" s="726"/>
      <c r="J231" s="727"/>
      <c r="K231" s="726"/>
      <c r="L231" s="726"/>
      <c r="M231" s="727"/>
      <c r="N231" s="727"/>
      <c r="O231" s="728"/>
      <c r="P231" s="727"/>
      <c r="Q231" s="726"/>
      <c r="R231" s="726"/>
      <c r="S231" s="726"/>
    </row>
    <row r="232" spans="2:19">
      <c r="B232" s="746" t="s">
        <v>927</v>
      </c>
      <c r="C232" s="9" t="s">
        <v>1009</v>
      </c>
      <c r="D232" s="730" t="s">
        <v>110</v>
      </c>
      <c r="E232" s="747">
        <v>1564.9689912799065</v>
      </c>
      <c r="F232" s="747">
        <v>9.1580401555380888</v>
      </c>
      <c r="G232" s="747">
        <v>1574.1270314354447</v>
      </c>
      <c r="H232" s="748">
        <v>0</v>
      </c>
      <c r="I232" s="755" t="s">
        <v>258</v>
      </c>
      <c r="J232" s="756">
        <v>1574.1270314354447</v>
      </c>
      <c r="K232" s="735">
        <v>0</v>
      </c>
      <c r="L232" s="735" t="s">
        <v>103</v>
      </c>
      <c r="M232" s="756">
        <v>0</v>
      </c>
      <c r="N232" s="756" t="s">
        <v>103</v>
      </c>
      <c r="O232" s="736">
        <v>0</v>
      </c>
      <c r="P232" s="754">
        <v>0</v>
      </c>
      <c r="Q232" s="752">
        <v>0</v>
      </c>
      <c r="R232" s="9" t="s">
        <v>103</v>
      </c>
      <c r="S232" s="9" t="s">
        <v>103</v>
      </c>
    </row>
    <row r="233" spans="2:19" s="101" customFormat="1">
      <c r="B233" s="738" t="s">
        <v>1852</v>
      </c>
      <c r="C233" s="738"/>
      <c r="D233" s="738"/>
      <c r="E233" s="739">
        <v>1564.9689912799065</v>
      </c>
      <c r="F233" s="739">
        <v>9.1580401555380888</v>
      </c>
      <c r="G233" s="739">
        <v>1574.1270314354447</v>
      </c>
      <c r="H233" s="740">
        <v>0</v>
      </c>
      <c r="I233" s="741"/>
      <c r="J233" s="742">
        <v>1574.1270314354447</v>
      </c>
      <c r="K233" s="742">
        <v>0</v>
      </c>
      <c r="L233" s="742"/>
      <c r="M233" s="742">
        <v>0</v>
      </c>
      <c r="N233" s="742">
        <v>0</v>
      </c>
      <c r="O233" s="743">
        <v>0</v>
      </c>
      <c r="P233" s="742">
        <v>0</v>
      </c>
      <c r="Q233" s="744">
        <v>0</v>
      </c>
      <c r="R233" s="741" t="s">
        <v>103</v>
      </c>
      <c r="S233" s="741" t="s">
        <v>103</v>
      </c>
    </row>
    <row r="234" spans="2:19" s="97" customFormat="1">
      <c r="B234" s="723" t="s">
        <v>928</v>
      </c>
      <c r="C234" s="723"/>
      <c r="D234" s="723"/>
      <c r="E234" s="724"/>
      <c r="F234" s="724"/>
      <c r="G234" s="724"/>
      <c r="H234" s="725">
        <v>0</v>
      </c>
      <c r="I234" s="726"/>
      <c r="J234" s="727"/>
      <c r="K234" s="726"/>
      <c r="L234" s="726"/>
      <c r="M234" s="727"/>
      <c r="N234" s="727"/>
      <c r="O234" s="728"/>
      <c r="P234" s="727"/>
      <c r="Q234" s="726"/>
      <c r="R234" s="726"/>
      <c r="S234" s="726"/>
    </row>
    <row r="235" spans="2:19">
      <c r="B235" s="746" t="s">
        <v>929</v>
      </c>
      <c r="C235" s="9" t="s">
        <v>1009</v>
      </c>
      <c r="D235" s="730" t="s">
        <v>110</v>
      </c>
      <c r="E235" s="747">
        <v>-269650.22482349398</v>
      </c>
      <c r="F235" s="747">
        <v>76705.032777763161</v>
      </c>
      <c r="G235" s="747">
        <v>-192945.19204573083</v>
      </c>
      <c r="H235" s="694">
        <v>2.5154176337392267</v>
      </c>
      <c r="I235" s="749" t="s">
        <v>258</v>
      </c>
      <c r="J235" s="750">
        <v>-192945.19204573083</v>
      </c>
      <c r="K235" s="735">
        <v>0</v>
      </c>
      <c r="L235" s="735" t="s">
        <v>103</v>
      </c>
      <c r="M235" s="750">
        <v>0</v>
      </c>
      <c r="N235" s="750" t="s">
        <v>103</v>
      </c>
      <c r="O235" s="736">
        <v>0</v>
      </c>
      <c r="P235" s="754">
        <v>0</v>
      </c>
      <c r="Q235" s="752">
        <v>0</v>
      </c>
      <c r="R235" s="9" t="s">
        <v>103</v>
      </c>
      <c r="S235" s="9" t="s">
        <v>103</v>
      </c>
    </row>
    <row r="236" spans="2:19">
      <c r="B236" s="746" t="s">
        <v>939</v>
      </c>
      <c r="C236" s="9" t="s">
        <v>1009</v>
      </c>
      <c r="D236" s="730" t="s">
        <v>110</v>
      </c>
      <c r="E236" s="747">
        <v>558969.94344265177</v>
      </c>
      <c r="F236" s="747">
        <v>20230.611127987897</v>
      </c>
      <c r="G236" s="747">
        <v>579200.55457063951</v>
      </c>
      <c r="H236" s="748">
        <v>0</v>
      </c>
      <c r="I236" s="749" t="s">
        <v>258</v>
      </c>
      <c r="J236" s="750">
        <v>579200.55457063951</v>
      </c>
      <c r="K236" s="735">
        <v>0</v>
      </c>
      <c r="L236" s="735" t="s">
        <v>103</v>
      </c>
      <c r="M236" s="750">
        <v>0</v>
      </c>
      <c r="N236" s="750" t="s">
        <v>103</v>
      </c>
      <c r="O236" s="736">
        <v>0</v>
      </c>
      <c r="P236" s="754">
        <v>0</v>
      </c>
      <c r="Q236" s="752">
        <v>0</v>
      </c>
      <c r="R236" s="9" t="s">
        <v>103</v>
      </c>
      <c r="S236" s="9" t="s">
        <v>103</v>
      </c>
    </row>
    <row r="237" spans="2:19">
      <c r="B237" s="746" t="s">
        <v>940</v>
      </c>
      <c r="C237" s="9" t="s">
        <v>1009</v>
      </c>
      <c r="D237" s="730" t="s">
        <v>110</v>
      </c>
      <c r="E237" s="747">
        <v>496053.84257495275</v>
      </c>
      <c r="F237" s="747">
        <v>29445.122591463991</v>
      </c>
      <c r="G237" s="747">
        <v>525498.96516641672</v>
      </c>
      <c r="H237" s="748">
        <v>0</v>
      </c>
      <c r="I237" s="749" t="s">
        <v>258</v>
      </c>
      <c r="J237" s="750">
        <v>525498.96516641672</v>
      </c>
      <c r="K237" s="735">
        <v>0</v>
      </c>
      <c r="L237" s="735" t="s">
        <v>103</v>
      </c>
      <c r="M237" s="750">
        <v>0</v>
      </c>
      <c r="N237" s="750" t="s">
        <v>103</v>
      </c>
      <c r="O237" s="736">
        <v>0</v>
      </c>
      <c r="P237" s="754">
        <v>0</v>
      </c>
      <c r="Q237" s="752">
        <v>0</v>
      </c>
      <c r="R237" s="9" t="s">
        <v>103</v>
      </c>
      <c r="S237" s="9" t="s">
        <v>103</v>
      </c>
    </row>
    <row r="238" spans="2:19">
      <c r="B238" s="746" t="s">
        <v>941</v>
      </c>
      <c r="C238" s="9" t="s">
        <v>1009</v>
      </c>
      <c r="D238" s="730" t="s">
        <v>110</v>
      </c>
      <c r="E238" s="747">
        <v>-257753.40002578523</v>
      </c>
      <c r="F238" s="747">
        <v>26887.506272455204</v>
      </c>
      <c r="G238" s="747">
        <v>-230865.89375332999</v>
      </c>
      <c r="H238" s="694">
        <v>8.5863631760391108</v>
      </c>
      <c r="I238" s="749" t="s">
        <v>258</v>
      </c>
      <c r="J238" s="750">
        <v>-230865.89375332999</v>
      </c>
      <c r="K238" s="735">
        <v>0</v>
      </c>
      <c r="L238" s="735" t="s">
        <v>103</v>
      </c>
      <c r="M238" s="750">
        <v>0</v>
      </c>
      <c r="N238" s="750" t="s">
        <v>103</v>
      </c>
      <c r="O238" s="736">
        <v>0</v>
      </c>
      <c r="P238" s="754">
        <v>0</v>
      </c>
      <c r="Q238" s="752">
        <v>0</v>
      </c>
      <c r="R238" s="9" t="s">
        <v>103</v>
      </c>
      <c r="S238" s="9" t="s">
        <v>103</v>
      </c>
    </row>
    <row r="239" spans="2:19">
      <c r="B239" s="746" t="s">
        <v>945</v>
      </c>
      <c r="C239" s="9" t="s">
        <v>1009</v>
      </c>
      <c r="D239" s="730" t="s">
        <v>110</v>
      </c>
      <c r="E239" s="747">
        <v>2366844.2091151616</v>
      </c>
      <c r="F239" s="747">
        <v>215767.94162757287</v>
      </c>
      <c r="G239" s="747">
        <v>2582612.1507427334</v>
      </c>
      <c r="H239" s="748">
        <v>0</v>
      </c>
      <c r="I239" s="749" t="s">
        <v>258</v>
      </c>
      <c r="J239" s="750">
        <v>2582612.1507427334</v>
      </c>
      <c r="K239" s="735">
        <v>0</v>
      </c>
      <c r="L239" s="735" t="s">
        <v>103</v>
      </c>
      <c r="M239" s="750">
        <v>0</v>
      </c>
      <c r="N239" s="750" t="s">
        <v>103</v>
      </c>
      <c r="O239" s="736">
        <v>0</v>
      </c>
      <c r="P239" s="754">
        <v>0</v>
      </c>
      <c r="Q239" s="752">
        <v>0</v>
      </c>
      <c r="R239" s="9" t="s">
        <v>103</v>
      </c>
      <c r="S239" s="9" t="s">
        <v>103</v>
      </c>
    </row>
    <row r="240" spans="2:19">
      <c r="B240" s="746" t="s">
        <v>953</v>
      </c>
      <c r="C240" s="9" t="s">
        <v>1009</v>
      </c>
      <c r="D240" s="730" t="s">
        <v>110</v>
      </c>
      <c r="E240" s="747">
        <v>-256176.63917960174</v>
      </c>
      <c r="F240" s="747">
        <v>35631.528584489199</v>
      </c>
      <c r="G240" s="747">
        <v>-220545.11059511261</v>
      </c>
      <c r="H240" s="694">
        <v>6.1896056486085849</v>
      </c>
      <c r="I240" s="749" t="s">
        <v>258</v>
      </c>
      <c r="J240" s="750">
        <v>-220545.11059511261</v>
      </c>
      <c r="K240" s="735">
        <v>0</v>
      </c>
      <c r="L240" s="735" t="s">
        <v>103</v>
      </c>
      <c r="M240" s="750">
        <v>0</v>
      </c>
      <c r="N240" s="750" t="s">
        <v>103</v>
      </c>
      <c r="O240" s="736">
        <v>0</v>
      </c>
      <c r="P240" s="754">
        <v>0</v>
      </c>
      <c r="Q240" s="752">
        <v>0</v>
      </c>
      <c r="R240" s="9" t="s">
        <v>103</v>
      </c>
      <c r="S240" s="9" t="s">
        <v>103</v>
      </c>
    </row>
    <row r="241" spans="2:19">
      <c r="B241" s="746" t="s">
        <v>958</v>
      </c>
      <c r="C241" s="9" t="s">
        <v>1009</v>
      </c>
      <c r="D241" s="730" t="s">
        <v>110</v>
      </c>
      <c r="E241" s="747">
        <v>824983.88191437919</v>
      </c>
      <c r="F241" s="747">
        <v>58530.043938375042</v>
      </c>
      <c r="G241" s="747">
        <v>883513.92585275415</v>
      </c>
      <c r="H241" s="748">
        <v>0</v>
      </c>
      <c r="I241" s="749" t="s">
        <v>258</v>
      </c>
      <c r="J241" s="750">
        <v>883513.92585275415</v>
      </c>
      <c r="K241" s="735">
        <v>0</v>
      </c>
      <c r="L241" s="735" t="s">
        <v>103</v>
      </c>
      <c r="M241" s="750">
        <v>0</v>
      </c>
      <c r="N241" s="750" t="s">
        <v>103</v>
      </c>
      <c r="O241" s="736">
        <v>0</v>
      </c>
      <c r="P241" s="754">
        <v>0</v>
      </c>
      <c r="Q241" s="752">
        <v>0</v>
      </c>
      <c r="R241" s="9" t="s">
        <v>103</v>
      </c>
      <c r="S241" s="9" t="s">
        <v>103</v>
      </c>
    </row>
    <row r="242" spans="2:19">
      <c r="B242" s="746" t="s">
        <v>961</v>
      </c>
      <c r="C242" s="9" t="s">
        <v>1009</v>
      </c>
      <c r="D242" s="730" t="s">
        <v>110</v>
      </c>
      <c r="E242" s="747">
        <v>318285.90121105209</v>
      </c>
      <c r="F242" s="747">
        <v>167552.71832289078</v>
      </c>
      <c r="G242" s="747">
        <v>485838.61953394208</v>
      </c>
      <c r="H242" s="748">
        <v>0</v>
      </c>
      <c r="I242" s="749" t="s">
        <v>258</v>
      </c>
      <c r="J242" s="750">
        <v>485838.61953394208</v>
      </c>
      <c r="K242" s="735">
        <v>0</v>
      </c>
      <c r="L242" s="735" t="s">
        <v>103</v>
      </c>
      <c r="M242" s="750">
        <v>0</v>
      </c>
      <c r="N242" s="750" t="s">
        <v>103</v>
      </c>
      <c r="O242" s="736">
        <v>0</v>
      </c>
      <c r="P242" s="754">
        <v>0</v>
      </c>
      <c r="Q242" s="752">
        <v>0</v>
      </c>
      <c r="R242" s="9" t="s">
        <v>103</v>
      </c>
      <c r="S242" s="9" t="s">
        <v>103</v>
      </c>
    </row>
    <row r="243" spans="2:19">
      <c r="B243" s="746" t="s">
        <v>968</v>
      </c>
      <c r="C243" s="9" t="s">
        <v>1009</v>
      </c>
      <c r="D243" s="730" t="s">
        <v>110</v>
      </c>
      <c r="E243" s="747">
        <v>1267488.75360724</v>
      </c>
      <c r="F243" s="747">
        <v>163007.58884798747</v>
      </c>
      <c r="G243" s="747">
        <v>1430496.3424552279</v>
      </c>
      <c r="H243" s="748">
        <v>0</v>
      </c>
      <c r="I243" s="749" t="s">
        <v>258</v>
      </c>
      <c r="J243" s="750">
        <v>1430496.3424552279</v>
      </c>
      <c r="K243" s="735">
        <v>0</v>
      </c>
      <c r="L243" s="735" t="s">
        <v>103</v>
      </c>
      <c r="M243" s="750">
        <v>0</v>
      </c>
      <c r="N243" s="750" t="s">
        <v>103</v>
      </c>
      <c r="O243" s="736">
        <v>0</v>
      </c>
      <c r="P243" s="754">
        <v>0</v>
      </c>
      <c r="Q243" s="752">
        <v>0</v>
      </c>
      <c r="R243" s="9" t="s">
        <v>103</v>
      </c>
      <c r="S243" s="9" t="s">
        <v>103</v>
      </c>
    </row>
    <row r="244" spans="2:19">
      <c r="B244" s="746" t="s">
        <v>1563</v>
      </c>
      <c r="C244" s="9" t="s">
        <v>1009</v>
      </c>
      <c r="D244" s="730" t="s">
        <v>110</v>
      </c>
      <c r="E244" s="747">
        <v>169925.78163875415</v>
      </c>
      <c r="F244" s="747">
        <v>211849.52114087867</v>
      </c>
      <c r="G244" s="747">
        <v>381775.3027796332</v>
      </c>
      <c r="H244" s="748">
        <v>0</v>
      </c>
      <c r="I244" s="749" t="s">
        <v>258</v>
      </c>
      <c r="J244" s="750">
        <v>381775.3027796332</v>
      </c>
      <c r="K244" s="735">
        <v>0</v>
      </c>
      <c r="L244" s="735" t="s">
        <v>103</v>
      </c>
      <c r="M244" s="750">
        <v>0</v>
      </c>
      <c r="N244" s="750" t="s">
        <v>103</v>
      </c>
      <c r="O244" s="736">
        <v>0</v>
      </c>
      <c r="P244" s="754">
        <v>0</v>
      </c>
      <c r="Q244" s="752">
        <v>0</v>
      </c>
      <c r="R244" s="9" t="s">
        <v>103</v>
      </c>
      <c r="S244" s="9" t="s">
        <v>103</v>
      </c>
    </row>
    <row r="245" spans="2:19">
      <c r="B245" s="746" t="s">
        <v>973</v>
      </c>
      <c r="C245" s="9" t="s">
        <v>1009</v>
      </c>
      <c r="D245" s="730" t="s">
        <v>110</v>
      </c>
      <c r="E245" s="747">
        <v>1956480.4142692829</v>
      </c>
      <c r="F245" s="747">
        <v>260964.8571788494</v>
      </c>
      <c r="G245" s="747">
        <v>2217445.2714481326</v>
      </c>
      <c r="H245" s="748">
        <v>0</v>
      </c>
      <c r="I245" s="755" t="s">
        <v>258</v>
      </c>
      <c r="J245" s="756">
        <v>2217445.2714481326</v>
      </c>
      <c r="K245" s="735">
        <v>0</v>
      </c>
      <c r="L245" s="735" t="s">
        <v>103</v>
      </c>
      <c r="M245" s="756">
        <v>0</v>
      </c>
      <c r="N245" s="756" t="s">
        <v>103</v>
      </c>
      <c r="O245" s="736">
        <v>0</v>
      </c>
      <c r="P245" s="754">
        <v>0</v>
      </c>
      <c r="Q245" s="752">
        <v>0</v>
      </c>
      <c r="R245" s="9" t="s">
        <v>103</v>
      </c>
      <c r="S245" s="9" t="s">
        <v>103</v>
      </c>
    </row>
    <row r="246" spans="2:19" s="101" customFormat="1">
      <c r="B246" s="738" t="s">
        <v>1452</v>
      </c>
      <c r="C246" s="738"/>
      <c r="D246" s="738"/>
      <c r="E246" s="739">
        <v>7175452.4637445938</v>
      </c>
      <c r="F246" s="739">
        <v>1266572.4724107138</v>
      </c>
      <c r="G246" s="739">
        <v>8442024.9361553062</v>
      </c>
      <c r="H246" s="740">
        <v>0</v>
      </c>
      <c r="I246" s="741"/>
      <c r="J246" s="742">
        <v>8442024.9361553062</v>
      </c>
      <c r="K246" s="743">
        <v>0</v>
      </c>
      <c r="L246" s="743"/>
      <c r="M246" s="742">
        <v>0</v>
      </c>
      <c r="N246" s="742">
        <v>0</v>
      </c>
      <c r="O246" s="743">
        <v>0</v>
      </c>
      <c r="P246" s="742">
        <v>0</v>
      </c>
      <c r="Q246" s="744">
        <v>0</v>
      </c>
      <c r="R246" s="741" t="s">
        <v>103</v>
      </c>
      <c r="S246" s="741" t="s">
        <v>103</v>
      </c>
    </row>
    <row r="247" spans="2:19" s="9" customFormat="1">
      <c r="B247" s="759"/>
      <c r="E247" s="751"/>
      <c r="F247" s="751"/>
      <c r="G247" s="751"/>
      <c r="H247" s="748"/>
      <c r="J247" s="751"/>
      <c r="M247" s="751"/>
      <c r="N247" s="751"/>
      <c r="O247" s="752"/>
      <c r="P247" s="754">
        <v>0</v>
      </c>
    </row>
    <row r="248" spans="2:19" s="101" customFormat="1">
      <c r="B248" s="738" t="s">
        <v>1465</v>
      </c>
      <c r="C248" s="738"/>
      <c r="D248" s="738"/>
      <c r="E248" s="760">
        <f>SUM(E6:E247)/2</f>
        <v>190834637.64417908</v>
      </c>
      <c r="F248" s="760">
        <f t="shared" ref="F248:G248" si="0">SUM(F6:F247)/2</f>
        <v>26140927.037009396</v>
      </c>
      <c r="G248" s="760">
        <f t="shared" si="0"/>
        <v>200951015.63128838</v>
      </c>
      <c r="H248" s="740">
        <v>0</v>
      </c>
      <c r="I248" s="741"/>
      <c r="J248" s="742">
        <f>SUM(J6:J247)/2</f>
        <v>200951015.63128838</v>
      </c>
      <c r="K248" s="743">
        <v>120000</v>
      </c>
      <c r="L248" s="743"/>
      <c r="M248" s="742">
        <v>120000</v>
      </c>
      <c r="N248" s="742"/>
      <c r="O248" s="743">
        <v>395357</v>
      </c>
      <c r="P248" s="742">
        <v>0</v>
      </c>
      <c r="Q248" s="744">
        <v>0</v>
      </c>
      <c r="R248" s="741" t="s">
        <v>103</v>
      </c>
      <c r="S248" s="741" t="s">
        <v>103</v>
      </c>
    </row>
    <row r="249" spans="2:19" s="865" customFormat="1" ht="10.5">
      <c r="E249" s="866">
        <v>190834638</v>
      </c>
      <c r="F249" s="866">
        <v>26140927.037009396</v>
      </c>
      <c r="G249" s="866">
        <v>200951015.63128838</v>
      </c>
      <c r="H249" s="867"/>
      <c r="J249" s="868">
        <v>200951015.63128838</v>
      </c>
      <c r="K249" s="868"/>
      <c r="M249" s="869"/>
      <c r="N249" s="870"/>
      <c r="O249" s="868"/>
      <c r="P249" s="866"/>
      <c r="Q249" s="868"/>
    </row>
    <row r="250" spans="2:19" s="871" customFormat="1" ht="10.5">
      <c r="D250" s="871" t="s">
        <v>1853</v>
      </c>
      <c r="E250" s="872">
        <f>E249-E248</f>
        <v>0.3558209240436554</v>
      </c>
      <c r="F250" s="872">
        <f>F249-F248</f>
        <v>0</v>
      </c>
      <c r="G250" s="872">
        <f>G249-G248</f>
        <v>0</v>
      </c>
      <c r="H250" s="873"/>
      <c r="J250" s="874">
        <f>J249-J248</f>
        <v>0</v>
      </c>
      <c r="K250" s="874"/>
      <c r="M250" s="875"/>
      <c r="N250" s="876"/>
      <c r="O250" s="874"/>
      <c r="P250" s="872"/>
      <c r="Q250" s="874"/>
    </row>
  </sheetData>
  <autoFilter ref="B5:S248" xr:uid="{00000000-0009-0000-0000-000011000000}"/>
  <mergeCells count="3">
    <mergeCell ref="B3:S3"/>
    <mergeCell ref="E4:G4"/>
    <mergeCell ref="J4:K4"/>
  </mergeCells>
  <dataValidations count="1">
    <dataValidation type="list" allowBlank="1" showInputMessage="1" showErrorMessage="1" sqref="D8:D11 C9:C10 C14:D14 D15 D18:D23 D26:D27 D30:D35 D37:D70 D72:D116 D119 D122:D123 D126:D157 D160:D184 D187:D210 D213 D216:D219 D222:D229 D232 D235:D245" xr:uid="{00000000-0002-0000-1100-000000000000}">
      <formula1>Yes_No_Unsure</formula1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/>
  <dimension ref="B2:S250"/>
  <sheetViews>
    <sheetView workbookViewId="0">
      <pane xSplit="2" ySplit="5" topLeftCell="D6" activePane="bottomRight" state="frozen"/>
      <selection pane="bottomRight" activeCell="J248" sqref="J248"/>
      <selection pane="bottomLeft" activeCell="A6" sqref="A6"/>
      <selection pane="topRight" activeCell="C1" sqref="C1"/>
    </sheetView>
  </sheetViews>
  <sheetFormatPr defaultRowHeight="14.45"/>
  <cols>
    <col min="1" max="1" width="5.42578125" customWidth="1"/>
    <col min="2" max="2" width="33.85546875" bestFit="1" customWidth="1"/>
    <col min="3" max="3" width="16.85546875" customWidth="1"/>
    <col min="4" max="4" width="17.42578125" customWidth="1"/>
    <col min="5" max="5" width="13.5703125" style="693" bestFit="1" customWidth="1"/>
    <col min="6" max="6" width="18.42578125" style="693" bestFit="1" customWidth="1"/>
    <col min="7" max="7" width="13.5703125" style="693" customWidth="1"/>
    <col min="8" max="8" width="11.85546875" style="694" customWidth="1"/>
    <col min="9" max="9" width="16.42578125" customWidth="1"/>
    <col min="10" max="10" width="13.5703125" style="145" customWidth="1"/>
    <col min="11" max="11" width="14.5703125" style="145" customWidth="1"/>
    <col min="12" max="12" width="13.140625" bestFit="1" customWidth="1"/>
    <col min="13" max="13" width="13.5703125" style="761" bestFit="1" customWidth="1"/>
    <col min="14" max="14" width="12.85546875" style="695" customWidth="1"/>
    <col min="15" max="15" width="12" style="145" customWidth="1"/>
    <col min="16" max="16" width="14.5703125" style="693" bestFit="1" customWidth="1"/>
    <col min="17" max="17" width="11.85546875" style="145" customWidth="1"/>
    <col min="18" max="18" width="10.5703125" customWidth="1"/>
    <col min="19" max="19" width="12.140625" customWidth="1"/>
  </cols>
  <sheetData>
    <row r="2" spans="2:19" ht="15" thickBot="1">
      <c r="M2" s="693"/>
    </row>
    <row r="3" spans="2:19" ht="15" thickBot="1">
      <c r="B3" s="1191" t="s">
        <v>1857</v>
      </c>
      <c r="C3" s="1192"/>
      <c r="D3" s="1192"/>
      <c r="E3" s="1192"/>
      <c r="F3" s="1192"/>
      <c r="G3" s="1192"/>
      <c r="H3" s="1192"/>
      <c r="I3" s="1192"/>
      <c r="J3" s="1192"/>
      <c r="K3" s="1193"/>
      <c r="L3" s="1192"/>
      <c r="M3" s="1194"/>
      <c r="N3" s="1195"/>
      <c r="O3" s="1193"/>
      <c r="P3" s="1192"/>
      <c r="Q3" s="1193"/>
      <c r="R3" s="1192"/>
      <c r="S3" s="1196"/>
    </row>
    <row r="4" spans="2:19" ht="15" thickBot="1">
      <c r="C4" s="696"/>
      <c r="D4" s="697"/>
      <c r="E4" s="1197" t="s">
        <v>1831</v>
      </c>
      <c r="F4" s="1197"/>
      <c r="G4" s="1197"/>
      <c r="H4" s="698"/>
      <c r="I4" s="699"/>
      <c r="J4" s="1198" t="s">
        <v>1832</v>
      </c>
      <c r="K4" s="1199"/>
      <c r="L4" s="699"/>
      <c r="M4" s="700"/>
      <c r="N4" s="701"/>
      <c r="O4" s="702"/>
      <c r="P4" s="703"/>
      <c r="Q4" s="702"/>
      <c r="R4" s="699"/>
      <c r="S4" s="704"/>
    </row>
    <row r="5" spans="2:19" ht="62.25" customHeight="1">
      <c r="B5" s="705" t="s">
        <v>3</v>
      </c>
      <c r="C5" s="706" t="s">
        <v>1833</v>
      </c>
      <c r="D5" s="707" t="s">
        <v>1834</v>
      </c>
      <c r="E5" s="708" t="s">
        <v>1858</v>
      </c>
      <c r="F5" s="708" t="s">
        <v>1859</v>
      </c>
      <c r="G5" s="708" t="s">
        <v>1860</v>
      </c>
      <c r="H5" s="709" t="s">
        <v>1838</v>
      </c>
      <c r="I5" s="707" t="s">
        <v>1839</v>
      </c>
      <c r="J5" s="708" t="s">
        <v>1840</v>
      </c>
      <c r="K5" s="710" t="s">
        <v>1841</v>
      </c>
      <c r="L5" s="711" t="s">
        <v>1842</v>
      </c>
      <c r="M5" s="708" t="s">
        <v>1843</v>
      </c>
      <c r="N5" s="712" t="s">
        <v>1844</v>
      </c>
      <c r="O5" s="713" t="s">
        <v>1845</v>
      </c>
      <c r="P5" s="708" t="s">
        <v>1846</v>
      </c>
      <c r="Q5" s="713" t="s">
        <v>1847</v>
      </c>
      <c r="R5" s="707" t="s">
        <v>1848</v>
      </c>
      <c r="S5" s="714" t="s">
        <v>1849</v>
      </c>
    </row>
    <row r="6" spans="2:19" ht="18" customHeight="1">
      <c r="B6" s="715"/>
      <c r="C6" s="716" t="s">
        <v>88</v>
      </c>
      <c r="D6" s="716" t="s">
        <v>88</v>
      </c>
      <c r="E6" s="717" t="s">
        <v>99</v>
      </c>
      <c r="F6" s="717" t="s">
        <v>99</v>
      </c>
      <c r="G6" s="717" t="s">
        <v>99</v>
      </c>
      <c r="H6" s="718" t="s">
        <v>1850</v>
      </c>
      <c r="I6" s="719" t="s">
        <v>99</v>
      </c>
      <c r="J6" s="717" t="s">
        <v>99</v>
      </c>
      <c r="K6" s="719" t="s">
        <v>99</v>
      </c>
      <c r="L6" s="720" t="s">
        <v>86</v>
      </c>
      <c r="M6" s="717" t="s">
        <v>99</v>
      </c>
      <c r="N6" s="717" t="s">
        <v>1201</v>
      </c>
      <c r="O6" s="721" t="s">
        <v>99</v>
      </c>
      <c r="P6" s="717" t="s">
        <v>99</v>
      </c>
      <c r="Q6" s="719" t="s">
        <v>99</v>
      </c>
      <c r="R6" s="719" t="s">
        <v>99</v>
      </c>
      <c r="S6" s="722" t="s">
        <v>99</v>
      </c>
    </row>
    <row r="7" spans="2:19" s="97" customFormat="1">
      <c r="B7" s="723" t="s">
        <v>101</v>
      </c>
      <c r="C7" s="723"/>
      <c r="D7" s="723"/>
      <c r="E7" s="724"/>
      <c r="F7" s="724"/>
      <c r="G7" s="724"/>
      <c r="H7" s="725"/>
      <c r="I7" s="726"/>
      <c r="J7" s="727"/>
      <c r="K7" s="726"/>
      <c r="L7" s="726"/>
      <c r="M7" s="727"/>
      <c r="N7" s="727"/>
      <c r="O7" s="728"/>
      <c r="P7" s="727"/>
      <c r="Q7" s="726"/>
      <c r="R7" s="726"/>
      <c r="S7" s="726"/>
    </row>
    <row r="8" spans="2:19" s="97" customFormat="1">
      <c r="B8" s="729" t="s">
        <v>102</v>
      </c>
      <c r="C8" s="9" t="s">
        <v>1009</v>
      </c>
      <c r="D8" s="730" t="s">
        <v>110</v>
      </c>
      <c r="E8" s="731">
        <v>756538.5417069383</v>
      </c>
      <c r="F8" s="731">
        <v>20584.868215458926</v>
      </c>
      <c r="G8" s="731">
        <v>777123.40992239723</v>
      </c>
      <c r="H8" s="732">
        <v>0</v>
      </c>
      <c r="I8" s="733" t="s">
        <v>258</v>
      </c>
      <c r="J8" s="734">
        <v>777123.40992239723</v>
      </c>
      <c r="K8" s="735">
        <v>0</v>
      </c>
      <c r="L8" s="735" t="s">
        <v>103</v>
      </c>
      <c r="M8" s="734">
        <v>0</v>
      </c>
      <c r="N8" s="734" t="s">
        <v>103</v>
      </c>
      <c r="O8" s="736">
        <v>0</v>
      </c>
      <c r="P8" s="737" t="s">
        <v>1851</v>
      </c>
      <c r="Q8" s="736">
        <v>0</v>
      </c>
      <c r="R8" s="735" t="s">
        <v>103</v>
      </c>
      <c r="S8" s="735" t="s">
        <v>103</v>
      </c>
    </row>
    <row r="9" spans="2:19" s="101" customFormat="1">
      <c r="B9" s="738" t="s">
        <v>1225</v>
      </c>
      <c r="C9" s="738"/>
      <c r="D9" s="738"/>
      <c r="E9" s="739">
        <v>756538.5417069383</v>
      </c>
      <c r="F9" s="739">
        <v>20584.868215458926</v>
      </c>
      <c r="G9" s="739">
        <v>777123.40992239723</v>
      </c>
      <c r="H9" s="740">
        <v>0</v>
      </c>
      <c r="I9" s="741"/>
      <c r="J9" s="742">
        <v>777123.40992239723</v>
      </c>
      <c r="K9" s="742">
        <v>0</v>
      </c>
      <c r="L9" s="741"/>
      <c r="M9" s="742">
        <v>0</v>
      </c>
      <c r="N9" s="742">
        <v>0</v>
      </c>
      <c r="O9" s="743">
        <v>0</v>
      </c>
      <c r="P9" s="742">
        <v>0</v>
      </c>
      <c r="Q9" s="744">
        <v>0</v>
      </c>
      <c r="R9" s="741" t="s">
        <v>103</v>
      </c>
      <c r="S9" s="741" t="s">
        <v>103</v>
      </c>
    </row>
    <row r="10" spans="2:19" s="97" customFormat="1">
      <c r="B10" s="723" t="s">
        <v>106</v>
      </c>
      <c r="C10" s="723"/>
      <c r="D10" s="723"/>
      <c r="E10" s="724"/>
      <c r="F10" s="724"/>
      <c r="G10" s="724"/>
      <c r="H10" s="725"/>
      <c r="I10" s="726"/>
      <c r="J10" s="727"/>
      <c r="K10" s="726"/>
      <c r="L10" s="726"/>
      <c r="M10" s="727"/>
      <c r="N10" s="727"/>
      <c r="O10" s="728"/>
      <c r="P10" s="727"/>
      <c r="Q10" s="726"/>
      <c r="R10" s="726"/>
      <c r="S10" s="726"/>
    </row>
    <row r="11" spans="2:19" s="97" customFormat="1">
      <c r="B11" s="729" t="s">
        <v>107</v>
      </c>
      <c r="C11" s="9" t="s">
        <v>1009</v>
      </c>
      <c r="D11" s="730" t="s">
        <v>110</v>
      </c>
      <c r="E11" s="731">
        <v>178747.04839216286</v>
      </c>
      <c r="F11" s="731">
        <v>3922.0330713470289</v>
      </c>
      <c r="G11" s="731">
        <v>182669.08146350988</v>
      </c>
      <c r="H11" s="732">
        <v>0</v>
      </c>
      <c r="I11" s="745" t="s">
        <v>258</v>
      </c>
      <c r="J11" s="734">
        <v>182669.08146350988</v>
      </c>
      <c r="K11" s="735">
        <v>0</v>
      </c>
      <c r="L11" s="735" t="s">
        <v>103</v>
      </c>
      <c r="M11" s="734">
        <v>0</v>
      </c>
      <c r="N11" s="734" t="s">
        <v>103</v>
      </c>
      <c r="O11" s="736">
        <v>0</v>
      </c>
      <c r="P11" s="737" t="s">
        <v>1851</v>
      </c>
      <c r="Q11" s="736">
        <v>0</v>
      </c>
      <c r="R11" s="735" t="s">
        <v>103</v>
      </c>
      <c r="S11" s="735" t="s">
        <v>103</v>
      </c>
    </row>
    <row r="12" spans="2:19" s="101" customFormat="1">
      <c r="B12" s="738" t="s">
        <v>1228</v>
      </c>
      <c r="C12" s="738" t="s">
        <v>150</v>
      </c>
      <c r="D12" s="738" t="s">
        <v>150</v>
      </c>
      <c r="E12" s="739">
        <v>178747.04839216286</v>
      </c>
      <c r="F12" s="739">
        <v>3922.0330713470289</v>
      </c>
      <c r="G12" s="739">
        <v>182669.08146350988</v>
      </c>
      <c r="H12" s="740">
        <v>0</v>
      </c>
      <c r="I12" s="741"/>
      <c r="J12" s="742">
        <v>182669.08146350988</v>
      </c>
      <c r="K12" s="742">
        <v>0</v>
      </c>
      <c r="L12" s="741"/>
      <c r="M12" s="742">
        <v>0</v>
      </c>
      <c r="N12" s="742">
        <v>0</v>
      </c>
      <c r="O12" s="743">
        <v>0</v>
      </c>
      <c r="P12" s="742">
        <v>0</v>
      </c>
      <c r="Q12" s="744">
        <v>0</v>
      </c>
      <c r="R12" s="741" t="s">
        <v>103</v>
      </c>
      <c r="S12" s="741" t="s">
        <v>103</v>
      </c>
    </row>
    <row r="13" spans="2:19" s="97" customFormat="1">
      <c r="B13" s="723" t="s">
        <v>108</v>
      </c>
      <c r="C13" s="723"/>
      <c r="D13" s="723"/>
      <c r="E13" s="724"/>
      <c r="F13" s="724"/>
      <c r="G13" s="724"/>
      <c r="H13" s="725"/>
      <c r="I13" s="726"/>
      <c r="J13" s="727"/>
      <c r="K13" s="726"/>
      <c r="L13" s="726"/>
      <c r="M13" s="727"/>
      <c r="N13" s="727"/>
      <c r="O13" s="728"/>
      <c r="P13" s="727"/>
      <c r="Q13" s="726"/>
      <c r="R13" s="726"/>
      <c r="S13" s="726"/>
    </row>
    <row r="14" spans="2:19">
      <c r="B14" s="746" t="s">
        <v>109</v>
      </c>
      <c r="C14" s="9" t="s">
        <v>1009</v>
      </c>
      <c r="D14" s="730" t="s">
        <v>110</v>
      </c>
      <c r="E14" s="747">
        <v>108350.02940927375</v>
      </c>
      <c r="F14" s="747">
        <v>3039.2876758862462</v>
      </c>
      <c r="G14" s="747">
        <v>111389.31708515997</v>
      </c>
      <c r="H14" s="748">
        <v>0</v>
      </c>
      <c r="I14" s="749" t="s">
        <v>258</v>
      </c>
      <c r="J14" s="750">
        <v>111389.31708515997</v>
      </c>
      <c r="K14" s="735">
        <v>0</v>
      </c>
      <c r="L14" s="735" t="s">
        <v>103</v>
      </c>
      <c r="M14" s="750">
        <v>0</v>
      </c>
      <c r="N14" s="750" t="s">
        <v>103</v>
      </c>
      <c r="O14" s="736">
        <v>0</v>
      </c>
      <c r="P14" s="751">
        <v>0</v>
      </c>
      <c r="Q14" s="752">
        <v>0</v>
      </c>
      <c r="R14" s="9" t="s">
        <v>103</v>
      </c>
      <c r="S14" s="9" t="s">
        <v>103</v>
      </c>
    </row>
    <row r="15" spans="2:19" s="97" customFormat="1">
      <c r="B15" s="729" t="s">
        <v>111</v>
      </c>
      <c r="C15" s="9" t="s">
        <v>1009</v>
      </c>
      <c r="D15" s="730" t="s">
        <v>110</v>
      </c>
      <c r="E15" s="731">
        <v>608700.21615666989</v>
      </c>
      <c r="F15" s="731">
        <v>30414.505822347866</v>
      </c>
      <c r="G15" s="731">
        <v>639114.72197901784</v>
      </c>
      <c r="H15" s="753">
        <v>0</v>
      </c>
      <c r="I15" s="745" t="s">
        <v>258</v>
      </c>
      <c r="J15" s="734">
        <v>639114.72197901784</v>
      </c>
      <c r="K15" s="735">
        <v>0</v>
      </c>
      <c r="L15" s="735" t="s">
        <v>103</v>
      </c>
      <c r="M15" s="734">
        <v>0</v>
      </c>
      <c r="N15" s="734" t="s">
        <v>103</v>
      </c>
      <c r="O15" s="736">
        <v>0</v>
      </c>
      <c r="P15" s="754">
        <v>0</v>
      </c>
      <c r="Q15" s="736">
        <v>0</v>
      </c>
      <c r="R15" s="100" t="s">
        <v>103</v>
      </c>
      <c r="S15" s="100" t="s">
        <v>103</v>
      </c>
    </row>
    <row r="16" spans="2:19" s="101" customFormat="1">
      <c r="B16" s="738" t="s">
        <v>1231</v>
      </c>
      <c r="C16" s="738" t="s">
        <v>150</v>
      </c>
      <c r="D16" s="738" t="s">
        <v>150</v>
      </c>
      <c r="E16" s="739">
        <v>717050.24556594365</v>
      </c>
      <c r="F16" s="739">
        <v>33453.79349823411</v>
      </c>
      <c r="G16" s="739">
        <v>750504.03906417778</v>
      </c>
      <c r="H16" s="740">
        <v>0</v>
      </c>
      <c r="I16" s="741"/>
      <c r="J16" s="742">
        <v>750504.03906417778</v>
      </c>
      <c r="K16" s="742">
        <v>0</v>
      </c>
      <c r="L16" s="741"/>
      <c r="M16" s="742">
        <v>0</v>
      </c>
      <c r="N16" s="742">
        <v>0</v>
      </c>
      <c r="O16" s="743">
        <v>0</v>
      </c>
      <c r="P16" s="742">
        <v>0</v>
      </c>
      <c r="Q16" s="744">
        <v>0</v>
      </c>
      <c r="R16" s="741" t="s">
        <v>103</v>
      </c>
      <c r="S16" s="741" t="s">
        <v>103</v>
      </c>
    </row>
    <row r="17" spans="2:19" s="97" customFormat="1">
      <c r="B17" s="723" t="s">
        <v>112</v>
      </c>
      <c r="C17" s="723"/>
      <c r="D17" s="723"/>
      <c r="E17" s="724"/>
      <c r="F17" s="724"/>
      <c r="G17" s="724"/>
      <c r="H17" s="725"/>
      <c r="I17" s="726"/>
      <c r="J17" s="727"/>
      <c r="K17" s="726"/>
      <c r="L17" s="726"/>
      <c r="M17" s="727"/>
      <c r="N17" s="727"/>
      <c r="O17" s="728"/>
      <c r="P17" s="727"/>
      <c r="Q17" s="726"/>
      <c r="R17" s="726"/>
      <c r="S17" s="726"/>
    </row>
    <row r="18" spans="2:19">
      <c r="B18" s="746" t="s">
        <v>113</v>
      </c>
      <c r="C18" s="9" t="s">
        <v>1009</v>
      </c>
      <c r="D18" s="730" t="s">
        <v>110</v>
      </c>
      <c r="E18" s="747">
        <v>685460.0375513389</v>
      </c>
      <c r="F18" s="747">
        <v>17673.527483074868</v>
      </c>
      <c r="G18" s="747">
        <v>703133.56503441371</v>
      </c>
      <c r="H18" s="748">
        <v>0</v>
      </c>
      <c r="I18" s="749" t="s">
        <v>258</v>
      </c>
      <c r="J18" s="750">
        <v>703133.56503441371</v>
      </c>
      <c r="K18" s="735">
        <v>0</v>
      </c>
      <c r="L18" s="735" t="s">
        <v>103</v>
      </c>
      <c r="M18" s="750">
        <v>0</v>
      </c>
      <c r="N18" s="750" t="s">
        <v>103</v>
      </c>
      <c r="O18" s="736">
        <v>0</v>
      </c>
      <c r="P18" s="754">
        <v>0</v>
      </c>
      <c r="Q18" s="752">
        <v>0</v>
      </c>
      <c r="R18" s="9" t="s">
        <v>103</v>
      </c>
      <c r="S18" s="9" t="s">
        <v>103</v>
      </c>
    </row>
    <row r="19" spans="2:19">
      <c r="B19" s="746" t="s">
        <v>126</v>
      </c>
      <c r="C19" s="9" t="s">
        <v>1009</v>
      </c>
      <c r="D19" s="730" t="s">
        <v>110</v>
      </c>
      <c r="E19" s="747">
        <v>56641.77406241915</v>
      </c>
      <c r="F19" s="747">
        <v>47784.443151378611</v>
      </c>
      <c r="G19" s="747">
        <v>-53851.5927862026</v>
      </c>
      <c r="H19" s="694">
        <v>1.1269691396340766</v>
      </c>
      <c r="I19" s="749" t="s">
        <v>258</v>
      </c>
      <c r="J19" s="750">
        <v>-53851.5927862026</v>
      </c>
      <c r="K19" s="735">
        <v>0</v>
      </c>
      <c r="L19" s="735" t="s">
        <v>103</v>
      </c>
      <c r="M19" s="750">
        <v>0</v>
      </c>
      <c r="N19" s="750" t="s">
        <v>103</v>
      </c>
      <c r="O19" s="736">
        <v>0</v>
      </c>
      <c r="P19" s="754">
        <v>0</v>
      </c>
      <c r="Q19" s="752">
        <v>0</v>
      </c>
      <c r="R19" s="9" t="s">
        <v>103</v>
      </c>
      <c r="S19" s="9" t="s">
        <v>103</v>
      </c>
    </row>
    <row r="20" spans="2:19">
      <c r="B20" s="746" t="s">
        <v>1707</v>
      </c>
      <c r="C20" s="9" t="s">
        <v>1009</v>
      </c>
      <c r="D20" s="730" t="s">
        <v>110</v>
      </c>
      <c r="E20" s="747">
        <v>131075.80815925926</v>
      </c>
      <c r="F20" s="747">
        <v>6962.0163267587996</v>
      </c>
      <c r="G20" s="747">
        <v>138037.82448601807</v>
      </c>
      <c r="H20" s="748">
        <v>0</v>
      </c>
      <c r="I20" s="749" t="s">
        <v>258</v>
      </c>
      <c r="J20" s="750">
        <v>138037.82448601807</v>
      </c>
      <c r="K20" s="735">
        <v>0</v>
      </c>
      <c r="L20" s="735" t="s">
        <v>103</v>
      </c>
      <c r="M20" s="750">
        <v>0</v>
      </c>
      <c r="N20" s="750" t="s">
        <v>103</v>
      </c>
      <c r="O20" s="736">
        <v>0</v>
      </c>
      <c r="P20" s="754">
        <v>0</v>
      </c>
      <c r="Q20" s="752">
        <v>0</v>
      </c>
      <c r="R20" s="9" t="s">
        <v>103</v>
      </c>
      <c r="S20" s="9" t="s">
        <v>103</v>
      </c>
    </row>
    <row r="21" spans="2:19">
      <c r="B21" s="746" t="s">
        <v>133</v>
      </c>
      <c r="C21" s="9" t="s">
        <v>1009</v>
      </c>
      <c r="D21" s="730" t="s">
        <v>110</v>
      </c>
      <c r="E21" s="747">
        <v>3306357.2306164792</v>
      </c>
      <c r="F21" s="747">
        <v>62800.605135098231</v>
      </c>
      <c r="G21" s="747">
        <v>3369157.8357515768</v>
      </c>
      <c r="H21" s="748">
        <v>0</v>
      </c>
      <c r="I21" s="749" t="s">
        <v>258</v>
      </c>
      <c r="J21" s="750">
        <v>3369157.8357515768</v>
      </c>
      <c r="K21" s="735">
        <v>0</v>
      </c>
      <c r="L21" s="735" t="s">
        <v>103</v>
      </c>
      <c r="M21" s="750">
        <v>0</v>
      </c>
      <c r="N21" s="750" t="s">
        <v>103</v>
      </c>
      <c r="O21" s="736">
        <v>0</v>
      </c>
      <c r="P21" s="754">
        <v>0</v>
      </c>
      <c r="Q21" s="752">
        <v>0</v>
      </c>
      <c r="R21" s="9" t="s">
        <v>103</v>
      </c>
      <c r="S21" s="9" t="s">
        <v>103</v>
      </c>
    </row>
    <row r="22" spans="2:19">
      <c r="B22" s="746" t="s">
        <v>134</v>
      </c>
      <c r="C22" s="9" t="s">
        <v>1009</v>
      </c>
      <c r="D22" s="730" t="s">
        <v>110</v>
      </c>
      <c r="E22" s="747">
        <v>806609.1175365448</v>
      </c>
      <c r="F22" s="747">
        <v>14569.491698819122</v>
      </c>
      <c r="G22" s="747">
        <v>821178.60923536401</v>
      </c>
      <c r="H22" s="748">
        <v>0</v>
      </c>
      <c r="I22" s="749" t="s">
        <v>258</v>
      </c>
      <c r="J22" s="750">
        <v>821178.60923536401</v>
      </c>
      <c r="K22" s="735">
        <v>0</v>
      </c>
      <c r="L22" s="735" t="s">
        <v>103</v>
      </c>
      <c r="M22" s="750">
        <v>0</v>
      </c>
      <c r="N22" s="750" t="s">
        <v>103</v>
      </c>
      <c r="O22" s="736">
        <v>0</v>
      </c>
      <c r="P22" s="754">
        <v>0</v>
      </c>
      <c r="Q22" s="752">
        <v>0</v>
      </c>
      <c r="R22" s="9" t="s">
        <v>103</v>
      </c>
      <c r="S22" s="9" t="s">
        <v>103</v>
      </c>
    </row>
    <row r="23" spans="2:19">
      <c r="B23" s="746" t="s">
        <v>135</v>
      </c>
      <c r="C23" s="9" t="s">
        <v>1009</v>
      </c>
      <c r="D23" s="730" t="s">
        <v>110</v>
      </c>
      <c r="E23" s="747">
        <v>5379260.4892063001</v>
      </c>
      <c r="F23" s="747">
        <v>314981.32435894589</v>
      </c>
      <c r="G23" s="747">
        <v>5694241.8135652468</v>
      </c>
      <c r="H23" s="748">
        <v>0</v>
      </c>
      <c r="I23" s="755" t="s">
        <v>258</v>
      </c>
      <c r="J23" s="756">
        <v>5694241.8135652468</v>
      </c>
      <c r="K23" s="735">
        <v>0</v>
      </c>
      <c r="L23" s="735" t="s">
        <v>103</v>
      </c>
      <c r="M23" s="756">
        <v>0</v>
      </c>
      <c r="N23" s="756" t="s">
        <v>103</v>
      </c>
      <c r="O23" s="736">
        <v>0</v>
      </c>
      <c r="P23" s="754">
        <v>0</v>
      </c>
      <c r="Q23" s="752">
        <v>0</v>
      </c>
      <c r="R23" s="9" t="s">
        <v>103</v>
      </c>
      <c r="S23" s="9" t="s">
        <v>103</v>
      </c>
    </row>
    <row r="24" spans="2:19" s="101" customFormat="1">
      <c r="B24" s="738" t="s">
        <v>1235</v>
      </c>
      <c r="C24" s="738"/>
      <c r="D24" s="738"/>
      <c r="E24" s="739">
        <v>10365404.457132341</v>
      </c>
      <c r="F24" s="739">
        <v>464771.4081540755</v>
      </c>
      <c r="G24" s="739">
        <v>10671898.055286417</v>
      </c>
      <c r="H24" s="740">
        <v>0</v>
      </c>
      <c r="I24" s="741"/>
      <c r="J24" s="742">
        <v>10671898.055286417</v>
      </c>
      <c r="K24" s="742">
        <v>0</v>
      </c>
      <c r="L24" s="741"/>
      <c r="M24" s="742">
        <v>0</v>
      </c>
      <c r="N24" s="742">
        <v>0</v>
      </c>
      <c r="O24" s="743">
        <v>0</v>
      </c>
      <c r="P24" s="742">
        <v>0</v>
      </c>
      <c r="Q24" s="744">
        <v>0</v>
      </c>
      <c r="R24" s="741" t="s">
        <v>103</v>
      </c>
      <c r="S24" s="741" t="s">
        <v>103</v>
      </c>
    </row>
    <row r="25" spans="2:19" s="97" customFormat="1">
      <c r="B25" s="723" t="s">
        <v>140</v>
      </c>
      <c r="C25" s="723"/>
      <c r="D25" s="723"/>
      <c r="E25" s="724"/>
      <c r="F25" s="724"/>
      <c r="G25" s="724"/>
      <c r="H25" s="725">
        <v>0</v>
      </c>
      <c r="I25" s="726"/>
      <c r="J25" s="727"/>
      <c r="K25" s="726"/>
      <c r="L25" s="726"/>
      <c r="M25" s="727"/>
      <c r="N25" s="727"/>
      <c r="O25" s="728"/>
      <c r="P25" s="727"/>
      <c r="Q25" s="726"/>
      <c r="R25" s="726"/>
      <c r="S25" s="726"/>
    </row>
    <row r="26" spans="2:19">
      <c r="B26" s="746" t="s">
        <v>141</v>
      </c>
      <c r="C26" s="9" t="s">
        <v>1009</v>
      </c>
      <c r="D26" s="730" t="s">
        <v>110</v>
      </c>
      <c r="E26" s="747">
        <v>1326607.7387808831</v>
      </c>
      <c r="F26" s="747">
        <v>76121.897832131188</v>
      </c>
      <c r="G26" s="747">
        <v>1402729.6366130144</v>
      </c>
      <c r="H26" s="748">
        <v>0</v>
      </c>
      <c r="I26" s="749" t="s">
        <v>258</v>
      </c>
      <c r="J26" s="750">
        <v>1402729.6366130144</v>
      </c>
      <c r="K26" s="735">
        <v>0</v>
      </c>
      <c r="L26" s="735" t="s">
        <v>103</v>
      </c>
      <c r="M26" s="750">
        <v>0</v>
      </c>
      <c r="N26" s="750" t="s">
        <v>103</v>
      </c>
      <c r="O26" s="736">
        <v>0</v>
      </c>
      <c r="P26" s="754">
        <v>0</v>
      </c>
      <c r="Q26" s="752">
        <v>0</v>
      </c>
      <c r="R26" s="9" t="s">
        <v>103</v>
      </c>
      <c r="S26" s="9" t="s">
        <v>103</v>
      </c>
    </row>
    <row r="27" spans="2:19">
      <c r="B27" s="746" t="s">
        <v>142</v>
      </c>
      <c r="C27" s="9" t="s">
        <v>1009</v>
      </c>
      <c r="D27" s="730" t="s">
        <v>110</v>
      </c>
      <c r="E27" s="747">
        <v>533082.08674784657</v>
      </c>
      <c r="F27" s="747">
        <v>52189.099446208747</v>
      </c>
      <c r="G27" s="747">
        <v>585271.18619405536</v>
      </c>
      <c r="H27" s="748">
        <v>0</v>
      </c>
      <c r="I27" s="755" t="s">
        <v>258</v>
      </c>
      <c r="J27" s="756">
        <v>585271.18619405536</v>
      </c>
      <c r="K27" s="735">
        <v>0</v>
      </c>
      <c r="L27" s="735" t="s">
        <v>103</v>
      </c>
      <c r="M27" s="756">
        <v>0</v>
      </c>
      <c r="N27" s="756" t="s">
        <v>103</v>
      </c>
      <c r="O27" s="736">
        <v>0</v>
      </c>
      <c r="P27" s="754">
        <v>0</v>
      </c>
      <c r="Q27" s="752">
        <v>0</v>
      </c>
      <c r="R27" s="9" t="s">
        <v>103</v>
      </c>
      <c r="S27" s="9" t="s">
        <v>103</v>
      </c>
    </row>
    <row r="28" spans="2:19" s="101" customFormat="1">
      <c r="B28" s="738" t="s">
        <v>1243</v>
      </c>
      <c r="C28" s="738"/>
      <c r="D28" s="738"/>
      <c r="E28" s="739">
        <v>1859689.8255287297</v>
      </c>
      <c r="F28" s="739">
        <v>128310.99727833993</v>
      </c>
      <c r="G28" s="739">
        <v>1988000.8228070699</v>
      </c>
      <c r="H28" s="740">
        <v>0</v>
      </c>
      <c r="I28" s="741"/>
      <c r="J28" s="742">
        <v>1988000.8228070699</v>
      </c>
      <c r="K28" s="742">
        <v>0</v>
      </c>
      <c r="L28" s="741"/>
      <c r="M28" s="742">
        <v>0</v>
      </c>
      <c r="N28" s="742">
        <v>0</v>
      </c>
      <c r="O28" s="743">
        <v>0</v>
      </c>
      <c r="P28" s="742">
        <v>0</v>
      </c>
      <c r="Q28" s="744">
        <v>0</v>
      </c>
      <c r="R28" s="741" t="s">
        <v>103</v>
      </c>
      <c r="S28" s="741" t="s">
        <v>103</v>
      </c>
    </row>
    <row r="29" spans="2:19" s="97" customFormat="1">
      <c r="B29" s="723" t="s">
        <v>143</v>
      </c>
      <c r="C29" s="723"/>
      <c r="D29" s="723"/>
      <c r="E29" s="724"/>
      <c r="F29" s="724"/>
      <c r="G29" s="724"/>
      <c r="H29" s="725">
        <v>0</v>
      </c>
      <c r="I29" s="726"/>
      <c r="J29" s="727"/>
      <c r="K29" s="726"/>
      <c r="L29" s="726"/>
      <c r="M29" s="727"/>
      <c r="N29" s="727"/>
      <c r="O29" s="728"/>
      <c r="P29" s="727"/>
      <c r="Q29" s="726"/>
      <c r="R29" s="726"/>
      <c r="S29" s="726"/>
    </row>
    <row r="30" spans="2:19">
      <c r="B30" s="746" t="s">
        <v>144</v>
      </c>
      <c r="C30" s="9" t="s">
        <v>1009</v>
      </c>
      <c r="D30" s="730" t="s">
        <v>110</v>
      </c>
      <c r="E30" s="747">
        <v>1206119.0178458111</v>
      </c>
      <c r="F30" s="747">
        <v>30958.688489242133</v>
      </c>
      <c r="G30" s="747">
        <v>1237077.7063350533</v>
      </c>
      <c r="H30" s="748">
        <v>0</v>
      </c>
      <c r="I30" s="749" t="s">
        <v>258</v>
      </c>
      <c r="J30" s="750">
        <v>1237077.7063350533</v>
      </c>
      <c r="K30" s="735">
        <v>0</v>
      </c>
      <c r="L30" s="735" t="s">
        <v>103</v>
      </c>
      <c r="M30" s="750">
        <v>0</v>
      </c>
      <c r="N30" s="750" t="s">
        <v>103</v>
      </c>
      <c r="O30" s="736">
        <v>0</v>
      </c>
      <c r="P30" s="754">
        <v>0</v>
      </c>
      <c r="Q30" s="752">
        <v>0</v>
      </c>
      <c r="R30" s="9" t="s">
        <v>103</v>
      </c>
      <c r="S30" s="9" t="s">
        <v>103</v>
      </c>
    </row>
    <row r="31" spans="2:19">
      <c r="B31" s="746" t="s">
        <v>145</v>
      </c>
      <c r="C31" s="9" t="s">
        <v>1009</v>
      </c>
      <c r="D31" s="730" t="s">
        <v>110</v>
      </c>
      <c r="E31" s="747">
        <v>6195007.4624367952</v>
      </c>
      <c r="F31" s="747">
        <v>322539.304549122</v>
      </c>
      <c r="G31" s="747">
        <v>6517546.7669859175</v>
      </c>
      <c r="H31" s="748">
        <v>0</v>
      </c>
      <c r="I31" s="749" t="s">
        <v>258</v>
      </c>
      <c r="J31" s="750">
        <v>6517546.7669859175</v>
      </c>
      <c r="K31" s="735">
        <v>0</v>
      </c>
      <c r="L31" s="735" t="s">
        <v>103</v>
      </c>
      <c r="M31" s="750">
        <v>0</v>
      </c>
      <c r="N31" s="750" t="s">
        <v>103</v>
      </c>
      <c r="O31" s="736">
        <v>0</v>
      </c>
      <c r="P31" s="754">
        <v>0</v>
      </c>
      <c r="Q31" s="752">
        <v>0</v>
      </c>
      <c r="R31" s="9" t="s">
        <v>103</v>
      </c>
      <c r="S31" s="9" t="s">
        <v>103</v>
      </c>
    </row>
    <row r="32" spans="2:19">
      <c r="B32" s="746" t="s">
        <v>157</v>
      </c>
      <c r="C32" s="9" t="s">
        <v>1009</v>
      </c>
      <c r="D32" s="730" t="s">
        <v>110</v>
      </c>
      <c r="E32" s="747">
        <v>-780488.50640977314</v>
      </c>
      <c r="F32" s="747">
        <v>203976.00811569171</v>
      </c>
      <c r="G32" s="747">
        <v>-576512.49829408189</v>
      </c>
      <c r="H32" s="694">
        <v>2.8263740604585901</v>
      </c>
      <c r="I32" s="749" t="s">
        <v>258</v>
      </c>
      <c r="J32" s="750">
        <v>-576512.49829408189</v>
      </c>
      <c r="K32" s="735">
        <v>0</v>
      </c>
      <c r="L32" s="735" t="s">
        <v>103</v>
      </c>
      <c r="M32" s="750">
        <v>0</v>
      </c>
      <c r="N32" s="750" t="s">
        <v>103</v>
      </c>
      <c r="O32" s="736">
        <v>0</v>
      </c>
      <c r="P32" s="754">
        <v>0</v>
      </c>
      <c r="Q32" s="752">
        <v>0</v>
      </c>
      <c r="R32" s="9" t="s">
        <v>103</v>
      </c>
      <c r="S32" s="9" t="s">
        <v>103</v>
      </c>
    </row>
    <row r="33" spans="2:19">
      <c r="B33" s="746" t="s">
        <v>160</v>
      </c>
      <c r="C33" s="9" t="s">
        <v>1009</v>
      </c>
      <c r="D33" s="730" t="s">
        <v>110</v>
      </c>
      <c r="E33" s="747">
        <v>1080322.8329020066</v>
      </c>
      <c r="F33" s="747">
        <v>46614.395852841568</v>
      </c>
      <c r="G33" s="747">
        <v>1126937.228754848</v>
      </c>
      <c r="H33" s="748">
        <v>0</v>
      </c>
      <c r="I33" s="749" t="s">
        <v>258</v>
      </c>
      <c r="J33" s="750">
        <v>1126937.228754848</v>
      </c>
      <c r="K33" s="735">
        <v>0</v>
      </c>
      <c r="L33" s="735" t="s">
        <v>103</v>
      </c>
      <c r="M33" s="750">
        <v>0</v>
      </c>
      <c r="N33" s="750" t="s">
        <v>103</v>
      </c>
      <c r="O33" s="736">
        <v>0</v>
      </c>
      <c r="P33" s="754">
        <v>0</v>
      </c>
      <c r="Q33" s="752">
        <v>0</v>
      </c>
      <c r="R33" s="9" t="s">
        <v>103</v>
      </c>
      <c r="S33" s="9" t="s">
        <v>103</v>
      </c>
    </row>
    <row r="34" spans="2:19">
      <c r="B34" s="746" t="s">
        <v>161</v>
      </c>
      <c r="C34" s="9" t="s">
        <v>1009</v>
      </c>
      <c r="D34" s="730" t="s">
        <v>110</v>
      </c>
      <c r="E34" s="747">
        <v>215356.33544826877</v>
      </c>
      <c r="F34" s="747">
        <v>15599.653405492825</v>
      </c>
      <c r="G34" s="747">
        <v>230955.98885376164</v>
      </c>
      <c r="H34" s="748">
        <v>0</v>
      </c>
      <c r="I34" s="749" t="s">
        <v>258</v>
      </c>
      <c r="J34" s="750">
        <v>230955.98885376164</v>
      </c>
      <c r="K34" s="735">
        <v>0</v>
      </c>
      <c r="L34" s="735" t="s">
        <v>103</v>
      </c>
      <c r="M34" s="750">
        <v>0</v>
      </c>
      <c r="N34" s="750" t="s">
        <v>103</v>
      </c>
      <c r="O34" s="736">
        <v>0</v>
      </c>
      <c r="P34" s="754">
        <v>0</v>
      </c>
      <c r="Q34" s="752">
        <v>0</v>
      </c>
      <c r="R34" s="9" t="s">
        <v>103</v>
      </c>
      <c r="S34" s="9" t="s">
        <v>103</v>
      </c>
    </row>
    <row r="35" spans="2:19">
      <c r="B35" s="746" t="s">
        <v>162</v>
      </c>
      <c r="C35" s="9" t="s">
        <v>1009</v>
      </c>
      <c r="D35" s="730" t="s">
        <v>110</v>
      </c>
      <c r="E35" s="747">
        <v>84041.969094166154</v>
      </c>
      <c r="F35" s="747">
        <v>6643.0616095083587</v>
      </c>
      <c r="G35" s="747">
        <v>90685.030703674478</v>
      </c>
      <c r="H35" s="748">
        <v>0</v>
      </c>
      <c r="I35" s="749" t="s">
        <v>258</v>
      </c>
      <c r="J35" s="750">
        <v>90685.030703674478</v>
      </c>
      <c r="K35" s="735">
        <v>0</v>
      </c>
      <c r="L35" s="735" t="s">
        <v>103</v>
      </c>
      <c r="M35" s="750">
        <v>0</v>
      </c>
      <c r="N35" s="750" t="s">
        <v>103</v>
      </c>
      <c r="O35" s="736">
        <v>0</v>
      </c>
      <c r="P35" s="754">
        <v>0</v>
      </c>
      <c r="Q35" s="752">
        <v>0</v>
      </c>
      <c r="R35" s="9" t="s">
        <v>103</v>
      </c>
      <c r="S35" s="9" t="s">
        <v>103</v>
      </c>
    </row>
    <row r="36" spans="2:19">
      <c r="B36" s="746" t="s">
        <v>163</v>
      </c>
      <c r="C36" s="9" t="s">
        <v>1009</v>
      </c>
      <c r="D36" s="9" t="s">
        <v>104</v>
      </c>
      <c r="E36" s="747">
        <v>-266912.09108014149</v>
      </c>
      <c r="F36" s="747">
        <v>156241.84308038795</v>
      </c>
      <c r="G36" s="747">
        <v>-110670.24799975331</v>
      </c>
      <c r="H36" s="748">
        <v>0.7083265648806536</v>
      </c>
      <c r="I36" s="749" t="s">
        <v>258</v>
      </c>
      <c r="J36" s="750">
        <v>-110670.24799975331</v>
      </c>
      <c r="K36" s="735">
        <v>0</v>
      </c>
      <c r="L36" s="735" t="s">
        <v>103</v>
      </c>
      <c r="M36" s="750">
        <v>0</v>
      </c>
      <c r="N36" s="750" t="s">
        <v>103</v>
      </c>
      <c r="O36" s="752">
        <v>0</v>
      </c>
      <c r="P36" s="754">
        <v>0</v>
      </c>
      <c r="Q36" s="752">
        <v>0</v>
      </c>
      <c r="R36" s="9" t="s">
        <v>103</v>
      </c>
      <c r="S36" s="9" t="s">
        <v>103</v>
      </c>
    </row>
    <row r="37" spans="2:19">
      <c r="B37" s="746" t="s">
        <v>168</v>
      </c>
      <c r="C37" s="9" t="s">
        <v>1009</v>
      </c>
      <c r="D37" s="730" t="s">
        <v>110</v>
      </c>
      <c r="E37" s="747">
        <v>-190092.04157955761</v>
      </c>
      <c r="F37" s="747">
        <v>99652.529824524521</v>
      </c>
      <c r="G37" s="747">
        <v>-90439.511755033061</v>
      </c>
      <c r="H37" s="694">
        <v>0.90754857818748391</v>
      </c>
      <c r="I37" s="749" t="s">
        <v>258</v>
      </c>
      <c r="J37" s="750">
        <v>-90439.511755033061</v>
      </c>
      <c r="K37" s="735">
        <v>0</v>
      </c>
      <c r="L37" s="735" t="s">
        <v>103</v>
      </c>
      <c r="M37" s="750">
        <v>0</v>
      </c>
      <c r="N37" s="750" t="s">
        <v>103</v>
      </c>
      <c r="O37" s="736">
        <v>0</v>
      </c>
      <c r="P37" s="754">
        <v>0</v>
      </c>
      <c r="Q37" s="752">
        <v>0</v>
      </c>
      <c r="R37" s="9" t="s">
        <v>103</v>
      </c>
      <c r="S37" s="9" t="s">
        <v>103</v>
      </c>
    </row>
    <row r="38" spans="2:19">
      <c r="B38" s="746" t="s">
        <v>174</v>
      </c>
      <c r="C38" s="9" t="s">
        <v>1009</v>
      </c>
      <c r="D38" s="730" t="s">
        <v>110</v>
      </c>
      <c r="E38" s="747">
        <v>-228637.10643120462</v>
      </c>
      <c r="F38" s="747">
        <v>103612.86392328746</v>
      </c>
      <c r="G38" s="747">
        <v>-125024.24250791737</v>
      </c>
      <c r="H38" s="694">
        <v>1.2066478791714743</v>
      </c>
      <c r="I38" s="749" t="s">
        <v>258</v>
      </c>
      <c r="J38" s="750">
        <v>-125024.24250791737</v>
      </c>
      <c r="K38" s="735">
        <v>0</v>
      </c>
      <c r="L38" s="735" t="s">
        <v>103</v>
      </c>
      <c r="M38" s="750">
        <v>0</v>
      </c>
      <c r="N38" s="750" t="s">
        <v>103</v>
      </c>
      <c r="O38" s="736">
        <v>0</v>
      </c>
      <c r="P38" s="754">
        <v>0</v>
      </c>
      <c r="Q38" s="752">
        <v>0</v>
      </c>
      <c r="R38" s="9" t="s">
        <v>103</v>
      </c>
      <c r="S38" s="9" t="s">
        <v>103</v>
      </c>
    </row>
    <row r="39" spans="2:19">
      <c r="B39" s="746" t="s">
        <v>179</v>
      </c>
      <c r="C39" s="9" t="s">
        <v>1009</v>
      </c>
      <c r="D39" s="730" t="s">
        <v>110</v>
      </c>
      <c r="E39" s="747">
        <v>1283276.2253636126</v>
      </c>
      <c r="F39" s="747">
        <v>221241.15283112577</v>
      </c>
      <c r="G39" s="747">
        <v>1101165.4581947734</v>
      </c>
      <c r="H39" s="748">
        <v>0</v>
      </c>
      <c r="I39" s="749" t="s">
        <v>258</v>
      </c>
      <c r="J39" s="750">
        <v>1101165.4581947734</v>
      </c>
      <c r="K39" s="735">
        <v>0</v>
      </c>
      <c r="L39" s="735" t="s">
        <v>103</v>
      </c>
      <c r="M39" s="750">
        <v>0</v>
      </c>
      <c r="N39" s="750" t="s">
        <v>103</v>
      </c>
      <c r="O39" s="752">
        <v>0</v>
      </c>
      <c r="P39" s="751">
        <v>0</v>
      </c>
      <c r="Q39" s="752">
        <v>0</v>
      </c>
      <c r="R39" s="9" t="s">
        <v>103</v>
      </c>
      <c r="S39" s="9" t="s">
        <v>103</v>
      </c>
    </row>
    <row r="40" spans="2:19">
      <c r="B40" s="746" t="s">
        <v>184</v>
      </c>
      <c r="C40" s="9" t="s">
        <v>1009</v>
      </c>
      <c r="D40" s="730" t="s">
        <v>110</v>
      </c>
      <c r="E40" s="747">
        <v>-102937.06364172732</v>
      </c>
      <c r="F40" s="747">
        <v>147609.1296166791</v>
      </c>
      <c r="G40" s="747">
        <v>44672.065974952129</v>
      </c>
      <c r="H40" s="694">
        <v>0</v>
      </c>
      <c r="I40" s="749" t="s">
        <v>258</v>
      </c>
      <c r="J40" s="750">
        <v>44672.065974952129</v>
      </c>
      <c r="K40" s="735">
        <v>0</v>
      </c>
      <c r="L40" s="735" t="s">
        <v>103</v>
      </c>
      <c r="M40" s="750">
        <v>0</v>
      </c>
      <c r="N40" s="750" t="s">
        <v>103</v>
      </c>
      <c r="O40" s="736">
        <v>0</v>
      </c>
      <c r="P40" s="754">
        <v>0</v>
      </c>
      <c r="Q40" s="752">
        <v>0</v>
      </c>
      <c r="R40" s="9" t="s">
        <v>103</v>
      </c>
      <c r="S40" s="9" t="s">
        <v>103</v>
      </c>
    </row>
    <row r="41" spans="2:19">
      <c r="B41" s="746" t="s">
        <v>188</v>
      </c>
      <c r="C41" s="9" t="s">
        <v>1009</v>
      </c>
      <c r="D41" s="730" t="s">
        <v>110</v>
      </c>
      <c r="E41" s="747">
        <v>130768.33787683316</v>
      </c>
      <c r="F41" s="747">
        <v>3738.3895199246344</v>
      </c>
      <c r="G41" s="747">
        <v>134506.72739675781</v>
      </c>
      <c r="H41" s="748">
        <v>0</v>
      </c>
      <c r="I41" s="749" t="s">
        <v>258</v>
      </c>
      <c r="J41" s="750">
        <v>134506.72739675781</v>
      </c>
      <c r="K41" s="735">
        <v>0</v>
      </c>
      <c r="L41" s="735" t="s">
        <v>103</v>
      </c>
      <c r="M41" s="750">
        <v>0</v>
      </c>
      <c r="N41" s="750" t="s">
        <v>103</v>
      </c>
      <c r="O41" s="736">
        <v>0</v>
      </c>
      <c r="P41" s="754">
        <v>0</v>
      </c>
      <c r="Q41" s="752">
        <v>0</v>
      </c>
      <c r="R41" s="9" t="s">
        <v>103</v>
      </c>
      <c r="S41" s="9" t="s">
        <v>103</v>
      </c>
    </row>
    <row r="42" spans="2:19">
      <c r="B42" s="746" t="s">
        <v>189</v>
      </c>
      <c r="C42" s="9" t="s">
        <v>1009</v>
      </c>
      <c r="D42" s="730" t="s">
        <v>110</v>
      </c>
      <c r="E42" s="747">
        <v>1075258.7054897251</v>
      </c>
      <c r="F42" s="747">
        <v>24764.692206279979</v>
      </c>
      <c r="G42" s="747">
        <v>1100023.3976960052</v>
      </c>
      <c r="H42" s="748">
        <v>0</v>
      </c>
      <c r="I42" s="749" t="s">
        <v>258</v>
      </c>
      <c r="J42" s="750">
        <v>1100023.3976960052</v>
      </c>
      <c r="K42" s="735">
        <v>0</v>
      </c>
      <c r="L42" s="735" t="s">
        <v>103</v>
      </c>
      <c r="M42" s="750">
        <v>0</v>
      </c>
      <c r="N42" s="750" t="s">
        <v>103</v>
      </c>
      <c r="O42" s="736">
        <v>0</v>
      </c>
      <c r="P42" s="754">
        <v>0</v>
      </c>
      <c r="Q42" s="752">
        <v>0</v>
      </c>
      <c r="R42" s="9" t="s">
        <v>103</v>
      </c>
      <c r="S42" s="9" t="s">
        <v>103</v>
      </c>
    </row>
    <row r="43" spans="2:19">
      <c r="B43" s="746" t="s">
        <v>190</v>
      </c>
      <c r="C43" s="9" t="s">
        <v>1009</v>
      </c>
      <c r="D43" s="730" t="s">
        <v>110</v>
      </c>
      <c r="E43" s="747">
        <v>113183.48485205631</v>
      </c>
      <c r="F43" s="747">
        <v>212809.16524788248</v>
      </c>
      <c r="G43" s="747">
        <v>325992.65009993943</v>
      </c>
      <c r="H43" s="694">
        <v>0</v>
      </c>
      <c r="I43" s="749" t="s">
        <v>258</v>
      </c>
      <c r="J43" s="750">
        <v>325992.65009993943</v>
      </c>
      <c r="K43" s="735">
        <v>0</v>
      </c>
      <c r="L43" s="735" t="s">
        <v>103</v>
      </c>
      <c r="M43" s="750">
        <v>0</v>
      </c>
      <c r="N43" s="750" t="s">
        <v>103</v>
      </c>
      <c r="O43" s="736">
        <v>0</v>
      </c>
      <c r="P43" s="754">
        <v>0</v>
      </c>
      <c r="Q43" s="752">
        <v>0</v>
      </c>
      <c r="R43" s="9" t="s">
        <v>103</v>
      </c>
      <c r="S43" s="9" t="s">
        <v>103</v>
      </c>
    </row>
    <row r="44" spans="2:19">
      <c r="B44" s="746" t="s">
        <v>201</v>
      </c>
      <c r="C44" s="9" t="s">
        <v>1009</v>
      </c>
      <c r="D44" s="730" t="s">
        <v>110</v>
      </c>
      <c r="E44" s="747">
        <v>-193905.06639546217</v>
      </c>
      <c r="F44" s="747">
        <v>62118.424573450982</v>
      </c>
      <c r="G44" s="747">
        <v>-131786.64182201255</v>
      </c>
      <c r="H44" s="694">
        <v>2.1215387017129426</v>
      </c>
      <c r="I44" s="749" t="s">
        <v>258</v>
      </c>
      <c r="J44" s="750">
        <v>-131786.64182201255</v>
      </c>
      <c r="K44" s="735">
        <v>0</v>
      </c>
      <c r="L44" s="735" t="s">
        <v>103</v>
      </c>
      <c r="M44" s="750">
        <v>0</v>
      </c>
      <c r="N44" s="750" t="s">
        <v>103</v>
      </c>
      <c r="O44" s="736">
        <v>0</v>
      </c>
      <c r="P44" s="754">
        <v>0</v>
      </c>
      <c r="Q44" s="752">
        <v>0</v>
      </c>
      <c r="R44" s="9" t="s">
        <v>103</v>
      </c>
      <c r="S44" s="9" t="s">
        <v>103</v>
      </c>
    </row>
    <row r="45" spans="2:19">
      <c r="B45" s="746" t="s">
        <v>206</v>
      </c>
      <c r="C45" s="9" t="s">
        <v>1009</v>
      </c>
      <c r="D45" s="730" t="s">
        <v>110</v>
      </c>
      <c r="E45" s="747">
        <v>683504.92583100288</v>
      </c>
      <c r="F45" s="747">
        <v>83728.758901775</v>
      </c>
      <c r="G45" s="747">
        <v>767233.68473277811</v>
      </c>
      <c r="H45" s="748">
        <v>0</v>
      </c>
      <c r="I45" s="749" t="s">
        <v>258</v>
      </c>
      <c r="J45" s="750">
        <v>767233.68473277811</v>
      </c>
      <c r="K45" s="735">
        <v>0</v>
      </c>
      <c r="L45" s="735" t="s">
        <v>103</v>
      </c>
      <c r="M45" s="750">
        <v>0</v>
      </c>
      <c r="N45" s="750" t="s">
        <v>103</v>
      </c>
      <c r="O45" s="736">
        <v>0</v>
      </c>
      <c r="P45" s="754">
        <v>0</v>
      </c>
      <c r="Q45" s="752">
        <v>0</v>
      </c>
      <c r="R45" s="9" t="s">
        <v>103</v>
      </c>
      <c r="S45" s="9" t="s">
        <v>103</v>
      </c>
    </row>
    <row r="46" spans="2:19">
      <c r="B46" s="746" t="s">
        <v>207</v>
      </c>
      <c r="C46" s="9" t="s">
        <v>1009</v>
      </c>
      <c r="D46" s="730" t="s">
        <v>110</v>
      </c>
      <c r="E46" s="747">
        <v>1289244.3138536173</v>
      </c>
      <c r="F46" s="747">
        <v>52412.412239715108</v>
      </c>
      <c r="G46" s="747">
        <v>1341656.7260933327</v>
      </c>
      <c r="H46" s="748">
        <v>0</v>
      </c>
      <c r="I46" s="749" t="s">
        <v>258</v>
      </c>
      <c r="J46" s="750">
        <v>1341656.7260933327</v>
      </c>
      <c r="K46" s="735">
        <v>0</v>
      </c>
      <c r="L46" s="735" t="s">
        <v>103</v>
      </c>
      <c r="M46" s="750">
        <v>0</v>
      </c>
      <c r="N46" s="750" t="s">
        <v>103</v>
      </c>
      <c r="O46" s="736">
        <v>0</v>
      </c>
      <c r="P46" s="754">
        <v>0</v>
      </c>
      <c r="Q46" s="752">
        <v>0</v>
      </c>
      <c r="R46" s="9" t="s">
        <v>103</v>
      </c>
      <c r="S46" s="9" t="s">
        <v>103</v>
      </c>
    </row>
    <row r="47" spans="2:19">
      <c r="B47" s="746" t="s">
        <v>208</v>
      </c>
      <c r="C47" s="9" t="s">
        <v>1009</v>
      </c>
      <c r="D47" s="730" t="s">
        <v>110</v>
      </c>
      <c r="E47" s="747">
        <v>5685643.7938347682</v>
      </c>
      <c r="F47" s="747">
        <v>251900.38578706357</v>
      </c>
      <c r="G47" s="747">
        <v>5937544.1796218324</v>
      </c>
      <c r="H47" s="748">
        <v>0</v>
      </c>
      <c r="I47" s="749" t="s">
        <v>258</v>
      </c>
      <c r="J47" s="750">
        <v>5937544.1796218324</v>
      </c>
      <c r="K47" s="735">
        <v>0</v>
      </c>
      <c r="L47" s="735" t="s">
        <v>103</v>
      </c>
      <c r="M47" s="750">
        <v>0</v>
      </c>
      <c r="N47" s="750" t="s">
        <v>103</v>
      </c>
      <c r="O47" s="736">
        <v>0</v>
      </c>
      <c r="P47" s="754">
        <v>0</v>
      </c>
      <c r="Q47" s="752">
        <v>0</v>
      </c>
      <c r="R47" s="9" t="s">
        <v>103</v>
      </c>
      <c r="S47" s="9" t="s">
        <v>103</v>
      </c>
    </row>
    <row r="48" spans="2:19">
      <c r="B48" s="746" t="s">
        <v>211</v>
      </c>
      <c r="C48" s="9" t="s">
        <v>1009</v>
      </c>
      <c r="D48" s="730" t="s">
        <v>110</v>
      </c>
      <c r="E48" s="747">
        <v>2095571.8077635739</v>
      </c>
      <c r="F48" s="747">
        <v>151176.38940456923</v>
      </c>
      <c r="G48" s="747">
        <v>2246748.197168143</v>
      </c>
      <c r="H48" s="748">
        <v>0</v>
      </c>
      <c r="I48" s="749" t="s">
        <v>258</v>
      </c>
      <c r="J48" s="750">
        <v>2246748.197168143</v>
      </c>
      <c r="K48" s="735">
        <v>0</v>
      </c>
      <c r="L48" s="735" t="s">
        <v>103</v>
      </c>
      <c r="M48" s="750">
        <v>0</v>
      </c>
      <c r="N48" s="750" t="s">
        <v>103</v>
      </c>
      <c r="O48" s="736">
        <v>0</v>
      </c>
      <c r="P48" s="754">
        <v>0</v>
      </c>
      <c r="Q48" s="752">
        <v>0</v>
      </c>
      <c r="R48" s="9" t="s">
        <v>103</v>
      </c>
      <c r="S48" s="9" t="s">
        <v>103</v>
      </c>
    </row>
    <row r="49" spans="2:19">
      <c r="B49" s="746" t="s">
        <v>212</v>
      </c>
      <c r="C49" s="9" t="s">
        <v>1009</v>
      </c>
      <c r="D49" s="730" t="s">
        <v>110</v>
      </c>
      <c r="E49" s="747">
        <v>175572.62803240982</v>
      </c>
      <c r="F49" s="747">
        <v>53548.430195993307</v>
      </c>
      <c r="G49" s="747">
        <v>229121.05822840313</v>
      </c>
      <c r="H49" s="748">
        <v>0</v>
      </c>
      <c r="I49" s="749" t="s">
        <v>258</v>
      </c>
      <c r="J49" s="750">
        <v>229121.05822840313</v>
      </c>
      <c r="K49" s="735">
        <v>0</v>
      </c>
      <c r="L49" s="735" t="s">
        <v>103</v>
      </c>
      <c r="M49" s="750">
        <v>0</v>
      </c>
      <c r="N49" s="750" t="s">
        <v>103</v>
      </c>
      <c r="O49" s="736">
        <v>0</v>
      </c>
      <c r="P49" s="754">
        <v>0</v>
      </c>
      <c r="Q49" s="752">
        <v>0</v>
      </c>
      <c r="R49" s="9" t="s">
        <v>103</v>
      </c>
      <c r="S49" s="9" t="s">
        <v>103</v>
      </c>
    </row>
    <row r="50" spans="2:19">
      <c r="B50" s="746" t="s">
        <v>218</v>
      </c>
      <c r="C50" s="9" t="s">
        <v>1009</v>
      </c>
      <c r="D50" s="730" t="s">
        <v>110</v>
      </c>
      <c r="E50" s="747">
        <v>-474114.73832930857</v>
      </c>
      <c r="F50" s="747">
        <v>145399.30957421797</v>
      </c>
      <c r="G50" s="747">
        <v>-328715.42875508987</v>
      </c>
      <c r="H50" s="748">
        <v>2.2607770952811821</v>
      </c>
      <c r="I50" s="749" t="s">
        <v>258</v>
      </c>
      <c r="J50" s="750">
        <v>-328715.42875508987</v>
      </c>
      <c r="K50" s="735">
        <v>0</v>
      </c>
      <c r="L50" s="735" t="s">
        <v>103</v>
      </c>
      <c r="M50" s="750">
        <v>0</v>
      </c>
      <c r="N50" s="750" t="s">
        <v>103</v>
      </c>
      <c r="O50" s="736">
        <v>0</v>
      </c>
      <c r="P50" s="754">
        <v>0</v>
      </c>
      <c r="Q50" s="752">
        <v>0</v>
      </c>
      <c r="R50" s="9" t="s">
        <v>103</v>
      </c>
      <c r="S50" s="9" t="s">
        <v>103</v>
      </c>
    </row>
    <row r="51" spans="2:19">
      <c r="B51" s="746" t="s">
        <v>226</v>
      </c>
      <c r="C51" s="9" t="s">
        <v>1009</v>
      </c>
      <c r="D51" s="730" t="s">
        <v>110</v>
      </c>
      <c r="E51" s="747">
        <v>1340766.784177524</v>
      </c>
      <c r="F51" s="747">
        <v>78440.258138285179</v>
      </c>
      <c r="G51" s="747">
        <v>1419207.0423158093</v>
      </c>
      <c r="H51" s="748">
        <v>0</v>
      </c>
      <c r="I51" s="749" t="s">
        <v>258</v>
      </c>
      <c r="J51" s="750">
        <v>1419207.0423158093</v>
      </c>
      <c r="K51" s="735">
        <v>0</v>
      </c>
      <c r="L51" s="735" t="s">
        <v>103</v>
      </c>
      <c r="M51" s="750">
        <v>0</v>
      </c>
      <c r="N51" s="750" t="s">
        <v>103</v>
      </c>
      <c r="O51" s="736">
        <v>0</v>
      </c>
      <c r="P51" s="754">
        <v>0</v>
      </c>
      <c r="Q51" s="752">
        <v>0</v>
      </c>
      <c r="R51" s="9" t="s">
        <v>103</v>
      </c>
      <c r="S51" s="9" t="s">
        <v>103</v>
      </c>
    </row>
    <row r="52" spans="2:19">
      <c r="B52" s="746" t="s">
        <v>227</v>
      </c>
      <c r="C52" s="9" t="s">
        <v>1009</v>
      </c>
      <c r="D52" s="730" t="s">
        <v>110</v>
      </c>
      <c r="E52" s="747">
        <v>2077314.4828070421</v>
      </c>
      <c r="F52" s="747">
        <v>364946.38692271709</v>
      </c>
      <c r="G52" s="747">
        <v>2445973.3897297606</v>
      </c>
      <c r="H52" s="748">
        <v>0</v>
      </c>
      <c r="I52" s="749" t="s">
        <v>258</v>
      </c>
      <c r="J52" s="750">
        <v>2445973.3897297606</v>
      </c>
      <c r="K52" s="735">
        <v>0</v>
      </c>
      <c r="L52" s="735" t="s">
        <v>103</v>
      </c>
      <c r="M52" s="750">
        <v>0</v>
      </c>
      <c r="N52" s="750" t="s">
        <v>103</v>
      </c>
      <c r="O52" s="736">
        <v>0</v>
      </c>
      <c r="P52" s="754">
        <v>0</v>
      </c>
      <c r="Q52" s="752">
        <v>0</v>
      </c>
      <c r="R52" s="9" t="s">
        <v>103</v>
      </c>
      <c r="S52" s="9" t="s">
        <v>103</v>
      </c>
    </row>
    <row r="53" spans="2:19">
      <c r="B53" s="746" t="s">
        <v>235</v>
      </c>
      <c r="C53" s="9" t="s">
        <v>1009</v>
      </c>
      <c r="D53" s="730" t="s">
        <v>110</v>
      </c>
      <c r="E53" s="747">
        <v>-87824.295790306758</v>
      </c>
      <c r="F53" s="747">
        <v>45846.002712246191</v>
      </c>
      <c r="G53" s="747">
        <v>-41978.293078060567</v>
      </c>
      <c r="H53" s="694">
        <v>0.91563692785908912</v>
      </c>
      <c r="I53" s="749" t="s">
        <v>258</v>
      </c>
      <c r="J53" s="750">
        <v>-41978.293078060567</v>
      </c>
      <c r="K53" s="735">
        <v>0</v>
      </c>
      <c r="L53" s="735" t="s">
        <v>103</v>
      </c>
      <c r="M53" s="750">
        <v>0</v>
      </c>
      <c r="N53" s="750" t="s">
        <v>103</v>
      </c>
      <c r="O53" s="736">
        <v>0</v>
      </c>
      <c r="P53" s="754">
        <v>0</v>
      </c>
      <c r="Q53" s="752">
        <v>0</v>
      </c>
      <c r="R53" s="9" t="s">
        <v>103</v>
      </c>
      <c r="S53" s="9" t="s">
        <v>103</v>
      </c>
    </row>
    <row r="54" spans="2:19">
      <c r="B54" s="746" t="s">
        <v>236</v>
      </c>
      <c r="C54" s="9" t="s">
        <v>1009</v>
      </c>
      <c r="D54" s="730" t="s">
        <v>110</v>
      </c>
      <c r="E54" s="747">
        <v>2576597.8208551197</v>
      </c>
      <c r="F54" s="747">
        <v>281586.70973512897</v>
      </c>
      <c r="G54" s="747">
        <v>2858184.5305902492</v>
      </c>
      <c r="H54" s="748">
        <v>0</v>
      </c>
      <c r="I54" s="749" t="s">
        <v>258</v>
      </c>
      <c r="J54" s="750">
        <v>2858184.5305902492</v>
      </c>
      <c r="K54" s="735">
        <v>0</v>
      </c>
      <c r="L54" s="735" t="s">
        <v>103</v>
      </c>
      <c r="M54" s="750">
        <v>0</v>
      </c>
      <c r="N54" s="750" t="s">
        <v>103</v>
      </c>
      <c r="O54" s="736">
        <v>0</v>
      </c>
      <c r="P54" s="754">
        <v>0</v>
      </c>
      <c r="Q54" s="752">
        <v>0</v>
      </c>
      <c r="R54" s="9" t="s">
        <v>103</v>
      </c>
      <c r="S54" s="9" t="s">
        <v>103</v>
      </c>
    </row>
    <row r="55" spans="2:19">
      <c r="B55" s="746" t="s">
        <v>237</v>
      </c>
      <c r="C55" s="9" t="s">
        <v>1009</v>
      </c>
      <c r="D55" s="730" t="s">
        <v>110</v>
      </c>
      <c r="E55" s="747">
        <v>986563.58673042967</v>
      </c>
      <c r="F55" s="747">
        <v>83711.0898951001</v>
      </c>
      <c r="G55" s="747">
        <v>1070274.67662553</v>
      </c>
      <c r="H55" s="748">
        <v>0</v>
      </c>
      <c r="I55" s="749" t="s">
        <v>258</v>
      </c>
      <c r="J55" s="750">
        <v>1070274.67662553</v>
      </c>
      <c r="K55" s="735">
        <v>0</v>
      </c>
      <c r="L55" s="735" t="s">
        <v>103</v>
      </c>
      <c r="M55" s="750">
        <v>0</v>
      </c>
      <c r="N55" s="750" t="s">
        <v>103</v>
      </c>
      <c r="O55" s="736">
        <v>0</v>
      </c>
      <c r="P55" s="754">
        <v>0</v>
      </c>
      <c r="Q55" s="752">
        <v>0</v>
      </c>
      <c r="R55" s="9" t="s">
        <v>103</v>
      </c>
      <c r="S55" s="9" t="s">
        <v>103</v>
      </c>
    </row>
    <row r="56" spans="2:19">
      <c r="B56" s="746" t="s">
        <v>238</v>
      </c>
      <c r="C56" s="9" t="s">
        <v>1009</v>
      </c>
      <c r="D56" s="730" t="s">
        <v>110</v>
      </c>
      <c r="E56" s="747">
        <v>-1702125.9113821136</v>
      </c>
      <c r="F56" s="747">
        <v>207753.34203039893</v>
      </c>
      <c r="G56" s="747">
        <v>-1494372.5693517136</v>
      </c>
      <c r="H56" s="694">
        <v>7.1930133818644117</v>
      </c>
      <c r="I56" s="749" t="s">
        <v>258</v>
      </c>
      <c r="J56" s="750">
        <v>-1494372.5693517136</v>
      </c>
      <c r="K56" s="735">
        <v>0</v>
      </c>
      <c r="L56" s="735" t="s">
        <v>103</v>
      </c>
      <c r="M56" s="750">
        <v>0</v>
      </c>
      <c r="N56" s="750" t="s">
        <v>103</v>
      </c>
      <c r="O56" s="736">
        <v>0</v>
      </c>
      <c r="P56" s="754">
        <v>0</v>
      </c>
      <c r="Q56" s="752">
        <v>0</v>
      </c>
      <c r="R56" s="9" t="s">
        <v>103</v>
      </c>
      <c r="S56" s="9" t="s">
        <v>103</v>
      </c>
    </row>
    <row r="57" spans="2:19">
      <c r="B57" s="746" t="s">
        <v>247</v>
      </c>
      <c r="C57" s="9" t="s">
        <v>1009</v>
      </c>
      <c r="D57" s="730" t="s">
        <v>110</v>
      </c>
      <c r="E57" s="747">
        <v>65900.979205717827</v>
      </c>
      <c r="F57" s="747">
        <v>4988.3652825529407</v>
      </c>
      <c r="G57" s="747">
        <v>70889.34448827077</v>
      </c>
      <c r="H57" s="748">
        <v>0</v>
      </c>
      <c r="I57" s="749" t="s">
        <v>258</v>
      </c>
      <c r="J57" s="750">
        <v>70889.34448827077</v>
      </c>
      <c r="K57" s="735">
        <v>0</v>
      </c>
      <c r="L57" s="735" t="s">
        <v>103</v>
      </c>
      <c r="M57" s="750">
        <v>0</v>
      </c>
      <c r="N57" s="750" t="s">
        <v>103</v>
      </c>
      <c r="O57" s="736">
        <v>0</v>
      </c>
      <c r="P57" s="754">
        <v>0</v>
      </c>
      <c r="Q57" s="752">
        <v>0</v>
      </c>
      <c r="R57" s="9" t="s">
        <v>103</v>
      </c>
      <c r="S57" s="9" t="s">
        <v>103</v>
      </c>
    </row>
    <row r="58" spans="2:19">
      <c r="B58" s="746" t="s">
        <v>248</v>
      </c>
      <c r="C58" s="9" t="s">
        <v>1009</v>
      </c>
      <c r="D58" s="730" t="s">
        <v>110</v>
      </c>
      <c r="E58" s="747">
        <v>-248123.54522734263</v>
      </c>
      <c r="F58" s="747">
        <v>141427.07441804046</v>
      </c>
      <c r="G58" s="747">
        <v>-106696.47080930322</v>
      </c>
      <c r="H58" s="694">
        <v>0.75442747612753425</v>
      </c>
      <c r="I58" s="749" t="s">
        <v>258</v>
      </c>
      <c r="J58" s="750">
        <v>-106696.47080930322</v>
      </c>
      <c r="K58" s="735">
        <v>0</v>
      </c>
      <c r="L58" s="735" t="s">
        <v>103</v>
      </c>
      <c r="M58" s="750">
        <v>0</v>
      </c>
      <c r="N58" s="750" t="s">
        <v>103</v>
      </c>
      <c r="O58" s="736">
        <v>0</v>
      </c>
      <c r="P58" s="754">
        <v>0</v>
      </c>
      <c r="Q58" s="752">
        <v>0</v>
      </c>
      <c r="R58" s="9" t="s">
        <v>103</v>
      </c>
      <c r="S58" s="9" t="s">
        <v>103</v>
      </c>
    </row>
    <row r="59" spans="2:19">
      <c r="B59" s="746" t="s">
        <v>259</v>
      </c>
      <c r="C59" s="9" t="s">
        <v>1009</v>
      </c>
      <c r="D59" s="730" t="s">
        <v>110</v>
      </c>
      <c r="E59" s="747">
        <v>851093.95845623454</v>
      </c>
      <c r="F59" s="747">
        <v>30727.605507373548</v>
      </c>
      <c r="G59" s="747">
        <v>881821.56396360812</v>
      </c>
      <c r="H59" s="748">
        <v>0</v>
      </c>
      <c r="I59" s="749" t="s">
        <v>258</v>
      </c>
      <c r="J59" s="750">
        <v>881821.56396360812</v>
      </c>
      <c r="K59" s="735">
        <v>0</v>
      </c>
      <c r="L59" s="735" t="s">
        <v>103</v>
      </c>
      <c r="M59" s="750">
        <v>0</v>
      </c>
      <c r="N59" s="750" t="s">
        <v>103</v>
      </c>
      <c r="O59" s="736">
        <v>0</v>
      </c>
      <c r="P59" s="754">
        <v>0</v>
      </c>
      <c r="Q59" s="752">
        <v>0</v>
      </c>
      <c r="R59" s="9" t="s">
        <v>103</v>
      </c>
      <c r="S59" s="9" t="s">
        <v>103</v>
      </c>
    </row>
    <row r="60" spans="2:19">
      <c r="B60" s="746" t="s">
        <v>260</v>
      </c>
      <c r="C60" s="9" t="s">
        <v>1009</v>
      </c>
      <c r="D60" s="730" t="s">
        <v>110</v>
      </c>
      <c r="E60" s="747">
        <v>738114.70505818678</v>
      </c>
      <c r="F60" s="747">
        <v>243944.64859713725</v>
      </c>
      <c r="G60" s="747">
        <v>982059.35365532455</v>
      </c>
      <c r="H60" s="748">
        <v>0</v>
      </c>
      <c r="I60" s="749" t="s">
        <v>258</v>
      </c>
      <c r="J60" s="750">
        <v>982059.35365532455</v>
      </c>
      <c r="K60" s="735">
        <v>0</v>
      </c>
      <c r="L60" s="735" t="s">
        <v>103</v>
      </c>
      <c r="M60" s="750">
        <v>0</v>
      </c>
      <c r="N60" s="750" t="s">
        <v>103</v>
      </c>
      <c r="O60" s="736">
        <v>0</v>
      </c>
      <c r="P60" s="754">
        <v>0</v>
      </c>
      <c r="Q60" s="752">
        <v>0</v>
      </c>
      <c r="R60" s="9" t="s">
        <v>103</v>
      </c>
      <c r="S60" s="9" t="s">
        <v>103</v>
      </c>
    </row>
    <row r="61" spans="2:19">
      <c r="B61" s="746" t="s">
        <v>264</v>
      </c>
      <c r="C61" s="9" t="s">
        <v>1009</v>
      </c>
      <c r="D61" s="730" t="s">
        <v>110</v>
      </c>
      <c r="E61" s="747">
        <v>318390.91318321752</v>
      </c>
      <c r="F61" s="747">
        <v>100610.57410534998</v>
      </c>
      <c r="G61" s="747">
        <v>419001.48728856782</v>
      </c>
      <c r="H61" s="748">
        <v>0</v>
      </c>
      <c r="I61" s="749" t="s">
        <v>258</v>
      </c>
      <c r="J61" s="750">
        <v>419001.48728856782</v>
      </c>
      <c r="K61" s="735">
        <v>0</v>
      </c>
      <c r="L61" s="735" t="s">
        <v>103</v>
      </c>
      <c r="M61" s="750">
        <v>0</v>
      </c>
      <c r="N61" s="750" t="s">
        <v>103</v>
      </c>
      <c r="O61" s="736">
        <v>0</v>
      </c>
      <c r="P61" s="754">
        <v>0</v>
      </c>
      <c r="Q61" s="752">
        <v>0</v>
      </c>
      <c r="R61" s="9" t="s">
        <v>103</v>
      </c>
      <c r="S61" s="9" t="s">
        <v>103</v>
      </c>
    </row>
    <row r="62" spans="2:19">
      <c r="B62" s="746" t="s">
        <v>265</v>
      </c>
      <c r="C62" s="9" t="s">
        <v>1009</v>
      </c>
      <c r="D62" s="730" t="s">
        <v>110</v>
      </c>
      <c r="E62" s="747">
        <v>10746.511591830296</v>
      </c>
      <c r="F62" s="747">
        <v>4942.484245597986</v>
      </c>
      <c r="G62" s="747">
        <v>15688.995837428276</v>
      </c>
      <c r="H62" s="748">
        <v>0</v>
      </c>
      <c r="I62" s="749" t="s">
        <v>258</v>
      </c>
      <c r="J62" s="750">
        <v>15688.995837428276</v>
      </c>
      <c r="K62" s="735">
        <v>0</v>
      </c>
      <c r="L62" s="735" t="s">
        <v>103</v>
      </c>
      <c r="M62" s="750">
        <v>0</v>
      </c>
      <c r="N62" s="750" t="s">
        <v>103</v>
      </c>
      <c r="O62" s="736">
        <v>0</v>
      </c>
      <c r="P62" s="754">
        <v>0</v>
      </c>
      <c r="Q62" s="752">
        <v>0</v>
      </c>
      <c r="R62" s="9" t="s">
        <v>103</v>
      </c>
      <c r="S62" s="9" t="s">
        <v>103</v>
      </c>
    </row>
    <row r="63" spans="2:19">
      <c r="B63" s="746" t="s">
        <v>266</v>
      </c>
      <c r="C63" s="9" t="s">
        <v>1009</v>
      </c>
      <c r="D63" s="730" t="s">
        <v>110</v>
      </c>
      <c r="E63" s="747">
        <v>2593977.9636324043</v>
      </c>
      <c r="F63" s="747">
        <v>157617.15427982254</v>
      </c>
      <c r="G63" s="747">
        <v>2751595.1179122273</v>
      </c>
      <c r="H63" s="748">
        <v>0</v>
      </c>
      <c r="I63" s="749" t="s">
        <v>258</v>
      </c>
      <c r="J63" s="750">
        <v>2751595.1179122273</v>
      </c>
      <c r="K63" s="735">
        <v>0</v>
      </c>
      <c r="L63" s="735" t="s">
        <v>103</v>
      </c>
      <c r="M63" s="750">
        <v>0</v>
      </c>
      <c r="N63" s="750" t="s">
        <v>103</v>
      </c>
      <c r="O63" s="736">
        <v>0</v>
      </c>
      <c r="P63" s="754">
        <v>0</v>
      </c>
      <c r="Q63" s="752">
        <v>0</v>
      </c>
      <c r="R63" s="9" t="s">
        <v>103</v>
      </c>
      <c r="S63" s="9" t="s">
        <v>103</v>
      </c>
    </row>
    <row r="64" spans="2:19">
      <c r="B64" s="746" t="s">
        <v>271</v>
      </c>
      <c r="C64" s="9" t="s">
        <v>1009</v>
      </c>
      <c r="D64" s="730" t="s">
        <v>110</v>
      </c>
      <c r="E64" s="747">
        <v>430411.1260911611</v>
      </c>
      <c r="F64" s="747">
        <v>13708.060318793259</v>
      </c>
      <c r="G64" s="747">
        <v>444119.18640995439</v>
      </c>
      <c r="H64" s="748">
        <v>0</v>
      </c>
      <c r="I64" s="749" t="s">
        <v>258</v>
      </c>
      <c r="J64" s="750">
        <v>444119.18640995439</v>
      </c>
      <c r="K64" s="735">
        <v>0</v>
      </c>
      <c r="L64" s="735" t="s">
        <v>103</v>
      </c>
      <c r="M64" s="750">
        <v>0</v>
      </c>
      <c r="N64" s="750" t="s">
        <v>103</v>
      </c>
      <c r="O64" s="736">
        <v>0</v>
      </c>
      <c r="P64" s="754">
        <v>0</v>
      </c>
      <c r="Q64" s="752">
        <v>0</v>
      </c>
      <c r="R64" s="9" t="s">
        <v>103</v>
      </c>
      <c r="S64" s="9" t="s">
        <v>103</v>
      </c>
    </row>
    <row r="65" spans="2:19">
      <c r="B65" s="746" t="s">
        <v>272</v>
      </c>
      <c r="C65" s="9" t="s">
        <v>1009</v>
      </c>
      <c r="D65" s="730" t="s">
        <v>110</v>
      </c>
      <c r="E65" s="747">
        <v>808249.44993770751</v>
      </c>
      <c r="F65" s="747">
        <v>416939.40368602495</v>
      </c>
      <c r="G65" s="747">
        <v>1225188.8536237336</v>
      </c>
      <c r="H65" s="748">
        <v>0</v>
      </c>
      <c r="I65" s="749" t="s">
        <v>258</v>
      </c>
      <c r="J65" s="750">
        <v>1225188.8536237336</v>
      </c>
      <c r="K65" s="735">
        <v>0</v>
      </c>
      <c r="L65" s="735" t="s">
        <v>103</v>
      </c>
      <c r="M65" s="750">
        <v>0</v>
      </c>
      <c r="N65" s="750" t="s">
        <v>103</v>
      </c>
      <c r="O65" s="736">
        <v>0</v>
      </c>
      <c r="P65" s="754">
        <v>0</v>
      </c>
      <c r="Q65" s="752">
        <v>0</v>
      </c>
      <c r="R65" s="9" t="s">
        <v>103</v>
      </c>
      <c r="S65" s="9" t="s">
        <v>103</v>
      </c>
    </row>
    <row r="66" spans="2:19">
      <c r="B66" s="746" t="s">
        <v>276</v>
      </c>
      <c r="C66" s="9" t="s">
        <v>1009</v>
      </c>
      <c r="D66" s="730" t="s">
        <v>110</v>
      </c>
      <c r="E66" s="747">
        <v>-123216.03116952855</v>
      </c>
      <c r="F66" s="747">
        <v>9613.6897190068121</v>
      </c>
      <c r="G66" s="747">
        <v>-113602.34145052174</v>
      </c>
      <c r="H66" s="694">
        <v>11.816726436044991</v>
      </c>
      <c r="I66" s="749" t="s">
        <v>258</v>
      </c>
      <c r="J66" s="750">
        <v>-113602.34145052174</v>
      </c>
      <c r="K66" s="735">
        <v>0</v>
      </c>
      <c r="L66" s="735" t="s">
        <v>103</v>
      </c>
      <c r="M66" s="750">
        <v>0</v>
      </c>
      <c r="N66" s="750" t="s">
        <v>103</v>
      </c>
      <c r="O66" s="736">
        <v>0</v>
      </c>
      <c r="P66" s="754">
        <v>0</v>
      </c>
      <c r="Q66" s="752">
        <v>0</v>
      </c>
      <c r="R66" s="9" t="s">
        <v>103</v>
      </c>
      <c r="S66" s="9" t="s">
        <v>103</v>
      </c>
    </row>
    <row r="67" spans="2:19">
      <c r="B67" s="746" t="s">
        <v>277</v>
      </c>
      <c r="C67" s="9" t="s">
        <v>1009</v>
      </c>
      <c r="D67" s="730" t="s">
        <v>110</v>
      </c>
      <c r="E67" s="747">
        <v>-3614481.5776878851</v>
      </c>
      <c r="F67" s="747">
        <v>72549.06674155184</v>
      </c>
      <c r="G67" s="747">
        <v>-3541932.5109463339</v>
      </c>
      <c r="H67" s="694">
        <v>48.821200189439836</v>
      </c>
      <c r="I67" s="749" t="s">
        <v>258</v>
      </c>
      <c r="J67" s="750">
        <v>-3541932.5109463339</v>
      </c>
      <c r="K67" s="735">
        <v>0</v>
      </c>
      <c r="L67" s="735" t="s">
        <v>103</v>
      </c>
      <c r="M67" s="750">
        <v>0</v>
      </c>
      <c r="N67" s="750" t="s">
        <v>103</v>
      </c>
      <c r="O67" s="736">
        <v>0</v>
      </c>
      <c r="P67" s="754">
        <v>0</v>
      </c>
      <c r="Q67" s="752">
        <v>0</v>
      </c>
      <c r="R67" s="9" t="s">
        <v>103</v>
      </c>
      <c r="S67" s="9" t="s">
        <v>103</v>
      </c>
    </row>
    <row r="68" spans="2:19">
      <c r="B68" s="746" t="s">
        <v>278</v>
      </c>
      <c r="C68" s="9" t="s">
        <v>1009</v>
      </c>
      <c r="D68" s="730" t="s">
        <v>110</v>
      </c>
      <c r="E68" s="747">
        <v>176998.00764558165</v>
      </c>
      <c r="F68" s="747">
        <v>17355.121083066704</v>
      </c>
      <c r="G68" s="747">
        <v>194353.12872864833</v>
      </c>
      <c r="H68" s="748">
        <v>0</v>
      </c>
      <c r="I68" s="749" t="s">
        <v>258</v>
      </c>
      <c r="J68" s="750">
        <v>194353.12872864833</v>
      </c>
      <c r="K68" s="735">
        <v>0</v>
      </c>
      <c r="L68" s="735" t="s">
        <v>103</v>
      </c>
      <c r="M68" s="750">
        <v>0</v>
      </c>
      <c r="N68" s="750" t="s">
        <v>103</v>
      </c>
      <c r="O68" s="736">
        <v>0</v>
      </c>
      <c r="P68" s="754">
        <v>0</v>
      </c>
      <c r="Q68" s="752">
        <v>0</v>
      </c>
      <c r="R68" s="9" t="s">
        <v>103</v>
      </c>
      <c r="S68" s="9" t="s">
        <v>103</v>
      </c>
    </row>
    <row r="69" spans="2:19">
      <c r="B69" s="746" t="s">
        <v>284</v>
      </c>
      <c r="C69" s="9" t="s">
        <v>1009</v>
      </c>
      <c r="D69" s="730" t="s">
        <v>110</v>
      </c>
      <c r="E69" s="747">
        <v>1423361.4706723141</v>
      </c>
      <c r="F69" s="747">
        <v>119948.8233579541</v>
      </c>
      <c r="G69" s="747">
        <v>1543310.2940302682</v>
      </c>
      <c r="H69" s="748">
        <v>0</v>
      </c>
      <c r="I69" s="749" t="s">
        <v>258</v>
      </c>
      <c r="J69" s="750">
        <v>1543310.2940302682</v>
      </c>
      <c r="K69" s="735">
        <v>0</v>
      </c>
      <c r="L69" s="735" t="s">
        <v>103</v>
      </c>
      <c r="M69" s="750">
        <v>0</v>
      </c>
      <c r="N69" s="750" t="s">
        <v>103</v>
      </c>
      <c r="O69" s="736">
        <v>0</v>
      </c>
      <c r="P69" s="754">
        <v>0</v>
      </c>
      <c r="Q69" s="752">
        <v>0</v>
      </c>
      <c r="R69" s="9" t="s">
        <v>103</v>
      </c>
      <c r="S69" s="9" t="s">
        <v>103</v>
      </c>
    </row>
    <row r="70" spans="2:19">
      <c r="B70" s="746" t="s">
        <v>285</v>
      </c>
      <c r="C70" s="9" t="s">
        <v>1009</v>
      </c>
      <c r="D70" s="730" t="s">
        <v>110</v>
      </c>
      <c r="E70" s="747">
        <v>-115557.97698401408</v>
      </c>
      <c r="F70" s="747">
        <v>89241.365341510726</v>
      </c>
      <c r="G70" s="747">
        <v>-26316.611642503078</v>
      </c>
      <c r="H70" s="694">
        <v>0.2948925259244311</v>
      </c>
      <c r="I70" s="749" t="s">
        <v>258</v>
      </c>
      <c r="J70" s="750">
        <v>-26316.611642503078</v>
      </c>
      <c r="K70" s="735">
        <v>0</v>
      </c>
      <c r="L70" s="735" t="s">
        <v>103</v>
      </c>
      <c r="M70" s="750">
        <v>0</v>
      </c>
      <c r="N70" s="750" t="s">
        <v>103</v>
      </c>
      <c r="O70" s="736">
        <v>0</v>
      </c>
      <c r="P70" s="754">
        <v>0</v>
      </c>
      <c r="Q70" s="752">
        <v>0</v>
      </c>
      <c r="R70" s="9" t="s">
        <v>103</v>
      </c>
      <c r="S70" s="9" t="s">
        <v>103</v>
      </c>
    </row>
    <row r="71" spans="2:19">
      <c r="B71" s="746" t="s">
        <v>289</v>
      </c>
      <c r="C71" s="9" t="s">
        <v>1009</v>
      </c>
      <c r="D71" s="9" t="s">
        <v>104</v>
      </c>
      <c r="E71" s="747">
        <v>116392.81729614826</v>
      </c>
      <c r="F71" s="747">
        <v>53813.646963533538</v>
      </c>
      <c r="G71" s="747">
        <v>170206.46425968135</v>
      </c>
      <c r="H71" s="748">
        <v>0</v>
      </c>
      <c r="I71" s="749" t="s">
        <v>258</v>
      </c>
      <c r="J71" s="750">
        <v>170206.46425968135</v>
      </c>
      <c r="K71" s="735">
        <v>0</v>
      </c>
      <c r="L71" s="735" t="s">
        <v>103</v>
      </c>
      <c r="M71" s="750">
        <v>0</v>
      </c>
      <c r="N71" s="750" t="s">
        <v>103</v>
      </c>
      <c r="O71" s="752">
        <v>0</v>
      </c>
      <c r="P71" s="751">
        <v>0</v>
      </c>
      <c r="Q71" s="752">
        <v>0</v>
      </c>
      <c r="R71" s="9" t="s">
        <v>103</v>
      </c>
      <c r="S71" s="9" t="s">
        <v>103</v>
      </c>
    </row>
    <row r="72" spans="2:19">
      <c r="B72" s="746" t="s">
        <v>295</v>
      </c>
      <c r="C72" s="9" t="s">
        <v>1009</v>
      </c>
      <c r="D72" s="730" t="s">
        <v>110</v>
      </c>
      <c r="E72" s="747">
        <v>4053428.2878622347</v>
      </c>
      <c r="F72" s="747">
        <v>265519.00575070817</v>
      </c>
      <c r="G72" s="747">
        <v>4318947.293612944</v>
      </c>
      <c r="H72" s="748">
        <v>0</v>
      </c>
      <c r="I72" s="749" t="s">
        <v>258</v>
      </c>
      <c r="J72" s="750">
        <v>4318947.293612944</v>
      </c>
      <c r="K72" s="735">
        <v>0</v>
      </c>
      <c r="L72" s="735" t="s">
        <v>103</v>
      </c>
      <c r="M72" s="750">
        <v>0</v>
      </c>
      <c r="N72" s="750" t="s">
        <v>103</v>
      </c>
      <c r="O72" s="736">
        <v>0</v>
      </c>
      <c r="P72" s="754">
        <v>0</v>
      </c>
      <c r="Q72" s="752">
        <v>0</v>
      </c>
      <c r="R72" s="9" t="s">
        <v>103</v>
      </c>
      <c r="S72" s="9" t="s">
        <v>103</v>
      </c>
    </row>
    <row r="73" spans="2:19">
      <c r="B73" s="746" t="s">
        <v>303</v>
      </c>
      <c r="C73" s="9" t="s">
        <v>1009</v>
      </c>
      <c r="D73" s="730" t="s">
        <v>110</v>
      </c>
      <c r="E73" s="747">
        <v>3250010.9325315799</v>
      </c>
      <c r="F73" s="747">
        <v>179987.25900341338</v>
      </c>
      <c r="G73" s="747">
        <v>3429998.1915349928</v>
      </c>
      <c r="H73" s="748">
        <v>0</v>
      </c>
      <c r="I73" s="749" t="s">
        <v>258</v>
      </c>
      <c r="J73" s="750">
        <v>3429998.1915349928</v>
      </c>
      <c r="K73" s="735">
        <v>0</v>
      </c>
      <c r="L73" s="735" t="s">
        <v>103</v>
      </c>
      <c r="M73" s="750">
        <v>0</v>
      </c>
      <c r="N73" s="750" t="s">
        <v>103</v>
      </c>
      <c r="O73" s="736">
        <v>0</v>
      </c>
      <c r="P73" s="754">
        <v>0</v>
      </c>
      <c r="Q73" s="752">
        <v>0</v>
      </c>
      <c r="R73" s="9" t="s">
        <v>103</v>
      </c>
      <c r="S73" s="9" t="s">
        <v>103</v>
      </c>
    </row>
    <row r="74" spans="2:19">
      <c r="B74" s="746" t="s">
        <v>309</v>
      </c>
      <c r="C74" s="9" t="s">
        <v>1009</v>
      </c>
      <c r="D74" s="730" t="s">
        <v>110</v>
      </c>
      <c r="E74" s="747">
        <v>-713286.50607689016</v>
      </c>
      <c r="F74" s="747">
        <v>99610.641648484016</v>
      </c>
      <c r="G74" s="747">
        <v>-613675.864428406</v>
      </c>
      <c r="H74" s="694">
        <v>6.1607460234420204</v>
      </c>
      <c r="I74" s="749" t="s">
        <v>258</v>
      </c>
      <c r="J74" s="750">
        <v>-613675.864428406</v>
      </c>
      <c r="K74" s="735">
        <v>0</v>
      </c>
      <c r="L74" s="735" t="s">
        <v>103</v>
      </c>
      <c r="M74" s="750">
        <v>0</v>
      </c>
      <c r="N74" s="750" t="s">
        <v>103</v>
      </c>
      <c r="O74" s="736">
        <v>0</v>
      </c>
      <c r="P74" s="754">
        <v>0</v>
      </c>
      <c r="Q74" s="752">
        <v>0</v>
      </c>
      <c r="R74" s="9" t="s">
        <v>103</v>
      </c>
      <c r="S74" s="9" t="s">
        <v>103</v>
      </c>
    </row>
    <row r="75" spans="2:19">
      <c r="B75" s="746" t="s">
        <v>313</v>
      </c>
      <c r="C75" s="9" t="s">
        <v>1009</v>
      </c>
      <c r="D75" s="730" t="s">
        <v>110</v>
      </c>
      <c r="E75" s="747">
        <v>-70538.077059454983</v>
      </c>
      <c r="F75" s="747">
        <v>76346.308447707968</v>
      </c>
      <c r="G75" s="747">
        <v>5808.2313882527524</v>
      </c>
      <c r="H75" s="694">
        <v>0</v>
      </c>
      <c r="I75" s="749" t="s">
        <v>258</v>
      </c>
      <c r="J75" s="750">
        <v>5808.2313882527524</v>
      </c>
      <c r="K75" s="735">
        <v>0</v>
      </c>
      <c r="L75" s="735" t="s">
        <v>103</v>
      </c>
      <c r="M75" s="750">
        <v>0</v>
      </c>
      <c r="N75" s="750" t="s">
        <v>103</v>
      </c>
      <c r="O75" s="736">
        <v>0</v>
      </c>
      <c r="P75" s="754">
        <v>0</v>
      </c>
      <c r="Q75" s="752">
        <v>0</v>
      </c>
      <c r="R75" s="9" t="s">
        <v>103</v>
      </c>
      <c r="S75" s="9" t="s">
        <v>103</v>
      </c>
    </row>
    <row r="76" spans="2:19">
      <c r="B76" s="746" t="s">
        <v>314</v>
      </c>
      <c r="C76" s="9" t="s">
        <v>1009</v>
      </c>
      <c r="D76" s="730" t="s">
        <v>110</v>
      </c>
      <c r="E76" s="747">
        <v>16167775.86353131</v>
      </c>
      <c r="F76" s="747">
        <v>1579254.1861748695</v>
      </c>
      <c r="G76" s="747">
        <v>17125709.719706185</v>
      </c>
      <c r="H76" s="748">
        <v>0</v>
      </c>
      <c r="I76" s="749" t="s">
        <v>258</v>
      </c>
      <c r="J76" s="750">
        <v>17125709.719706185</v>
      </c>
      <c r="K76" s="735">
        <v>0</v>
      </c>
      <c r="L76" s="735" t="s">
        <v>103</v>
      </c>
      <c r="M76" s="750">
        <v>0</v>
      </c>
      <c r="N76" s="750" t="s">
        <v>103</v>
      </c>
      <c r="O76" s="736">
        <v>0</v>
      </c>
      <c r="P76" s="754">
        <v>0</v>
      </c>
      <c r="Q76" s="752">
        <v>0</v>
      </c>
      <c r="R76" s="9" t="s">
        <v>103</v>
      </c>
      <c r="S76" s="9" t="s">
        <v>103</v>
      </c>
    </row>
    <row r="77" spans="2:19">
      <c r="B77" s="746" t="s">
        <v>324</v>
      </c>
      <c r="C77" s="9" t="s">
        <v>1009</v>
      </c>
      <c r="D77" s="730" t="s">
        <v>110</v>
      </c>
      <c r="E77" s="747">
        <v>74794.148464131984</v>
      </c>
      <c r="F77" s="747">
        <v>4761.9899740204628</v>
      </c>
      <c r="G77" s="747">
        <v>79556.13843815244</v>
      </c>
      <c r="H77" s="748">
        <v>0</v>
      </c>
      <c r="I77" s="749" t="s">
        <v>258</v>
      </c>
      <c r="J77" s="750">
        <v>79556.13843815244</v>
      </c>
      <c r="K77" s="735">
        <v>0</v>
      </c>
      <c r="L77" s="735" t="s">
        <v>103</v>
      </c>
      <c r="M77" s="750">
        <v>0</v>
      </c>
      <c r="N77" s="750" t="s">
        <v>103</v>
      </c>
      <c r="O77" s="736">
        <v>0</v>
      </c>
      <c r="P77" s="754">
        <v>0</v>
      </c>
      <c r="Q77" s="752">
        <v>0</v>
      </c>
      <c r="R77" s="9" t="s">
        <v>103</v>
      </c>
      <c r="S77" s="9" t="s">
        <v>103</v>
      </c>
    </row>
    <row r="78" spans="2:19">
      <c r="B78" s="746" t="s">
        <v>325</v>
      </c>
      <c r="C78" s="9" t="s">
        <v>1009</v>
      </c>
      <c r="D78" s="730" t="s">
        <v>110</v>
      </c>
      <c r="E78" s="747">
        <v>2464613.1489463826</v>
      </c>
      <c r="F78" s="747">
        <v>167832.48391980751</v>
      </c>
      <c r="G78" s="747">
        <v>2722215.3228661837</v>
      </c>
      <c r="H78" s="748">
        <v>0</v>
      </c>
      <c r="I78" s="749" t="s">
        <v>258</v>
      </c>
      <c r="J78" s="750">
        <v>2722215.3228661837</v>
      </c>
      <c r="K78" s="735">
        <v>0</v>
      </c>
      <c r="L78" s="735" t="s">
        <v>103</v>
      </c>
      <c r="M78" s="750">
        <v>0</v>
      </c>
      <c r="N78" s="750" t="s">
        <v>103</v>
      </c>
      <c r="O78" s="736">
        <v>0</v>
      </c>
      <c r="P78" s="754">
        <v>0</v>
      </c>
      <c r="Q78" s="752">
        <v>0</v>
      </c>
      <c r="R78" s="9" t="s">
        <v>103</v>
      </c>
      <c r="S78" s="9" t="s">
        <v>103</v>
      </c>
    </row>
    <row r="79" spans="2:19">
      <c r="B79" s="746" t="s">
        <v>330</v>
      </c>
      <c r="C79" s="9" t="s">
        <v>1009</v>
      </c>
      <c r="D79" s="730" t="s">
        <v>110</v>
      </c>
      <c r="E79" s="747">
        <v>-457901.93754073273</v>
      </c>
      <c r="F79" s="747">
        <v>36791.397295215378</v>
      </c>
      <c r="G79" s="747">
        <v>-421110.54024551739</v>
      </c>
      <c r="H79" s="694">
        <v>11.445896899933226</v>
      </c>
      <c r="I79" s="749" t="s">
        <v>258</v>
      </c>
      <c r="J79" s="750">
        <v>-421110.54024551739</v>
      </c>
      <c r="K79" s="735">
        <v>0</v>
      </c>
      <c r="L79" s="735" t="s">
        <v>103</v>
      </c>
      <c r="M79" s="750">
        <v>0</v>
      </c>
      <c r="N79" s="750" t="s">
        <v>103</v>
      </c>
      <c r="O79" s="736">
        <v>0</v>
      </c>
      <c r="P79" s="754">
        <v>0</v>
      </c>
      <c r="Q79" s="752">
        <v>0</v>
      </c>
      <c r="R79" s="9" t="s">
        <v>103</v>
      </c>
      <c r="S79" s="9" t="s">
        <v>103</v>
      </c>
    </row>
    <row r="80" spans="2:19">
      <c r="B80" s="746" t="s">
        <v>331</v>
      </c>
      <c r="C80" s="9" t="s">
        <v>1009</v>
      </c>
      <c r="D80" s="730" t="s">
        <v>110</v>
      </c>
      <c r="E80" s="747">
        <v>-4355647.6133032143</v>
      </c>
      <c r="F80" s="747">
        <v>159229.51713243086</v>
      </c>
      <c r="G80" s="747">
        <v>-4196418.096170783</v>
      </c>
      <c r="H80" s="694">
        <v>26.354523782676743</v>
      </c>
      <c r="I80" s="749" t="s">
        <v>258</v>
      </c>
      <c r="J80" s="750">
        <v>-4196418.096170783</v>
      </c>
      <c r="K80" s="735">
        <v>0</v>
      </c>
      <c r="L80" s="735" t="s">
        <v>103</v>
      </c>
      <c r="M80" s="750">
        <v>0</v>
      </c>
      <c r="N80" s="750" t="s">
        <v>103</v>
      </c>
      <c r="O80" s="736">
        <v>0</v>
      </c>
      <c r="P80" s="754">
        <v>0</v>
      </c>
      <c r="Q80" s="752">
        <v>0</v>
      </c>
      <c r="R80" s="9" t="s">
        <v>103</v>
      </c>
      <c r="S80" s="9" t="s">
        <v>103</v>
      </c>
    </row>
    <row r="81" spans="2:19">
      <c r="B81" s="746" t="s">
        <v>335</v>
      </c>
      <c r="C81" s="9" t="s">
        <v>1009</v>
      </c>
      <c r="D81" s="730" t="s">
        <v>110</v>
      </c>
      <c r="E81" s="747">
        <v>2807091.3965862989</v>
      </c>
      <c r="F81" s="747">
        <v>74629.15152358741</v>
      </c>
      <c r="G81" s="747">
        <v>2881720.5481098862</v>
      </c>
      <c r="H81" s="748">
        <v>0</v>
      </c>
      <c r="I81" s="749" t="s">
        <v>258</v>
      </c>
      <c r="J81" s="750">
        <v>2881720.5481098862</v>
      </c>
      <c r="K81" s="735">
        <v>0</v>
      </c>
      <c r="L81" s="735" t="s">
        <v>103</v>
      </c>
      <c r="M81" s="750">
        <v>0</v>
      </c>
      <c r="N81" s="750" t="s">
        <v>103</v>
      </c>
      <c r="O81" s="736">
        <v>0</v>
      </c>
      <c r="P81" s="754">
        <v>0</v>
      </c>
      <c r="Q81" s="752">
        <v>0</v>
      </c>
      <c r="R81" s="9" t="s">
        <v>103</v>
      </c>
      <c r="S81" s="9" t="s">
        <v>103</v>
      </c>
    </row>
    <row r="82" spans="2:19">
      <c r="B82" s="746" t="s">
        <v>336</v>
      </c>
      <c r="C82" s="9" t="s">
        <v>1009</v>
      </c>
      <c r="D82" s="730" t="s">
        <v>110</v>
      </c>
      <c r="E82" s="747">
        <v>43261.555841867405</v>
      </c>
      <c r="F82" s="747">
        <v>139505.6260383022</v>
      </c>
      <c r="G82" s="747">
        <v>182767.18188017001</v>
      </c>
      <c r="H82" s="694">
        <v>0</v>
      </c>
      <c r="I82" s="749" t="s">
        <v>258</v>
      </c>
      <c r="J82" s="750">
        <v>182767.18188017001</v>
      </c>
      <c r="K82" s="735">
        <v>0</v>
      </c>
      <c r="L82" s="735" t="s">
        <v>103</v>
      </c>
      <c r="M82" s="750">
        <v>0</v>
      </c>
      <c r="N82" s="750" t="s">
        <v>103</v>
      </c>
      <c r="O82" s="736">
        <v>0</v>
      </c>
      <c r="P82" s="754">
        <v>0</v>
      </c>
      <c r="Q82" s="752">
        <v>0</v>
      </c>
      <c r="R82" s="9" t="s">
        <v>103</v>
      </c>
      <c r="S82" s="9" t="s">
        <v>103</v>
      </c>
    </row>
    <row r="83" spans="2:19">
      <c r="B83" s="746" t="s">
        <v>341</v>
      </c>
      <c r="C83" s="9" t="s">
        <v>1009</v>
      </c>
      <c r="D83" s="730" t="s">
        <v>110</v>
      </c>
      <c r="E83" s="747">
        <v>-842643.4729448529</v>
      </c>
      <c r="F83" s="747">
        <v>186108.47692345112</v>
      </c>
      <c r="G83" s="747">
        <v>-656534.9960214009</v>
      </c>
      <c r="H83" s="694">
        <v>3.5277006554163699</v>
      </c>
      <c r="I83" s="749" t="s">
        <v>258</v>
      </c>
      <c r="J83" s="750">
        <v>-656534.9960214009</v>
      </c>
      <c r="K83" s="735">
        <v>0</v>
      </c>
      <c r="L83" s="735" t="s">
        <v>103</v>
      </c>
      <c r="M83" s="750">
        <v>0</v>
      </c>
      <c r="N83" s="750" t="s">
        <v>103</v>
      </c>
      <c r="O83" s="736">
        <v>0</v>
      </c>
      <c r="P83" s="754">
        <v>0</v>
      </c>
      <c r="Q83" s="752">
        <v>0</v>
      </c>
      <c r="R83" s="9" t="s">
        <v>103</v>
      </c>
      <c r="S83" s="9" t="s">
        <v>103</v>
      </c>
    </row>
    <row r="84" spans="2:19">
      <c r="B84" s="746" t="s">
        <v>352</v>
      </c>
      <c r="C84" s="9" t="s">
        <v>1009</v>
      </c>
      <c r="D84" s="730" t="s">
        <v>110</v>
      </c>
      <c r="E84" s="747">
        <v>1409950.1992088414</v>
      </c>
      <c r="F84" s="747">
        <v>204692.83644372452</v>
      </c>
      <c r="G84" s="747">
        <v>1614643.0356525653</v>
      </c>
      <c r="H84" s="748">
        <v>0</v>
      </c>
      <c r="I84" s="749" t="s">
        <v>258</v>
      </c>
      <c r="J84" s="750">
        <v>1614643.0356525653</v>
      </c>
      <c r="K84" s="735">
        <v>0</v>
      </c>
      <c r="L84" s="735" t="s">
        <v>103</v>
      </c>
      <c r="M84" s="750">
        <v>0</v>
      </c>
      <c r="N84" s="750" t="s">
        <v>103</v>
      </c>
      <c r="O84" s="736">
        <v>0</v>
      </c>
      <c r="P84" s="754">
        <v>0</v>
      </c>
      <c r="Q84" s="752">
        <v>0</v>
      </c>
      <c r="R84" s="9" t="s">
        <v>103</v>
      </c>
      <c r="S84" s="9" t="s">
        <v>103</v>
      </c>
    </row>
    <row r="85" spans="2:19">
      <c r="B85" s="746" t="s">
        <v>356</v>
      </c>
      <c r="C85" s="9" t="s">
        <v>1009</v>
      </c>
      <c r="D85" s="730" t="s">
        <v>110</v>
      </c>
      <c r="E85" s="747">
        <v>2641130.4119566553</v>
      </c>
      <c r="F85" s="747">
        <v>262981.94918366103</v>
      </c>
      <c r="G85" s="747">
        <v>2904112.3611403168</v>
      </c>
      <c r="H85" s="748">
        <v>0</v>
      </c>
      <c r="I85" s="749" t="s">
        <v>258</v>
      </c>
      <c r="J85" s="750">
        <v>2904112.3611403168</v>
      </c>
      <c r="K85" s="735">
        <v>0</v>
      </c>
      <c r="L85" s="735" t="s">
        <v>103</v>
      </c>
      <c r="M85" s="750">
        <v>0</v>
      </c>
      <c r="N85" s="750" t="s">
        <v>103</v>
      </c>
      <c r="O85" s="736">
        <v>0</v>
      </c>
      <c r="P85" s="754">
        <v>0</v>
      </c>
      <c r="Q85" s="752">
        <v>0</v>
      </c>
      <c r="R85" s="9" t="s">
        <v>103</v>
      </c>
      <c r="S85" s="9" t="s">
        <v>103</v>
      </c>
    </row>
    <row r="86" spans="2:19">
      <c r="B86" s="746" t="s">
        <v>362</v>
      </c>
      <c r="C86" s="9" t="s">
        <v>1009</v>
      </c>
      <c r="D86" s="730" t="s">
        <v>110</v>
      </c>
      <c r="E86" s="747">
        <v>1659420.5233121072</v>
      </c>
      <c r="F86" s="747">
        <v>86521.247671209596</v>
      </c>
      <c r="G86" s="747">
        <v>1745941.7709833167</v>
      </c>
      <c r="H86" s="748">
        <v>0</v>
      </c>
      <c r="I86" s="749" t="s">
        <v>258</v>
      </c>
      <c r="J86" s="750">
        <v>1745941.7709833167</v>
      </c>
      <c r="K86" s="735">
        <v>0</v>
      </c>
      <c r="L86" s="735" t="s">
        <v>103</v>
      </c>
      <c r="M86" s="750">
        <v>0</v>
      </c>
      <c r="N86" s="750" t="s">
        <v>103</v>
      </c>
      <c r="O86" s="736">
        <v>0</v>
      </c>
      <c r="P86" s="754">
        <v>0</v>
      </c>
      <c r="Q86" s="752">
        <v>0</v>
      </c>
      <c r="R86" s="9" t="s">
        <v>103</v>
      </c>
      <c r="S86" s="9" t="s">
        <v>103</v>
      </c>
    </row>
    <row r="87" spans="2:19">
      <c r="B87" s="746" t="s">
        <v>363</v>
      </c>
      <c r="C87" s="9" t="s">
        <v>1009</v>
      </c>
      <c r="D87" s="730" t="s">
        <v>110</v>
      </c>
      <c r="E87" s="747">
        <v>1093159.6468604214</v>
      </c>
      <c r="F87" s="747">
        <v>32331.821683632748</v>
      </c>
      <c r="G87" s="747">
        <v>1125491.4685440541</v>
      </c>
      <c r="H87" s="748">
        <v>0</v>
      </c>
      <c r="I87" s="749" t="s">
        <v>258</v>
      </c>
      <c r="J87" s="750">
        <v>1125491.4685440541</v>
      </c>
      <c r="K87" s="735">
        <v>0</v>
      </c>
      <c r="L87" s="735" t="s">
        <v>103</v>
      </c>
      <c r="M87" s="750">
        <v>0</v>
      </c>
      <c r="N87" s="750" t="s">
        <v>103</v>
      </c>
      <c r="O87" s="736">
        <v>0</v>
      </c>
      <c r="P87" s="754">
        <v>0</v>
      </c>
      <c r="Q87" s="752">
        <v>0</v>
      </c>
      <c r="R87" s="9" t="s">
        <v>103</v>
      </c>
      <c r="S87" s="9" t="s">
        <v>103</v>
      </c>
    </row>
    <row r="88" spans="2:19">
      <c r="B88" s="746" t="s">
        <v>364</v>
      </c>
      <c r="C88" s="9" t="s">
        <v>1009</v>
      </c>
      <c r="D88" s="730" t="s">
        <v>110</v>
      </c>
      <c r="E88" s="747">
        <v>1066414.6262506964</v>
      </c>
      <c r="F88" s="747">
        <v>119379.4801219947</v>
      </c>
      <c r="G88" s="747">
        <v>1185794.106372691</v>
      </c>
      <c r="H88" s="748">
        <v>0</v>
      </c>
      <c r="I88" s="749" t="s">
        <v>258</v>
      </c>
      <c r="J88" s="750">
        <v>1185794.106372691</v>
      </c>
      <c r="K88" s="735">
        <v>0</v>
      </c>
      <c r="L88" s="735" t="s">
        <v>103</v>
      </c>
      <c r="M88" s="750">
        <v>0</v>
      </c>
      <c r="N88" s="750" t="s">
        <v>103</v>
      </c>
      <c r="O88" s="736">
        <v>0</v>
      </c>
      <c r="P88" s="754">
        <v>0</v>
      </c>
      <c r="Q88" s="752">
        <v>0</v>
      </c>
      <c r="R88" s="9" t="s">
        <v>103</v>
      </c>
      <c r="S88" s="9" t="s">
        <v>103</v>
      </c>
    </row>
    <row r="89" spans="2:19">
      <c r="B89" s="746" t="s">
        <v>365</v>
      </c>
      <c r="C89" s="9" t="s">
        <v>1009</v>
      </c>
      <c r="D89" s="730" t="s">
        <v>110</v>
      </c>
      <c r="E89" s="747">
        <v>9230.6209153773343</v>
      </c>
      <c r="F89" s="747">
        <v>642.42624956411078</v>
      </c>
      <c r="G89" s="747">
        <v>9873.0471649414449</v>
      </c>
      <c r="H89" s="748">
        <v>0</v>
      </c>
      <c r="I89" s="749" t="s">
        <v>258</v>
      </c>
      <c r="J89" s="750">
        <v>9873.0471649414449</v>
      </c>
      <c r="K89" s="735">
        <v>0</v>
      </c>
      <c r="L89" s="735" t="s">
        <v>103</v>
      </c>
      <c r="M89" s="750">
        <v>0</v>
      </c>
      <c r="N89" s="750" t="s">
        <v>103</v>
      </c>
      <c r="O89" s="736">
        <v>0</v>
      </c>
      <c r="P89" s="754">
        <v>0</v>
      </c>
      <c r="Q89" s="752">
        <v>0</v>
      </c>
      <c r="R89" s="9" t="s">
        <v>103</v>
      </c>
      <c r="S89" s="9" t="s">
        <v>103</v>
      </c>
    </row>
    <row r="90" spans="2:19">
      <c r="B90" s="746" t="s">
        <v>366</v>
      </c>
      <c r="C90" s="9" t="s">
        <v>1009</v>
      </c>
      <c r="D90" s="730" t="s">
        <v>110</v>
      </c>
      <c r="E90" s="747">
        <v>601442.71532345109</v>
      </c>
      <c r="F90" s="747">
        <v>162857.70453496146</v>
      </c>
      <c r="G90" s="747">
        <v>675715.46975841245</v>
      </c>
      <c r="H90" s="748">
        <v>0</v>
      </c>
      <c r="I90" s="749" t="s">
        <v>258</v>
      </c>
      <c r="J90" s="750">
        <v>675715.46975841245</v>
      </c>
      <c r="K90" s="735">
        <v>0</v>
      </c>
      <c r="L90" s="735" t="s">
        <v>103</v>
      </c>
      <c r="M90" s="750">
        <v>0</v>
      </c>
      <c r="N90" s="750" t="s">
        <v>103</v>
      </c>
      <c r="O90" s="736">
        <v>0</v>
      </c>
      <c r="P90" s="754">
        <v>0</v>
      </c>
      <c r="Q90" s="752">
        <v>0</v>
      </c>
      <c r="R90" s="9" t="s">
        <v>103</v>
      </c>
      <c r="S90" s="9" t="s">
        <v>103</v>
      </c>
    </row>
    <row r="91" spans="2:19">
      <c r="B91" s="746" t="s">
        <v>371</v>
      </c>
      <c r="C91" s="9" t="s">
        <v>1009</v>
      </c>
      <c r="D91" s="730" t="s">
        <v>110</v>
      </c>
      <c r="E91" s="747">
        <v>7546541.7924195686</v>
      </c>
      <c r="F91" s="747">
        <v>313865.06658035703</v>
      </c>
      <c r="G91" s="747">
        <v>7860406.8589999266</v>
      </c>
      <c r="H91" s="748">
        <v>0</v>
      </c>
      <c r="I91" s="749" t="s">
        <v>258</v>
      </c>
      <c r="J91" s="750">
        <v>7860406.8589999266</v>
      </c>
      <c r="K91" s="735">
        <v>0</v>
      </c>
      <c r="L91" s="735" t="s">
        <v>103</v>
      </c>
      <c r="M91" s="750">
        <v>0</v>
      </c>
      <c r="N91" s="750" t="s">
        <v>103</v>
      </c>
      <c r="O91" s="736">
        <v>0</v>
      </c>
      <c r="P91" s="754">
        <v>0</v>
      </c>
      <c r="Q91" s="752">
        <v>0</v>
      </c>
      <c r="R91" s="9" t="s">
        <v>103</v>
      </c>
      <c r="S91" s="9" t="s">
        <v>103</v>
      </c>
    </row>
    <row r="92" spans="2:19">
      <c r="B92" s="746" t="s">
        <v>378</v>
      </c>
      <c r="C92" s="9" t="s">
        <v>1009</v>
      </c>
      <c r="D92" s="730" t="s">
        <v>110</v>
      </c>
      <c r="E92" s="747">
        <v>1421229.1689326295</v>
      </c>
      <c r="F92" s="747">
        <v>95792.491964629327</v>
      </c>
      <c r="G92" s="747">
        <v>17021.660897259542</v>
      </c>
      <c r="H92" s="748">
        <v>0</v>
      </c>
      <c r="I92" s="749" t="s">
        <v>258</v>
      </c>
      <c r="J92" s="750">
        <v>17021.660897259542</v>
      </c>
      <c r="K92" s="735">
        <v>0</v>
      </c>
      <c r="L92" s="735" t="s">
        <v>103</v>
      </c>
      <c r="M92" s="750">
        <v>0</v>
      </c>
      <c r="N92" s="750" t="s">
        <v>103</v>
      </c>
      <c r="O92" s="736">
        <v>0</v>
      </c>
      <c r="P92" s="754">
        <v>0</v>
      </c>
      <c r="Q92" s="752">
        <v>0</v>
      </c>
      <c r="R92" s="9" t="s">
        <v>103</v>
      </c>
      <c r="S92" s="9" t="s">
        <v>103</v>
      </c>
    </row>
    <row r="93" spans="2:19">
      <c r="B93" s="746" t="s">
        <v>384</v>
      </c>
      <c r="C93" s="9" t="s">
        <v>1009</v>
      </c>
      <c r="D93" s="730" t="s">
        <v>110</v>
      </c>
      <c r="E93" s="747">
        <v>-827510.34711901878</v>
      </c>
      <c r="F93" s="747">
        <v>291121.02734348434</v>
      </c>
      <c r="G93" s="747">
        <v>-536389.3197755341</v>
      </c>
      <c r="H93" s="694">
        <v>1.8424959703878263</v>
      </c>
      <c r="I93" s="749" t="s">
        <v>258</v>
      </c>
      <c r="J93" s="750">
        <v>-536389.3197755341</v>
      </c>
      <c r="K93" s="735">
        <v>0</v>
      </c>
      <c r="L93" s="735" t="s">
        <v>103</v>
      </c>
      <c r="M93" s="750">
        <v>0</v>
      </c>
      <c r="N93" s="750" t="s">
        <v>103</v>
      </c>
      <c r="O93" s="736">
        <v>0</v>
      </c>
      <c r="P93" s="754">
        <v>0</v>
      </c>
      <c r="Q93" s="752">
        <v>0</v>
      </c>
      <c r="R93" s="9" t="s">
        <v>103</v>
      </c>
      <c r="S93" s="9" t="s">
        <v>103</v>
      </c>
    </row>
    <row r="94" spans="2:19">
      <c r="B94" s="746" t="s">
        <v>388</v>
      </c>
      <c r="C94" s="9" t="s">
        <v>1009</v>
      </c>
      <c r="D94" s="730" t="s">
        <v>110</v>
      </c>
      <c r="E94" s="747">
        <v>57340.745620619236</v>
      </c>
      <c r="F94" s="747">
        <v>6651.4094750515223</v>
      </c>
      <c r="G94" s="747">
        <v>63992.155095670736</v>
      </c>
      <c r="H94" s="748">
        <v>0</v>
      </c>
      <c r="I94" s="749" t="s">
        <v>258</v>
      </c>
      <c r="J94" s="750">
        <v>63992.155095670736</v>
      </c>
      <c r="K94" s="735">
        <v>0</v>
      </c>
      <c r="L94" s="735" t="s">
        <v>103</v>
      </c>
      <c r="M94" s="750">
        <v>0</v>
      </c>
      <c r="N94" s="750" t="s">
        <v>103</v>
      </c>
      <c r="O94" s="736">
        <v>0</v>
      </c>
      <c r="P94" s="754">
        <v>0</v>
      </c>
      <c r="Q94" s="752">
        <v>0</v>
      </c>
      <c r="R94" s="9" t="s">
        <v>103</v>
      </c>
      <c r="S94" s="9" t="s">
        <v>103</v>
      </c>
    </row>
    <row r="95" spans="2:19">
      <c r="B95" s="746" t="s">
        <v>389</v>
      </c>
      <c r="C95" s="9" t="s">
        <v>1009</v>
      </c>
      <c r="D95" s="730" t="s">
        <v>110</v>
      </c>
      <c r="E95" s="747">
        <v>107683.11683090216</v>
      </c>
      <c r="F95" s="747">
        <v>20680.005394523731</v>
      </c>
      <c r="G95" s="747">
        <v>-37009.857774583157</v>
      </c>
      <c r="H95" s="694">
        <v>1.7896444932448485</v>
      </c>
      <c r="I95" s="749" t="s">
        <v>258</v>
      </c>
      <c r="J95" s="750">
        <v>-37009.857774583157</v>
      </c>
      <c r="K95" s="735">
        <v>0</v>
      </c>
      <c r="L95" s="735" t="s">
        <v>103</v>
      </c>
      <c r="M95" s="750">
        <v>0</v>
      </c>
      <c r="N95" s="750" t="s">
        <v>103</v>
      </c>
      <c r="O95" s="736">
        <v>0</v>
      </c>
      <c r="P95" s="754">
        <v>0</v>
      </c>
      <c r="Q95" s="752">
        <v>0</v>
      </c>
      <c r="R95" s="9" t="s">
        <v>103</v>
      </c>
      <c r="S95" s="9" t="s">
        <v>103</v>
      </c>
    </row>
    <row r="96" spans="2:19">
      <c r="B96" s="746" t="s">
        <v>392</v>
      </c>
      <c r="C96" s="9" t="s">
        <v>1009</v>
      </c>
      <c r="D96" s="730" t="s">
        <v>110</v>
      </c>
      <c r="E96" s="747">
        <v>-460498.95018696797</v>
      </c>
      <c r="F96" s="747">
        <v>146398.46316295461</v>
      </c>
      <c r="G96" s="747">
        <v>-314100.48702401324</v>
      </c>
      <c r="H96" s="694">
        <v>2.1455176525616344</v>
      </c>
      <c r="I96" s="749" t="s">
        <v>258</v>
      </c>
      <c r="J96" s="750">
        <v>-314100.48702401324</v>
      </c>
      <c r="K96" s="735">
        <v>0</v>
      </c>
      <c r="L96" s="735" t="s">
        <v>103</v>
      </c>
      <c r="M96" s="750">
        <v>0</v>
      </c>
      <c r="N96" s="750" t="s">
        <v>103</v>
      </c>
      <c r="O96" s="736">
        <v>0</v>
      </c>
      <c r="P96" s="754">
        <v>0</v>
      </c>
      <c r="Q96" s="752">
        <v>0</v>
      </c>
      <c r="R96" s="9" t="s">
        <v>103</v>
      </c>
      <c r="S96" s="9" t="s">
        <v>103</v>
      </c>
    </row>
    <row r="97" spans="2:19">
      <c r="B97" s="746" t="s">
        <v>396</v>
      </c>
      <c r="C97" s="9" t="s">
        <v>1009</v>
      </c>
      <c r="D97" s="730" t="s">
        <v>110</v>
      </c>
      <c r="E97" s="747">
        <v>1090044.1671060575</v>
      </c>
      <c r="F97" s="747">
        <v>59788.601111925789</v>
      </c>
      <c r="G97" s="747">
        <v>1149832.7682179837</v>
      </c>
      <c r="H97" s="748">
        <v>0</v>
      </c>
      <c r="I97" s="749" t="s">
        <v>258</v>
      </c>
      <c r="J97" s="750">
        <v>1149832.7682179837</v>
      </c>
      <c r="K97" s="735">
        <v>0</v>
      </c>
      <c r="L97" s="735" t="s">
        <v>103</v>
      </c>
      <c r="M97" s="750">
        <v>0</v>
      </c>
      <c r="N97" s="750" t="s">
        <v>103</v>
      </c>
      <c r="O97" s="736">
        <v>0</v>
      </c>
      <c r="P97" s="754">
        <v>0</v>
      </c>
      <c r="Q97" s="752">
        <v>0</v>
      </c>
      <c r="R97" s="9" t="s">
        <v>103</v>
      </c>
      <c r="S97" s="9" t="s">
        <v>103</v>
      </c>
    </row>
    <row r="98" spans="2:19">
      <c r="B98" s="746" t="s">
        <v>397</v>
      </c>
      <c r="C98" s="9" t="s">
        <v>1009</v>
      </c>
      <c r="D98" s="730" t="s">
        <v>110</v>
      </c>
      <c r="E98" s="747">
        <v>243453.22132985509</v>
      </c>
      <c r="F98" s="747">
        <v>68665.768616867019</v>
      </c>
      <c r="G98" s="747">
        <v>312118.98994672229</v>
      </c>
      <c r="H98" s="748">
        <v>0</v>
      </c>
      <c r="I98" s="749" t="s">
        <v>258</v>
      </c>
      <c r="J98" s="750">
        <v>312118.98994672229</v>
      </c>
      <c r="K98" s="735">
        <v>0</v>
      </c>
      <c r="L98" s="735" t="s">
        <v>103</v>
      </c>
      <c r="M98" s="750">
        <v>0</v>
      </c>
      <c r="N98" s="750" t="s">
        <v>103</v>
      </c>
      <c r="O98" s="736">
        <v>0</v>
      </c>
      <c r="P98" s="754">
        <v>0</v>
      </c>
      <c r="Q98" s="752">
        <v>0</v>
      </c>
      <c r="R98" s="9" t="s">
        <v>103</v>
      </c>
      <c r="S98" s="9" t="s">
        <v>103</v>
      </c>
    </row>
    <row r="99" spans="2:19">
      <c r="B99" s="746" t="s">
        <v>398</v>
      </c>
      <c r="C99" s="9" t="s">
        <v>1009</v>
      </c>
      <c r="D99" s="730" t="s">
        <v>110</v>
      </c>
      <c r="E99" s="747">
        <v>-424211.60459590604</v>
      </c>
      <c r="F99" s="747">
        <v>148578.57360241076</v>
      </c>
      <c r="G99" s="747">
        <v>-266934.43099349574</v>
      </c>
      <c r="H99" s="694">
        <v>1.7965876540704964</v>
      </c>
      <c r="I99" s="749" t="s">
        <v>258</v>
      </c>
      <c r="J99" s="750">
        <v>-266934.43099349574</v>
      </c>
      <c r="K99" s="735">
        <v>0</v>
      </c>
      <c r="L99" s="735" t="s">
        <v>103</v>
      </c>
      <c r="M99" s="750">
        <v>0</v>
      </c>
      <c r="N99" s="750" t="s">
        <v>103</v>
      </c>
      <c r="O99" s="736">
        <v>0</v>
      </c>
      <c r="P99" s="751">
        <v>0</v>
      </c>
      <c r="Q99" s="752">
        <v>0</v>
      </c>
      <c r="R99" s="9" t="s">
        <v>103</v>
      </c>
      <c r="S99" s="9" t="s">
        <v>103</v>
      </c>
    </row>
    <row r="100" spans="2:19">
      <c r="B100" s="746" t="s">
        <v>405</v>
      </c>
      <c r="C100" s="9" t="s">
        <v>1009</v>
      </c>
      <c r="D100" s="730" t="s">
        <v>110</v>
      </c>
      <c r="E100" s="747">
        <v>-164288.54657807818</v>
      </c>
      <c r="F100" s="747">
        <v>46740.099711039453</v>
      </c>
      <c r="G100" s="747">
        <v>-117548.44686703861</v>
      </c>
      <c r="H100" s="694">
        <v>2.5149378712017398</v>
      </c>
      <c r="I100" s="749" t="s">
        <v>258</v>
      </c>
      <c r="J100" s="750">
        <v>-117548.44686703861</v>
      </c>
      <c r="K100" s="735">
        <v>0</v>
      </c>
      <c r="L100" s="735" t="s">
        <v>103</v>
      </c>
      <c r="M100" s="750">
        <v>0</v>
      </c>
      <c r="N100" s="750" t="s">
        <v>103</v>
      </c>
      <c r="O100" s="736">
        <v>0</v>
      </c>
      <c r="P100" s="754">
        <v>0</v>
      </c>
      <c r="Q100" s="752">
        <v>0</v>
      </c>
      <c r="R100" s="9" t="s">
        <v>103</v>
      </c>
      <c r="S100" s="9" t="s">
        <v>103</v>
      </c>
    </row>
    <row r="101" spans="2:19">
      <c r="B101" s="746" t="s">
        <v>409</v>
      </c>
      <c r="C101" s="9" t="s">
        <v>1009</v>
      </c>
      <c r="D101" s="730" t="s">
        <v>110</v>
      </c>
      <c r="E101" s="747">
        <v>-190434.68855608386</v>
      </c>
      <c r="F101" s="747">
        <v>160007.83480005068</v>
      </c>
      <c r="G101" s="747">
        <v>-30426.853756032797</v>
      </c>
      <c r="H101" s="694">
        <v>0.19015852438760181</v>
      </c>
      <c r="I101" s="749" t="s">
        <v>258</v>
      </c>
      <c r="J101" s="750">
        <v>-30426.853756032797</v>
      </c>
      <c r="K101" s="735">
        <v>0</v>
      </c>
      <c r="L101" s="735" t="s">
        <v>103</v>
      </c>
      <c r="M101" s="750">
        <v>0</v>
      </c>
      <c r="N101" s="750" t="s">
        <v>103</v>
      </c>
      <c r="O101" s="736">
        <v>0</v>
      </c>
      <c r="P101" s="754">
        <v>0</v>
      </c>
      <c r="Q101" s="752">
        <v>0</v>
      </c>
      <c r="R101" s="9" t="s">
        <v>103</v>
      </c>
      <c r="S101" s="9" t="s">
        <v>103</v>
      </c>
    </row>
    <row r="102" spans="2:19">
      <c r="B102" s="746" t="s">
        <v>410</v>
      </c>
      <c r="C102" s="9" t="s">
        <v>1009</v>
      </c>
      <c r="D102" s="730" t="s">
        <v>110</v>
      </c>
      <c r="E102" s="747">
        <v>1186576.894733109</v>
      </c>
      <c r="F102" s="747">
        <v>62029.194724172077</v>
      </c>
      <c r="G102" s="747">
        <v>1248606.0894572812</v>
      </c>
      <c r="H102" s="748">
        <v>0</v>
      </c>
      <c r="I102" s="749" t="s">
        <v>258</v>
      </c>
      <c r="J102" s="750">
        <v>1248606.0894572812</v>
      </c>
      <c r="K102" s="735">
        <v>0</v>
      </c>
      <c r="L102" s="735" t="s">
        <v>103</v>
      </c>
      <c r="M102" s="750">
        <v>0</v>
      </c>
      <c r="N102" s="750" t="s">
        <v>103</v>
      </c>
      <c r="O102" s="736">
        <v>0</v>
      </c>
      <c r="P102" s="754">
        <v>0</v>
      </c>
      <c r="Q102" s="752">
        <v>0</v>
      </c>
      <c r="R102" s="9" t="s">
        <v>103</v>
      </c>
      <c r="S102" s="9" t="s">
        <v>103</v>
      </c>
    </row>
    <row r="103" spans="2:19">
      <c r="B103" s="746" t="s">
        <v>411</v>
      </c>
      <c r="C103" s="9" t="s">
        <v>1009</v>
      </c>
      <c r="D103" s="730" t="s">
        <v>110</v>
      </c>
      <c r="E103" s="747">
        <v>-1260582.4043806782</v>
      </c>
      <c r="F103" s="747">
        <v>507348.93895857572</v>
      </c>
      <c r="G103" s="747">
        <v>-827791.99542210088</v>
      </c>
      <c r="H103" s="694">
        <v>1.6316028907467348</v>
      </c>
      <c r="I103" s="749" t="s">
        <v>258</v>
      </c>
      <c r="J103" s="750">
        <v>-827791.99542210088</v>
      </c>
      <c r="K103" s="735">
        <v>0</v>
      </c>
      <c r="L103" s="735" t="s">
        <v>103</v>
      </c>
      <c r="M103" s="750">
        <v>0</v>
      </c>
      <c r="N103" s="750" t="s">
        <v>103</v>
      </c>
      <c r="O103" s="736">
        <v>0</v>
      </c>
      <c r="P103" s="754">
        <v>0</v>
      </c>
      <c r="Q103" s="752">
        <v>0</v>
      </c>
      <c r="R103" s="9" t="s">
        <v>103</v>
      </c>
      <c r="S103" s="9" t="s">
        <v>103</v>
      </c>
    </row>
    <row r="104" spans="2:19">
      <c r="B104" s="746" t="s">
        <v>417</v>
      </c>
      <c r="C104" s="9" t="s">
        <v>1009</v>
      </c>
      <c r="D104" s="730" t="s">
        <v>110</v>
      </c>
      <c r="E104" s="747">
        <v>1142180.3801588553</v>
      </c>
      <c r="F104" s="747">
        <v>52192.425304020551</v>
      </c>
      <c r="G104" s="747">
        <v>1194372.8054628761</v>
      </c>
      <c r="H104" s="748">
        <v>0</v>
      </c>
      <c r="I104" s="749" t="s">
        <v>258</v>
      </c>
      <c r="J104" s="750">
        <v>1194372.8054628761</v>
      </c>
      <c r="K104" s="735">
        <v>0</v>
      </c>
      <c r="L104" s="735" t="s">
        <v>103</v>
      </c>
      <c r="M104" s="750">
        <v>0</v>
      </c>
      <c r="N104" s="750" t="s">
        <v>103</v>
      </c>
      <c r="O104" s="736">
        <v>0</v>
      </c>
      <c r="P104" s="754">
        <v>0</v>
      </c>
      <c r="Q104" s="752">
        <v>0</v>
      </c>
      <c r="R104" s="9" t="s">
        <v>103</v>
      </c>
      <c r="S104" s="9" t="s">
        <v>103</v>
      </c>
    </row>
    <row r="105" spans="2:19">
      <c r="B105" s="746" t="s">
        <v>418</v>
      </c>
      <c r="C105" s="9" t="s">
        <v>1009</v>
      </c>
      <c r="D105" s="730" t="s">
        <v>110</v>
      </c>
      <c r="E105" s="747">
        <v>707118.59425008437</v>
      </c>
      <c r="F105" s="747">
        <v>37623.385513158959</v>
      </c>
      <c r="G105" s="747">
        <v>744741.97976324311</v>
      </c>
      <c r="H105" s="748">
        <v>0</v>
      </c>
      <c r="I105" s="749" t="s">
        <v>258</v>
      </c>
      <c r="J105" s="750">
        <v>744741.97976324311</v>
      </c>
      <c r="K105" s="735">
        <v>0</v>
      </c>
      <c r="L105" s="735" t="s">
        <v>103</v>
      </c>
      <c r="M105" s="750">
        <v>0</v>
      </c>
      <c r="N105" s="750" t="s">
        <v>103</v>
      </c>
      <c r="O105" s="736">
        <v>0</v>
      </c>
      <c r="P105" s="754">
        <v>0</v>
      </c>
      <c r="Q105" s="752">
        <v>0</v>
      </c>
      <c r="R105" s="9" t="s">
        <v>103</v>
      </c>
      <c r="S105" s="9" t="s">
        <v>103</v>
      </c>
    </row>
    <row r="106" spans="2:19">
      <c r="B106" s="746" t="s">
        <v>419</v>
      </c>
      <c r="C106" s="9" t="s">
        <v>1009</v>
      </c>
      <c r="D106" s="730" t="s">
        <v>110</v>
      </c>
      <c r="E106" s="747">
        <v>-108336.44559304386</v>
      </c>
      <c r="F106" s="747">
        <v>76656.633548079699</v>
      </c>
      <c r="G106" s="747">
        <v>-31679.812044963997</v>
      </c>
      <c r="H106" s="694">
        <v>0.41326902289668316</v>
      </c>
      <c r="I106" s="749" t="s">
        <v>258</v>
      </c>
      <c r="J106" s="750">
        <v>-31679.812044963997</v>
      </c>
      <c r="K106" s="735">
        <v>0</v>
      </c>
      <c r="L106" s="735" t="s">
        <v>103</v>
      </c>
      <c r="M106" s="750">
        <v>0</v>
      </c>
      <c r="N106" s="750" t="s">
        <v>103</v>
      </c>
      <c r="O106" s="736">
        <v>0</v>
      </c>
      <c r="P106" s="754">
        <v>0</v>
      </c>
      <c r="Q106" s="752">
        <v>0</v>
      </c>
      <c r="R106" s="9" t="s">
        <v>103</v>
      </c>
      <c r="S106" s="9" t="s">
        <v>103</v>
      </c>
    </row>
    <row r="107" spans="2:19">
      <c r="B107" s="746" t="s">
        <v>423</v>
      </c>
      <c r="C107" s="9" t="s">
        <v>1009</v>
      </c>
      <c r="D107" s="730" t="s">
        <v>110</v>
      </c>
      <c r="E107" s="747">
        <v>4272139.1966918781</v>
      </c>
      <c r="F107" s="747">
        <v>262402.42066312477</v>
      </c>
      <c r="G107" s="747">
        <v>4534541.617355003</v>
      </c>
      <c r="H107" s="748">
        <v>0</v>
      </c>
      <c r="I107" s="749" t="s">
        <v>258</v>
      </c>
      <c r="J107" s="750">
        <v>4534541.617355003</v>
      </c>
      <c r="K107" s="735">
        <v>0</v>
      </c>
      <c r="L107" s="735" t="s">
        <v>103</v>
      </c>
      <c r="M107" s="750">
        <v>0</v>
      </c>
      <c r="N107" s="750" t="s">
        <v>103</v>
      </c>
      <c r="O107" s="736">
        <v>0</v>
      </c>
      <c r="P107" s="754">
        <v>0</v>
      </c>
      <c r="Q107" s="752">
        <v>0</v>
      </c>
      <c r="R107" s="9" t="s">
        <v>103</v>
      </c>
      <c r="S107" s="9" t="s">
        <v>103</v>
      </c>
    </row>
    <row r="108" spans="2:19">
      <c r="B108" s="746" t="s">
        <v>429</v>
      </c>
      <c r="C108" s="9" t="s">
        <v>1009</v>
      </c>
      <c r="D108" s="730" t="s">
        <v>110</v>
      </c>
      <c r="E108" s="747">
        <v>-184377.34642908865</v>
      </c>
      <c r="F108" s="747">
        <v>108094.0333663521</v>
      </c>
      <c r="G108" s="747">
        <v>-76283.313062736983</v>
      </c>
      <c r="H108" s="748">
        <v>0.70571252350439839</v>
      </c>
      <c r="I108" s="749" t="s">
        <v>258</v>
      </c>
      <c r="J108" s="750">
        <v>-76283.313062736983</v>
      </c>
      <c r="K108" s="735">
        <v>0</v>
      </c>
      <c r="L108" s="735" t="s">
        <v>103</v>
      </c>
      <c r="M108" s="750">
        <v>0</v>
      </c>
      <c r="N108" s="750" t="s">
        <v>103</v>
      </c>
      <c r="O108" s="736">
        <v>0</v>
      </c>
      <c r="P108" s="754">
        <v>0</v>
      </c>
      <c r="Q108" s="752">
        <v>0</v>
      </c>
      <c r="R108" s="9" t="s">
        <v>103</v>
      </c>
      <c r="S108" s="9" t="s">
        <v>103</v>
      </c>
    </row>
    <row r="109" spans="2:19">
      <c r="B109" s="746" t="s">
        <v>433</v>
      </c>
      <c r="C109" s="9" t="s">
        <v>1009</v>
      </c>
      <c r="D109" s="730" t="s">
        <v>110</v>
      </c>
      <c r="E109" s="747">
        <v>-774120.6902517291</v>
      </c>
      <c r="F109" s="747">
        <v>128785.32968619387</v>
      </c>
      <c r="G109" s="747">
        <v>-645335.36056553561</v>
      </c>
      <c r="H109" s="694">
        <v>5.0109384519028586</v>
      </c>
      <c r="I109" s="749" t="s">
        <v>258</v>
      </c>
      <c r="J109" s="750">
        <v>-645335.36056553561</v>
      </c>
      <c r="K109" s="735">
        <v>0</v>
      </c>
      <c r="L109" s="735" t="s">
        <v>103</v>
      </c>
      <c r="M109" s="750">
        <v>0</v>
      </c>
      <c r="N109" s="750" t="s">
        <v>103</v>
      </c>
      <c r="O109" s="736">
        <v>0</v>
      </c>
      <c r="P109" s="754">
        <v>0</v>
      </c>
      <c r="Q109" s="752">
        <v>0</v>
      </c>
      <c r="R109" s="9" t="s">
        <v>103</v>
      </c>
      <c r="S109" s="9" t="s">
        <v>103</v>
      </c>
    </row>
    <row r="110" spans="2:19">
      <c r="B110" s="746" t="s">
        <v>438</v>
      </c>
      <c r="C110" s="9" t="s">
        <v>1009</v>
      </c>
      <c r="D110" s="730" t="s">
        <v>110</v>
      </c>
      <c r="E110" s="747">
        <v>335716.47647156019</v>
      </c>
      <c r="F110" s="747">
        <v>507859.64291489054</v>
      </c>
      <c r="G110" s="747">
        <v>843576.11938644783</v>
      </c>
      <c r="H110" s="694">
        <v>0</v>
      </c>
      <c r="I110" s="749" t="s">
        <v>258</v>
      </c>
      <c r="J110" s="750">
        <v>843576.11938644783</v>
      </c>
      <c r="K110" s="735">
        <v>0</v>
      </c>
      <c r="L110" s="735" t="s">
        <v>103</v>
      </c>
      <c r="M110" s="750">
        <v>0</v>
      </c>
      <c r="N110" s="750" t="s">
        <v>103</v>
      </c>
      <c r="O110" s="736">
        <v>0</v>
      </c>
      <c r="P110" s="754">
        <v>0</v>
      </c>
      <c r="Q110" s="752">
        <v>0</v>
      </c>
      <c r="R110" s="9" t="s">
        <v>103</v>
      </c>
      <c r="S110" s="9" t="s">
        <v>103</v>
      </c>
    </row>
    <row r="111" spans="2:19">
      <c r="B111" s="746" t="s">
        <v>444</v>
      </c>
      <c r="C111" s="9" t="s">
        <v>1009</v>
      </c>
      <c r="D111" s="730" t="s">
        <v>110</v>
      </c>
      <c r="E111" s="747">
        <v>731452.68275443919</v>
      </c>
      <c r="F111" s="747">
        <v>38794.987732732952</v>
      </c>
      <c r="G111" s="747">
        <v>770247.6704871715</v>
      </c>
      <c r="H111" s="748">
        <v>0</v>
      </c>
      <c r="I111" s="749" t="s">
        <v>258</v>
      </c>
      <c r="J111" s="750">
        <v>770247.6704871715</v>
      </c>
      <c r="K111" s="735">
        <v>0</v>
      </c>
      <c r="L111" s="735" t="s">
        <v>103</v>
      </c>
      <c r="M111" s="750">
        <v>0</v>
      </c>
      <c r="N111" s="750" t="s">
        <v>103</v>
      </c>
      <c r="O111" s="736">
        <v>0</v>
      </c>
      <c r="P111" s="754">
        <v>0</v>
      </c>
      <c r="Q111" s="752">
        <v>0</v>
      </c>
      <c r="R111" s="9" t="s">
        <v>103</v>
      </c>
      <c r="S111" s="9" t="s">
        <v>103</v>
      </c>
    </row>
    <row r="112" spans="2:19">
      <c r="B112" s="746" t="s">
        <v>448</v>
      </c>
      <c r="C112" s="9" t="s">
        <v>1009</v>
      </c>
      <c r="D112" s="730" t="s">
        <v>110</v>
      </c>
      <c r="E112" s="747">
        <v>626062.24225178908</v>
      </c>
      <c r="F112" s="747">
        <v>208903.78876518222</v>
      </c>
      <c r="G112" s="747">
        <v>834966.03101697145</v>
      </c>
      <c r="H112" s="748">
        <v>0</v>
      </c>
      <c r="I112" s="749" t="s">
        <v>258</v>
      </c>
      <c r="J112" s="750">
        <v>834966.03101697145</v>
      </c>
      <c r="K112" s="735">
        <v>0</v>
      </c>
      <c r="L112" s="735" t="s">
        <v>103</v>
      </c>
      <c r="M112" s="750">
        <v>0</v>
      </c>
      <c r="N112" s="750" t="s">
        <v>103</v>
      </c>
      <c r="O112" s="736">
        <v>0</v>
      </c>
      <c r="P112" s="754">
        <v>0</v>
      </c>
      <c r="Q112" s="752">
        <v>0</v>
      </c>
      <c r="R112" s="9" t="s">
        <v>103</v>
      </c>
      <c r="S112" s="9" t="s">
        <v>103</v>
      </c>
    </row>
    <row r="113" spans="2:19">
      <c r="B113" s="746" t="s">
        <v>449</v>
      </c>
      <c r="C113" s="9" t="s">
        <v>1009</v>
      </c>
      <c r="D113" s="730" t="s">
        <v>110</v>
      </c>
      <c r="E113" s="747">
        <v>365134.64017000608</v>
      </c>
      <c r="F113" s="747">
        <v>248004.98721170466</v>
      </c>
      <c r="G113" s="747">
        <v>-1280992.3726182897</v>
      </c>
      <c r="H113" s="748">
        <v>5.1651879545663943</v>
      </c>
      <c r="I113" s="749" t="s">
        <v>258</v>
      </c>
      <c r="J113" s="750">
        <v>-1280992.3726182897</v>
      </c>
      <c r="K113" s="735">
        <v>0</v>
      </c>
      <c r="L113" s="735" t="s">
        <v>103</v>
      </c>
      <c r="M113" s="750">
        <v>0</v>
      </c>
      <c r="N113" s="750" t="s">
        <v>103</v>
      </c>
      <c r="O113" s="736">
        <v>0</v>
      </c>
      <c r="P113" s="754">
        <v>0</v>
      </c>
      <c r="Q113" s="752">
        <v>0</v>
      </c>
      <c r="R113" s="9" t="s">
        <v>103</v>
      </c>
      <c r="S113" s="9" t="s">
        <v>103</v>
      </c>
    </row>
    <row r="114" spans="2:19">
      <c r="B114" s="746" t="s">
        <v>456</v>
      </c>
      <c r="C114" s="9" t="s">
        <v>1009</v>
      </c>
      <c r="D114" s="730" t="s">
        <v>110</v>
      </c>
      <c r="E114" s="747">
        <v>176469.06519132151</v>
      </c>
      <c r="F114" s="747">
        <v>12256.483953185096</v>
      </c>
      <c r="G114" s="747">
        <v>188725.54914450663</v>
      </c>
      <c r="H114" s="748">
        <v>0</v>
      </c>
      <c r="I114" s="749" t="s">
        <v>258</v>
      </c>
      <c r="J114" s="750">
        <v>188725.54914450663</v>
      </c>
      <c r="K114" s="735">
        <v>0</v>
      </c>
      <c r="L114" s="735" t="s">
        <v>103</v>
      </c>
      <c r="M114" s="750">
        <v>0</v>
      </c>
      <c r="N114" s="750" t="s">
        <v>103</v>
      </c>
      <c r="O114" s="736">
        <v>0</v>
      </c>
      <c r="P114" s="754">
        <v>0</v>
      </c>
      <c r="Q114" s="752">
        <v>0</v>
      </c>
      <c r="R114" s="9" t="s">
        <v>103</v>
      </c>
      <c r="S114" s="9" t="s">
        <v>103</v>
      </c>
    </row>
    <row r="115" spans="2:19">
      <c r="B115" s="746" t="s">
        <v>457</v>
      </c>
      <c r="C115" s="9" t="s">
        <v>1009</v>
      </c>
      <c r="D115" s="730" t="s">
        <v>110</v>
      </c>
      <c r="E115" s="747">
        <v>-1088831.4596288381</v>
      </c>
      <c r="F115" s="747">
        <v>293582.12685874727</v>
      </c>
      <c r="G115" s="747">
        <v>-795249.33277009171</v>
      </c>
      <c r="H115" s="748">
        <v>2.7087797928268103</v>
      </c>
      <c r="I115" s="749" t="s">
        <v>258</v>
      </c>
      <c r="J115" s="750">
        <v>-795249.33277009171</v>
      </c>
      <c r="K115" s="735">
        <v>0</v>
      </c>
      <c r="L115" s="735" t="s">
        <v>103</v>
      </c>
      <c r="M115" s="750">
        <v>0</v>
      </c>
      <c r="N115" s="750" t="s">
        <v>103</v>
      </c>
      <c r="O115" s="736">
        <v>0</v>
      </c>
      <c r="P115" s="754">
        <v>0</v>
      </c>
      <c r="Q115" s="752">
        <v>0</v>
      </c>
      <c r="R115" s="9" t="s">
        <v>103</v>
      </c>
      <c r="S115" s="9" t="s">
        <v>103</v>
      </c>
    </row>
    <row r="116" spans="2:19">
      <c r="B116" s="746" t="s">
        <v>469</v>
      </c>
      <c r="C116" s="9" t="s">
        <v>1009</v>
      </c>
      <c r="D116" s="730" t="s">
        <v>110</v>
      </c>
      <c r="E116" s="747">
        <v>30420047.333427712</v>
      </c>
      <c r="F116" s="747">
        <v>2489007.8884260957</v>
      </c>
      <c r="G116" s="747">
        <v>33387352.541853808</v>
      </c>
      <c r="H116" s="748">
        <v>0</v>
      </c>
      <c r="I116" s="755" t="s">
        <v>258</v>
      </c>
      <c r="J116" s="756">
        <v>33387352.541853808</v>
      </c>
      <c r="K116" s="735">
        <v>0</v>
      </c>
      <c r="L116" s="735" t="s">
        <v>103</v>
      </c>
      <c r="M116" s="756">
        <v>0</v>
      </c>
      <c r="N116" s="756" t="s">
        <v>103</v>
      </c>
      <c r="O116" s="736">
        <v>0</v>
      </c>
      <c r="P116" s="754">
        <v>0</v>
      </c>
      <c r="Q116" s="752">
        <v>0</v>
      </c>
      <c r="R116" s="9" t="s">
        <v>103</v>
      </c>
      <c r="S116" s="9" t="s">
        <v>103</v>
      </c>
    </row>
    <row r="117" spans="2:19" s="101" customFormat="1">
      <c r="B117" s="738" t="s">
        <v>1247</v>
      </c>
      <c r="C117" s="738"/>
      <c r="D117" s="738"/>
      <c r="E117" s="739">
        <v>103547040.17154405</v>
      </c>
      <c r="F117" s="739">
        <v>15166810.981140221</v>
      </c>
      <c r="G117" s="739">
        <v>114547008.57258436</v>
      </c>
      <c r="H117" s="740">
        <v>0</v>
      </c>
      <c r="I117" s="741"/>
      <c r="J117" s="742">
        <v>114547008.57258436</v>
      </c>
      <c r="K117" s="742">
        <v>0</v>
      </c>
      <c r="L117" s="741"/>
      <c r="M117" s="742">
        <v>0</v>
      </c>
      <c r="N117" s="742">
        <v>0</v>
      </c>
      <c r="O117" s="743">
        <v>0</v>
      </c>
      <c r="P117" s="742">
        <v>0</v>
      </c>
      <c r="Q117" s="744">
        <v>0</v>
      </c>
      <c r="R117" s="741" t="s">
        <v>103</v>
      </c>
      <c r="S117" s="741" t="s">
        <v>103</v>
      </c>
    </row>
    <row r="118" spans="2:19" s="97" customFormat="1">
      <c r="B118" s="723" t="s">
        <v>502</v>
      </c>
      <c r="C118" s="723"/>
      <c r="D118" s="723"/>
      <c r="E118" s="724"/>
      <c r="F118" s="724"/>
      <c r="G118" s="724"/>
      <c r="H118" s="725">
        <v>0</v>
      </c>
      <c r="I118" s="726"/>
      <c r="J118" s="727"/>
      <c r="K118" s="726"/>
      <c r="L118" s="726"/>
      <c r="M118" s="727">
        <v>0</v>
      </c>
      <c r="N118" s="727" t="s">
        <v>103</v>
      </c>
      <c r="O118" s="728"/>
      <c r="P118" s="727"/>
      <c r="Q118" s="726"/>
      <c r="R118" s="726"/>
      <c r="S118" s="726"/>
    </row>
    <row r="119" spans="2:19">
      <c r="B119" s="746" t="s">
        <v>503</v>
      </c>
      <c r="C119" s="9" t="s">
        <v>1009</v>
      </c>
      <c r="D119" s="730" t="s">
        <v>110</v>
      </c>
      <c r="E119" s="747">
        <v>6967.11721156986</v>
      </c>
      <c r="F119" s="747">
        <v>120.59094458804108</v>
      </c>
      <c r="G119" s="747">
        <v>7087.7081561579007</v>
      </c>
      <c r="H119" s="748">
        <v>0</v>
      </c>
      <c r="I119" s="755" t="s">
        <v>258</v>
      </c>
      <c r="J119" s="756">
        <v>7087.7081561579007</v>
      </c>
      <c r="K119" s="735">
        <v>0</v>
      </c>
      <c r="L119" s="735" t="s">
        <v>103</v>
      </c>
      <c r="M119" s="756">
        <v>0</v>
      </c>
      <c r="N119" s="756" t="s">
        <v>103</v>
      </c>
      <c r="O119" s="736">
        <v>0</v>
      </c>
      <c r="P119" s="754">
        <v>0</v>
      </c>
      <c r="Q119" s="752">
        <v>0</v>
      </c>
      <c r="R119" s="9" t="s">
        <v>103</v>
      </c>
      <c r="S119" s="9" t="s">
        <v>103</v>
      </c>
    </row>
    <row r="120" spans="2:19" s="101" customFormat="1">
      <c r="B120" s="738" t="s">
        <v>1336</v>
      </c>
      <c r="C120" s="738"/>
      <c r="D120" s="738"/>
      <c r="E120" s="739">
        <v>6967.11721156986</v>
      </c>
      <c r="F120" s="739">
        <v>120.59094458804108</v>
      </c>
      <c r="G120" s="739">
        <v>7087.7081561579007</v>
      </c>
      <c r="H120" s="740">
        <v>0</v>
      </c>
      <c r="I120" s="741"/>
      <c r="J120" s="742">
        <v>7087.7081561579007</v>
      </c>
      <c r="K120" s="742">
        <v>0</v>
      </c>
      <c r="L120" s="741"/>
      <c r="M120" s="742">
        <v>0</v>
      </c>
      <c r="N120" s="742">
        <v>0</v>
      </c>
      <c r="O120" s="743">
        <v>0</v>
      </c>
      <c r="P120" s="742">
        <v>0</v>
      </c>
      <c r="Q120" s="744">
        <v>0</v>
      </c>
      <c r="R120" s="741" t="s">
        <v>103</v>
      </c>
      <c r="S120" s="741" t="s">
        <v>103</v>
      </c>
    </row>
    <row r="121" spans="2:19" s="97" customFormat="1">
      <c r="B121" s="723" t="s">
        <v>504</v>
      </c>
      <c r="C121" s="723"/>
      <c r="D121" s="723"/>
      <c r="E121" s="724"/>
      <c r="F121" s="724"/>
      <c r="G121" s="724"/>
      <c r="H121" s="725">
        <v>0</v>
      </c>
      <c r="I121" s="726"/>
      <c r="J121" s="727"/>
      <c r="K121" s="726"/>
      <c r="L121" s="726"/>
      <c r="M121" s="727">
        <v>0</v>
      </c>
      <c r="N121" s="727" t="s">
        <v>103</v>
      </c>
      <c r="O121" s="728"/>
      <c r="P121" s="727"/>
      <c r="Q121" s="726"/>
      <c r="R121" s="726"/>
      <c r="S121" s="726"/>
    </row>
    <row r="122" spans="2:19">
      <c r="B122" s="746" t="s">
        <v>505</v>
      </c>
      <c r="C122" s="9" t="s">
        <v>1009</v>
      </c>
      <c r="D122" s="730" t="s">
        <v>110</v>
      </c>
      <c r="E122" s="747">
        <v>223966.58096384164</v>
      </c>
      <c r="F122" s="747">
        <v>35057.539666392506</v>
      </c>
      <c r="G122" s="747">
        <v>296931.08063023363</v>
      </c>
      <c r="H122" s="694">
        <v>0</v>
      </c>
      <c r="I122" s="749" t="s">
        <v>258</v>
      </c>
      <c r="J122" s="750">
        <v>296931.08063023363</v>
      </c>
      <c r="K122" s="735">
        <v>0</v>
      </c>
      <c r="L122" s="735" t="s">
        <v>103</v>
      </c>
      <c r="M122" s="750">
        <v>0</v>
      </c>
      <c r="N122" s="750" t="s">
        <v>103</v>
      </c>
      <c r="O122" s="736">
        <v>0</v>
      </c>
      <c r="P122" s="751">
        <v>0</v>
      </c>
      <c r="Q122" s="752">
        <v>0</v>
      </c>
      <c r="R122" s="9" t="s">
        <v>103</v>
      </c>
      <c r="S122" s="9" t="s">
        <v>103</v>
      </c>
    </row>
    <row r="123" spans="2:19">
      <c r="B123" s="746" t="s">
        <v>510</v>
      </c>
      <c r="C123" s="9" t="s">
        <v>1009</v>
      </c>
      <c r="D123" s="730" t="s">
        <v>110</v>
      </c>
      <c r="E123" s="747">
        <v>197669.48603440414</v>
      </c>
      <c r="F123" s="747">
        <v>26357.044207095205</v>
      </c>
      <c r="G123" s="747">
        <v>224026.53024149922</v>
      </c>
      <c r="H123" s="748">
        <v>0</v>
      </c>
      <c r="I123" s="755" t="s">
        <v>258</v>
      </c>
      <c r="J123" s="756">
        <v>224026.53024149922</v>
      </c>
      <c r="K123" s="735">
        <v>0</v>
      </c>
      <c r="L123" s="735" t="s">
        <v>103</v>
      </c>
      <c r="M123" s="756">
        <v>0</v>
      </c>
      <c r="N123" s="756" t="s">
        <v>103</v>
      </c>
      <c r="O123" s="736">
        <v>0</v>
      </c>
      <c r="P123" s="754">
        <v>0</v>
      </c>
      <c r="Q123" s="752">
        <v>0</v>
      </c>
      <c r="R123" s="9" t="s">
        <v>103</v>
      </c>
      <c r="S123" s="9" t="s">
        <v>103</v>
      </c>
    </row>
    <row r="124" spans="2:19" s="101" customFormat="1">
      <c r="B124" s="738" t="s">
        <v>1339</v>
      </c>
      <c r="C124" s="738"/>
      <c r="D124" s="738"/>
      <c r="E124" s="739">
        <v>421636.06699824578</v>
      </c>
      <c r="F124" s="739">
        <v>61414.583873487711</v>
      </c>
      <c r="G124" s="739">
        <v>520957.61087173282</v>
      </c>
      <c r="H124" s="740">
        <v>0</v>
      </c>
      <c r="I124" s="741"/>
      <c r="J124" s="742">
        <v>520957.61087173282</v>
      </c>
      <c r="K124" s="742">
        <v>0</v>
      </c>
      <c r="L124" s="741"/>
      <c r="M124" s="742">
        <v>0</v>
      </c>
      <c r="N124" s="742">
        <v>0</v>
      </c>
      <c r="O124" s="743">
        <v>0</v>
      </c>
      <c r="P124" s="742">
        <v>0</v>
      </c>
      <c r="Q124" s="744">
        <v>0</v>
      </c>
      <c r="R124" s="741" t="s">
        <v>103</v>
      </c>
      <c r="S124" s="741" t="s">
        <v>103</v>
      </c>
    </row>
    <row r="125" spans="2:19" s="97" customFormat="1">
      <c r="B125" s="723" t="s">
        <v>514</v>
      </c>
      <c r="C125" s="723"/>
      <c r="D125" s="723"/>
      <c r="E125" s="724"/>
      <c r="F125" s="724"/>
      <c r="G125" s="724"/>
      <c r="H125" s="725">
        <v>0</v>
      </c>
      <c r="I125" s="726"/>
      <c r="J125" s="727"/>
      <c r="K125" s="726"/>
      <c r="L125" s="726"/>
      <c r="M125" s="727">
        <v>0</v>
      </c>
      <c r="N125" s="727" t="s">
        <v>103</v>
      </c>
      <c r="O125" s="728"/>
      <c r="P125" s="727"/>
      <c r="Q125" s="726"/>
      <c r="R125" s="726"/>
      <c r="S125" s="726"/>
    </row>
    <row r="126" spans="2:19">
      <c r="B126" s="746" t="s">
        <v>515</v>
      </c>
      <c r="C126" s="9" t="s">
        <v>1009</v>
      </c>
      <c r="D126" s="730" t="s">
        <v>110</v>
      </c>
      <c r="E126" s="747">
        <v>89478.65310187565</v>
      </c>
      <c r="F126" s="747">
        <v>45961.214174059685</v>
      </c>
      <c r="G126" s="747">
        <v>45960.867275935365</v>
      </c>
      <c r="H126" s="748">
        <v>0</v>
      </c>
      <c r="I126" s="749" t="s">
        <v>258</v>
      </c>
      <c r="J126" s="750">
        <v>45960.867275935365</v>
      </c>
      <c r="K126" s="735">
        <v>0</v>
      </c>
      <c r="L126" s="735" t="s">
        <v>103</v>
      </c>
      <c r="M126" s="750">
        <v>0</v>
      </c>
      <c r="N126" s="750" t="s">
        <v>103</v>
      </c>
      <c r="O126" s="736">
        <v>0</v>
      </c>
      <c r="P126" s="754">
        <v>0</v>
      </c>
      <c r="Q126" s="752">
        <v>0</v>
      </c>
      <c r="R126" s="9" t="s">
        <v>103</v>
      </c>
      <c r="S126" s="9" t="s">
        <v>103</v>
      </c>
    </row>
    <row r="127" spans="2:19">
      <c r="B127" s="746" t="s">
        <v>516</v>
      </c>
      <c r="C127" s="9" t="s">
        <v>1009</v>
      </c>
      <c r="D127" s="730" t="s">
        <v>110</v>
      </c>
      <c r="E127" s="747">
        <v>2507.0408806046667</v>
      </c>
      <c r="F127" s="747">
        <v>141.16612374461474</v>
      </c>
      <c r="G127" s="747">
        <v>2648.2070043492813</v>
      </c>
      <c r="H127" s="748">
        <v>0</v>
      </c>
      <c r="I127" s="749" t="s">
        <v>258</v>
      </c>
      <c r="J127" s="750">
        <v>2648.2070043492813</v>
      </c>
      <c r="K127" s="735">
        <v>0</v>
      </c>
      <c r="L127" s="735" t="s">
        <v>103</v>
      </c>
      <c r="M127" s="750">
        <v>0</v>
      </c>
      <c r="N127" s="750" t="s">
        <v>103</v>
      </c>
      <c r="O127" s="736">
        <v>0</v>
      </c>
      <c r="P127" s="754">
        <v>0</v>
      </c>
      <c r="Q127" s="752">
        <v>0</v>
      </c>
      <c r="R127" s="9" t="s">
        <v>103</v>
      </c>
      <c r="S127" s="9" t="s">
        <v>103</v>
      </c>
    </row>
    <row r="128" spans="2:19">
      <c r="B128" s="746" t="s">
        <v>517</v>
      </c>
      <c r="C128" s="9" t="s">
        <v>1009</v>
      </c>
      <c r="D128" s="730" t="s">
        <v>110</v>
      </c>
      <c r="E128" s="747">
        <v>-36809.213137506784</v>
      </c>
      <c r="F128" s="747">
        <v>71289.977832610748</v>
      </c>
      <c r="G128" s="747">
        <v>-1299790.8853048962</v>
      </c>
      <c r="H128" s="694">
        <v>18.232449003656757</v>
      </c>
      <c r="I128" s="749" t="s">
        <v>258</v>
      </c>
      <c r="J128" s="750">
        <v>-1299790.8853048962</v>
      </c>
      <c r="K128" s="735">
        <v>0</v>
      </c>
      <c r="L128" s="735" t="s">
        <v>103</v>
      </c>
      <c r="M128" s="750">
        <v>0</v>
      </c>
      <c r="N128" s="750" t="s">
        <v>103</v>
      </c>
      <c r="O128" s="736">
        <v>0</v>
      </c>
      <c r="P128" s="754">
        <v>0</v>
      </c>
      <c r="Q128" s="752">
        <v>0</v>
      </c>
      <c r="R128" s="9" t="s">
        <v>103</v>
      </c>
      <c r="S128" s="9" t="s">
        <v>103</v>
      </c>
    </row>
    <row r="129" spans="2:19">
      <c r="B129" s="746" t="s">
        <v>521</v>
      </c>
      <c r="C129" s="9" t="s">
        <v>1009</v>
      </c>
      <c r="D129" s="730" t="s">
        <v>110</v>
      </c>
      <c r="E129" s="747">
        <v>1919514.847862493</v>
      </c>
      <c r="F129" s="747">
        <v>205643.34046346531</v>
      </c>
      <c r="G129" s="747">
        <v>2125158.1883259583</v>
      </c>
      <c r="H129" s="748">
        <v>0</v>
      </c>
      <c r="I129" s="749" t="s">
        <v>258</v>
      </c>
      <c r="J129" s="750">
        <v>2125158.1883259583</v>
      </c>
      <c r="K129" s="735">
        <v>0</v>
      </c>
      <c r="L129" s="735" t="s">
        <v>103</v>
      </c>
      <c r="M129" s="750">
        <v>0</v>
      </c>
      <c r="N129" s="750" t="s">
        <v>103</v>
      </c>
      <c r="O129" s="736">
        <v>0</v>
      </c>
      <c r="P129" s="754">
        <v>0</v>
      </c>
      <c r="Q129" s="752">
        <v>0</v>
      </c>
      <c r="R129" s="9" t="s">
        <v>103</v>
      </c>
      <c r="S129" s="9" t="s">
        <v>103</v>
      </c>
    </row>
    <row r="130" spans="2:19">
      <c r="B130" s="746" t="s">
        <v>525</v>
      </c>
      <c r="C130" s="9" t="s">
        <v>1009</v>
      </c>
      <c r="D130" s="730" t="s">
        <v>110</v>
      </c>
      <c r="E130" s="747">
        <v>1626717.6493714948</v>
      </c>
      <c r="F130" s="747">
        <v>281043.19640529662</v>
      </c>
      <c r="G130" s="747">
        <v>1907760.8457767921</v>
      </c>
      <c r="H130" s="748">
        <v>0</v>
      </c>
      <c r="I130" s="749" t="s">
        <v>258</v>
      </c>
      <c r="J130" s="750">
        <v>1907760.8457767921</v>
      </c>
      <c r="K130" s="735">
        <v>0</v>
      </c>
      <c r="L130" s="735" t="s">
        <v>103</v>
      </c>
      <c r="M130" s="750">
        <v>0</v>
      </c>
      <c r="N130" s="750" t="s">
        <v>103</v>
      </c>
      <c r="O130" s="736">
        <v>0</v>
      </c>
      <c r="P130" s="754">
        <v>0</v>
      </c>
      <c r="Q130" s="752">
        <v>0</v>
      </c>
      <c r="R130" s="9" t="s">
        <v>103</v>
      </c>
      <c r="S130" s="9" t="s">
        <v>103</v>
      </c>
    </row>
    <row r="131" spans="2:19">
      <c r="B131" s="746" t="s">
        <v>526</v>
      </c>
      <c r="C131" s="9" t="s">
        <v>1009</v>
      </c>
      <c r="D131" s="730" t="s">
        <v>110</v>
      </c>
      <c r="E131" s="747">
        <v>1697595.7313579088</v>
      </c>
      <c r="F131" s="747">
        <v>83867.910680303525</v>
      </c>
      <c r="G131" s="747">
        <v>1781463.6420382119</v>
      </c>
      <c r="H131" s="748">
        <v>0</v>
      </c>
      <c r="I131" s="749" t="s">
        <v>258</v>
      </c>
      <c r="J131" s="750">
        <v>1781463.6420382119</v>
      </c>
      <c r="K131" s="735">
        <v>0</v>
      </c>
      <c r="L131" s="735" t="s">
        <v>103</v>
      </c>
      <c r="M131" s="750">
        <v>0</v>
      </c>
      <c r="N131" s="750" t="s">
        <v>103</v>
      </c>
      <c r="O131" s="736">
        <v>0</v>
      </c>
      <c r="P131" s="754">
        <v>0</v>
      </c>
      <c r="Q131" s="752">
        <v>0</v>
      </c>
      <c r="R131" s="9" t="s">
        <v>103</v>
      </c>
      <c r="S131" s="9" t="s">
        <v>103</v>
      </c>
    </row>
    <row r="132" spans="2:19">
      <c r="B132" s="746" t="s">
        <v>527</v>
      </c>
      <c r="C132" s="9" t="s">
        <v>1009</v>
      </c>
      <c r="D132" s="730" t="s">
        <v>110</v>
      </c>
      <c r="E132" s="747">
        <v>796382.50941569009</v>
      </c>
      <c r="F132" s="747">
        <v>94222.856060090824</v>
      </c>
      <c r="G132" s="747">
        <v>890605.36547578068</v>
      </c>
      <c r="H132" s="748">
        <v>0</v>
      </c>
      <c r="I132" s="749" t="s">
        <v>258</v>
      </c>
      <c r="J132" s="750">
        <v>890605.36547578068</v>
      </c>
      <c r="K132" s="735">
        <v>0</v>
      </c>
      <c r="L132" s="735" t="s">
        <v>103</v>
      </c>
      <c r="M132" s="750">
        <v>0</v>
      </c>
      <c r="N132" s="750" t="s">
        <v>103</v>
      </c>
      <c r="O132" s="736">
        <v>0</v>
      </c>
      <c r="P132" s="754">
        <v>0</v>
      </c>
      <c r="Q132" s="752">
        <v>0</v>
      </c>
      <c r="R132" s="9" t="s">
        <v>103</v>
      </c>
      <c r="S132" s="9" t="s">
        <v>103</v>
      </c>
    </row>
    <row r="133" spans="2:19">
      <c r="B133" s="746" t="s">
        <v>530</v>
      </c>
      <c r="C133" s="9" t="s">
        <v>1009</v>
      </c>
      <c r="D133" s="730" t="s">
        <v>110</v>
      </c>
      <c r="E133" s="747">
        <v>4130359.1965756416</v>
      </c>
      <c r="F133" s="747">
        <v>284053.67854105786</v>
      </c>
      <c r="G133" s="747">
        <v>4373354.0251166979</v>
      </c>
      <c r="H133" s="748">
        <v>0</v>
      </c>
      <c r="I133" s="749" t="s">
        <v>258</v>
      </c>
      <c r="J133" s="750">
        <v>4373354.0251166979</v>
      </c>
      <c r="K133" s="735">
        <v>0</v>
      </c>
      <c r="L133" s="735" t="s">
        <v>103</v>
      </c>
      <c r="M133" s="750">
        <v>0</v>
      </c>
      <c r="N133" s="750" t="s">
        <v>103</v>
      </c>
      <c r="O133" s="736">
        <v>0</v>
      </c>
      <c r="P133" s="754">
        <v>0</v>
      </c>
      <c r="Q133" s="752">
        <v>0</v>
      </c>
      <c r="R133" s="9" t="s">
        <v>103</v>
      </c>
      <c r="S133" s="9" t="s">
        <v>103</v>
      </c>
    </row>
    <row r="134" spans="2:19">
      <c r="B134" s="746" t="s">
        <v>540</v>
      </c>
      <c r="C134" s="9" t="s">
        <v>1009</v>
      </c>
      <c r="D134" s="730" t="s">
        <v>110</v>
      </c>
      <c r="E134" s="747">
        <v>3444349.3484428688</v>
      </c>
      <c r="F134" s="747">
        <v>416531.15461755847</v>
      </c>
      <c r="G134" s="747">
        <v>-1939119.4969395723</v>
      </c>
      <c r="H134" s="748">
        <v>4.6554008636400583</v>
      </c>
      <c r="I134" s="749" t="s">
        <v>258</v>
      </c>
      <c r="J134" s="750">
        <v>-1939119.4969395723</v>
      </c>
      <c r="K134" s="735">
        <v>0</v>
      </c>
      <c r="L134" s="735" t="s">
        <v>103</v>
      </c>
      <c r="M134" s="750">
        <v>0</v>
      </c>
      <c r="N134" s="750" t="s">
        <v>103</v>
      </c>
      <c r="O134" s="736">
        <v>0</v>
      </c>
      <c r="P134" s="754">
        <v>0</v>
      </c>
      <c r="Q134" s="752">
        <v>0</v>
      </c>
      <c r="R134" s="9" t="s">
        <v>103</v>
      </c>
      <c r="S134" s="9" t="s">
        <v>103</v>
      </c>
    </row>
    <row r="135" spans="2:19">
      <c r="B135" s="746" t="s">
        <v>552</v>
      </c>
      <c r="C135" s="9" t="s">
        <v>1009</v>
      </c>
      <c r="D135" s="730" t="s">
        <v>110</v>
      </c>
      <c r="E135" s="747">
        <v>-385251.13447192649</v>
      </c>
      <c r="F135" s="747">
        <v>402915.82874883688</v>
      </c>
      <c r="G135" s="747">
        <v>-2387093.87572309</v>
      </c>
      <c r="H135" s="694">
        <v>5.9245472761287763</v>
      </c>
      <c r="I135" s="749" t="s">
        <v>258</v>
      </c>
      <c r="J135" s="750">
        <v>-2387093.87572309</v>
      </c>
      <c r="K135" s="735">
        <v>0</v>
      </c>
      <c r="L135" s="735" t="s">
        <v>103</v>
      </c>
      <c r="M135" s="750">
        <v>0</v>
      </c>
      <c r="N135" s="750" t="s">
        <v>103</v>
      </c>
      <c r="O135" s="736">
        <v>0</v>
      </c>
      <c r="P135" s="754">
        <v>0</v>
      </c>
      <c r="Q135" s="752">
        <v>0</v>
      </c>
      <c r="R135" s="9" t="s">
        <v>103</v>
      </c>
      <c r="S135" s="9" t="s">
        <v>103</v>
      </c>
    </row>
    <row r="136" spans="2:19">
      <c r="B136" s="746" t="s">
        <v>561</v>
      </c>
      <c r="C136" s="9" t="s">
        <v>1009</v>
      </c>
      <c r="D136" s="730" t="s">
        <v>110</v>
      </c>
      <c r="E136" s="747">
        <v>1669267.00629578</v>
      </c>
      <c r="F136" s="747">
        <v>102540.82083974124</v>
      </c>
      <c r="G136" s="747">
        <v>1771807.827135521</v>
      </c>
      <c r="H136" s="748">
        <v>0</v>
      </c>
      <c r="I136" s="749" t="s">
        <v>258</v>
      </c>
      <c r="J136" s="750">
        <v>1771807.827135521</v>
      </c>
      <c r="K136" s="735">
        <v>0</v>
      </c>
      <c r="L136" s="735" t="s">
        <v>103</v>
      </c>
      <c r="M136" s="750">
        <v>0</v>
      </c>
      <c r="N136" s="750" t="s">
        <v>103</v>
      </c>
      <c r="O136" s="736">
        <v>0</v>
      </c>
      <c r="P136" s="754">
        <v>0</v>
      </c>
      <c r="Q136" s="752">
        <v>0</v>
      </c>
      <c r="R136" s="9" t="s">
        <v>103</v>
      </c>
      <c r="S136" s="9" t="s">
        <v>103</v>
      </c>
    </row>
    <row r="137" spans="2:19">
      <c r="B137" s="746" t="s">
        <v>562</v>
      </c>
      <c r="C137" s="9" t="s">
        <v>1009</v>
      </c>
      <c r="D137" s="730" t="s">
        <v>110</v>
      </c>
      <c r="E137" s="747">
        <v>626037.11994444637</v>
      </c>
      <c r="F137" s="747">
        <v>142191.63123905536</v>
      </c>
      <c r="G137" s="747">
        <v>768228.75118350214</v>
      </c>
      <c r="H137" s="748">
        <v>0</v>
      </c>
      <c r="I137" s="749" t="s">
        <v>258</v>
      </c>
      <c r="J137" s="750">
        <v>768228.75118350214</v>
      </c>
      <c r="K137" s="735">
        <v>0</v>
      </c>
      <c r="L137" s="735" t="s">
        <v>103</v>
      </c>
      <c r="M137" s="750">
        <v>0</v>
      </c>
      <c r="N137" s="750" t="s">
        <v>103</v>
      </c>
      <c r="O137" s="736">
        <v>0</v>
      </c>
      <c r="P137" s="754">
        <v>0</v>
      </c>
      <c r="Q137" s="752">
        <v>0</v>
      </c>
      <c r="R137" s="9" t="s">
        <v>103</v>
      </c>
      <c r="S137" s="9" t="s">
        <v>103</v>
      </c>
    </row>
    <row r="138" spans="2:19">
      <c r="B138" s="746" t="s">
        <v>567</v>
      </c>
      <c r="C138" s="9" t="s">
        <v>1009</v>
      </c>
      <c r="D138" s="730" t="s">
        <v>110</v>
      </c>
      <c r="E138" s="747">
        <v>80469.020322370023</v>
      </c>
      <c r="F138" s="747">
        <v>19091.026445020081</v>
      </c>
      <c r="G138" s="747">
        <v>99560.046767390071</v>
      </c>
      <c r="H138" s="748">
        <v>0</v>
      </c>
      <c r="I138" s="749" t="s">
        <v>258</v>
      </c>
      <c r="J138" s="750">
        <v>99560.046767390071</v>
      </c>
      <c r="K138" s="735">
        <v>0</v>
      </c>
      <c r="L138" s="735" t="s">
        <v>103</v>
      </c>
      <c r="M138" s="750">
        <v>0</v>
      </c>
      <c r="N138" s="750" t="s">
        <v>103</v>
      </c>
      <c r="O138" s="736">
        <v>0</v>
      </c>
      <c r="P138" s="754">
        <v>0</v>
      </c>
      <c r="Q138" s="752">
        <v>0</v>
      </c>
      <c r="R138" s="9" t="s">
        <v>103</v>
      </c>
      <c r="S138" s="9" t="s">
        <v>103</v>
      </c>
    </row>
    <row r="139" spans="2:19">
      <c r="B139" s="746" t="s">
        <v>571</v>
      </c>
      <c r="C139" s="9" t="s">
        <v>1009</v>
      </c>
      <c r="D139" s="730" t="s">
        <v>110</v>
      </c>
      <c r="E139" s="747">
        <v>1684447.2421144254</v>
      </c>
      <c r="F139" s="747">
        <v>83880.820953476257</v>
      </c>
      <c r="G139" s="747">
        <v>2267265.723067902</v>
      </c>
      <c r="H139" s="748">
        <v>0</v>
      </c>
      <c r="I139" s="749" t="s">
        <v>258</v>
      </c>
      <c r="J139" s="750">
        <v>2267265.723067902</v>
      </c>
      <c r="K139" s="735">
        <v>0</v>
      </c>
      <c r="L139" s="735" t="s">
        <v>103</v>
      </c>
      <c r="M139" s="750">
        <v>0</v>
      </c>
      <c r="N139" s="750" t="s">
        <v>103</v>
      </c>
      <c r="O139" s="736">
        <v>0</v>
      </c>
      <c r="P139" s="754">
        <v>0</v>
      </c>
      <c r="Q139" s="752">
        <v>0</v>
      </c>
      <c r="R139" s="9" t="s">
        <v>103</v>
      </c>
      <c r="S139" s="9" t="s">
        <v>103</v>
      </c>
    </row>
    <row r="140" spans="2:19">
      <c r="B140" s="746" t="s">
        <v>578</v>
      </c>
      <c r="C140" s="9" t="s">
        <v>1009</v>
      </c>
      <c r="D140" s="730" t="s">
        <v>110</v>
      </c>
      <c r="E140" s="747">
        <v>126545.32081026811</v>
      </c>
      <c r="F140" s="747">
        <v>0</v>
      </c>
      <c r="G140" s="747">
        <v>126545.32081026811</v>
      </c>
      <c r="H140" s="748">
        <v>0</v>
      </c>
      <c r="I140" s="749" t="s">
        <v>258</v>
      </c>
      <c r="J140" s="750">
        <v>126545.32081026811</v>
      </c>
      <c r="K140" s="735">
        <v>0</v>
      </c>
      <c r="L140" s="735" t="s">
        <v>103</v>
      </c>
      <c r="M140" s="750">
        <v>0</v>
      </c>
      <c r="N140" s="750" t="s">
        <v>103</v>
      </c>
      <c r="O140" s="736">
        <v>0</v>
      </c>
      <c r="P140" s="754">
        <v>0</v>
      </c>
      <c r="Q140" s="752">
        <v>0</v>
      </c>
      <c r="R140" s="9" t="s">
        <v>103</v>
      </c>
      <c r="S140" s="9" t="s">
        <v>103</v>
      </c>
    </row>
    <row r="141" spans="2:19">
      <c r="B141" s="746" t="s">
        <v>579</v>
      </c>
      <c r="C141" s="9" t="s">
        <v>1009</v>
      </c>
      <c r="D141" s="730" t="s">
        <v>110</v>
      </c>
      <c r="E141" s="747">
        <v>60532.336323621203</v>
      </c>
      <c r="F141" s="747">
        <v>8975.3905753971685</v>
      </c>
      <c r="G141" s="747">
        <v>69507.72689901838</v>
      </c>
      <c r="H141" s="748">
        <v>0</v>
      </c>
      <c r="I141" s="749" t="s">
        <v>258</v>
      </c>
      <c r="J141" s="750">
        <v>69507.72689901838</v>
      </c>
      <c r="K141" s="735">
        <v>0</v>
      </c>
      <c r="L141" s="735" t="s">
        <v>103</v>
      </c>
      <c r="M141" s="750">
        <v>0</v>
      </c>
      <c r="N141" s="750" t="s">
        <v>103</v>
      </c>
      <c r="O141" s="736">
        <v>0</v>
      </c>
      <c r="P141" s="754">
        <v>0</v>
      </c>
      <c r="Q141" s="752">
        <v>0</v>
      </c>
      <c r="R141" s="9" t="s">
        <v>103</v>
      </c>
      <c r="S141" s="9" t="s">
        <v>103</v>
      </c>
    </row>
    <row r="142" spans="2:19">
      <c r="B142" s="746" t="s">
        <v>580</v>
      </c>
      <c r="C142" s="9" t="s">
        <v>1009</v>
      </c>
      <c r="D142" s="730" t="s">
        <v>110</v>
      </c>
      <c r="E142" s="747">
        <v>552828.37136095145</v>
      </c>
      <c r="F142" s="747">
        <v>21794.161915235098</v>
      </c>
      <c r="G142" s="747">
        <v>574622.53327618656</v>
      </c>
      <c r="H142" s="748">
        <v>0</v>
      </c>
      <c r="I142" s="749" t="s">
        <v>258</v>
      </c>
      <c r="J142" s="750">
        <v>574622.53327618656</v>
      </c>
      <c r="K142" s="735">
        <v>0</v>
      </c>
      <c r="L142" s="735" t="s">
        <v>103</v>
      </c>
      <c r="M142" s="750">
        <v>0</v>
      </c>
      <c r="N142" s="750" t="s">
        <v>103</v>
      </c>
      <c r="O142" s="736">
        <v>0</v>
      </c>
      <c r="P142" s="754">
        <v>0</v>
      </c>
      <c r="Q142" s="752">
        <v>0</v>
      </c>
      <c r="R142" s="9" t="s">
        <v>103</v>
      </c>
      <c r="S142" s="9" t="s">
        <v>103</v>
      </c>
    </row>
    <row r="143" spans="2:19">
      <c r="B143" s="746" t="s">
        <v>581</v>
      </c>
      <c r="C143" s="9" t="s">
        <v>1009</v>
      </c>
      <c r="D143" s="730" t="s">
        <v>110</v>
      </c>
      <c r="E143" s="747">
        <v>-1300357.5813848323</v>
      </c>
      <c r="F143" s="747">
        <v>0</v>
      </c>
      <c r="G143" s="747">
        <v>-1300357.5813848323</v>
      </c>
      <c r="H143" s="694">
        <v>0</v>
      </c>
      <c r="I143" s="749" t="s">
        <v>258</v>
      </c>
      <c r="J143" s="750">
        <v>-1300357.5813848323</v>
      </c>
      <c r="K143" s="735">
        <v>0</v>
      </c>
      <c r="L143" s="735" t="s">
        <v>103</v>
      </c>
      <c r="M143" s="750">
        <v>0</v>
      </c>
      <c r="N143" s="750" t="s">
        <v>103</v>
      </c>
      <c r="O143" s="736">
        <v>0</v>
      </c>
      <c r="P143" s="754">
        <v>0</v>
      </c>
      <c r="Q143" s="752">
        <v>0</v>
      </c>
      <c r="R143" s="9" t="s">
        <v>103</v>
      </c>
      <c r="S143" s="9" t="s">
        <v>103</v>
      </c>
    </row>
    <row r="144" spans="2:19">
      <c r="B144" s="746" t="s">
        <v>582</v>
      </c>
      <c r="C144" s="9" t="s">
        <v>1009</v>
      </c>
      <c r="D144" s="730" t="s">
        <v>110</v>
      </c>
      <c r="E144" s="747">
        <v>35799.693001501197</v>
      </c>
      <c r="F144" s="747">
        <v>42334.607230011999</v>
      </c>
      <c r="G144" s="747">
        <v>78134.300231513262</v>
      </c>
      <c r="H144" s="694">
        <v>0</v>
      </c>
      <c r="I144" s="749" t="s">
        <v>258</v>
      </c>
      <c r="J144" s="750">
        <v>78134.300231513262</v>
      </c>
      <c r="K144" s="735">
        <v>0</v>
      </c>
      <c r="L144" s="735" t="s">
        <v>103</v>
      </c>
      <c r="M144" s="750">
        <v>0</v>
      </c>
      <c r="N144" s="750" t="s">
        <v>103</v>
      </c>
      <c r="O144" s="736">
        <v>0</v>
      </c>
      <c r="P144" s="754">
        <v>0</v>
      </c>
      <c r="Q144" s="752">
        <v>0</v>
      </c>
      <c r="R144" s="9" t="s">
        <v>103</v>
      </c>
      <c r="S144" s="9" t="s">
        <v>103</v>
      </c>
    </row>
    <row r="145" spans="2:19">
      <c r="B145" s="746" t="s">
        <v>585</v>
      </c>
      <c r="C145" s="9" t="s">
        <v>1009</v>
      </c>
      <c r="D145" s="730" t="s">
        <v>110</v>
      </c>
      <c r="E145" s="747">
        <v>131761.60568573128</v>
      </c>
      <c r="F145" s="747">
        <v>68185.818711106476</v>
      </c>
      <c r="G145" s="747">
        <v>68185.424396837872</v>
      </c>
      <c r="H145" s="748">
        <v>0</v>
      </c>
      <c r="I145" s="749" t="s">
        <v>258</v>
      </c>
      <c r="J145" s="750">
        <v>68185.424396837872</v>
      </c>
      <c r="K145" s="735">
        <v>0</v>
      </c>
      <c r="L145" s="735" t="s">
        <v>103</v>
      </c>
      <c r="M145" s="750">
        <v>0</v>
      </c>
      <c r="N145" s="750" t="s">
        <v>103</v>
      </c>
      <c r="O145" s="736">
        <v>0</v>
      </c>
      <c r="P145" s="754">
        <v>0</v>
      </c>
      <c r="Q145" s="752">
        <v>0</v>
      </c>
      <c r="R145" s="9" t="s">
        <v>103</v>
      </c>
      <c r="S145" s="9" t="s">
        <v>103</v>
      </c>
    </row>
    <row r="146" spans="2:19">
      <c r="B146" s="746" t="s">
        <v>589</v>
      </c>
      <c r="C146" s="9" t="s">
        <v>1009</v>
      </c>
      <c r="D146" s="730" t="s">
        <v>110</v>
      </c>
      <c r="E146" s="747">
        <v>-1209973.3212523197</v>
      </c>
      <c r="F146" s="747">
        <v>210245.0496845991</v>
      </c>
      <c r="G146" s="747">
        <v>-867966.27156771999</v>
      </c>
      <c r="H146" s="694">
        <v>4.1283553304575156</v>
      </c>
      <c r="I146" s="749" t="s">
        <v>258</v>
      </c>
      <c r="J146" s="750">
        <v>-867966.27156771999</v>
      </c>
      <c r="K146" s="735">
        <v>0</v>
      </c>
      <c r="L146" s="735" t="s">
        <v>103</v>
      </c>
      <c r="M146" s="750">
        <v>0</v>
      </c>
      <c r="N146" s="750" t="s">
        <v>103</v>
      </c>
      <c r="O146" s="736">
        <v>0</v>
      </c>
      <c r="P146" s="754">
        <v>0</v>
      </c>
      <c r="Q146" s="752">
        <v>0</v>
      </c>
      <c r="R146" s="9" t="s">
        <v>103</v>
      </c>
      <c r="S146" s="9" t="s">
        <v>103</v>
      </c>
    </row>
    <row r="147" spans="2:19">
      <c r="B147" s="746" t="s">
        <v>596</v>
      </c>
      <c r="C147" s="9" t="s">
        <v>1009</v>
      </c>
      <c r="D147" s="730" t="s">
        <v>110</v>
      </c>
      <c r="E147" s="747">
        <v>-285297.38715468312</v>
      </c>
      <c r="F147" s="747">
        <v>268409.24376850552</v>
      </c>
      <c r="G147" s="747">
        <v>-16888.143386177951</v>
      </c>
      <c r="H147" s="694">
        <v>6.2919380678049378E-2</v>
      </c>
      <c r="I147" s="749" t="s">
        <v>258</v>
      </c>
      <c r="J147" s="750">
        <v>-16888.143386177951</v>
      </c>
      <c r="K147" s="735">
        <v>0</v>
      </c>
      <c r="L147" s="735" t="s">
        <v>103</v>
      </c>
      <c r="M147" s="750">
        <v>0</v>
      </c>
      <c r="N147" s="750" t="s">
        <v>103</v>
      </c>
      <c r="O147" s="736">
        <v>0</v>
      </c>
      <c r="P147" s="754">
        <v>0</v>
      </c>
      <c r="Q147" s="752">
        <v>0</v>
      </c>
      <c r="R147" s="9" t="s">
        <v>103</v>
      </c>
      <c r="S147" s="9" t="s">
        <v>103</v>
      </c>
    </row>
    <row r="148" spans="2:19">
      <c r="B148" s="746" t="s">
        <v>599</v>
      </c>
      <c r="C148" s="9" t="s">
        <v>1009</v>
      </c>
      <c r="D148" s="730" t="s">
        <v>110</v>
      </c>
      <c r="E148" s="747">
        <v>607788.9820179505</v>
      </c>
      <c r="F148" s="747">
        <v>72591.756510493491</v>
      </c>
      <c r="G148" s="747">
        <v>680380.73852844408</v>
      </c>
      <c r="H148" s="748">
        <v>0</v>
      </c>
      <c r="I148" s="749" t="s">
        <v>258</v>
      </c>
      <c r="J148" s="750">
        <v>680380.73852844408</v>
      </c>
      <c r="K148" s="735">
        <v>0</v>
      </c>
      <c r="L148" s="735" t="s">
        <v>103</v>
      </c>
      <c r="M148" s="750">
        <v>0</v>
      </c>
      <c r="N148" s="750" t="s">
        <v>103</v>
      </c>
      <c r="O148" s="736">
        <v>0</v>
      </c>
      <c r="P148" s="754">
        <v>0</v>
      </c>
      <c r="Q148" s="752">
        <v>0</v>
      </c>
      <c r="R148" s="9" t="s">
        <v>103</v>
      </c>
      <c r="S148" s="9" t="s">
        <v>103</v>
      </c>
    </row>
    <row r="149" spans="2:19">
      <c r="B149" s="746" t="s">
        <v>603</v>
      </c>
      <c r="C149" s="9" t="s">
        <v>1009</v>
      </c>
      <c r="D149" s="730" t="s">
        <v>110</v>
      </c>
      <c r="E149" s="747">
        <v>97468.050549698237</v>
      </c>
      <c r="F149" s="747">
        <v>50296.600196959218</v>
      </c>
      <c r="G149" s="747">
        <v>50296.650746657513</v>
      </c>
      <c r="H149" s="748">
        <v>0</v>
      </c>
      <c r="I149" s="749" t="s">
        <v>258</v>
      </c>
      <c r="J149" s="750">
        <v>50296.650746657513</v>
      </c>
      <c r="K149" s="735">
        <v>0</v>
      </c>
      <c r="L149" s="735" t="s">
        <v>103</v>
      </c>
      <c r="M149" s="750">
        <v>0</v>
      </c>
      <c r="N149" s="750" t="s">
        <v>103</v>
      </c>
      <c r="O149" s="736">
        <v>0</v>
      </c>
      <c r="P149" s="754">
        <v>0</v>
      </c>
      <c r="Q149" s="752">
        <v>0</v>
      </c>
      <c r="R149" s="9" t="s">
        <v>103</v>
      </c>
      <c r="S149" s="9" t="s">
        <v>103</v>
      </c>
    </row>
    <row r="150" spans="2:19">
      <c r="B150" s="746" t="s">
        <v>604</v>
      </c>
      <c r="C150" s="9" t="s">
        <v>1009</v>
      </c>
      <c r="D150" s="730" t="s">
        <v>110</v>
      </c>
      <c r="E150" s="747">
        <v>1560218.8283563764</v>
      </c>
      <c r="F150" s="747">
        <v>539600.83477465017</v>
      </c>
      <c r="G150" s="747">
        <v>2099819.6631310279</v>
      </c>
      <c r="H150" s="748">
        <v>0</v>
      </c>
      <c r="I150" s="749" t="s">
        <v>258</v>
      </c>
      <c r="J150" s="750">
        <v>2099819.6631310279</v>
      </c>
      <c r="K150" s="735">
        <v>0</v>
      </c>
      <c r="L150" s="735" t="s">
        <v>103</v>
      </c>
      <c r="M150" s="750">
        <v>0</v>
      </c>
      <c r="N150" s="750" t="s">
        <v>103</v>
      </c>
      <c r="O150" s="736">
        <v>0</v>
      </c>
      <c r="P150" s="754">
        <v>0</v>
      </c>
      <c r="Q150" s="752">
        <v>0</v>
      </c>
      <c r="R150" s="9" t="s">
        <v>103</v>
      </c>
      <c r="S150" s="9" t="s">
        <v>103</v>
      </c>
    </row>
    <row r="151" spans="2:19">
      <c r="B151" s="746" t="s">
        <v>622</v>
      </c>
      <c r="C151" s="9" t="s">
        <v>1009</v>
      </c>
      <c r="D151" s="730" t="s">
        <v>110</v>
      </c>
      <c r="E151" s="747">
        <v>700083.95099982561</v>
      </c>
      <c r="F151" s="747">
        <v>73662.845799000817</v>
      </c>
      <c r="G151" s="747">
        <v>422401.54679882654</v>
      </c>
      <c r="H151" s="748">
        <v>0</v>
      </c>
      <c r="I151" s="749" t="s">
        <v>258</v>
      </c>
      <c r="J151" s="750">
        <v>422401.54679882654</v>
      </c>
      <c r="K151" s="735">
        <v>0</v>
      </c>
      <c r="L151" s="735" t="s">
        <v>103</v>
      </c>
      <c r="M151" s="750">
        <v>0</v>
      </c>
      <c r="N151" s="750" t="s">
        <v>103</v>
      </c>
      <c r="O151" s="736">
        <v>0</v>
      </c>
      <c r="P151" s="754">
        <v>0</v>
      </c>
      <c r="Q151" s="752">
        <v>0</v>
      </c>
      <c r="R151" s="9" t="s">
        <v>103</v>
      </c>
      <c r="S151" s="9" t="s">
        <v>103</v>
      </c>
    </row>
    <row r="152" spans="2:19">
      <c r="B152" s="746" t="s">
        <v>629</v>
      </c>
      <c r="C152" s="9" t="s">
        <v>1009</v>
      </c>
      <c r="D152" s="730" t="s">
        <v>110</v>
      </c>
      <c r="E152" s="747">
        <v>-60639.16225996198</v>
      </c>
      <c r="F152" s="747">
        <v>65287.397177799823</v>
      </c>
      <c r="G152" s="747">
        <v>4648.234917837879</v>
      </c>
      <c r="H152" s="694">
        <v>0</v>
      </c>
      <c r="I152" s="749" t="s">
        <v>258</v>
      </c>
      <c r="J152" s="750">
        <v>4648.234917837879</v>
      </c>
      <c r="K152" s="735">
        <v>0</v>
      </c>
      <c r="L152" s="735" t="s">
        <v>103</v>
      </c>
      <c r="M152" s="750">
        <v>0</v>
      </c>
      <c r="N152" s="750" t="s">
        <v>103</v>
      </c>
      <c r="O152" s="736">
        <v>0</v>
      </c>
      <c r="P152" s="754">
        <v>0</v>
      </c>
      <c r="Q152" s="752">
        <v>0</v>
      </c>
      <c r="R152" s="9" t="s">
        <v>103</v>
      </c>
      <c r="S152" s="9" t="s">
        <v>103</v>
      </c>
    </row>
    <row r="153" spans="2:19">
      <c r="B153" s="746" t="s">
        <v>633</v>
      </c>
      <c r="C153" s="9" t="s">
        <v>1009</v>
      </c>
      <c r="D153" s="730" t="s">
        <v>110</v>
      </c>
      <c r="E153" s="747">
        <v>1111840.411731682</v>
      </c>
      <c r="F153" s="747">
        <v>110926.22747696699</v>
      </c>
      <c r="G153" s="747">
        <v>1222766.6392086488</v>
      </c>
      <c r="H153" s="748">
        <v>0</v>
      </c>
      <c r="I153" s="749" t="s">
        <v>258</v>
      </c>
      <c r="J153" s="750">
        <v>1222766.6392086488</v>
      </c>
      <c r="K153" s="735">
        <v>0</v>
      </c>
      <c r="L153" s="735" t="s">
        <v>103</v>
      </c>
      <c r="M153" s="750">
        <v>0</v>
      </c>
      <c r="N153" s="750" t="s">
        <v>103</v>
      </c>
      <c r="O153" s="736">
        <v>0</v>
      </c>
      <c r="P153" s="754">
        <v>0</v>
      </c>
      <c r="Q153" s="752">
        <v>0</v>
      </c>
      <c r="R153" s="9" t="s">
        <v>103</v>
      </c>
      <c r="S153" s="9" t="s">
        <v>103</v>
      </c>
    </row>
    <row r="154" spans="2:19">
      <c r="B154" s="746" t="s">
        <v>634</v>
      </c>
      <c r="C154" s="9" t="s">
        <v>1009</v>
      </c>
      <c r="D154" s="730" t="s">
        <v>110</v>
      </c>
      <c r="E154" s="747">
        <v>45772.11741733989</v>
      </c>
      <c r="F154" s="747">
        <v>9770.1897901510056</v>
      </c>
      <c r="G154" s="747">
        <v>55542.307207490827</v>
      </c>
      <c r="H154" s="748">
        <v>0</v>
      </c>
      <c r="I154" s="749" t="s">
        <v>258</v>
      </c>
      <c r="J154" s="750">
        <v>55542.307207490827</v>
      </c>
      <c r="K154" s="752">
        <v>120000</v>
      </c>
      <c r="L154" s="9" t="s">
        <v>580</v>
      </c>
      <c r="M154" s="750">
        <v>120000</v>
      </c>
      <c r="N154" s="757">
        <v>2024</v>
      </c>
      <c r="O154" s="736">
        <v>395357</v>
      </c>
      <c r="P154" s="754">
        <v>0</v>
      </c>
      <c r="Q154" s="752">
        <v>0</v>
      </c>
      <c r="R154" s="9" t="s">
        <v>103</v>
      </c>
      <c r="S154" s="9" t="s">
        <v>103</v>
      </c>
    </row>
    <row r="155" spans="2:19">
      <c r="B155" s="746" t="s">
        <v>638</v>
      </c>
      <c r="C155" s="9" t="s">
        <v>1009</v>
      </c>
      <c r="D155" s="730" t="s">
        <v>110</v>
      </c>
      <c r="E155" s="747">
        <v>2295123.6355989543</v>
      </c>
      <c r="F155" s="747">
        <v>166870.83032402562</v>
      </c>
      <c r="G155" s="747">
        <v>2461994.4659229796</v>
      </c>
      <c r="H155" s="748">
        <v>0</v>
      </c>
      <c r="I155" s="749" t="s">
        <v>258</v>
      </c>
      <c r="J155" s="750">
        <v>2461994.4659229796</v>
      </c>
      <c r="K155" s="735">
        <v>0</v>
      </c>
      <c r="L155" s="735" t="s">
        <v>103</v>
      </c>
      <c r="M155" s="750">
        <v>0</v>
      </c>
      <c r="N155" s="750" t="s">
        <v>103</v>
      </c>
      <c r="O155" s="736">
        <v>0</v>
      </c>
      <c r="P155" s="754">
        <v>0</v>
      </c>
      <c r="Q155" s="752">
        <v>0</v>
      </c>
      <c r="R155" s="9" t="s">
        <v>103</v>
      </c>
      <c r="S155" s="9" t="s">
        <v>103</v>
      </c>
    </row>
    <row r="156" spans="2:19">
      <c r="B156" s="746" t="s">
        <v>643</v>
      </c>
      <c r="C156" s="9" t="s">
        <v>1009</v>
      </c>
      <c r="D156" s="730" t="s">
        <v>110</v>
      </c>
      <c r="E156" s="747">
        <v>834843.06265039148</v>
      </c>
      <c r="F156" s="747">
        <v>75088.121198476467</v>
      </c>
      <c r="G156" s="747">
        <v>9931.1838488678331</v>
      </c>
      <c r="H156" s="748">
        <v>0</v>
      </c>
      <c r="I156" s="749" t="s">
        <v>258</v>
      </c>
      <c r="J156" s="750">
        <v>9931.1838488678331</v>
      </c>
      <c r="K156" s="735">
        <v>0</v>
      </c>
      <c r="L156" s="735" t="s">
        <v>103</v>
      </c>
      <c r="M156" s="750">
        <v>0</v>
      </c>
      <c r="N156" s="750" t="s">
        <v>103</v>
      </c>
      <c r="O156" s="736">
        <v>0</v>
      </c>
      <c r="P156" s="754">
        <v>0</v>
      </c>
      <c r="Q156" s="752">
        <v>0</v>
      </c>
      <c r="R156" s="9" t="s">
        <v>103</v>
      </c>
      <c r="S156" s="9" t="s">
        <v>103</v>
      </c>
    </row>
    <row r="157" spans="2:19">
      <c r="B157" s="746" t="s">
        <v>647</v>
      </c>
      <c r="C157" s="9" t="s">
        <v>1009</v>
      </c>
      <c r="D157" s="730" t="s">
        <v>110</v>
      </c>
      <c r="E157" s="747">
        <v>360052.54800600489</v>
      </c>
      <c r="F157" s="747">
        <v>289459.37600303959</v>
      </c>
      <c r="G157" s="747">
        <v>649511.92400904233</v>
      </c>
      <c r="H157" s="748">
        <v>0</v>
      </c>
      <c r="I157" s="755" t="s">
        <v>258</v>
      </c>
      <c r="J157" s="756">
        <v>649511.92400904233</v>
      </c>
      <c r="K157" s="735">
        <v>0</v>
      </c>
      <c r="L157" s="735" t="s">
        <v>103</v>
      </c>
      <c r="M157" s="756">
        <v>0</v>
      </c>
      <c r="N157" s="756" t="s">
        <v>103</v>
      </c>
      <c r="O157" s="736">
        <v>0</v>
      </c>
      <c r="P157" s="754">
        <v>0</v>
      </c>
      <c r="Q157" s="752">
        <v>0</v>
      </c>
      <c r="R157" s="9" t="s">
        <v>103</v>
      </c>
      <c r="S157" s="9" t="s">
        <v>103</v>
      </c>
    </row>
    <row r="158" spans="2:19" s="101" customFormat="1">
      <c r="B158" s="738" t="s">
        <v>1343</v>
      </c>
      <c r="C158" s="738"/>
      <c r="D158" s="738"/>
      <c r="E158" s="739">
        <v>23009456.480534665</v>
      </c>
      <c r="F158" s="739">
        <v>4306873.0742607368</v>
      </c>
      <c r="G158" s="739">
        <v>16796885.894795399</v>
      </c>
      <c r="H158" s="740">
        <v>0</v>
      </c>
      <c r="I158" s="741"/>
      <c r="J158" s="742">
        <v>16796885.894795399</v>
      </c>
      <c r="K158" s="742">
        <v>120000</v>
      </c>
      <c r="L158" s="741"/>
      <c r="M158" s="742">
        <v>120000</v>
      </c>
      <c r="N158" s="742">
        <v>2024</v>
      </c>
      <c r="O158" s="743">
        <v>395357</v>
      </c>
      <c r="P158" s="742">
        <v>0</v>
      </c>
      <c r="Q158" s="744">
        <v>0</v>
      </c>
      <c r="R158" s="741" t="s">
        <v>103</v>
      </c>
      <c r="S158" s="741" t="s">
        <v>103</v>
      </c>
    </row>
    <row r="159" spans="2:19" s="97" customFormat="1">
      <c r="B159" s="723" t="s">
        <v>658</v>
      </c>
      <c r="C159" s="723"/>
      <c r="D159" s="723"/>
      <c r="E159" s="724"/>
      <c r="F159" s="724"/>
      <c r="G159" s="724"/>
      <c r="H159" s="725">
        <v>0</v>
      </c>
      <c r="I159" s="726"/>
      <c r="J159" s="727"/>
      <c r="K159" s="726"/>
      <c r="L159" s="726"/>
      <c r="M159" s="727">
        <v>0</v>
      </c>
      <c r="N159" s="727"/>
      <c r="O159" s="728"/>
      <c r="P159" s="727"/>
      <c r="Q159" s="726"/>
      <c r="R159" s="726"/>
      <c r="S159" s="726"/>
    </row>
    <row r="160" spans="2:19">
      <c r="B160" s="746" t="s">
        <v>659</v>
      </c>
      <c r="C160" s="9" t="s">
        <v>1009</v>
      </c>
      <c r="D160" s="730" t="s">
        <v>110</v>
      </c>
      <c r="E160" s="747">
        <v>51413.191863735148</v>
      </c>
      <c r="F160" s="747">
        <v>19847.982216274177</v>
      </c>
      <c r="G160" s="747">
        <v>71261.174080009383</v>
      </c>
      <c r="H160" s="748">
        <v>0</v>
      </c>
      <c r="I160" s="749" t="s">
        <v>258</v>
      </c>
      <c r="J160" s="750">
        <v>71261.174080009383</v>
      </c>
      <c r="K160" s="735">
        <v>0</v>
      </c>
      <c r="L160" s="735" t="s">
        <v>103</v>
      </c>
      <c r="M160" s="750">
        <v>0</v>
      </c>
      <c r="N160" s="750" t="s">
        <v>103</v>
      </c>
      <c r="O160" s="736">
        <v>0</v>
      </c>
      <c r="P160" s="754">
        <v>0</v>
      </c>
      <c r="Q160" s="752">
        <v>0</v>
      </c>
      <c r="R160" s="9" t="s">
        <v>103</v>
      </c>
      <c r="S160" s="9" t="s">
        <v>103</v>
      </c>
    </row>
    <row r="161" spans="2:19">
      <c r="B161" s="746" t="s">
        <v>664</v>
      </c>
      <c r="C161" s="9" t="s">
        <v>1009</v>
      </c>
      <c r="D161" s="730" t="s">
        <v>110</v>
      </c>
      <c r="E161" s="747">
        <v>623950.46365572826</v>
      </c>
      <c r="F161" s="747">
        <v>22595.165703373943</v>
      </c>
      <c r="G161" s="747">
        <v>646545.62935910211</v>
      </c>
      <c r="H161" s="748">
        <v>0</v>
      </c>
      <c r="I161" s="749" t="s">
        <v>258</v>
      </c>
      <c r="J161" s="750">
        <v>646545.62935910211</v>
      </c>
      <c r="K161" s="735">
        <v>0</v>
      </c>
      <c r="L161" s="735" t="s">
        <v>103</v>
      </c>
      <c r="M161" s="750">
        <v>0</v>
      </c>
      <c r="N161" s="750" t="s">
        <v>103</v>
      </c>
      <c r="O161" s="736">
        <v>0</v>
      </c>
      <c r="P161" s="754">
        <v>0</v>
      </c>
      <c r="Q161" s="752">
        <v>0</v>
      </c>
      <c r="R161" s="9" t="s">
        <v>103</v>
      </c>
      <c r="S161" s="9" t="s">
        <v>103</v>
      </c>
    </row>
    <row r="162" spans="2:19">
      <c r="B162" s="746" t="s">
        <v>665</v>
      </c>
      <c r="C162" s="9" t="s">
        <v>1009</v>
      </c>
      <c r="D162" s="730" t="s">
        <v>110</v>
      </c>
      <c r="E162" s="747">
        <v>205069.36910893844</v>
      </c>
      <c r="F162" s="747">
        <v>14571.104740242403</v>
      </c>
      <c r="G162" s="747">
        <v>219640.47384918079</v>
      </c>
      <c r="H162" s="748">
        <v>0</v>
      </c>
      <c r="I162" s="749" t="s">
        <v>258</v>
      </c>
      <c r="J162" s="750">
        <v>219640.47384918079</v>
      </c>
      <c r="K162" s="735">
        <v>0</v>
      </c>
      <c r="L162" s="735" t="s">
        <v>103</v>
      </c>
      <c r="M162" s="750">
        <v>0</v>
      </c>
      <c r="N162" s="750" t="s">
        <v>103</v>
      </c>
      <c r="O162" s="736">
        <v>0</v>
      </c>
      <c r="P162" s="754">
        <v>0</v>
      </c>
      <c r="Q162" s="752">
        <v>0</v>
      </c>
      <c r="R162" s="9" t="s">
        <v>103</v>
      </c>
      <c r="S162" s="9" t="s">
        <v>103</v>
      </c>
    </row>
    <row r="163" spans="2:19">
      <c r="B163" s="746" t="s">
        <v>666</v>
      </c>
      <c r="C163" s="9" t="s">
        <v>1009</v>
      </c>
      <c r="D163" s="730" t="s">
        <v>110</v>
      </c>
      <c r="E163" s="747">
        <v>-47124.869170833721</v>
      </c>
      <c r="F163" s="747">
        <v>9078.4017838115142</v>
      </c>
      <c r="G163" s="747">
        <v>-38046.467387022218</v>
      </c>
      <c r="H163" s="694">
        <v>4.1908772373201391</v>
      </c>
      <c r="I163" s="749" t="s">
        <v>258</v>
      </c>
      <c r="J163" s="750">
        <v>-38046.467387022218</v>
      </c>
      <c r="K163" s="735">
        <v>0</v>
      </c>
      <c r="L163" s="735" t="s">
        <v>103</v>
      </c>
      <c r="M163" s="750">
        <v>0</v>
      </c>
      <c r="N163" s="750" t="s">
        <v>103</v>
      </c>
      <c r="O163" s="736">
        <v>0</v>
      </c>
      <c r="P163" s="754">
        <v>0</v>
      </c>
      <c r="Q163" s="752">
        <v>0</v>
      </c>
      <c r="R163" s="9" t="s">
        <v>103</v>
      </c>
      <c r="S163" s="9" t="s">
        <v>103</v>
      </c>
    </row>
    <row r="164" spans="2:19">
      <c r="B164" s="746" t="s">
        <v>670</v>
      </c>
      <c r="C164" s="9" t="s">
        <v>1009</v>
      </c>
      <c r="D164" s="730" t="s">
        <v>110</v>
      </c>
      <c r="E164" s="747">
        <v>395371.97266866604</v>
      </c>
      <c r="F164" s="747">
        <v>87585.386163350253</v>
      </c>
      <c r="G164" s="747">
        <v>-267042.64116798382</v>
      </c>
      <c r="H164" s="748">
        <v>3.0489406151608285</v>
      </c>
      <c r="I164" s="749" t="s">
        <v>258</v>
      </c>
      <c r="J164" s="750">
        <v>-267042.64116798382</v>
      </c>
      <c r="K164" s="735">
        <v>0</v>
      </c>
      <c r="L164" s="735" t="s">
        <v>103</v>
      </c>
      <c r="M164" s="750">
        <v>0</v>
      </c>
      <c r="N164" s="750" t="s">
        <v>103</v>
      </c>
      <c r="O164" s="736">
        <v>0</v>
      </c>
      <c r="P164" s="754">
        <v>0</v>
      </c>
      <c r="Q164" s="752">
        <v>0</v>
      </c>
      <c r="R164" s="9" t="s">
        <v>103</v>
      </c>
      <c r="S164" s="9" t="s">
        <v>103</v>
      </c>
    </row>
    <row r="165" spans="2:19">
      <c r="B165" s="746" t="s">
        <v>678</v>
      </c>
      <c r="C165" s="9" t="s">
        <v>1009</v>
      </c>
      <c r="D165" s="730" t="s">
        <v>110</v>
      </c>
      <c r="E165" s="747">
        <v>194000.94770569517</v>
      </c>
      <c r="F165" s="747">
        <v>127060.46622151291</v>
      </c>
      <c r="G165" s="747">
        <v>321061.41392720828</v>
      </c>
      <c r="H165" s="748">
        <v>0</v>
      </c>
      <c r="I165" s="749" t="s">
        <v>258</v>
      </c>
      <c r="J165" s="750">
        <v>321061.41392720828</v>
      </c>
      <c r="K165" s="735">
        <v>0</v>
      </c>
      <c r="L165" s="735" t="s">
        <v>103</v>
      </c>
      <c r="M165" s="750">
        <v>0</v>
      </c>
      <c r="N165" s="750" t="s">
        <v>103</v>
      </c>
      <c r="O165" s="736">
        <v>0</v>
      </c>
      <c r="P165" s="754">
        <v>0</v>
      </c>
      <c r="Q165" s="752">
        <v>0</v>
      </c>
      <c r="R165" s="9" t="s">
        <v>103</v>
      </c>
      <c r="S165" s="9" t="s">
        <v>103</v>
      </c>
    </row>
    <row r="166" spans="2:19">
      <c r="B166" s="746" t="s">
        <v>679</v>
      </c>
      <c r="C166" s="9" t="s">
        <v>1009</v>
      </c>
      <c r="D166" s="730" t="s">
        <v>110</v>
      </c>
      <c r="E166" s="747">
        <v>817185.50287765684</v>
      </c>
      <c r="F166" s="747">
        <v>47383.003782543747</v>
      </c>
      <c r="G166" s="747">
        <v>864568.50666020054</v>
      </c>
      <c r="H166" s="748">
        <v>0</v>
      </c>
      <c r="I166" s="749" t="s">
        <v>258</v>
      </c>
      <c r="J166" s="750">
        <v>864568.50666020054</v>
      </c>
      <c r="K166" s="735">
        <v>0</v>
      </c>
      <c r="L166" s="735" t="s">
        <v>103</v>
      </c>
      <c r="M166" s="750">
        <v>0</v>
      </c>
      <c r="N166" s="750" t="s">
        <v>103</v>
      </c>
      <c r="O166" s="736">
        <v>0</v>
      </c>
      <c r="P166" s="754">
        <v>0</v>
      </c>
      <c r="Q166" s="752">
        <v>0</v>
      </c>
      <c r="R166" s="9" t="s">
        <v>103</v>
      </c>
      <c r="S166" s="9" t="s">
        <v>103</v>
      </c>
    </row>
    <row r="167" spans="2:19">
      <c r="B167" s="746" t="s">
        <v>684</v>
      </c>
      <c r="C167" s="9" t="s">
        <v>1009</v>
      </c>
      <c r="D167" s="730" t="s">
        <v>110</v>
      </c>
      <c r="E167" s="758">
        <v>316631.46210272645</v>
      </c>
      <c r="F167" s="758">
        <v>39936.800809491557</v>
      </c>
      <c r="G167" s="758">
        <v>356568.26291221799</v>
      </c>
      <c r="H167" s="748">
        <v>0</v>
      </c>
      <c r="I167" s="749" t="s">
        <v>258</v>
      </c>
      <c r="J167" s="750">
        <v>356568.26291221799</v>
      </c>
      <c r="K167" s="735">
        <v>0</v>
      </c>
      <c r="L167" s="735" t="s">
        <v>103</v>
      </c>
      <c r="M167" s="750">
        <v>0</v>
      </c>
      <c r="N167" s="750" t="s">
        <v>103</v>
      </c>
      <c r="O167" s="736">
        <v>0</v>
      </c>
      <c r="P167" s="754">
        <v>0</v>
      </c>
      <c r="Q167" s="752">
        <v>0</v>
      </c>
      <c r="R167" s="9" t="s">
        <v>103</v>
      </c>
      <c r="S167" s="9" t="s">
        <v>103</v>
      </c>
    </row>
    <row r="168" spans="2:19">
      <c r="B168" s="746" t="s">
        <v>685</v>
      </c>
      <c r="C168" s="9" t="s">
        <v>1009</v>
      </c>
      <c r="D168" s="730" t="s">
        <v>110</v>
      </c>
      <c r="E168" s="747">
        <v>657783.8792942859</v>
      </c>
      <c r="F168" s="747">
        <v>69183.976955675709</v>
      </c>
      <c r="G168" s="747">
        <v>726967.85624996177</v>
      </c>
      <c r="H168" s="748">
        <v>0</v>
      </c>
      <c r="I168" s="749" t="s">
        <v>258</v>
      </c>
      <c r="J168" s="750">
        <v>726967.85624996177</v>
      </c>
      <c r="K168" s="735">
        <v>0</v>
      </c>
      <c r="L168" s="735" t="s">
        <v>103</v>
      </c>
      <c r="M168" s="750">
        <v>0</v>
      </c>
      <c r="N168" s="750" t="s">
        <v>103</v>
      </c>
      <c r="O168" s="736">
        <v>0</v>
      </c>
      <c r="P168" s="754">
        <v>0</v>
      </c>
      <c r="Q168" s="752">
        <v>0</v>
      </c>
      <c r="R168" s="9" t="s">
        <v>103</v>
      </c>
      <c r="S168" s="9" t="s">
        <v>103</v>
      </c>
    </row>
    <row r="169" spans="2:19">
      <c r="B169" s="746" t="s">
        <v>688</v>
      </c>
      <c r="C169" s="9" t="s">
        <v>1009</v>
      </c>
      <c r="D169" s="730" t="s">
        <v>110</v>
      </c>
      <c r="E169" s="747">
        <v>265605.01917546237</v>
      </c>
      <c r="F169" s="747">
        <v>9908.5748970198874</v>
      </c>
      <c r="G169" s="747">
        <v>275513.59407248278</v>
      </c>
      <c r="H169" s="748">
        <v>0</v>
      </c>
      <c r="I169" s="749" t="s">
        <v>258</v>
      </c>
      <c r="J169" s="750">
        <v>275513.59407248278</v>
      </c>
      <c r="K169" s="735">
        <v>0</v>
      </c>
      <c r="L169" s="735" t="s">
        <v>103</v>
      </c>
      <c r="M169" s="750">
        <v>0</v>
      </c>
      <c r="N169" s="750" t="s">
        <v>103</v>
      </c>
      <c r="O169" s="736">
        <v>0</v>
      </c>
      <c r="P169" s="754">
        <v>0</v>
      </c>
      <c r="Q169" s="752">
        <v>0</v>
      </c>
      <c r="R169" s="9" t="s">
        <v>103</v>
      </c>
      <c r="S169" s="9" t="s">
        <v>103</v>
      </c>
    </row>
    <row r="170" spans="2:19">
      <c r="B170" s="746" t="s">
        <v>692</v>
      </c>
      <c r="C170" s="9" t="s">
        <v>1009</v>
      </c>
      <c r="D170" s="730" t="s">
        <v>110</v>
      </c>
      <c r="E170" s="758">
        <v>137594.16850431403</v>
      </c>
      <c r="F170" s="758">
        <v>0</v>
      </c>
      <c r="G170" s="758">
        <v>137594.16850431403</v>
      </c>
      <c r="H170" s="748">
        <v>0</v>
      </c>
      <c r="I170" s="749" t="s">
        <v>258</v>
      </c>
      <c r="J170" s="750">
        <v>137594.16850431403</v>
      </c>
      <c r="K170" s="735">
        <v>0</v>
      </c>
      <c r="L170" s="735" t="s">
        <v>103</v>
      </c>
      <c r="M170" s="750">
        <v>0</v>
      </c>
      <c r="N170" s="750" t="s">
        <v>103</v>
      </c>
      <c r="O170" s="736">
        <v>0</v>
      </c>
      <c r="P170" s="754">
        <v>0</v>
      </c>
      <c r="Q170" s="752">
        <v>0</v>
      </c>
      <c r="R170" s="9" t="s">
        <v>103</v>
      </c>
      <c r="S170" s="9" t="s">
        <v>103</v>
      </c>
    </row>
    <row r="171" spans="2:19">
      <c r="B171" s="746" t="s">
        <v>693</v>
      </c>
      <c r="C171" s="9" t="s">
        <v>1009</v>
      </c>
      <c r="D171" s="730" t="s">
        <v>110</v>
      </c>
      <c r="E171" s="747">
        <v>-92243.015648556728</v>
      </c>
      <c r="F171" s="747">
        <v>20739.24724979571</v>
      </c>
      <c r="G171" s="747">
        <v>-104909.21839876089</v>
      </c>
      <c r="H171" s="694">
        <v>5.0584872794645088</v>
      </c>
      <c r="I171" s="749" t="s">
        <v>258</v>
      </c>
      <c r="J171" s="750">
        <v>-104909.21839876089</v>
      </c>
      <c r="K171" s="735">
        <v>0</v>
      </c>
      <c r="L171" s="735" t="s">
        <v>103</v>
      </c>
      <c r="M171" s="750">
        <v>0</v>
      </c>
      <c r="N171" s="750" t="s">
        <v>103</v>
      </c>
      <c r="O171" s="736">
        <v>0</v>
      </c>
      <c r="P171" s="751">
        <v>0</v>
      </c>
      <c r="Q171" s="752">
        <v>0</v>
      </c>
      <c r="R171" s="9" t="s">
        <v>103</v>
      </c>
      <c r="S171" s="9" t="s">
        <v>103</v>
      </c>
    </row>
    <row r="172" spans="2:19">
      <c r="B172" s="746" t="s">
        <v>697</v>
      </c>
      <c r="C172" s="9" t="s">
        <v>1009</v>
      </c>
      <c r="D172" s="730" t="s">
        <v>110</v>
      </c>
      <c r="E172" s="758">
        <v>671771.53176854795</v>
      </c>
      <c r="F172" s="758">
        <v>55533.655982170269</v>
      </c>
      <c r="G172" s="758">
        <v>727305.18775071821</v>
      </c>
      <c r="H172" s="748">
        <v>0</v>
      </c>
      <c r="I172" s="749" t="s">
        <v>258</v>
      </c>
      <c r="J172" s="750">
        <v>727305.18775071821</v>
      </c>
      <c r="K172" s="735">
        <v>0</v>
      </c>
      <c r="L172" s="735" t="s">
        <v>103</v>
      </c>
      <c r="M172" s="750">
        <v>0</v>
      </c>
      <c r="N172" s="750" t="s">
        <v>103</v>
      </c>
      <c r="O172" s="736">
        <v>0</v>
      </c>
      <c r="P172" s="754">
        <v>0</v>
      </c>
      <c r="Q172" s="752">
        <v>0</v>
      </c>
      <c r="R172" s="9" t="s">
        <v>103</v>
      </c>
      <c r="S172" s="9" t="s">
        <v>103</v>
      </c>
    </row>
    <row r="173" spans="2:19">
      <c r="B173" s="746" t="s">
        <v>698</v>
      </c>
      <c r="C173" s="9" t="s">
        <v>1009</v>
      </c>
      <c r="D173" s="730" t="s">
        <v>110</v>
      </c>
      <c r="E173" s="747">
        <v>870584.95223316597</v>
      </c>
      <c r="F173" s="747">
        <v>150175.94693235628</v>
      </c>
      <c r="G173" s="747">
        <v>1020760.8991655228</v>
      </c>
      <c r="H173" s="748">
        <v>0</v>
      </c>
      <c r="I173" s="749" t="s">
        <v>258</v>
      </c>
      <c r="J173" s="750">
        <v>1020760.8991655228</v>
      </c>
      <c r="K173" s="735">
        <v>0</v>
      </c>
      <c r="L173" s="735" t="s">
        <v>103</v>
      </c>
      <c r="M173" s="750">
        <v>0</v>
      </c>
      <c r="N173" s="750" t="s">
        <v>103</v>
      </c>
      <c r="O173" s="736">
        <v>0</v>
      </c>
      <c r="P173" s="754">
        <v>0</v>
      </c>
      <c r="Q173" s="752">
        <v>0</v>
      </c>
      <c r="R173" s="9" t="s">
        <v>103</v>
      </c>
      <c r="S173" s="9" t="s">
        <v>103</v>
      </c>
    </row>
    <row r="174" spans="2:19">
      <c r="B174" s="746" t="s">
        <v>704</v>
      </c>
      <c r="C174" s="9" t="s">
        <v>1009</v>
      </c>
      <c r="D174" s="730" t="s">
        <v>110</v>
      </c>
      <c r="E174" s="747">
        <v>-95911.100646855528</v>
      </c>
      <c r="F174" s="747">
        <v>13329.908361714261</v>
      </c>
      <c r="G174" s="747">
        <v>49661.567714858495</v>
      </c>
      <c r="H174" s="694">
        <v>0</v>
      </c>
      <c r="I174" s="749" t="s">
        <v>258</v>
      </c>
      <c r="J174" s="750">
        <v>49661.567714858495</v>
      </c>
      <c r="K174" s="735">
        <v>0</v>
      </c>
      <c r="L174" s="735" t="s">
        <v>103</v>
      </c>
      <c r="M174" s="750">
        <v>0</v>
      </c>
      <c r="N174" s="750" t="s">
        <v>103</v>
      </c>
      <c r="O174" s="736">
        <v>0</v>
      </c>
      <c r="P174" s="754">
        <v>0</v>
      </c>
      <c r="Q174" s="752">
        <v>0</v>
      </c>
      <c r="R174" s="9" t="s">
        <v>103</v>
      </c>
      <c r="S174" s="9" t="s">
        <v>103</v>
      </c>
    </row>
    <row r="175" spans="2:19">
      <c r="B175" s="746" t="s">
        <v>708</v>
      </c>
      <c r="C175" s="9" t="s">
        <v>1009</v>
      </c>
      <c r="D175" s="730" t="s">
        <v>110</v>
      </c>
      <c r="E175" s="747">
        <v>1010182.8339464907</v>
      </c>
      <c r="F175" s="747">
        <v>43242.187489388612</v>
      </c>
      <c r="G175" s="747">
        <v>1053425.0214358789</v>
      </c>
      <c r="H175" s="748">
        <v>0</v>
      </c>
      <c r="I175" s="749" t="s">
        <v>258</v>
      </c>
      <c r="J175" s="750">
        <v>1053425.0214358789</v>
      </c>
      <c r="K175" s="735">
        <v>0</v>
      </c>
      <c r="L175" s="735" t="s">
        <v>103</v>
      </c>
      <c r="M175" s="750">
        <v>0</v>
      </c>
      <c r="N175" s="750" t="s">
        <v>103</v>
      </c>
      <c r="O175" s="736">
        <v>0</v>
      </c>
      <c r="P175" s="754">
        <v>0</v>
      </c>
      <c r="Q175" s="752">
        <v>0</v>
      </c>
      <c r="R175" s="9" t="s">
        <v>103</v>
      </c>
      <c r="S175" s="9" t="s">
        <v>103</v>
      </c>
    </row>
    <row r="176" spans="2:19">
      <c r="B176" s="746" t="s">
        <v>709</v>
      </c>
      <c r="C176" s="9" t="s">
        <v>1009</v>
      </c>
      <c r="D176" s="730" t="s">
        <v>110</v>
      </c>
      <c r="E176" s="747">
        <v>712368.46853804379</v>
      </c>
      <c r="F176" s="747">
        <v>82197.778841827036</v>
      </c>
      <c r="G176" s="747">
        <v>794566.24737987109</v>
      </c>
      <c r="H176" s="748">
        <v>0</v>
      </c>
      <c r="I176" s="749" t="s">
        <v>258</v>
      </c>
      <c r="J176" s="750">
        <v>794566.24737987109</v>
      </c>
      <c r="K176" s="735">
        <v>0</v>
      </c>
      <c r="L176" s="735" t="s">
        <v>103</v>
      </c>
      <c r="M176" s="750">
        <v>0</v>
      </c>
      <c r="N176" s="750" t="s">
        <v>103</v>
      </c>
      <c r="O176" s="736">
        <v>0</v>
      </c>
      <c r="P176" s="754">
        <v>0</v>
      </c>
      <c r="Q176" s="752">
        <v>0</v>
      </c>
      <c r="R176" s="9" t="s">
        <v>103</v>
      </c>
      <c r="S176" s="9" t="s">
        <v>103</v>
      </c>
    </row>
    <row r="177" spans="2:19">
      <c r="B177" s="746" t="s">
        <v>710</v>
      </c>
      <c r="C177" s="9" t="s">
        <v>1009</v>
      </c>
      <c r="D177" s="730" t="s">
        <v>110</v>
      </c>
      <c r="E177" s="747">
        <v>-1218837.509803165</v>
      </c>
      <c r="F177" s="747">
        <v>155937.97869528393</v>
      </c>
      <c r="G177" s="747">
        <v>-1062899.5311078816</v>
      </c>
      <c r="H177" s="694">
        <v>6.8161684536444938</v>
      </c>
      <c r="I177" s="749" t="s">
        <v>258</v>
      </c>
      <c r="J177" s="750">
        <v>-1062899.5311078816</v>
      </c>
      <c r="K177" s="735">
        <v>0</v>
      </c>
      <c r="L177" s="735" t="s">
        <v>103</v>
      </c>
      <c r="M177" s="750">
        <v>0</v>
      </c>
      <c r="N177" s="750" t="s">
        <v>103</v>
      </c>
      <c r="O177" s="736">
        <v>0</v>
      </c>
      <c r="P177" s="754">
        <v>0</v>
      </c>
      <c r="Q177" s="752">
        <v>0</v>
      </c>
      <c r="R177" s="9" t="s">
        <v>103</v>
      </c>
      <c r="S177" s="9" t="s">
        <v>103</v>
      </c>
    </row>
    <row r="178" spans="2:19">
      <c r="B178" s="746" t="s">
        <v>715</v>
      </c>
      <c r="C178" s="9" t="s">
        <v>1009</v>
      </c>
      <c r="D178" s="730" t="s">
        <v>110</v>
      </c>
      <c r="E178" s="747">
        <v>-88873.861151251403</v>
      </c>
      <c r="F178" s="747">
        <v>30349.316033935174</v>
      </c>
      <c r="G178" s="747">
        <v>-58524.545117316302</v>
      </c>
      <c r="H178" s="694">
        <v>1.9283645487060372</v>
      </c>
      <c r="I178" s="749" t="s">
        <v>258</v>
      </c>
      <c r="J178" s="750">
        <v>-58524.545117316302</v>
      </c>
      <c r="K178" s="735">
        <v>0</v>
      </c>
      <c r="L178" s="735" t="s">
        <v>103</v>
      </c>
      <c r="M178" s="750">
        <v>0</v>
      </c>
      <c r="N178" s="750" t="s">
        <v>103</v>
      </c>
      <c r="O178" s="736">
        <v>0</v>
      </c>
      <c r="P178" s="754">
        <v>0</v>
      </c>
      <c r="Q178" s="752">
        <v>0</v>
      </c>
      <c r="R178" s="9" t="s">
        <v>103</v>
      </c>
      <c r="S178" s="9" t="s">
        <v>103</v>
      </c>
    </row>
    <row r="179" spans="2:19">
      <c r="B179" s="746" t="s">
        <v>719</v>
      </c>
      <c r="C179" s="9" t="s">
        <v>1009</v>
      </c>
      <c r="D179" s="730" t="s">
        <v>110</v>
      </c>
      <c r="E179" s="747">
        <v>-216025.16465728771</v>
      </c>
      <c r="F179" s="747">
        <v>38889.772134397004</v>
      </c>
      <c r="G179" s="747">
        <v>-177135.39252289076</v>
      </c>
      <c r="H179" s="694">
        <v>4.55480664455267</v>
      </c>
      <c r="I179" s="749" t="s">
        <v>258</v>
      </c>
      <c r="J179" s="750">
        <v>-177135.39252289076</v>
      </c>
      <c r="K179" s="735">
        <v>0</v>
      </c>
      <c r="L179" s="735" t="s">
        <v>103</v>
      </c>
      <c r="M179" s="750">
        <v>0</v>
      </c>
      <c r="N179" s="750" t="s">
        <v>103</v>
      </c>
      <c r="O179" s="736">
        <v>0</v>
      </c>
      <c r="P179" s="754">
        <v>0</v>
      </c>
      <c r="Q179" s="752">
        <v>0</v>
      </c>
      <c r="R179" s="9" t="s">
        <v>103</v>
      </c>
      <c r="S179" s="9" t="s">
        <v>103</v>
      </c>
    </row>
    <row r="180" spans="2:19">
      <c r="B180" s="746" t="s">
        <v>720</v>
      </c>
      <c r="C180" s="9" t="s">
        <v>1009</v>
      </c>
      <c r="D180" s="730" t="s">
        <v>110</v>
      </c>
      <c r="E180" s="747">
        <v>6334.0784089472472</v>
      </c>
      <c r="F180" s="747">
        <v>0</v>
      </c>
      <c r="G180" s="747">
        <v>6334.0784089472472</v>
      </c>
      <c r="H180" s="748">
        <v>0</v>
      </c>
      <c r="I180" s="749" t="s">
        <v>258</v>
      </c>
      <c r="J180" s="750">
        <v>6334.0784089472472</v>
      </c>
      <c r="K180" s="735">
        <v>0</v>
      </c>
      <c r="L180" s="735" t="s">
        <v>103</v>
      </c>
      <c r="M180" s="750">
        <v>0</v>
      </c>
      <c r="N180" s="750" t="s">
        <v>103</v>
      </c>
      <c r="O180" s="736">
        <v>0</v>
      </c>
      <c r="P180" s="754">
        <v>0</v>
      </c>
      <c r="Q180" s="752">
        <v>0</v>
      </c>
      <c r="R180" s="9" t="s">
        <v>103</v>
      </c>
      <c r="S180" s="9" t="s">
        <v>103</v>
      </c>
    </row>
    <row r="181" spans="2:19">
      <c r="B181" s="746" t="s">
        <v>721</v>
      </c>
      <c r="C181" s="9" t="s">
        <v>1009</v>
      </c>
      <c r="D181" s="730" t="s">
        <v>110</v>
      </c>
      <c r="E181" s="747">
        <v>169713.80825406854</v>
      </c>
      <c r="F181" s="747">
        <v>22239.844626773647</v>
      </c>
      <c r="G181" s="747">
        <v>191953.65288084213</v>
      </c>
      <c r="H181" s="748">
        <v>0</v>
      </c>
      <c r="I181" s="749" t="s">
        <v>258</v>
      </c>
      <c r="J181" s="750">
        <v>191953.65288084213</v>
      </c>
      <c r="K181" s="735">
        <v>0</v>
      </c>
      <c r="L181" s="735" t="s">
        <v>103</v>
      </c>
      <c r="M181" s="750">
        <v>0</v>
      </c>
      <c r="N181" s="750" t="s">
        <v>103</v>
      </c>
      <c r="O181" s="736">
        <v>0</v>
      </c>
      <c r="P181" s="754">
        <v>0</v>
      </c>
      <c r="Q181" s="752">
        <v>0</v>
      </c>
      <c r="R181" s="9" t="s">
        <v>103</v>
      </c>
      <c r="S181" s="9" t="s">
        <v>103</v>
      </c>
    </row>
    <row r="182" spans="2:19">
      <c r="B182" s="746" t="s">
        <v>724</v>
      </c>
      <c r="C182" s="9" t="s">
        <v>1009</v>
      </c>
      <c r="D182" s="730" t="s">
        <v>110</v>
      </c>
      <c r="E182" s="747">
        <v>328051.38421496074</v>
      </c>
      <c r="F182" s="747">
        <v>24957.629619046285</v>
      </c>
      <c r="G182" s="747">
        <v>353009.01383400703</v>
      </c>
      <c r="H182" s="748">
        <v>0</v>
      </c>
      <c r="I182" s="749" t="s">
        <v>258</v>
      </c>
      <c r="J182" s="750">
        <v>353009.01383400703</v>
      </c>
      <c r="K182" s="735">
        <v>0</v>
      </c>
      <c r="L182" s="735" t="s">
        <v>103</v>
      </c>
      <c r="M182" s="750">
        <v>0</v>
      </c>
      <c r="N182" s="750" t="s">
        <v>103</v>
      </c>
      <c r="O182" s="736">
        <v>0</v>
      </c>
      <c r="P182" s="754">
        <v>0</v>
      </c>
      <c r="Q182" s="752">
        <v>0</v>
      </c>
      <c r="R182" s="9" t="s">
        <v>103</v>
      </c>
      <c r="S182" s="9" t="s">
        <v>103</v>
      </c>
    </row>
    <row r="183" spans="2:19">
      <c r="B183" s="746" t="s">
        <v>728</v>
      </c>
      <c r="C183" s="9" t="s">
        <v>1009</v>
      </c>
      <c r="D183" s="730" t="s">
        <v>110</v>
      </c>
      <c r="E183" s="758">
        <v>286964.29627657973</v>
      </c>
      <c r="F183" s="758">
        <v>24416.35093904745</v>
      </c>
      <c r="G183" s="758">
        <v>311380.64721562719</v>
      </c>
      <c r="H183" s="748">
        <v>0</v>
      </c>
      <c r="I183" s="749" t="s">
        <v>258</v>
      </c>
      <c r="J183" s="750">
        <v>311380.64721562719</v>
      </c>
      <c r="K183" s="735">
        <v>0</v>
      </c>
      <c r="L183" s="735" t="s">
        <v>103</v>
      </c>
      <c r="M183" s="750">
        <v>0</v>
      </c>
      <c r="N183" s="750" t="s">
        <v>103</v>
      </c>
      <c r="O183" s="736">
        <v>0</v>
      </c>
      <c r="P183" s="754">
        <v>0</v>
      </c>
      <c r="Q183" s="752">
        <v>0</v>
      </c>
      <c r="R183" s="9" t="s">
        <v>103</v>
      </c>
      <c r="S183" s="9" t="s">
        <v>103</v>
      </c>
    </row>
    <row r="184" spans="2:19">
      <c r="B184" s="746" t="s">
        <v>729</v>
      </c>
      <c r="C184" s="9" t="s">
        <v>1009</v>
      </c>
      <c r="D184" s="730" t="s">
        <v>110</v>
      </c>
      <c r="E184" s="747">
        <v>9720618.7708919179</v>
      </c>
      <c r="F184" s="747">
        <v>552553.57735020632</v>
      </c>
      <c r="G184" s="747">
        <v>10382692.588242125</v>
      </c>
      <c r="H184" s="748">
        <v>0</v>
      </c>
      <c r="I184" s="755" t="s">
        <v>258</v>
      </c>
      <c r="J184" s="756">
        <v>10382692.588242125</v>
      </c>
      <c r="K184" s="735">
        <v>0</v>
      </c>
      <c r="L184" s="735" t="s">
        <v>103</v>
      </c>
      <c r="M184" s="756">
        <v>0</v>
      </c>
      <c r="N184" s="756" t="s">
        <v>103</v>
      </c>
      <c r="O184" s="736">
        <v>0</v>
      </c>
      <c r="P184" s="754">
        <v>0</v>
      </c>
      <c r="Q184" s="752">
        <v>0</v>
      </c>
      <c r="R184" s="9" t="s">
        <v>103</v>
      </c>
      <c r="S184" s="9" t="s">
        <v>103</v>
      </c>
    </row>
    <row r="185" spans="2:19" s="101" customFormat="1">
      <c r="B185" s="738" t="s">
        <v>1377</v>
      </c>
      <c r="C185" s="738"/>
      <c r="D185" s="738"/>
      <c r="E185" s="739">
        <v>15682180.580411982</v>
      </c>
      <c r="F185" s="739">
        <v>1661714.0575292381</v>
      </c>
      <c r="G185" s="739">
        <v>16802252.18794122</v>
      </c>
      <c r="H185" s="740">
        <v>0</v>
      </c>
      <c r="I185" s="741"/>
      <c r="J185" s="742">
        <v>16802252.18794122</v>
      </c>
      <c r="K185" s="742">
        <v>0</v>
      </c>
      <c r="L185" s="741"/>
      <c r="M185" s="742">
        <v>0</v>
      </c>
      <c r="N185" s="742">
        <v>0</v>
      </c>
      <c r="O185" s="743">
        <v>0</v>
      </c>
      <c r="P185" s="742">
        <v>0</v>
      </c>
      <c r="Q185" s="744">
        <v>0</v>
      </c>
      <c r="R185" s="741" t="s">
        <v>103</v>
      </c>
      <c r="S185" s="741" t="s">
        <v>103</v>
      </c>
    </row>
    <row r="186" spans="2:19" s="97" customFormat="1">
      <c r="B186" s="723" t="s">
        <v>746</v>
      </c>
      <c r="C186" s="723"/>
      <c r="D186" s="723"/>
      <c r="E186" s="724"/>
      <c r="F186" s="724"/>
      <c r="G186" s="724"/>
      <c r="H186" s="725">
        <v>0</v>
      </c>
      <c r="I186" s="726"/>
      <c r="J186" s="727"/>
      <c r="K186" s="726"/>
      <c r="L186" s="726"/>
      <c r="M186" s="727">
        <v>0</v>
      </c>
      <c r="N186" s="727"/>
      <c r="O186" s="728"/>
      <c r="P186" s="727"/>
      <c r="Q186" s="726"/>
      <c r="R186" s="726"/>
      <c r="S186" s="726"/>
    </row>
    <row r="187" spans="2:19">
      <c r="B187" s="746" t="s">
        <v>747</v>
      </c>
      <c r="C187" s="9" t="s">
        <v>1009</v>
      </c>
      <c r="D187" s="730" t="s">
        <v>110</v>
      </c>
      <c r="E187" s="747">
        <v>-51213.99698185757</v>
      </c>
      <c r="F187" s="747">
        <v>10369.742793545125</v>
      </c>
      <c r="G187" s="747">
        <v>-40844.25418831245</v>
      </c>
      <c r="H187" s="694">
        <v>3.9387914436736904</v>
      </c>
      <c r="I187" s="749" t="s">
        <v>258</v>
      </c>
      <c r="J187" s="750">
        <v>-40844.25418831245</v>
      </c>
      <c r="K187" s="735">
        <v>0</v>
      </c>
      <c r="L187" s="735" t="s">
        <v>103</v>
      </c>
      <c r="M187" s="750">
        <v>0</v>
      </c>
      <c r="N187" s="750" t="s">
        <v>103</v>
      </c>
      <c r="O187" s="736">
        <v>0</v>
      </c>
      <c r="P187" s="754">
        <v>0</v>
      </c>
      <c r="Q187" s="752">
        <v>0</v>
      </c>
      <c r="R187" s="9" t="s">
        <v>103</v>
      </c>
      <c r="S187" s="9" t="s">
        <v>103</v>
      </c>
    </row>
    <row r="188" spans="2:19">
      <c r="B188" s="746" t="s">
        <v>752</v>
      </c>
      <c r="C188" s="9" t="s">
        <v>1009</v>
      </c>
      <c r="D188" s="730" t="s">
        <v>110</v>
      </c>
      <c r="E188" s="747">
        <v>446759.60485121649</v>
      </c>
      <c r="F188" s="747">
        <v>130997.19222144573</v>
      </c>
      <c r="G188" s="747">
        <v>514883.69707266125</v>
      </c>
      <c r="H188" s="748">
        <v>0</v>
      </c>
      <c r="I188" s="749" t="s">
        <v>258</v>
      </c>
      <c r="J188" s="750">
        <v>514883.69707266125</v>
      </c>
      <c r="K188" s="735">
        <v>0</v>
      </c>
      <c r="L188" s="735" t="s">
        <v>103</v>
      </c>
      <c r="M188" s="750">
        <v>0</v>
      </c>
      <c r="N188" s="750" t="s">
        <v>103</v>
      </c>
      <c r="O188" s="736">
        <v>0</v>
      </c>
      <c r="P188" s="754">
        <v>0</v>
      </c>
      <c r="Q188" s="752">
        <v>0</v>
      </c>
      <c r="R188" s="9" t="s">
        <v>103</v>
      </c>
      <c r="S188" s="9" t="s">
        <v>103</v>
      </c>
    </row>
    <row r="189" spans="2:19">
      <c r="B189" s="746" t="s">
        <v>759</v>
      </c>
      <c r="C189" s="9" t="s">
        <v>1009</v>
      </c>
      <c r="D189" s="730" t="s">
        <v>110</v>
      </c>
      <c r="E189" s="747">
        <v>4727.7503162577304</v>
      </c>
      <c r="F189" s="747">
        <v>336.60978422556627</v>
      </c>
      <c r="G189" s="747">
        <v>5064.3601004832963</v>
      </c>
      <c r="H189" s="748">
        <v>0</v>
      </c>
      <c r="I189" s="749" t="s">
        <v>258</v>
      </c>
      <c r="J189" s="750">
        <v>5064.3601004832963</v>
      </c>
      <c r="K189" s="735">
        <v>0</v>
      </c>
      <c r="L189" s="735" t="s">
        <v>103</v>
      </c>
      <c r="M189" s="750">
        <v>0</v>
      </c>
      <c r="N189" s="750" t="s">
        <v>103</v>
      </c>
      <c r="O189" s="736">
        <v>0</v>
      </c>
      <c r="P189" s="754">
        <v>0</v>
      </c>
      <c r="Q189" s="752">
        <v>0</v>
      </c>
      <c r="R189" s="9" t="s">
        <v>103</v>
      </c>
      <c r="S189" s="9" t="s">
        <v>103</v>
      </c>
    </row>
    <row r="190" spans="2:19">
      <c r="B190" s="746" t="s">
        <v>760</v>
      </c>
      <c r="C190" s="9" t="s">
        <v>1009</v>
      </c>
      <c r="D190" s="730" t="s">
        <v>110</v>
      </c>
      <c r="E190" s="747">
        <v>-329139.00853624556</v>
      </c>
      <c r="F190" s="747">
        <v>59325.933856681033</v>
      </c>
      <c r="G190" s="747">
        <v>-269813.07467956463</v>
      </c>
      <c r="H190" s="694">
        <v>4.5479785506853752</v>
      </c>
      <c r="I190" s="749" t="s">
        <v>258</v>
      </c>
      <c r="J190" s="750">
        <v>-269813.07467956463</v>
      </c>
      <c r="K190" s="735">
        <v>0</v>
      </c>
      <c r="L190" s="735" t="s">
        <v>103</v>
      </c>
      <c r="M190" s="750">
        <v>0</v>
      </c>
      <c r="N190" s="750" t="s">
        <v>103</v>
      </c>
      <c r="O190" s="736">
        <v>0</v>
      </c>
      <c r="P190" s="754">
        <v>0</v>
      </c>
      <c r="Q190" s="752">
        <v>0</v>
      </c>
      <c r="R190" s="9" t="s">
        <v>103</v>
      </c>
      <c r="S190" s="9" t="s">
        <v>103</v>
      </c>
    </row>
    <row r="191" spans="2:19">
      <c r="B191" s="746" t="s">
        <v>764</v>
      </c>
      <c r="C191" s="9" t="s">
        <v>1009</v>
      </c>
      <c r="D191" s="730" t="s">
        <v>110</v>
      </c>
      <c r="E191" s="747">
        <v>905025.80538969068</v>
      </c>
      <c r="F191" s="747">
        <v>84411.413904478221</v>
      </c>
      <c r="G191" s="747">
        <v>989437.21929416887</v>
      </c>
      <c r="H191" s="748">
        <v>0</v>
      </c>
      <c r="I191" s="749" t="s">
        <v>258</v>
      </c>
      <c r="J191" s="750">
        <v>989437.21929416887</v>
      </c>
      <c r="K191" s="735">
        <v>0</v>
      </c>
      <c r="L191" s="735" t="s">
        <v>103</v>
      </c>
      <c r="M191" s="750">
        <v>0</v>
      </c>
      <c r="N191" s="750" t="s">
        <v>103</v>
      </c>
      <c r="O191" s="736">
        <v>0</v>
      </c>
      <c r="P191" s="754">
        <v>0</v>
      </c>
      <c r="Q191" s="752">
        <v>0</v>
      </c>
      <c r="R191" s="9" t="s">
        <v>103</v>
      </c>
      <c r="S191" s="9" t="s">
        <v>103</v>
      </c>
    </row>
    <row r="192" spans="2:19">
      <c r="B192" s="746" t="s">
        <v>772</v>
      </c>
      <c r="C192" s="9" t="s">
        <v>1009</v>
      </c>
      <c r="D192" s="730" t="s">
        <v>110</v>
      </c>
      <c r="E192" s="747">
        <v>-908479.41729851067</v>
      </c>
      <c r="F192" s="747">
        <v>4367.1659187268015</v>
      </c>
      <c r="G192" s="747">
        <v>-904112.25137978385</v>
      </c>
      <c r="H192" s="694">
        <v>207.02493750074137</v>
      </c>
      <c r="I192" s="749" t="s">
        <v>258</v>
      </c>
      <c r="J192" s="750">
        <v>-904112.25137978385</v>
      </c>
      <c r="K192" s="735">
        <v>0</v>
      </c>
      <c r="L192" s="735" t="s">
        <v>103</v>
      </c>
      <c r="M192" s="750">
        <v>0</v>
      </c>
      <c r="N192" s="750" t="s">
        <v>103</v>
      </c>
      <c r="O192" s="736">
        <v>0</v>
      </c>
      <c r="P192" s="754">
        <v>0</v>
      </c>
      <c r="Q192" s="752">
        <v>0</v>
      </c>
      <c r="R192" s="9" t="s">
        <v>103</v>
      </c>
      <c r="S192" s="9" t="s">
        <v>103</v>
      </c>
    </row>
    <row r="193" spans="2:19">
      <c r="B193" s="746" t="s">
        <v>777</v>
      </c>
      <c r="C193" s="9" t="s">
        <v>1009</v>
      </c>
      <c r="D193" s="730" t="s">
        <v>110</v>
      </c>
      <c r="E193" s="747">
        <v>18476.553331563173</v>
      </c>
      <c r="F193" s="747">
        <v>1105.7116738196876</v>
      </c>
      <c r="G193" s="747">
        <v>19582.265005382862</v>
      </c>
      <c r="H193" s="748">
        <v>0</v>
      </c>
      <c r="I193" s="749" t="s">
        <v>258</v>
      </c>
      <c r="J193" s="750">
        <v>19582.265005382862</v>
      </c>
      <c r="K193" s="735">
        <v>0</v>
      </c>
      <c r="L193" s="735" t="s">
        <v>103</v>
      </c>
      <c r="M193" s="750">
        <v>0</v>
      </c>
      <c r="N193" s="750" t="s">
        <v>103</v>
      </c>
      <c r="O193" s="736">
        <v>0</v>
      </c>
      <c r="P193" s="754">
        <v>0</v>
      </c>
      <c r="Q193" s="752">
        <v>0</v>
      </c>
      <c r="R193" s="9" t="s">
        <v>103</v>
      </c>
      <c r="S193" s="9" t="s">
        <v>103</v>
      </c>
    </row>
    <row r="194" spans="2:19">
      <c r="B194" s="746" t="s">
        <v>778</v>
      </c>
      <c r="C194" s="9" t="s">
        <v>1009</v>
      </c>
      <c r="D194" s="730" t="s">
        <v>110</v>
      </c>
      <c r="E194" s="747">
        <v>2749326.3832692793</v>
      </c>
      <c r="F194" s="747">
        <v>130000.49271671441</v>
      </c>
      <c r="G194" s="747">
        <v>2879326.8759859935</v>
      </c>
      <c r="H194" s="748">
        <v>0</v>
      </c>
      <c r="I194" s="749" t="s">
        <v>258</v>
      </c>
      <c r="J194" s="750">
        <v>2879326.8759859935</v>
      </c>
      <c r="K194" s="735">
        <v>0</v>
      </c>
      <c r="L194" s="735" t="s">
        <v>103</v>
      </c>
      <c r="M194" s="750">
        <v>0</v>
      </c>
      <c r="N194" s="750" t="s">
        <v>103</v>
      </c>
      <c r="O194" s="736">
        <v>0</v>
      </c>
      <c r="P194" s="754">
        <v>0</v>
      </c>
      <c r="Q194" s="752">
        <v>0</v>
      </c>
      <c r="R194" s="9" t="s">
        <v>103</v>
      </c>
      <c r="S194" s="9" t="s">
        <v>103</v>
      </c>
    </row>
    <row r="195" spans="2:19">
      <c r="B195" s="746" t="s">
        <v>794</v>
      </c>
      <c r="C195" s="9" t="s">
        <v>1009</v>
      </c>
      <c r="D195" s="730" t="s">
        <v>110</v>
      </c>
      <c r="E195" s="747">
        <v>911157.05901208369</v>
      </c>
      <c r="F195" s="747">
        <v>15773.806882061268</v>
      </c>
      <c r="G195" s="747">
        <v>926930.86589414498</v>
      </c>
      <c r="H195" s="748">
        <v>0</v>
      </c>
      <c r="I195" s="749" t="s">
        <v>258</v>
      </c>
      <c r="J195" s="750">
        <v>926930.86589414498</v>
      </c>
      <c r="K195" s="735">
        <v>0</v>
      </c>
      <c r="L195" s="735" t="s">
        <v>103</v>
      </c>
      <c r="M195" s="750">
        <v>0</v>
      </c>
      <c r="N195" s="750" t="s">
        <v>103</v>
      </c>
      <c r="O195" s="736">
        <v>0</v>
      </c>
      <c r="P195" s="754">
        <v>0</v>
      </c>
      <c r="Q195" s="752">
        <v>0</v>
      </c>
      <c r="R195" s="9" t="s">
        <v>103</v>
      </c>
      <c r="S195" s="9" t="s">
        <v>103</v>
      </c>
    </row>
    <row r="196" spans="2:19">
      <c r="B196" s="746" t="s">
        <v>795</v>
      </c>
      <c r="C196" s="9" t="s">
        <v>1009</v>
      </c>
      <c r="D196" s="730" t="s">
        <v>110</v>
      </c>
      <c r="E196" s="747">
        <v>1382766.4219700261</v>
      </c>
      <c r="F196" s="747">
        <v>142289.76190259872</v>
      </c>
      <c r="G196" s="747">
        <v>1525056.1838726252</v>
      </c>
      <c r="H196" s="748">
        <v>0</v>
      </c>
      <c r="I196" s="749" t="s">
        <v>258</v>
      </c>
      <c r="J196" s="750">
        <v>1525056.1838726252</v>
      </c>
      <c r="K196" s="735">
        <v>0</v>
      </c>
      <c r="L196" s="735" t="s">
        <v>103</v>
      </c>
      <c r="M196" s="750">
        <v>0</v>
      </c>
      <c r="N196" s="750" t="s">
        <v>103</v>
      </c>
      <c r="O196" s="736">
        <v>0</v>
      </c>
      <c r="P196" s="754">
        <v>0</v>
      </c>
      <c r="Q196" s="752">
        <v>0</v>
      </c>
      <c r="R196" s="9" t="s">
        <v>103</v>
      </c>
      <c r="S196" s="9" t="s">
        <v>103</v>
      </c>
    </row>
    <row r="197" spans="2:19">
      <c r="B197" s="746" t="s">
        <v>802</v>
      </c>
      <c r="C197" s="9" t="s">
        <v>1009</v>
      </c>
      <c r="D197" s="730" t="s">
        <v>110</v>
      </c>
      <c r="E197" s="747">
        <v>-212338.25762884814</v>
      </c>
      <c r="F197" s="747">
        <v>72430.645728856107</v>
      </c>
      <c r="G197" s="747">
        <v>-139907.61189999222</v>
      </c>
      <c r="H197" s="694">
        <v>1.9316079608586665</v>
      </c>
      <c r="I197" s="749" t="s">
        <v>258</v>
      </c>
      <c r="J197" s="750">
        <v>-139907.61189999222</v>
      </c>
      <c r="K197" s="735">
        <v>0</v>
      </c>
      <c r="L197" s="735" t="s">
        <v>103</v>
      </c>
      <c r="M197" s="750">
        <v>0</v>
      </c>
      <c r="N197" s="750" t="s">
        <v>103</v>
      </c>
      <c r="O197" s="736">
        <v>0</v>
      </c>
      <c r="P197" s="754">
        <v>0</v>
      </c>
      <c r="Q197" s="752">
        <v>0</v>
      </c>
      <c r="R197" s="9" t="s">
        <v>103</v>
      </c>
      <c r="S197" s="9" t="s">
        <v>103</v>
      </c>
    </row>
    <row r="198" spans="2:19">
      <c r="B198" s="746" t="s">
        <v>806</v>
      </c>
      <c r="C198" s="9" t="s">
        <v>1009</v>
      </c>
      <c r="D198" s="730" t="s">
        <v>110</v>
      </c>
      <c r="E198" s="747">
        <v>226457.5931226018</v>
      </c>
      <c r="F198" s="747">
        <v>34076.393129251846</v>
      </c>
      <c r="G198" s="747">
        <v>260533.98625185358</v>
      </c>
      <c r="H198" s="748">
        <v>0</v>
      </c>
      <c r="I198" s="749" t="s">
        <v>258</v>
      </c>
      <c r="J198" s="750">
        <v>260533.98625185358</v>
      </c>
      <c r="K198" s="735">
        <v>0</v>
      </c>
      <c r="L198" s="735" t="s">
        <v>103</v>
      </c>
      <c r="M198" s="750">
        <v>0</v>
      </c>
      <c r="N198" s="750" t="s">
        <v>103</v>
      </c>
      <c r="O198" s="736">
        <v>0</v>
      </c>
      <c r="P198" s="754">
        <v>0</v>
      </c>
      <c r="Q198" s="752">
        <v>0</v>
      </c>
      <c r="R198" s="9" t="s">
        <v>103</v>
      </c>
      <c r="S198" s="9" t="s">
        <v>103</v>
      </c>
    </row>
    <row r="199" spans="2:19">
      <c r="B199" s="746" t="s">
        <v>809</v>
      </c>
      <c r="C199" s="9" t="s">
        <v>1009</v>
      </c>
      <c r="D199" s="730" t="s">
        <v>110</v>
      </c>
      <c r="E199" s="747">
        <v>-298369.73882452445</v>
      </c>
      <c r="F199" s="747">
        <v>76880.293790904208</v>
      </c>
      <c r="G199" s="747">
        <v>-221489.44503362011</v>
      </c>
      <c r="H199" s="694">
        <v>2.880965122688238</v>
      </c>
      <c r="I199" s="749" t="s">
        <v>258</v>
      </c>
      <c r="J199" s="750">
        <v>-221489.44503362011</v>
      </c>
      <c r="K199" s="735">
        <v>0</v>
      </c>
      <c r="L199" s="735" t="s">
        <v>103</v>
      </c>
      <c r="M199" s="750">
        <v>0</v>
      </c>
      <c r="N199" s="750" t="s">
        <v>103</v>
      </c>
      <c r="O199" s="736">
        <v>0</v>
      </c>
      <c r="P199" s="754">
        <v>0</v>
      </c>
      <c r="Q199" s="752">
        <v>0</v>
      </c>
      <c r="R199" s="9" t="s">
        <v>103</v>
      </c>
      <c r="S199" s="9" t="s">
        <v>103</v>
      </c>
    </row>
    <row r="200" spans="2:19">
      <c r="B200" s="746" t="s">
        <v>818</v>
      </c>
      <c r="C200" s="9" t="s">
        <v>1009</v>
      </c>
      <c r="D200" s="730" t="s">
        <v>110</v>
      </c>
      <c r="E200" s="747">
        <v>1358127.4843522361</v>
      </c>
      <c r="F200" s="747">
        <v>263511.15982714773</v>
      </c>
      <c r="G200" s="747">
        <v>1621638.6441793842</v>
      </c>
      <c r="H200" s="748">
        <v>0</v>
      </c>
      <c r="I200" s="749" t="s">
        <v>258</v>
      </c>
      <c r="J200" s="750">
        <v>1621638.6441793842</v>
      </c>
      <c r="K200" s="735">
        <v>0</v>
      </c>
      <c r="L200" s="735" t="s">
        <v>103</v>
      </c>
      <c r="M200" s="750">
        <v>0</v>
      </c>
      <c r="N200" s="750" t="s">
        <v>103</v>
      </c>
      <c r="O200" s="736">
        <v>0</v>
      </c>
      <c r="P200" s="754">
        <v>0</v>
      </c>
      <c r="Q200" s="752">
        <v>0</v>
      </c>
      <c r="R200" s="9" t="s">
        <v>103</v>
      </c>
      <c r="S200" s="9" t="s">
        <v>103</v>
      </c>
    </row>
    <row r="201" spans="2:19">
      <c r="B201" s="746" t="s">
        <v>826</v>
      </c>
      <c r="C201" s="9" t="s">
        <v>1009</v>
      </c>
      <c r="D201" s="730" t="s">
        <v>110</v>
      </c>
      <c r="E201" s="747">
        <v>-675345.28868905746</v>
      </c>
      <c r="F201" s="747">
        <v>143950.92881079233</v>
      </c>
      <c r="G201" s="747">
        <v>-531394.35987826507</v>
      </c>
      <c r="H201" s="694">
        <v>3.6914965694783706</v>
      </c>
      <c r="I201" s="749" t="s">
        <v>258</v>
      </c>
      <c r="J201" s="750">
        <v>-531394.35987826507</v>
      </c>
      <c r="K201" s="735">
        <v>0</v>
      </c>
      <c r="L201" s="735" t="s">
        <v>103</v>
      </c>
      <c r="M201" s="750">
        <v>0</v>
      </c>
      <c r="N201" s="750" t="s">
        <v>103</v>
      </c>
      <c r="O201" s="736">
        <v>0</v>
      </c>
      <c r="P201" s="754">
        <v>0</v>
      </c>
      <c r="Q201" s="752">
        <v>0</v>
      </c>
      <c r="R201" s="9" t="s">
        <v>103</v>
      </c>
      <c r="S201" s="9" t="s">
        <v>103</v>
      </c>
    </row>
    <row r="202" spans="2:19">
      <c r="B202" s="746" t="s">
        <v>833</v>
      </c>
      <c r="C202" s="9" t="s">
        <v>1009</v>
      </c>
      <c r="D202" s="730" t="s">
        <v>110</v>
      </c>
      <c r="E202" s="747">
        <v>2027478.0756299465</v>
      </c>
      <c r="F202" s="747">
        <v>136890.0822893554</v>
      </c>
      <c r="G202" s="747">
        <v>2164368.1579193021</v>
      </c>
      <c r="H202" s="748">
        <v>0</v>
      </c>
      <c r="I202" s="749" t="s">
        <v>258</v>
      </c>
      <c r="J202" s="750">
        <v>2164368.1579193021</v>
      </c>
      <c r="K202" s="735">
        <v>0</v>
      </c>
      <c r="L202" s="735" t="s">
        <v>103</v>
      </c>
      <c r="M202" s="750">
        <v>0</v>
      </c>
      <c r="N202" s="750" t="s">
        <v>103</v>
      </c>
      <c r="O202" s="736">
        <v>0</v>
      </c>
      <c r="P202" s="754">
        <v>0</v>
      </c>
      <c r="Q202" s="752">
        <v>0</v>
      </c>
      <c r="R202" s="9" t="s">
        <v>103</v>
      </c>
      <c r="S202" s="9" t="s">
        <v>103</v>
      </c>
    </row>
    <row r="203" spans="2:19">
      <c r="B203" s="746" t="s">
        <v>838</v>
      </c>
      <c r="C203" s="9" t="s">
        <v>1009</v>
      </c>
      <c r="D203" s="730" t="s">
        <v>110</v>
      </c>
      <c r="E203" s="747">
        <v>-708819.83179746033</v>
      </c>
      <c r="F203" s="747">
        <v>122929.88654234793</v>
      </c>
      <c r="G203" s="747">
        <v>-585889.94525511237</v>
      </c>
      <c r="H203" s="694">
        <v>4.7660496705435422</v>
      </c>
      <c r="I203" s="749" t="s">
        <v>258</v>
      </c>
      <c r="J203" s="750">
        <v>-585889.94525511237</v>
      </c>
      <c r="K203" s="735">
        <v>0</v>
      </c>
      <c r="L203" s="735" t="s">
        <v>103</v>
      </c>
      <c r="M203" s="750">
        <v>0</v>
      </c>
      <c r="N203" s="750" t="s">
        <v>103</v>
      </c>
      <c r="O203" s="736">
        <v>0</v>
      </c>
      <c r="P203" s="754">
        <v>0</v>
      </c>
      <c r="Q203" s="752">
        <v>0</v>
      </c>
      <c r="R203" s="9" t="s">
        <v>103</v>
      </c>
      <c r="S203" s="9" t="s">
        <v>103</v>
      </c>
    </row>
    <row r="204" spans="2:19">
      <c r="B204" s="746" t="s">
        <v>841</v>
      </c>
      <c r="C204" s="9" t="s">
        <v>1009</v>
      </c>
      <c r="D204" s="730" t="s">
        <v>110</v>
      </c>
      <c r="E204" s="747">
        <v>1923873.6617412656</v>
      </c>
      <c r="F204" s="747">
        <v>444473.81865494448</v>
      </c>
      <c r="G204" s="747">
        <v>2368347.4803962088</v>
      </c>
      <c r="H204" s="748">
        <v>0</v>
      </c>
      <c r="I204" s="749" t="s">
        <v>258</v>
      </c>
      <c r="J204" s="750">
        <v>2368347.4803962088</v>
      </c>
      <c r="K204" s="735">
        <v>0</v>
      </c>
      <c r="L204" s="735" t="s">
        <v>103</v>
      </c>
      <c r="M204" s="750">
        <v>0</v>
      </c>
      <c r="N204" s="750" t="s">
        <v>103</v>
      </c>
      <c r="O204" s="736">
        <v>0</v>
      </c>
      <c r="P204" s="754">
        <v>0</v>
      </c>
      <c r="Q204" s="752">
        <v>0</v>
      </c>
      <c r="R204" s="9" t="s">
        <v>103</v>
      </c>
      <c r="S204" s="9" t="s">
        <v>103</v>
      </c>
    </row>
    <row r="205" spans="2:19">
      <c r="B205" s="746" t="s">
        <v>853</v>
      </c>
      <c r="C205" s="9" t="s">
        <v>1009</v>
      </c>
      <c r="D205" s="730" t="s">
        <v>110</v>
      </c>
      <c r="E205" s="747">
        <v>-139945.77585717273</v>
      </c>
      <c r="F205" s="747">
        <v>56559.704081533928</v>
      </c>
      <c r="G205" s="747">
        <v>-83386.071775638746</v>
      </c>
      <c r="H205" s="694">
        <v>1.4743017688959816</v>
      </c>
      <c r="I205" s="749" t="s">
        <v>258</v>
      </c>
      <c r="J205" s="750">
        <v>-83386.071775638746</v>
      </c>
      <c r="K205" s="735">
        <v>0</v>
      </c>
      <c r="L205" s="735" t="s">
        <v>103</v>
      </c>
      <c r="M205" s="750">
        <v>0</v>
      </c>
      <c r="N205" s="750" t="s">
        <v>103</v>
      </c>
      <c r="O205" s="736">
        <v>0</v>
      </c>
      <c r="P205" s="754">
        <v>0</v>
      </c>
      <c r="Q205" s="752">
        <v>0</v>
      </c>
      <c r="R205" s="9" t="s">
        <v>103</v>
      </c>
      <c r="S205" s="9" t="s">
        <v>103</v>
      </c>
    </row>
    <row r="206" spans="2:19">
      <c r="B206" s="746" t="s">
        <v>861</v>
      </c>
      <c r="C206" s="9" t="s">
        <v>1009</v>
      </c>
      <c r="D206" s="730" t="s">
        <v>110</v>
      </c>
      <c r="E206" s="747">
        <v>2751766.8632458709</v>
      </c>
      <c r="F206" s="747">
        <v>145344.96622197406</v>
      </c>
      <c r="G206" s="747">
        <v>2897111.8294678451</v>
      </c>
      <c r="H206" s="748">
        <v>0</v>
      </c>
      <c r="I206" s="749" t="s">
        <v>258</v>
      </c>
      <c r="J206" s="750">
        <v>2897111.8294678451</v>
      </c>
      <c r="K206" s="735">
        <v>0</v>
      </c>
      <c r="L206" s="735" t="s">
        <v>103</v>
      </c>
      <c r="M206" s="750">
        <v>0</v>
      </c>
      <c r="N206" s="750" t="s">
        <v>103</v>
      </c>
      <c r="O206" s="736">
        <v>0</v>
      </c>
      <c r="P206" s="754">
        <v>0</v>
      </c>
      <c r="Q206" s="752">
        <v>0</v>
      </c>
      <c r="R206" s="9" t="s">
        <v>103</v>
      </c>
      <c r="S206" s="9" t="s">
        <v>103</v>
      </c>
    </row>
    <row r="207" spans="2:19">
      <c r="B207" s="746" t="s">
        <v>862</v>
      </c>
      <c r="C207" s="9" t="s">
        <v>1009</v>
      </c>
      <c r="D207" s="730" t="s">
        <v>110</v>
      </c>
      <c r="E207" s="747">
        <v>469129.83952471631</v>
      </c>
      <c r="F207" s="747">
        <v>59887.059502714153</v>
      </c>
      <c r="G207" s="747">
        <v>529016.89902743034</v>
      </c>
      <c r="H207" s="748">
        <v>0</v>
      </c>
      <c r="I207" s="749" t="s">
        <v>258</v>
      </c>
      <c r="J207" s="750">
        <v>529016.89902743034</v>
      </c>
      <c r="K207" s="735">
        <v>0</v>
      </c>
      <c r="L207" s="735" t="s">
        <v>103</v>
      </c>
      <c r="M207" s="750">
        <v>0</v>
      </c>
      <c r="N207" s="750" t="s">
        <v>103</v>
      </c>
      <c r="O207" s="736">
        <v>0</v>
      </c>
      <c r="P207" s="754">
        <v>0</v>
      </c>
      <c r="Q207" s="752">
        <v>0</v>
      </c>
      <c r="R207" s="9" t="s">
        <v>103</v>
      </c>
      <c r="S207" s="9" t="s">
        <v>103</v>
      </c>
    </row>
    <row r="208" spans="2:19">
      <c r="B208" s="746" t="s">
        <v>869</v>
      </c>
      <c r="C208" s="9" t="s">
        <v>1009</v>
      </c>
      <c r="D208" s="730" t="s">
        <v>110</v>
      </c>
      <c r="E208" s="747">
        <v>-319808.94395070337</v>
      </c>
      <c r="F208" s="747">
        <v>80704.290552486389</v>
      </c>
      <c r="G208" s="747">
        <v>-239104.65339821699</v>
      </c>
      <c r="H208" s="694">
        <v>2.9627254234112153</v>
      </c>
      <c r="I208" s="749" t="s">
        <v>258</v>
      </c>
      <c r="J208" s="750">
        <v>-239104.65339821699</v>
      </c>
      <c r="K208" s="735">
        <v>0</v>
      </c>
      <c r="L208" s="735" t="s">
        <v>103</v>
      </c>
      <c r="M208" s="750">
        <v>0</v>
      </c>
      <c r="N208" s="750" t="s">
        <v>103</v>
      </c>
      <c r="O208" s="736">
        <v>0</v>
      </c>
      <c r="P208" s="754">
        <v>0</v>
      </c>
      <c r="Q208" s="752">
        <v>0</v>
      </c>
      <c r="R208" s="9" t="s">
        <v>103</v>
      </c>
      <c r="S208" s="9" t="s">
        <v>103</v>
      </c>
    </row>
    <row r="209" spans="2:19">
      <c r="B209" s="746" t="s">
        <v>870</v>
      </c>
      <c r="C209" s="9" t="s">
        <v>1009</v>
      </c>
      <c r="D209" s="730" t="s">
        <v>110</v>
      </c>
      <c r="E209" s="747">
        <v>1837201.9915814647</v>
      </c>
      <c r="F209" s="747">
        <v>14757.376001384233</v>
      </c>
      <c r="G209" s="747">
        <v>1851959.367582849</v>
      </c>
      <c r="H209" s="748">
        <v>0</v>
      </c>
      <c r="I209" s="749" t="s">
        <v>258</v>
      </c>
      <c r="J209" s="750">
        <v>1851959.367582849</v>
      </c>
      <c r="K209" s="735">
        <v>0</v>
      </c>
      <c r="L209" s="735" t="s">
        <v>103</v>
      </c>
      <c r="M209" s="750">
        <v>0</v>
      </c>
      <c r="N209" s="750" t="s">
        <v>103</v>
      </c>
      <c r="O209" s="736">
        <v>0</v>
      </c>
      <c r="P209" s="754">
        <v>0</v>
      </c>
      <c r="Q209" s="752">
        <v>0</v>
      </c>
      <c r="R209" s="9" t="s">
        <v>103</v>
      </c>
      <c r="S209" s="9" t="s">
        <v>103</v>
      </c>
    </row>
    <row r="210" spans="2:19">
      <c r="B210" s="746" t="s">
        <v>871</v>
      </c>
      <c r="C210" s="9" t="s">
        <v>1009</v>
      </c>
      <c r="D210" s="730" t="s">
        <v>110</v>
      </c>
      <c r="E210" s="747">
        <v>4516697.3773453599</v>
      </c>
      <c r="F210" s="747">
        <v>1081867.6228446949</v>
      </c>
      <c r="G210" s="747">
        <v>10798565.000190055</v>
      </c>
      <c r="H210" s="748">
        <v>0</v>
      </c>
      <c r="I210" s="755" t="s">
        <v>258</v>
      </c>
      <c r="J210" s="756">
        <v>10798565.000190055</v>
      </c>
      <c r="K210" s="735">
        <v>0</v>
      </c>
      <c r="L210" s="735" t="s">
        <v>103</v>
      </c>
      <c r="M210" s="756">
        <v>0</v>
      </c>
      <c r="N210" s="756" t="s">
        <v>103</v>
      </c>
      <c r="O210" s="736">
        <v>0</v>
      </c>
      <c r="P210" s="754">
        <v>0</v>
      </c>
      <c r="Q210" s="752">
        <v>0</v>
      </c>
      <c r="R210" s="9" t="s">
        <v>103</v>
      </c>
      <c r="S210" s="9" t="s">
        <v>103</v>
      </c>
    </row>
    <row r="211" spans="2:19" s="101" customFormat="1">
      <c r="B211" s="738" t="s">
        <v>1404</v>
      </c>
      <c r="C211" s="738"/>
      <c r="D211" s="738"/>
      <c r="E211" s="739">
        <v>17885512.2051192</v>
      </c>
      <c r="F211" s="739">
        <v>3313242.0596326841</v>
      </c>
      <c r="G211" s="739">
        <v>26335881.16475188</v>
      </c>
      <c r="H211" s="740">
        <v>0</v>
      </c>
      <c r="I211" s="741"/>
      <c r="J211" s="742">
        <v>26335881.16475188</v>
      </c>
      <c r="K211" s="742">
        <v>0</v>
      </c>
      <c r="L211" s="741"/>
      <c r="M211" s="742">
        <v>0</v>
      </c>
      <c r="N211" s="742">
        <v>0</v>
      </c>
      <c r="O211" s="743">
        <v>0</v>
      </c>
      <c r="P211" s="742">
        <v>0</v>
      </c>
      <c r="Q211" s="744">
        <v>0</v>
      </c>
      <c r="R211" s="741" t="s">
        <v>103</v>
      </c>
      <c r="S211" s="741" t="s">
        <v>103</v>
      </c>
    </row>
    <row r="212" spans="2:19" s="97" customFormat="1">
      <c r="B212" s="723" t="s">
        <v>880</v>
      </c>
      <c r="C212" s="723"/>
      <c r="D212" s="723"/>
      <c r="E212" s="724"/>
      <c r="F212" s="724"/>
      <c r="G212" s="724"/>
      <c r="H212" s="725">
        <v>0</v>
      </c>
      <c r="I212" s="726"/>
      <c r="J212" s="727"/>
      <c r="K212" s="726"/>
      <c r="L212" s="726"/>
      <c r="M212" s="727"/>
      <c r="N212" s="727"/>
      <c r="O212" s="728"/>
      <c r="P212" s="727"/>
      <c r="Q212" s="726"/>
      <c r="R212" s="726"/>
      <c r="S212" s="726"/>
    </row>
    <row r="213" spans="2:19">
      <c r="B213" s="746" t="s">
        <v>881</v>
      </c>
      <c r="C213" s="9" t="s">
        <v>1009</v>
      </c>
      <c r="D213" s="730" t="s">
        <v>110</v>
      </c>
      <c r="E213" s="747">
        <v>1427.8766610984603</v>
      </c>
      <c r="F213" s="747">
        <v>103.81580828234807</v>
      </c>
      <c r="G213" s="747">
        <v>1531.6924693808085</v>
      </c>
      <c r="H213" s="748">
        <v>0</v>
      </c>
      <c r="I213" s="755" t="s">
        <v>258</v>
      </c>
      <c r="J213" s="756">
        <v>1531.6924693808085</v>
      </c>
      <c r="K213" s="735">
        <v>0</v>
      </c>
      <c r="L213" s="735" t="s">
        <v>103</v>
      </c>
      <c r="M213" s="756">
        <v>0</v>
      </c>
      <c r="N213" s="756" t="s">
        <v>103</v>
      </c>
      <c r="O213" s="736">
        <v>0</v>
      </c>
      <c r="P213" s="754">
        <v>0</v>
      </c>
      <c r="Q213" s="752">
        <v>0</v>
      </c>
      <c r="R213" s="9" t="s">
        <v>103</v>
      </c>
      <c r="S213" s="9" t="s">
        <v>103</v>
      </c>
    </row>
    <row r="214" spans="2:19" s="101" customFormat="1">
      <c r="B214" s="738" t="s">
        <v>1430</v>
      </c>
      <c r="C214" s="738"/>
      <c r="D214" s="738"/>
      <c r="E214" s="739">
        <v>1427.8766610984603</v>
      </c>
      <c r="F214" s="739">
        <v>103.81580828234807</v>
      </c>
      <c r="G214" s="739">
        <v>1531.6924693808085</v>
      </c>
      <c r="H214" s="740">
        <v>0</v>
      </c>
      <c r="I214" s="741"/>
      <c r="J214" s="742">
        <v>1531.6924693808085</v>
      </c>
      <c r="K214" s="742">
        <v>0</v>
      </c>
      <c r="L214" s="741"/>
      <c r="M214" s="742">
        <v>0</v>
      </c>
      <c r="N214" s="742">
        <v>0</v>
      </c>
      <c r="O214" s="743">
        <v>0</v>
      </c>
      <c r="P214" s="742">
        <v>0</v>
      </c>
      <c r="Q214" s="744">
        <v>0</v>
      </c>
      <c r="R214" s="741" t="s">
        <v>103</v>
      </c>
      <c r="S214" s="741" t="s">
        <v>103</v>
      </c>
    </row>
    <row r="215" spans="2:19" s="97" customFormat="1">
      <c r="B215" s="723" t="s">
        <v>882</v>
      </c>
      <c r="C215" s="723"/>
      <c r="D215" s="723"/>
      <c r="E215" s="724"/>
      <c r="F215" s="724"/>
      <c r="G215" s="724"/>
      <c r="H215" s="725">
        <v>0</v>
      </c>
      <c r="I215" s="726"/>
      <c r="J215" s="727"/>
      <c r="K215" s="726"/>
      <c r="L215" s="726"/>
      <c r="M215" s="727"/>
      <c r="N215" s="727"/>
      <c r="O215" s="728"/>
      <c r="P215" s="727"/>
      <c r="Q215" s="726"/>
      <c r="R215" s="726"/>
      <c r="S215" s="726"/>
    </row>
    <row r="216" spans="2:19">
      <c r="B216" s="746" t="s">
        <v>883</v>
      </c>
      <c r="C216" s="9" t="s">
        <v>1009</v>
      </c>
      <c r="D216" s="730" t="s">
        <v>110</v>
      </c>
      <c r="E216" s="747">
        <v>139486.08930923292</v>
      </c>
      <c r="F216" s="747">
        <v>28427.113940367541</v>
      </c>
      <c r="G216" s="747">
        <v>167913.20324960054</v>
      </c>
      <c r="H216" s="748">
        <v>0</v>
      </c>
      <c r="I216" s="749" t="s">
        <v>258</v>
      </c>
      <c r="J216" s="750">
        <v>167913.20324960054</v>
      </c>
      <c r="K216" s="735">
        <v>0</v>
      </c>
      <c r="L216" s="735" t="s">
        <v>103</v>
      </c>
      <c r="M216" s="750">
        <v>0</v>
      </c>
      <c r="N216" s="750" t="s">
        <v>103</v>
      </c>
      <c r="O216" s="736">
        <v>0</v>
      </c>
      <c r="P216" s="754">
        <v>0</v>
      </c>
      <c r="Q216" s="752">
        <v>0</v>
      </c>
      <c r="R216" s="9" t="s">
        <v>103</v>
      </c>
      <c r="S216" s="9" t="s">
        <v>103</v>
      </c>
    </row>
    <row r="217" spans="2:19">
      <c r="B217" s="746" t="s">
        <v>884</v>
      </c>
      <c r="C217" s="9" t="s">
        <v>1009</v>
      </c>
      <c r="D217" s="730" t="s">
        <v>110</v>
      </c>
      <c r="E217" s="747">
        <v>1242205.5951845555</v>
      </c>
      <c r="F217" s="747">
        <v>59462.25476839047</v>
      </c>
      <c r="G217" s="747">
        <v>1301667.849952946</v>
      </c>
      <c r="H217" s="748">
        <v>0</v>
      </c>
      <c r="I217" s="749" t="s">
        <v>258</v>
      </c>
      <c r="J217" s="750">
        <v>1301667.849952946</v>
      </c>
      <c r="K217" s="735">
        <v>0</v>
      </c>
      <c r="L217" s="735" t="s">
        <v>103</v>
      </c>
      <c r="M217" s="750">
        <v>0</v>
      </c>
      <c r="N217" s="750" t="s">
        <v>103</v>
      </c>
      <c r="O217" s="736">
        <v>0</v>
      </c>
      <c r="P217" s="754">
        <v>0</v>
      </c>
      <c r="Q217" s="752">
        <v>0</v>
      </c>
      <c r="R217" s="9" t="s">
        <v>103</v>
      </c>
      <c r="S217" s="9" t="s">
        <v>103</v>
      </c>
    </row>
    <row r="218" spans="2:19">
      <c r="B218" s="746" t="s">
        <v>885</v>
      </c>
      <c r="C218" s="9" t="s">
        <v>1009</v>
      </c>
      <c r="D218" s="730" t="s">
        <v>110</v>
      </c>
      <c r="E218" s="747">
        <v>1279343.6679425477</v>
      </c>
      <c r="F218" s="747">
        <v>327336.87404642114</v>
      </c>
      <c r="G218" s="747">
        <v>1606680.5419889693</v>
      </c>
      <c r="H218" s="748">
        <v>0</v>
      </c>
      <c r="I218" s="749" t="s">
        <v>258</v>
      </c>
      <c r="J218" s="750">
        <v>1606680.5419889693</v>
      </c>
      <c r="K218" s="735">
        <v>0</v>
      </c>
      <c r="L218" s="735" t="s">
        <v>103</v>
      </c>
      <c r="M218" s="750">
        <v>0</v>
      </c>
      <c r="N218" s="750" t="s">
        <v>103</v>
      </c>
      <c r="O218" s="736">
        <v>0</v>
      </c>
      <c r="P218" s="754">
        <v>0</v>
      </c>
      <c r="Q218" s="752">
        <v>0</v>
      </c>
      <c r="R218" s="9" t="s">
        <v>103</v>
      </c>
      <c r="S218" s="9" t="s">
        <v>103</v>
      </c>
    </row>
    <row r="219" spans="2:19">
      <c r="B219" s="746" t="s">
        <v>889</v>
      </c>
      <c r="C219" s="9" t="s">
        <v>1009</v>
      </c>
      <c r="D219" s="730" t="s">
        <v>110</v>
      </c>
      <c r="E219" s="747">
        <v>-531045.80521729053</v>
      </c>
      <c r="F219" s="747">
        <v>171998.65367318841</v>
      </c>
      <c r="G219" s="747">
        <v>-359047.15154410235</v>
      </c>
      <c r="H219" s="694">
        <v>2.0874997790757215</v>
      </c>
      <c r="I219" s="755" t="s">
        <v>258</v>
      </c>
      <c r="J219" s="756">
        <v>-359047.15154410235</v>
      </c>
      <c r="K219" s="735">
        <v>0</v>
      </c>
      <c r="L219" s="735" t="s">
        <v>103</v>
      </c>
      <c r="M219" s="756">
        <v>0</v>
      </c>
      <c r="N219" s="756" t="s">
        <v>103</v>
      </c>
      <c r="O219" s="736">
        <v>0</v>
      </c>
      <c r="P219" s="754">
        <v>0</v>
      </c>
      <c r="Q219" s="752">
        <v>0</v>
      </c>
      <c r="R219" s="9" t="s">
        <v>103</v>
      </c>
      <c r="S219" s="9" t="s">
        <v>103</v>
      </c>
    </row>
    <row r="220" spans="2:19" s="101" customFormat="1">
      <c r="B220" s="738" t="s">
        <v>1433</v>
      </c>
      <c r="C220" s="738"/>
      <c r="D220" s="738"/>
      <c r="E220" s="739">
        <v>2129989.5472190455</v>
      </c>
      <c r="F220" s="739">
        <v>587224.89642836759</v>
      </c>
      <c r="G220" s="739">
        <v>2717214.4436474135</v>
      </c>
      <c r="H220" s="740">
        <v>0</v>
      </c>
      <c r="I220" s="741"/>
      <c r="J220" s="742">
        <v>2717214.4436474135</v>
      </c>
      <c r="K220" s="742">
        <v>0</v>
      </c>
      <c r="L220" s="741"/>
      <c r="M220" s="742">
        <v>0</v>
      </c>
      <c r="N220" s="742">
        <v>0</v>
      </c>
      <c r="O220" s="743">
        <v>0</v>
      </c>
      <c r="P220" s="742">
        <v>0</v>
      </c>
      <c r="Q220" s="744">
        <v>0</v>
      </c>
      <c r="R220" s="741" t="s">
        <v>103</v>
      </c>
      <c r="S220" s="741" t="s">
        <v>103</v>
      </c>
    </row>
    <row r="221" spans="2:19" s="97" customFormat="1">
      <c r="B221" s="723" t="s">
        <v>897</v>
      </c>
      <c r="C221" s="723"/>
      <c r="D221" s="723"/>
      <c r="E221" s="724"/>
      <c r="F221" s="724"/>
      <c r="G221" s="724"/>
      <c r="H221" s="725">
        <v>0</v>
      </c>
      <c r="I221" s="726"/>
      <c r="J221" s="727"/>
      <c r="K221" s="726"/>
      <c r="L221" s="726"/>
      <c r="M221" s="727"/>
      <c r="N221" s="727"/>
      <c r="O221" s="728"/>
      <c r="P221" s="727"/>
      <c r="Q221" s="726"/>
      <c r="R221" s="726"/>
      <c r="S221" s="726"/>
    </row>
    <row r="222" spans="2:19">
      <c r="B222" s="746" t="s">
        <v>898</v>
      </c>
      <c r="C222" s="9" t="s">
        <v>1009</v>
      </c>
      <c r="D222" s="730" t="s">
        <v>110</v>
      </c>
      <c r="E222" s="747">
        <v>44385.947008254007</v>
      </c>
      <c r="F222" s="747">
        <v>22482.52565543514</v>
      </c>
      <c r="G222" s="747">
        <v>66868.472663689143</v>
      </c>
      <c r="H222" s="748">
        <v>0</v>
      </c>
      <c r="I222" s="749" t="s">
        <v>258</v>
      </c>
      <c r="J222" s="750">
        <v>66868.472663689143</v>
      </c>
      <c r="K222" s="735">
        <v>0</v>
      </c>
      <c r="L222" s="735" t="s">
        <v>103</v>
      </c>
      <c r="M222" s="750">
        <v>0</v>
      </c>
      <c r="N222" s="750" t="s">
        <v>103</v>
      </c>
      <c r="O222" s="736">
        <v>0</v>
      </c>
      <c r="P222" s="754">
        <v>0</v>
      </c>
      <c r="Q222" s="752">
        <v>0</v>
      </c>
      <c r="R222" s="9" t="s">
        <v>103</v>
      </c>
      <c r="S222" s="9" t="s">
        <v>103</v>
      </c>
    </row>
    <row r="223" spans="2:19">
      <c r="B223" s="746" t="s">
        <v>902</v>
      </c>
      <c r="C223" s="9" t="s">
        <v>1009</v>
      </c>
      <c r="D223" s="730" t="s">
        <v>110</v>
      </c>
      <c r="E223" s="747">
        <v>724338.12962376745</v>
      </c>
      <c r="F223" s="747">
        <v>12739.51242068946</v>
      </c>
      <c r="G223" s="747">
        <v>737077.64204445691</v>
      </c>
      <c r="H223" s="748">
        <v>0</v>
      </c>
      <c r="I223" s="749" t="s">
        <v>258</v>
      </c>
      <c r="J223" s="750">
        <v>737077.64204445691</v>
      </c>
      <c r="K223" s="735">
        <v>0</v>
      </c>
      <c r="L223" s="735" t="s">
        <v>103</v>
      </c>
      <c r="M223" s="750">
        <v>0</v>
      </c>
      <c r="N223" s="750" t="s">
        <v>103</v>
      </c>
      <c r="O223" s="736">
        <v>0</v>
      </c>
      <c r="P223" s="754">
        <v>0</v>
      </c>
      <c r="Q223" s="752">
        <v>0</v>
      </c>
      <c r="R223" s="9" t="s">
        <v>103</v>
      </c>
      <c r="S223" s="9" t="s">
        <v>103</v>
      </c>
    </row>
    <row r="224" spans="2:19">
      <c r="B224" s="746" t="s">
        <v>905</v>
      </c>
      <c r="C224" s="9" t="s">
        <v>1009</v>
      </c>
      <c r="D224" s="730" t="s">
        <v>110</v>
      </c>
      <c r="E224" s="747">
        <v>489860.52578491828</v>
      </c>
      <c r="F224" s="747">
        <v>22390.700799660823</v>
      </c>
      <c r="G224" s="747">
        <v>512251.22658457916</v>
      </c>
      <c r="H224" s="748">
        <v>0</v>
      </c>
      <c r="I224" s="749" t="s">
        <v>258</v>
      </c>
      <c r="J224" s="750">
        <v>512251.22658457916</v>
      </c>
      <c r="K224" s="735">
        <v>0</v>
      </c>
      <c r="L224" s="735" t="s">
        <v>103</v>
      </c>
      <c r="M224" s="750">
        <v>0</v>
      </c>
      <c r="N224" s="750" t="s">
        <v>103</v>
      </c>
      <c r="O224" s="736">
        <v>0</v>
      </c>
      <c r="P224" s="754">
        <v>0</v>
      </c>
      <c r="Q224" s="752">
        <v>0</v>
      </c>
      <c r="R224" s="9" t="s">
        <v>103</v>
      </c>
      <c r="S224" s="9" t="s">
        <v>103</v>
      </c>
    </row>
    <row r="225" spans="2:19">
      <c r="B225" s="746" t="s">
        <v>908</v>
      </c>
      <c r="C225" s="9" t="s">
        <v>1009</v>
      </c>
      <c r="D225" s="730" t="s">
        <v>110</v>
      </c>
      <c r="E225" s="747">
        <v>841877.93852897314</v>
      </c>
      <c r="F225" s="747">
        <v>60235.273527633522</v>
      </c>
      <c r="G225" s="747">
        <v>902113.21205660619</v>
      </c>
      <c r="H225" s="748">
        <v>0</v>
      </c>
      <c r="I225" s="749" t="s">
        <v>258</v>
      </c>
      <c r="J225" s="750">
        <v>902113.21205660619</v>
      </c>
      <c r="K225" s="735">
        <v>0</v>
      </c>
      <c r="L225" s="735" t="s">
        <v>103</v>
      </c>
      <c r="M225" s="750">
        <v>0</v>
      </c>
      <c r="N225" s="750" t="s">
        <v>103</v>
      </c>
      <c r="O225" s="736">
        <v>0</v>
      </c>
      <c r="P225" s="754">
        <v>0</v>
      </c>
      <c r="Q225" s="752">
        <v>0</v>
      </c>
      <c r="R225" s="9" t="s">
        <v>103</v>
      </c>
      <c r="S225" s="9" t="s">
        <v>103</v>
      </c>
    </row>
    <row r="226" spans="2:19">
      <c r="B226" s="746" t="s">
        <v>911</v>
      </c>
      <c r="C226" s="9" t="s">
        <v>1009</v>
      </c>
      <c r="D226" s="730" t="s">
        <v>110</v>
      </c>
      <c r="E226" s="747">
        <v>370989.46094600612</v>
      </c>
      <c r="F226" s="747">
        <v>70648.078166530191</v>
      </c>
      <c r="G226" s="747">
        <v>441637.53911253595</v>
      </c>
      <c r="H226" s="748">
        <v>0</v>
      </c>
      <c r="I226" s="749" t="s">
        <v>258</v>
      </c>
      <c r="J226" s="750">
        <v>441637.53911253595</v>
      </c>
      <c r="K226" s="735">
        <v>0</v>
      </c>
      <c r="L226" s="735" t="s">
        <v>103</v>
      </c>
      <c r="M226" s="750">
        <v>0</v>
      </c>
      <c r="N226" s="750" t="s">
        <v>103</v>
      </c>
      <c r="O226" s="736">
        <v>0</v>
      </c>
      <c r="P226" s="754">
        <v>0</v>
      </c>
      <c r="Q226" s="752">
        <v>0</v>
      </c>
      <c r="R226" s="9" t="s">
        <v>103</v>
      </c>
      <c r="S226" s="9" t="s">
        <v>103</v>
      </c>
    </row>
    <row r="227" spans="2:19">
      <c r="B227" s="746" t="s">
        <v>912</v>
      </c>
      <c r="C227" s="9" t="s">
        <v>1009</v>
      </c>
      <c r="D227" s="730" t="s">
        <v>110</v>
      </c>
      <c r="E227" s="747">
        <v>130394.4248530099</v>
      </c>
      <c r="F227" s="747">
        <v>161278.67029586766</v>
      </c>
      <c r="G227" s="747">
        <v>-67462.004851121863</v>
      </c>
      <c r="H227" s="694">
        <v>0.41829464942488676</v>
      </c>
      <c r="I227" s="749" t="s">
        <v>258</v>
      </c>
      <c r="J227" s="750">
        <v>-67462.004851121863</v>
      </c>
      <c r="K227" s="735">
        <v>0</v>
      </c>
      <c r="L227" s="735" t="s">
        <v>103</v>
      </c>
      <c r="M227" s="750">
        <v>0</v>
      </c>
      <c r="N227" s="750" t="s">
        <v>103</v>
      </c>
      <c r="O227" s="736">
        <v>0</v>
      </c>
      <c r="P227" s="754">
        <v>0</v>
      </c>
      <c r="Q227" s="752">
        <v>0</v>
      </c>
      <c r="R227" s="9" t="s">
        <v>103</v>
      </c>
      <c r="S227" s="9" t="s">
        <v>103</v>
      </c>
    </row>
    <row r="228" spans="2:19">
      <c r="B228" s="746" t="s">
        <v>920</v>
      </c>
      <c r="C228" s="9" t="s">
        <v>1009</v>
      </c>
      <c r="D228" s="730" t="s">
        <v>110</v>
      </c>
      <c r="E228" s="747">
        <v>115981.63247051479</v>
      </c>
      <c r="F228" s="747">
        <v>13576.524747103455</v>
      </c>
      <c r="G228" s="747">
        <v>129558.15721761819</v>
      </c>
      <c r="H228" s="748">
        <v>0</v>
      </c>
      <c r="I228" s="749" t="s">
        <v>258</v>
      </c>
      <c r="J228" s="750">
        <v>129558.15721761819</v>
      </c>
      <c r="K228" s="735">
        <v>0</v>
      </c>
      <c r="L228" s="735" t="s">
        <v>103</v>
      </c>
      <c r="M228" s="750">
        <v>0</v>
      </c>
      <c r="N228" s="750" t="s">
        <v>103</v>
      </c>
      <c r="O228" s="736">
        <v>0</v>
      </c>
      <c r="P228" s="754">
        <v>0</v>
      </c>
      <c r="Q228" s="752">
        <v>0</v>
      </c>
      <c r="R228" s="9" t="s">
        <v>103</v>
      </c>
      <c r="S228" s="9" t="s">
        <v>103</v>
      </c>
    </row>
    <row r="229" spans="2:19">
      <c r="B229" s="746" t="s">
        <v>921</v>
      </c>
      <c r="C229" s="9" t="s">
        <v>1009</v>
      </c>
      <c r="D229" s="730" t="s">
        <v>110</v>
      </c>
      <c r="E229" s="747">
        <v>13227948.344860382</v>
      </c>
      <c r="F229" s="747">
        <v>568704.8098721659</v>
      </c>
      <c r="G229" s="747">
        <v>13796653.154732548</v>
      </c>
      <c r="H229" s="748">
        <v>0</v>
      </c>
      <c r="I229" s="755" t="s">
        <v>258</v>
      </c>
      <c r="J229" s="756">
        <v>13796653.154732548</v>
      </c>
      <c r="K229" s="735">
        <v>0</v>
      </c>
      <c r="L229" s="735" t="s">
        <v>103</v>
      </c>
      <c r="M229" s="756">
        <v>0</v>
      </c>
      <c r="N229" s="756" t="s">
        <v>103</v>
      </c>
      <c r="O229" s="736">
        <v>0</v>
      </c>
      <c r="P229" s="754">
        <v>0</v>
      </c>
      <c r="Q229" s="752">
        <v>0</v>
      </c>
      <c r="R229" s="9" t="s">
        <v>103</v>
      </c>
      <c r="S229" s="9" t="s">
        <v>103</v>
      </c>
    </row>
    <row r="230" spans="2:19" s="101" customFormat="1">
      <c r="B230" s="738" t="s">
        <v>1439</v>
      </c>
      <c r="C230" s="738"/>
      <c r="D230" s="738"/>
      <c r="E230" s="739">
        <v>15945776.404075826</v>
      </c>
      <c r="F230" s="739">
        <v>932056.09548508609</v>
      </c>
      <c r="G230" s="739">
        <v>16518697.399560912</v>
      </c>
      <c r="H230" s="740">
        <v>0</v>
      </c>
      <c r="I230" s="741"/>
      <c r="J230" s="742">
        <v>16518697.399560912</v>
      </c>
      <c r="K230" s="742">
        <v>0</v>
      </c>
      <c r="L230" s="742"/>
      <c r="M230" s="742">
        <v>0</v>
      </c>
      <c r="N230" s="742">
        <v>0</v>
      </c>
      <c r="O230" s="743">
        <v>0</v>
      </c>
      <c r="P230" s="742">
        <v>0</v>
      </c>
      <c r="Q230" s="744">
        <v>0</v>
      </c>
      <c r="R230" s="741" t="s">
        <v>103</v>
      </c>
      <c r="S230" s="741" t="s">
        <v>103</v>
      </c>
    </row>
    <row r="231" spans="2:19" s="97" customFormat="1">
      <c r="B231" s="723" t="s">
        <v>926</v>
      </c>
      <c r="C231" s="723"/>
      <c r="D231" s="723"/>
      <c r="E231" s="724"/>
      <c r="F231" s="724"/>
      <c r="G231" s="724"/>
      <c r="H231" s="725">
        <v>0</v>
      </c>
      <c r="I231" s="726"/>
      <c r="J231" s="727"/>
      <c r="K231" s="726"/>
      <c r="L231" s="726"/>
      <c r="M231" s="727"/>
      <c r="N231" s="727"/>
      <c r="O231" s="728"/>
      <c r="P231" s="727"/>
      <c r="Q231" s="726"/>
      <c r="R231" s="726"/>
      <c r="S231" s="726"/>
    </row>
    <row r="232" spans="2:19">
      <c r="B232" s="746" t="s">
        <v>1642</v>
      </c>
      <c r="C232" s="9" t="s">
        <v>1009</v>
      </c>
      <c r="D232" s="730" t="s">
        <v>110</v>
      </c>
      <c r="E232" s="747">
        <v>1574.1270314354447</v>
      </c>
      <c r="F232" s="747">
        <v>16.261885913160981</v>
      </c>
      <c r="G232" s="747">
        <v>1590.3889173486057</v>
      </c>
      <c r="H232" s="748">
        <v>0</v>
      </c>
      <c r="I232" s="755" t="s">
        <v>258</v>
      </c>
      <c r="J232" s="756">
        <v>1590.3889173486057</v>
      </c>
      <c r="K232" s="735">
        <v>0</v>
      </c>
      <c r="L232" s="735" t="s">
        <v>103</v>
      </c>
      <c r="M232" s="756">
        <v>0</v>
      </c>
      <c r="N232" s="756" t="s">
        <v>103</v>
      </c>
      <c r="O232" s="736">
        <v>0</v>
      </c>
      <c r="P232" s="754">
        <v>0</v>
      </c>
      <c r="Q232" s="752">
        <v>0</v>
      </c>
      <c r="R232" s="9" t="s">
        <v>103</v>
      </c>
      <c r="S232" s="9" t="s">
        <v>103</v>
      </c>
    </row>
    <row r="233" spans="2:19" s="101" customFormat="1">
      <c r="B233" s="738" t="s">
        <v>1852</v>
      </c>
      <c r="C233" s="738"/>
      <c r="D233" s="738"/>
      <c r="E233" s="739">
        <v>1574.1270314354447</v>
      </c>
      <c r="F233" s="739">
        <v>16.261885913160981</v>
      </c>
      <c r="G233" s="739">
        <v>1590.3889173486057</v>
      </c>
      <c r="H233" s="740">
        <v>0</v>
      </c>
      <c r="I233" s="741"/>
      <c r="J233" s="742">
        <v>1590.3889173486057</v>
      </c>
      <c r="K233" s="742">
        <v>0</v>
      </c>
      <c r="L233" s="742"/>
      <c r="M233" s="742">
        <v>0</v>
      </c>
      <c r="N233" s="742">
        <v>0</v>
      </c>
      <c r="O233" s="743">
        <v>0</v>
      </c>
      <c r="P233" s="742">
        <v>0</v>
      </c>
      <c r="Q233" s="744">
        <v>0</v>
      </c>
      <c r="R233" s="741" t="s">
        <v>103</v>
      </c>
      <c r="S233" s="741" t="s">
        <v>103</v>
      </c>
    </row>
    <row r="234" spans="2:19" s="97" customFormat="1">
      <c r="B234" s="723" t="s">
        <v>928</v>
      </c>
      <c r="C234" s="723"/>
      <c r="D234" s="723"/>
      <c r="E234" s="724"/>
      <c r="F234" s="724"/>
      <c r="G234" s="724"/>
      <c r="H234" s="725">
        <v>0</v>
      </c>
      <c r="I234" s="726"/>
      <c r="J234" s="727"/>
      <c r="K234" s="726"/>
      <c r="L234" s="726"/>
      <c r="M234" s="727"/>
      <c r="N234" s="727"/>
      <c r="O234" s="728"/>
      <c r="P234" s="727"/>
      <c r="Q234" s="726"/>
      <c r="R234" s="726"/>
      <c r="S234" s="726"/>
    </row>
    <row r="235" spans="2:19">
      <c r="B235" s="746" t="s">
        <v>929</v>
      </c>
      <c r="C235" s="9" t="s">
        <v>1009</v>
      </c>
      <c r="D235" s="730" t="s">
        <v>110</v>
      </c>
      <c r="E235" s="747">
        <v>-192945.19204573083</v>
      </c>
      <c r="F235" s="747">
        <v>84709.05060521116</v>
      </c>
      <c r="G235" s="747">
        <v>-108236.14144051961</v>
      </c>
      <c r="H235" s="694">
        <v>1.2777399896140627</v>
      </c>
      <c r="I235" s="749" t="s">
        <v>258</v>
      </c>
      <c r="J235" s="750">
        <v>-108236.14144051961</v>
      </c>
      <c r="K235" s="735">
        <v>0</v>
      </c>
      <c r="L235" s="735" t="s">
        <v>103</v>
      </c>
      <c r="M235" s="750">
        <v>0</v>
      </c>
      <c r="N235" s="750" t="s">
        <v>103</v>
      </c>
      <c r="O235" s="736">
        <v>0</v>
      </c>
      <c r="P235" s="754">
        <v>0</v>
      </c>
      <c r="Q235" s="752">
        <v>0</v>
      </c>
      <c r="R235" s="9" t="s">
        <v>103</v>
      </c>
      <c r="S235" s="9" t="s">
        <v>103</v>
      </c>
    </row>
    <row r="236" spans="2:19">
      <c r="B236" s="746" t="s">
        <v>939</v>
      </c>
      <c r="C236" s="9" t="s">
        <v>1009</v>
      </c>
      <c r="D236" s="730" t="s">
        <v>110</v>
      </c>
      <c r="E236" s="747">
        <v>579200.55457063951</v>
      </c>
      <c r="F236" s="747">
        <v>21914.564124850935</v>
      </c>
      <c r="G236" s="747">
        <v>601115.11869549053</v>
      </c>
      <c r="H236" s="748">
        <v>0</v>
      </c>
      <c r="I236" s="749" t="s">
        <v>258</v>
      </c>
      <c r="J236" s="750">
        <v>601115.11869549053</v>
      </c>
      <c r="K236" s="735">
        <v>0</v>
      </c>
      <c r="L236" s="735" t="s">
        <v>103</v>
      </c>
      <c r="M236" s="750">
        <v>0</v>
      </c>
      <c r="N236" s="750" t="s">
        <v>103</v>
      </c>
      <c r="O236" s="736">
        <v>0</v>
      </c>
      <c r="P236" s="754">
        <v>0</v>
      </c>
      <c r="Q236" s="752">
        <v>0</v>
      </c>
      <c r="R236" s="9" t="s">
        <v>103</v>
      </c>
      <c r="S236" s="9" t="s">
        <v>103</v>
      </c>
    </row>
    <row r="237" spans="2:19">
      <c r="B237" s="746" t="s">
        <v>940</v>
      </c>
      <c r="C237" s="9" t="s">
        <v>1009</v>
      </c>
      <c r="D237" s="730" t="s">
        <v>110</v>
      </c>
      <c r="E237" s="747">
        <v>525498.96516641672</v>
      </c>
      <c r="F237" s="747">
        <v>32464.663748785795</v>
      </c>
      <c r="G237" s="747">
        <v>557963.62891520257</v>
      </c>
      <c r="H237" s="748">
        <v>0</v>
      </c>
      <c r="I237" s="749" t="s">
        <v>258</v>
      </c>
      <c r="J237" s="750">
        <v>557963.62891520257</v>
      </c>
      <c r="K237" s="735">
        <v>0</v>
      </c>
      <c r="L237" s="735" t="s">
        <v>103</v>
      </c>
      <c r="M237" s="750">
        <v>0</v>
      </c>
      <c r="N237" s="750" t="s">
        <v>103</v>
      </c>
      <c r="O237" s="736">
        <v>0</v>
      </c>
      <c r="P237" s="754">
        <v>0</v>
      </c>
      <c r="Q237" s="752">
        <v>0</v>
      </c>
      <c r="R237" s="9" t="s">
        <v>103</v>
      </c>
      <c r="S237" s="9" t="s">
        <v>103</v>
      </c>
    </row>
    <row r="238" spans="2:19">
      <c r="B238" s="746" t="s">
        <v>941</v>
      </c>
      <c r="C238" s="9" t="s">
        <v>1009</v>
      </c>
      <c r="D238" s="730" t="s">
        <v>110</v>
      </c>
      <c r="E238" s="747">
        <v>-230865.89375332999</v>
      </c>
      <c r="F238" s="747">
        <v>28671.795097159964</v>
      </c>
      <c r="G238" s="747">
        <v>-202194.09865617001</v>
      </c>
      <c r="H238" s="694">
        <v>7.0520209136189731</v>
      </c>
      <c r="I238" s="749" t="s">
        <v>258</v>
      </c>
      <c r="J238" s="750">
        <v>-202194.09865617001</v>
      </c>
      <c r="K238" s="735">
        <v>0</v>
      </c>
      <c r="L238" s="735" t="s">
        <v>103</v>
      </c>
      <c r="M238" s="750">
        <v>0</v>
      </c>
      <c r="N238" s="750" t="s">
        <v>103</v>
      </c>
      <c r="O238" s="736">
        <v>0</v>
      </c>
      <c r="P238" s="754">
        <v>0</v>
      </c>
      <c r="Q238" s="752">
        <v>0</v>
      </c>
      <c r="R238" s="9" t="s">
        <v>103</v>
      </c>
      <c r="S238" s="9" t="s">
        <v>103</v>
      </c>
    </row>
    <row r="239" spans="2:19">
      <c r="B239" s="746" t="s">
        <v>945</v>
      </c>
      <c r="C239" s="9" t="s">
        <v>1009</v>
      </c>
      <c r="D239" s="730" t="s">
        <v>110</v>
      </c>
      <c r="E239" s="747">
        <v>2582612.1507427334</v>
      </c>
      <c r="F239" s="747">
        <v>235943.89362879939</v>
      </c>
      <c r="G239" s="747">
        <v>2818556.0443715332</v>
      </c>
      <c r="H239" s="748">
        <v>0</v>
      </c>
      <c r="I239" s="749" t="s">
        <v>258</v>
      </c>
      <c r="J239" s="750">
        <v>2818556.0443715332</v>
      </c>
      <c r="K239" s="735">
        <v>0</v>
      </c>
      <c r="L239" s="735" t="s">
        <v>103</v>
      </c>
      <c r="M239" s="750">
        <v>0</v>
      </c>
      <c r="N239" s="750" t="s">
        <v>103</v>
      </c>
      <c r="O239" s="736">
        <v>0</v>
      </c>
      <c r="P239" s="754">
        <v>0</v>
      </c>
      <c r="Q239" s="752">
        <v>0</v>
      </c>
      <c r="R239" s="9" t="s">
        <v>103</v>
      </c>
      <c r="S239" s="9" t="s">
        <v>103</v>
      </c>
    </row>
    <row r="240" spans="2:19">
      <c r="B240" s="746" t="s">
        <v>953</v>
      </c>
      <c r="C240" s="9" t="s">
        <v>1009</v>
      </c>
      <c r="D240" s="730" t="s">
        <v>110</v>
      </c>
      <c r="E240" s="747">
        <v>-220545.11059511261</v>
      </c>
      <c r="F240" s="747">
        <v>38433.124593447959</v>
      </c>
      <c r="G240" s="747">
        <v>-182111.98600166471</v>
      </c>
      <c r="H240" s="694">
        <v>4.7384121881339567</v>
      </c>
      <c r="I240" s="749" t="s">
        <v>258</v>
      </c>
      <c r="J240" s="750">
        <v>-182111.98600166471</v>
      </c>
      <c r="K240" s="735">
        <v>0</v>
      </c>
      <c r="L240" s="735" t="s">
        <v>103</v>
      </c>
      <c r="M240" s="750">
        <v>0</v>
      </c>
      <c r="N240" s="750" t="s">
        <v>103</v>
      </c>
      <c r="O240" s="736">
        <v>0</v>
      </c>
      <c r="P240" s="754">
        <v>0</v>
      </c>
      <c r="Q240" s="752">
        <v>0</v>
      </c>
      <c r="R240" s="9" t="s">
        <v>103</v>
      </c>
      <c r="S240" s="9" t="s">
        <v>103</v>
      </c>
    </row>
    <row r="241" spans="2:19">
      <c r="B241" s="746" t="s">
        <v>958</v>
      </c>
      <c r="C241" s="9" t="s">
        <v>1009</v>
      </c>
      <c r="D241" s="730" t="s">
        <v>110</v>
      </c>
      <c r="E241" s="747">
        <v>883513.92585275415</v>
      </c>
      <c r="F241" s="747">
        <v>62802.641909929502</v>
      </c>
      <c r="G241" s="747">
        <v>946316.56776268361</v>
      </c>
      <c r="H241" s="748">
        <v>0</v>
      </c>
      <c r="I241" s="749" t="s">
        <v>258</v>
      </c>
      <c r="J241" s="750">
        <v>946316.56776268361</v>
      </c>
      <c r="K241" s="735">
        <v>0</v>
      </c>
      <c r="L241" s="735" t="s">
        <v>103</v>
      </c>
      <c r="M241" s="750">
        <v>0</v>
      </c>
      <c r="N241" s="750" t="s">
        <v>103</v>
      </c>
      <c r="O241" s="736">
        <v>0</v>
      </c>
      <c r="P241" s="754">
        <v>0</v>
      </c>
      <c r="Q241" s="752">
        <v>0</v>
      </c>
      <c r="R241" s="9" t="s">
        <v>103</v>
      </c>
      <c r="S241" s="9" t="s">
        <v>103</v>
      </c>
    </row>
    <row r="242" spans="2:19">
      <c r="B242" s="746" t="s">
        <v>961</v>
      </c>
      <c r="C242" s="9" t="s">
        <v>1009</v>
      </c>
      <c r="D242" s="730" t="s">
        <v>110</v>
      </c>
      <c r="E242" s="747">
        <v>485838.61953394208</v>
      </c>
      <c r="F242" s="747">
        <v>182078.6961500718</v>
      </c>
      <c r="G242" s="747">
        <v>667917.31568401295</v>
      </c>
      <c r="H242" s="748">
        <v>0</v>
      </c>
      <c r="I242" s="749" t="s">
        <v>258</v>
      </c>
      <c r="J242" s="750">
        <v>667917.31568401295</v>
      </c>
      <c r="K242" s="735">
        <v>0</v>
      </c>
      <c r="L242" s="735" t="s">
        <v>103</v>
      </c>
      <c r="M242" s="750">
        <v>0</v>
      </c>
      <c r="N242" s="750" t="s">
        <v>103</v>
      </c>
      <c r="O242" s="736">
        <v>0</v>
      </c>
      <c r="P242" s="754">
        <v>0</v>
      </c>
      <c r="Q242" s="752">
        <v>0</v>
      </c>
      <c r="R242" s="9" t="s">
        <v>103</v>
      </c>
      <c r="S242" s="9" t="s">
        <v>103</v>
      </c>
    </row>
    <row r="243" spans="2:19">
      <c r="B243" s="746" t="s">
        <v>968</v>
      </c>
      <c r="C243" s="9" t="s">
        <v>1009</v>
      </c>
      <c r="D243" s="730" t="s">
        <v>110</v>
      </c>
      <c r="E243" s="747">
        <v>1430496.3424552279</v>
      </c>
      <c r="F243" s="747">
        <v>176438.50660786976</v>
      </c>
      <c r="G243" s="747">
        <v>1606934.8490630975</v>
      </c>
      <c r="H243" s="748">
        <v>0</v>
      </c>
      <c r="I243" s="749" t="s">
        <v>258</v>
      </c>
      <c r="J243" s="750">
        <v>1606934.8490630975</v>
      </c>
      <c r="K243" s="735">
        <v>0</v>
      </c>
      <c r="L243" s="735" t="s">
        <v>103</v>
      </c>
      <c r="M243" s="750">
        <v>0</v>
      </c>
      <c r="N243" s="750" t="s">
        <v>103</v>
      </c>
      <c r="O243" s="736">
        <v>0</v>
      </c>
      <c r="P243" s="754">
        <v>0</v>
      </c>
      <c r="Q243" s="752">
        <v>0</v>
      </c>
      <c r="R243" s="9" t="s">
        <v>103</v>
      </c>
      <c r="S243" s="9" t="s">
        <v>103</v>
      </c>
    </row>
    <row r="244" spans="2:19">
      <c r="B244" s="746" t="s">
        <v>1563</v>
      </c>
      <c r="C244" s="9" t="s">
        <v>1009</v>
      </c>
      <c r="D244" s="730" t="s">
        <v>110</v>
      </c>
      <c r="E244" s="747">
        <v>381775.3027796332</v>
      </c>
      <c r="F244" s="747">
        <v>230134.96819831367</v>
      </c>
      <c r="G244" s="747">
        <v>611910.27097794716</v>
      </c>
      <c r="H244" s="748">
        <v>0</v>
      </c>
      <c r="I244" s="749" t="s">
        <v>258</v>
      </c>
      <c r="J244" s="750">
        <v>611910.27097794716</v>
      </c>
      <c r="K244" s="735">
        <v>0</v>
      </c>
      <c r="L244" s="735" t="s">
        <v>103</v>
      </c>
      <c r="M244" s="750">
        <v>0</v>
      </c>
      <c r="N244" s="750" t="s">
        <v>103</v>
      </c>
      <c r="O244" s="736">
        <v>0</v>
      </c>
      <c r="P244" s="754">
        <v>0</v>
      </c>
      <c r="Q244" s="752">
        <v>0</v>
      </c>
      <c r="R244" s="9" t="s">
        <v>103</v>
      </c>
      <c r="S244" s="9" t="s">
        <v>103</v>
      </c>
    </row>
    <row r="245" spans="2:19">
      <c r="B245" s="746" t="s">
        <v>973</v>
      </c>
      <c r="C245" s="9" t="s">
        <v>1009</v>
      </c>
      <c r="D245" s="730" t="s">
        <v>110</v>
      </c>
      <c r="E245" s="747">
        <v>2217445.2714481326</v>
      </c>
      <c r="F245" s="747">
        <v>277315.98694875103</v>
      </c>
      <c r="G245" s="747">
        <v>2494761.2583968844</v>
      </c>
      <c r="H245" s="748">
        <v>0</v>
      </c>
      <c r="I245" s="755" t="s">
        <v>258</v>
      </c>
      <c r="J245" s="756">
        <v>2494761.2583968844</v>
      </c>
      <c r="K245" s="735">
        <v>0</v>
      </c>
      <c r="L245" s="735" t="s">
        <v>103</v>
      </c>
      <c r="M245" s="756">
        <v>0</v>
      </c>
      <c r="N245" s="756" t="s">
        <v>103</v>
      </c>
      <c r="O245" s="736">
        <v>0</v>
      </c>
      <c r="P245" s="754">
        <v>0</v>
      </c>
      <c r="Q245" s="752">
        <v>0</v>
      </c>
      <c r="R245" s="9" t="s">
        <v>103</v>
      </c>
      <c r="S245" s="9" t="s">
        <v>103</v>
      </c>
    </row>
    <row r="246" spans="2:19" s="101" customFormat="1">
      <c r="B246" s="738" t="s">
        <v>1452</v>
      </c>
      <c r="C246" s="738"/>
      <c r="D246" s="738"/>
      <c r="E246" s="739">
        <v>8442024.9361553062</v>
      </c>
      <c r="F246" s="739">
        <v>1370907.891613191</v>
      </c>
      <c r="G246" s="739">
        <v>9812932.8277684972</v>
      </c>
      <c r="H246" s="740">
        <v>0</v>
      </c>
      <c r="I246" s="741"/>
      <c r="J246" s="742">
        <v>9812932.8277684972</v>
      </c>
      <c r="K246" s="743">
        <v>0</v>
      </c>
      <c r="L246" s="743"/>
      <c r="M246" s="742">
        <v>0</v>
      </c>
      <c r="N246" s="742">
        <v>0</v>
      </c>
      <c r="O246" s="743">
        <v>0</v>
      </c>
      <c r="P246" s="742">
        <v>0</v>
      </c>
      <c r="Q246" s="744">
        <v>0</v>
      </c>
      <c r="R246" s="741" t="s">
        <v>103</v>
      </c>
      <c r="S246" s="741" t="s">
        <v>103</v>
      </c>
    </row>
    <row r="247" spans="2:19" s="9" customFormat="1">
      <c r="B247" s="759"/>
      <c r="E247" s="751"/>
      <c r="F247" s="751"/>
      <c r="G247" s="751"/>
      <c r="H247" s="748"/>
      <c r="J247" s="751"/>
      <c r="M247" s="751"/>
      <c r="N247" s="751"/>
      <c r="O247" s="752"/>
      <c r="P247" s="754">
        <v>0</v>
      </c>
    </row>
    <row r="248" spans="2:19" s="101" customFormat="1">
      <c r="B248" s="738" t="s">
        <v>1465</v>
      </c>
      <c r="C248" s="738"/>
      <c r="D248" s="738"/>
      <c r="E248" s="760">
        <f>SUM(E6:E247)/2</f>
        <v>200951015.63128838</v>
      </c>
      <c r="F248" s="760">
        <f t="shared" ref="F248:G248" si="0">SUM(F6:F247)/2</f>
        <v>28051527.408819254</v>
      </c>
      <c r="G248" s="760">
        <f t="shared" si="0"/>
        <v>218432235.30000779</v>
      </c>
      <c r="H248" s="740">
        <v>0</v>
      </c>
      <c r="I248" s="741"/>
      <c r="J248" s="742">
        <f>SUM(J6:J247)/2</f>
        <v>218432235.30000779</v>
      </c>
      <c r="K248" s="743">
        <v>120000</v>
      </c>
      <c r="L248" s="743"/>
      <c r="M248" s="742">
        <v>120000</v>
      </c>
      <c r="N248" s="742"/>
      <c r="O248" s="743">
        <v>395357</v>
      </c>
      <c r="P248" s="742">
        <v>0</v>
      </c>
      <c r="Q248" s="744">
        <v>0</v>
      </c>
      <c r="R248" s="741" t="s">
        <v>103</v>
      </c>
      <c r="S248" s="741" t="s">
        <v>103</v>
      </c>
    </row>
    <row r="249" spans="2:19" s="865" customFormat="1" ht="10.5">
      <c r="E249" s="866">
        <v>200951015.63128838</v>
      </c>
      <c r="F249" s="866">
        <v>28051527.408819262</v>
      </c>
      <c r="G249" s="866">
        <v>218432235</v>
      </c>
      <c r="H249" s="867"/>
      <c r="J249" s="868">
        <v>218432235</v>
      </c>
      <c r="K249" s="868"/>
      <c r="M249" s="869"/>
      <c r="N249" s="870"/>
      <c r="O249" s="868"/>
      <c r="P249" s="866"/>
      <c r="Q249" s="868"/>
    </row>
    <row r="250" spans="2:19" s="871" customFormat="1" ht="10.5">
      <c r="E250" s="872">
        <f>E248-E249</f>
        <v>0</v>
      </c>
      <c r="F250" s="872">
        <f t="shared" ref="F250:G250" si="1">F248-F249</f>
        <v>0</v>
      </c>
      <c r="G250" s="872">
        <f t="shared" si="1"/>
        <v>0.30000779032707214</v>
      </c>
      <c r="H250" s="873"/>
      <c r="J250" s="874">
        <f>J248-J249</f>
        <v>0.30000779032707214</v>
      </c>
      <c r="K250" s="874"/>
      <c r="M250" s="875"/>
      <c r="N250" s="876"/>
      <c r="O250" s="874"/>
      <c r="P250" s="872"/>
      <c r="Q250" s="874"/>
    </row>
  </sheetData>
  <autoFilter ref="B5:S248" xr:uid="{00000000-0009-0000-0000-000012000000}"/>
  <mergeCells count="3">
    <mergeCell ref="B3:S3"/>
    <mergeCell ref="E4:G4"/>
    <mergeCell ref="J4:K4"/>
  </mergeCells>
  <dataValidations count="1">
    <dataValidation type="list" allowBlank="1" showInputMessage="1" showErrorMessage="1" sqref="D8:D11 C9:C10 C14:D14 D15 D18:D23 D26:D27 D30:D35 D37:D70 D72:D116 D119 D122:D123 D126:D157 D160:D184 D187:D210 D213 D216:D219 D222:D229 D232 D235:D245" xr:uid="{00000000-0002-0000-1200-000000000000}">
      <formula1>Yes_No_Unsure</formula1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8B697-791E-4907-B190-9F0F695960B8}">
  <dimension ref="B2:S248"/>
  <sheetViews>
    <sheetView workbookViewId="0">
      <pane xSplit="2" ySplit="5" topLeftCell="C6" activePane="bottomRight" state="frozen"/>
      <selection pane="bottomRight" activeCell="A249" sqref="A249:XFD250"/>
      <selection pane="bottomLeft" activeCell="A6" sqref="A6"/>
      <selection pane="topRight" activeCell="C1" sqref="C1"/>
    </sheetView>
  </sheetViews>
  <sheetFormatPr defaultRowHeight="14.45"/>
  <cols>
    <col min="1" max="1" width="3.5703125" customWidth="1"/>
    <col min="2" max="2" width="33.85546875" bestFit="1" customWidth="1"/>
    <col min="3" max="3" width="16.85546875" customWidth="1"/>
    <col min="4" max="4" width="17.42578125" customWidth="1"/>
    <col min="5" max="5" width="13.5703125" style="693" bestFit="1" customWidth="1"/>
    <col min="6" max="6" width="18.42578125" style="693" bestFit="1" customWidth="1"/>
    <col min="7" max="7" width="13.5703125" style="693" customWidth="1"/>
    <col min="8" max="8" width="11.85546875" style="694" customWidth="1"/>
    <col min="9" max="9" width="16.42578125" customWidth="1"/>
    <col min="10" max="10" width="13.5703125" style="145" customWidth="1"/>
    <col min="11" max="11" width="14.5703125" style="145" customWidth="1"/>
    <col min="12" max="12" width="13.140625" bestFit="1" customWidth="1"/>
    <col min="13" max="13" width="13.5703125" style="761" bestFit="1" customWidth="1"/>
    <col min="14" max="14" width="12.85546875" style="695" customWidth="1"/>
    <col min="15" max="15" width="12" style="145" customWidth="1"/>
    <col min="16" max="16" width="14.5703125" style="693" bestFit="1" customWidth="1"/>
    <col min="17" max="17" width="11.85546875" style="145" customWidth="1"/>
    <col min="18" max="18" width="10.5703125" customWidth="1"/>
    <col min="19" max="19" width="12.140625" customWidth="1"/>
  </cols>
  <sheetData>
    <row r="2" spans="2:19" ht="15" thickBot="1">
      <c r="G2" s="843"/>
      <c r="M2" s="693"/>
    </row>
    <row r="3" spans="2:19" ht="15" thickBot="1">
      <c r="B3" s="1191" t="s">
        <v>1861</v>
      </c>
      <c r="C3" s="1192"/>
      <c r="D3" s="1192"/>
      <c r="E3" s="1192"/>
      <c r="F3" s="1192"/>
      <c r="G3" s="1192"/>
      <c r="H3" s="1192"/>
      <c r="I3" s="1192"/>
      <c r="J3" s="1192"/>
      <c r="K3" s="1193"/>
      <c r="L3" s="1192"/>
      <c r="M3" s="1194"/>
      <c r="N3" s="1195"/>
      <c r="O3" s="1193"/>
      <c r="P3" s="1192"/>
      <c r="Q3" s="1193"/>
      <c r="R3" s="1192"/>
      <c r="S3" s="1196"/>
    </row>
    <row r="4" spans="2:19" ht="15" thickBot="1">
      <c r="C4" s="855"/>
      <c r="D4" s="856"/>
      <c r="E4" s="1197" t="s">
        <v>1831</v>
      </c>
      <c r="F4" s="1197"/>
      <c r="G4" s="1197"/>
      <c r="H4" s="698"/>
      <c r="I4" s="699"/>
      <c r="J4" s="1198" t="s">
        <v>1832</v>
      </c>
      <c r="K4" s="1199"/>
      <c r="L4" s="699"/>
      <c r="M4" s="700"/>
      <c r="N4" s="701"/>
      <c r="O4" s="702"/>
      <c r="P4" s="703"/>
      <c r="Q4" s="702"/>
      <c r="R4" s="699"/>
      <c r="S4" s="704"/>
    </row>
    <row r="5" spans="2:19" ht="62.25" customHeight="1">
      <c r="B5" s="705" t="s">
        <v>3</v>
      </c>
      <c r="C5" s="706" t="s">
        <v>1833</v>
      </c>
      <c r="D5" s="707" t="s">
        <v>1834</v>
      </c>
      <c r="E5" s="708" t="s">
        <v>1862</v>
      </c>
      <c r="F5" s="708" t="s">
        <v>1863</v>
      </c>
      <c r="G5" s="708" t="s">
        <v>1864</v>
      </c>
      <c r="H5" s="709" t="s">
        <v>1838</v>
      </c>
      <c r="I5" s="707" t="s">
        <v>1839</v>
      </c>
      <c r="J5" s="708" t="s">
        <v>1840</v>
      </c>
      <c r="K5" s="710" t="s">
        <v>1841</v>
      </c>
      <c r="L5" s="711" t="s">
        <v>1842</v>
      </c>
      <c r="M5" s="708" t="s">
        <v>1843</v>
      </c>
      <c r="N5" s="712" t="s">
        <v>1844</v>
      </c>
      <c r="O5" s="713" t="s">
        <v>1845</v>
      </c>
      <c r="P5" s="708" t="s">
        <v>1846</v>
      </c>
      <c r="Q5" s="713" t="s">
        <v>1847</v>
      </c>
      <c r="R5" s="707" t="s">
        <v>1848</v>
      </c>
      <c r="S5" s="714" t="s">
        <v>1849</v>
      </c>
    </row>
    <row r="6" spans="2:19" ht="18" customHeight="1">
      <c r="B6" s="715"/>
      <c r="C6" s="716" t="s">
        <v>88</v>
      </c>
      <c r="D6" s="716" t="s">
        <v>88</v>
      </c>
      <c r="E6" s="717" t="s">
        <v>99</v>
      </c>
      <c r="F6" s="717" t="s">
        <v>99</v>
      </c>
      <c r="G6" s="717" t="s">
        <v>99</v>
      </c>
      <c r="H6" s="718" t="s">
        <v>1850</v>
      </c>
      <c r="I6" s="719" t="s">
        <v>99</v>
      </c>
      <c r="J6" s="717" t="s">
        <v>99</v>
      </c>
      <c r="K6" s="719" t="s">
        <v>99</v>
      </c>
      <c r="L6" s="720" t="s">
        <v>86</v>
      </c>
      <c r="M6" s="717" t="s">
        <v>99</v>
      </c>
      <c r="N6" s="717" t="s">
        <v>1201</v>
      </c>
      <c r="O6" s="721" t="s">
        <v>99</v>
      </c>
      <c r="P6" s="717" t="s">
        <v>99</v>
      </c>
      <c r="Q6" s="719" t="s">
        <v>99</v>
      </c>
      <c r="R6" s="719" t="s">
        <v>99</v>
      </c>
      <c r="S6" s="722" t="s">
        <v>99</v>
      </c>
    </row>
    <row r="7" spans="2:19">
      <c r="B7" s="857" t="s">
        <v>101</v>
      </c>
      <c r="C7" s="857"/>
      <c r="D7" s="857"/>
      <c r="E7" s="724"/>
      <c r="F7" s="724"/>
      <c r="G7" s="724"/>
      <c r="H7" s="858"/>
      <c r="I7" s="859"/>
      <c r="J7" s="860"/>
      <c r="K7" s="859"/>
      <c r="L7" s="859"/>
      <c r="M7" s="860"/>
      <c r="N7" s="860"/>
      <c r="O7" s="728"/>
      <c r="P7" s="860"/>
      <c r="Q7" s="859"/>
      <c r="R7" s="859"/>
      <c r="S7" s="859"/>
    </row>
    <row r="8" spans="2:19">
      <c r="B8" s="861" t="s">
        <v>102</v>
      </c>
      <c r="C8" t="s">
        <v>1009</v>
      </c>
      <c r="D8" s="730" t="s">
        <v>110</v>
      </c>
      <c r="E8" s="731">
        <v>777123.40992239723</v>
      </c>
      <c r="F8" s="731">
        <v>21990.970294664148</v>
      </c>
      <c r="G8" s="731">
        <v>799114.38021706138</v>
      </c>
      <c r="H8" s="732">
        <v>0</v>
      </c>
      <c r="I8" s="745" t="s">
        <v>258</v>
      </c>
      <c r="J8" s="734">
        <v>799114.38021706138</v>
      </c>
      <c r="K8" s="735">
        <v>0</v>
      </c>
      <c r="L8" s="735" t="s">
        <v>103</v>
      </c>
      <c r="M8" s="734">
        <v>0</v>
      </c>
      <c r="N8" s="734" t="s">
        <v>103</v>
      </c>
      <c r="O8" s="736">
        <v>0</v>
      </c>
      <c r="P8" s="737">
        <v>0</v>
      </c>
      <c r="Q8" s="736">
        <v>0</v>
      </c>
      <c r="R8" s="735" t="s">
        <v>103</v>
      </c>
      <c r="S8" s="735" t="s">
        <v>103</v>
      </c>
    </row>
    <row r="9" spans="2:19" s="101" customFormat="1">
      <c r="B9" s="738" t="s">
        <v>1225</v>
      </c>
      <c r="C9" s="738"/>
      <c r="D9" s="738"/>
      <c r="E9" s="739">
        <v>777123.40992239723</v>
      </c>
      <c r="F9" s="739">
        <v>21990.970294664148</v>
      </c>
      <c r="G9" s="739">
        <v>799114.38021706138</v>
      </c>
      <c r="H9" s="740">
        <v>0</v>
      </c>
      <c r="I9" s="741"/>
      <c r="J9" s="742">
        <v>799114.38021706138</v>
      </c>
      <c r="K9" s="742">
        <v>0</v>
      </c>
      <c r="L9" s="741"/>
      <c r="M9" s="742">
        <v>0</v>
      </c>
      <c r="N9" s="742">
        <v>0</v>
      </c>
      <c r="O9" s="743">
        <v>0</v>
      </c>
      <c r="P9" s="742">
        <v>0</v>
      </c>
      <c r="Q9" s="744">
        <v>0</v>
      </c>
      <c r="R9" s="741" t="s">
        <v>103</v>
      </c>
      <c r="S9" s="741" t="s">
        <v>103</v>
      </c>
    </row>
    <row r="10" spans="2:19">
      <c r="B10" s="857" t="s">
        <v>106</v>
      </c>
      <c r="C10" s="857"/>
      <c r="D10" s="857"/>
      <c r="E10" s="724"/>
      <c r="F10" s="724"/>
      <c r="G10" s="724"/>
      <c r="H10" s="858"/>
      <c r="I10" s="859"/>
      <c r="J10" s="860"/>
      <c r="K10" s="859"/>
      <c r="L10" s="859"/>
      <c r="M10" s="860"/>
      <c r="N10" s="860"/>
      <c r="O10" s="728"/>
      <c r="P10" s="860"/>
      <c r="Q10" s="859"/>
      <c r="R10" s="859"/>
      <c r="S10" s="859"/>
    </row>
    <row r="11" spans="2:19">
      <c r="B11" s="861" t="s">
        <v>107</v>
      </c>
      <c r="C11" t="s">
        <v>1009</v>
      </c>
      <c r="D11" s="730" t="s">
        <v>110</v>
      </c>
      <c r="E11" s="731">
        <v>182669.08146350988</v>
      </c>
      <c r="F11" s="731">
        <v>4136.7977475532471</v>
      </c>
      <c r="G11" s="731">
        <v>186805.87921106312</v>
      </c>
      <c r="H11" s="732">
        <v>0</v>
      </c>
      <c r="I11" s="745" t="s">
        <v>258</v>
      </c>
      <c r="J11" s="734">
        <v>186805.87921106312</v>
      </c>
      <c r="K11" s="735">
        <v>0</v>
      </c>
      <c r="L11" s="735" t="s">
        <v>103</v>
      </c>
      <c r="M11" s="734">
        <v>0</v>
      </c>
      <c r="N11" s="734" t="s">
        <v>103</v>
      </c>
      <c r="O11" s="736">
        <v>0</v>
      </c>
      <c r="P11" s="737">
        <v>0</v>
      </c>
      <c r="Q11" s="736">
        <v>0</v>
      </c>
      <c r="R11" s="735" t="s">
        <v>103</v>
      </c>
      <c r="S11" s="735" t="s">
        <v>103</v>
      </c>
    </row>
    <row r="12" spans="2:19" s="101" customFormat="1">
      <c r="B12" s="738" t="s">
        <v>1228</v>
      </c>
      <c r="C12" s="738" t="s">
        <v>150</v>
      </c>
      <c r="D12" s="738" t="s">
        <v>150</v>
      </c>
      <c r="E12" s="739">
        <v>182669.08146350988</v>
      </c>
      <c r="F12" s="739">
        <v>4136.7977475532471</v>
      </c>
      <c r="G12" s="739">
        <v>186805.87921106312</v>
      </c>
      <c r="H12" s="740">
        <v>0</v>
      </c>
      <c r="I12" s="741"/>
      <c r="J12" s="742">
        <v>186805.87921106312</v>
      </c>
      <c r="K12" s="742">
        <v>0</v>
      </c>
      <c r="L12" s="741"/>
      <c r="M12" s="742">
        <v>0</v>
      </c>
      <c r="N12" s="742">
        <v>0</v>
      </c>
      <c r="O12" s="743">
        <v>0</v>
      </c>
      <c r="P12" s="742">
        <v>0</v>
      </c>
      <c r="Q12" s="744">
        <v>0</v>
      </c>
      <c r="R12" s="741" t="s">
        <v>103</v>
      </c>
      <c r="S12" s="741" t="s">
        <v>103</v>
      </c>
    </row>
    <row r="13" spans="2:19">
      <c r="B13" s="857" t="s">
        <v>108</v>
      </c>
      <c r="C13" s="857"/>
      <c r="D13" s="857"/>
      <c r="E13" s="724"/>
      <c r="F13" s="724"/>
      <c r="G13" s="724"/>
      <c r="H13" s="858"/>
      <c r="I13" s="859"/>
      <c r="J13" s="860"/>
      <c r="K13" s="859"/>
      <c r="L13" s="859"/>
      <c r="M13" s="860"/>
      <c r="N13" s="860"/>
      <c r="O13" s="728"/>
      <c r="P13" s="860"/>
      <c r="Q13" s="859"/>
      <c r="R13" s="859"/>
      <c r="S13" s="859"/>
    </row>
    <row r="14" spans="2:19">
      <c r="B14" s="861" t="s">
        <v>109</v>
      </c>
      <c r="C14" t="s">
        <v>1009</v>
      </c>
      <c r="D14" s="730" t="s">
        <v>110</v>
      </c>
      <c r="E14" s="747">
        <v>111389.31708515997</v>
      </c>
      <c r="F14" s="747">
        <v>3246.4867665170968</v>
      </c>
      <c r="G14" s="747">
        <v>114635.80385167708</v>
      </c>
      <c r="H14" s="694">
        <v>0</v>
      </c>
      <c r="I14" s="749" t="s">
        <v>258</v>
      </c>
      <c r="J14" s="750">
        <v>114635.80385167708</v>
      </c>
      <c r="K14" s="735">
        <v>0</v>
      </c>
      <c r="L14" s="735" t="s">
        <v>103</v>
      </c>
      <c r="M14" s="750">
        <v>0</v>
      </c>
      <c r="N14" s="750" t="s">
        <v>103</v>
      </c>
      <c r="O14" s="736">
        <v>0</v>
      </c>
      <c r="P14" s="693">
        <v>0</v>
      </c>
      <c r="Q14" s="752">
        <v>0</v>
      </c>
      <c r="R14" t="s">
        <v>103</v>
      </c>
      <c r="S14" t="s">
        <v>103</v>
      </c>
    </row>
    <row r="15" spans="2:19">
      <c r="B15" s="861" t="s">
        <v>111</v>
      </c>
      <c r="C15" t="s">
        <v>1009</v>
      </c>
      <c r="D15" s="730" t="s">
        <v>110</v>
      </c>
      <c r="E15" s="731">
        <v>639114.72197901784</v>
      </c>
      <c r="F15" s="731">
        <v>32539.57236851746</v>
      </c>
      <c r="G15" s="731">
        <v>671654.29434753535</v>
      </c>
      <c r="H15" s="694">
        <v>0</v>
      </c>
      <c r="I15" s="745" t="s">
        <v>258</v>
      </c>
      <c r="J15" s="734">
        <v>671654.29434753535</v>
      </c>
      <c r="K15" s="735">
        <v>0</v>
      </c>
      <c r="L15" s="735" t="s">
        <v>103</v>
      </c>
      <c r="M15" s="734">
        <v>0</v>
      </c>
      <c r="N15" s="734" t="s">
        <v>103</v>
      </c>
      <c r="O15" s="736">
        <v>0</v>
      </c>
      <c r="P15" s="693">
        <v>0</v>
      </c>
      <c r="Q15" s="736">
        <v>0</v>
      </c>
      <c r="R15" t="s">
        <v>103</v>
      </c>
      <c r="S15" t="s">
        <v>103</v>
      </c>
    </row>
    <row r="16" spans="2:19" s="101" customFormat="1">
      <c r="B16" s="738" t="s">
        <v>1231</v>
      </c>
      <c r="C16" s="738" t="s">
        <v>150</v>
      </c>
      <c r="D16" s="738" t="s">
        <v>150</v>
      </c>
      <c r="E16" s="739">
        <v>750504.03906417778</v>
      </c>
      <c r="F16" s="739">
        <v>35786.059135034557</v>
      </c>
      <c r="G16" s="739">
        <v>786290.09819921246</v>
      </c>
      <c r="H16" s="740">
        <v>0</v>
      </c>
      <c r="I16" s="741"/>
      <c r="J16" s="742">
        <v>786290.09819921246</v>
      </c>
      <c r="K16" s="742">
        <v>0</v>
      </c>
      <c r="L16" s="741"/>
      <c r="M16" s="742">
        <v>0</v>
      </c>
      <c r="N16" s="742">
        <v>0</v>
      </c>
      <c r="O16" s="743">
        <v>0</v>
      </c>
      <c r="P16" s="742">
        <v>0</v>
      </c>
      <c r="Q16" s="744">
        <v>0</v>
      </c>
      <c r="R16" s="741" t="s">
        <v>103</v>
      </c>
      <c r="S16" s="741" t="s">
        <v>103</v>
      </c>
    </row>
    <row r="17" spans="2:19">
      <c r="B17" s="857" t="s">
        <v>112</v>
      </c>
      <c r="C17" s="857"/>
      <c r="D17" s="857"/>
      <c r="E17" s="724"/>
      <c r="F17" s="724"/>
      <c r="G17" s="724"/>
      <c r="H17" s="858"/>
      <c r="I17" s="859"/>
      <c r="J17" s="860"/>
      <c r="K17" s="859"/>
      <c r="L17" s="859"/>
      <c r="M17" s="860"/>
      <c r="N17" s="860"/>
      <c r="O17" s="728"/>
      <c r="P17" s="860"/>
      <c r="Q17" s="859"/>
      <c r="R17" s="859"/>
      <c r="S17" s="859"/>
    </row>
    <row r="18" spans="2:19">
      <c r="B18" s="861" t="s">
        <v>113</v>
      </c>
      <c r="C18" t="s">
        <v>1009</v>
      </c>
      <c r="D18" s="730" t="s">
        <v>110</v>
      </c>
      <c r="E18" s="747">
        <v>703133.56503441371</v>
      </c>
      <c r="F18" s="747">
        <v>19615.368527634266</v>
      </c>
      <c r="G18" s="747">
        <v>722748.93356204813</v>
      </c>
      <c r="H18" s="694">
        <v>0</v>
      </c>
      <c r="I18" s="749" t="s">
        <v>258</v>
      </c>
      <c r="J18" s="750">
        <v>722748.93356204813</v>
      </c>
      <c r="K18" s="735">
        <v>0</v>
      </c>
      <c r="L18" s="735" t="s">
        <v>103</v>
      </c>
      <c r="M18" s="750">
        <v>0</v>
      </c>
      <c r="N18" s="750" t="s">
        <v>103</v>
      </c>
      <c r="O18" s="736">
        <v>0</v>
      </c>
      <c r="P18" s="693">
        <v>0</v>
      </c>
      <c r="Q18" s="752">
        <v>0</v>
      </c>
      <c r="R18" t="s">
        <v>103</v>
      </c>
      <c r="S18" t="s">
        <v>103</v>
      </c>
    </row>
    <row r="19" spans="2:19">
      <c r="B19" s="861" t="s">
        <v>126</v>
      </c>
      <c r="C19" t="s">
        <v>1009</v>
      </c>
      <c r="D19" s="730" t="s">
        <v>110</v>
      </c>
      <c r="E19" s="747">
        <v>-53851.5927862026</v>
      </c>
      <c r="F19" s="747">
        <v>52381.542250622369</v>
      </c>
      <c r="G19" s="747">
        <v>-93627.460535579987</v>
      </c>
      <c r="H19" s="694">
        <v>-1.7874132091723121</v>
      </c>
      <c r="I19" s="749" t="s">
        <v>258</v>
      </c>
      <c r="J19" s="750">
        <v>-93627.460535579987</v>
      </c>
      <c r="K19" s="735">
        <v>0</v>
      </c>
      <c r="L19" s="735" t="s">
        <v>103</v>
      </c>
      <c r="M19" s="750">
        <v>0</v>
      </c>
      <c r="N19" s="750" t="s">
        <v>103</v>
      </c>
      <c r="O19" s="736">
        <v>0</v>
      </c>
      <c r="P19" s="693">
        <v>0</v>
      </c>
      <c r="Q19" s="752">
        <v>0</v>
      </c>
      <c r="R19" t="s">
        <v>103</v>
      </c>
      <c r="S19" t="s">
        <v>103</v>
      </c>
    </row>
    <row r="20" spans="2:19">
      <c r="B20" s="861" t="s">
        <v>132</v>
      </c>
      <c r="C20" t="s">
        <v>1009</v>
      </c>
      <c r="D20" s="730" t="s">
        <v>110</v>
      </c>
      <c r="E20" s="747">
        <v>138037.82448601807</v>
      </c>
      <c r="F20" s="747">
        <v>7474.0608844109338</v>
      </c>
      <c r="G20" s="747">
        <v>145511.88537042896</v>
      </c>
      <c r="H20" s="694">
        <v>0</v>
      </c>
      <c r="I20" s="749" t="s">
        <v>258</v>
      </c>
      <c r="J20" s="750">
        <v>145511.88537042896</v>
      </c>
      <c r="K20" s="735">
        <v>0</v>
      </c>
      <c r="L20" s="735" t="s">
        <v>103</v>
      </c>
      <c r="M20" s="750">
        <v>0</v>
      </c>
      <c r="N20" s="750" t="s">
        <v>103</v>
      </c>
      <c r="O20" s="736">
        <v>0</v>
      </c>
      <c r="P20" s="693">
        <v>0</v>
      </c>
      <c r="Q20" s="752">
        <v>0</v>
      </c>
      <c r="R20" t="s">
        <v>103</v>
      </c>
      <c r="S20" t="s">
        <v>103</v>
      </c>
    </row>
    <row r="21" spans="2:19">
      <c r="B21" s="861" t="s">
        <v>133</v>
      </c>
      <c r="C21" t="s">
        <v>1009</v>
      </c>
      <c r="D21" s="730" t="s">
        <v>110</v>
      </c>
      <c r="E21" s="747">
        <v>3369157.8357515768</v>
      </c>
      <c r="F21" s="747">
        <v>67257.676666893633</v>
      </c>
      <c r="G21" s="747">
        <v>3436415.5124184703</v>
      </c>
      <c r="H21" s="694">
        <v>0</v>
      </c>
      <c r="I21" s="749" t="s">
        <v>258</v>
      </c>
      <c r="J21" s="750">
        <v>3436415.5124184703</v>
      </c>
      <c r="K21" s="735">
        <v>0</v>
      </c>
      <c r="L21" s="735" t="s">
        <v>103</v>
      </c>
      <c r="M21" s="750">
        <v>0</v>
      </c>
      <c r="N21" s="750" t="s">
        <v>103</v>
      </c>
      <c r="O21" s="736">
        <v>0</v>
      </c>
      <c r="P21" s="693">
        <v>0</v>
      </c>
      <c r="Q21" s="752">
        <v>0</v>
      </c>
      <c r="R21" t="s">
        <v>103</v>
      </c>
      <c r="S21" t="s">
        <v>103</v>
      </c>
    </row>
    <row r="22" spans="2:19">
      <c r="B22" s="861" t="s">
        <v>134</v>
      </c>
      <c r="C22" t="s">
        <v>1009</v>
      </c>
      <c r="D22" s="730" t="s">
        <v>110</v>
      </c>
      <c r="E22" s="747">
        <v>821178.60923536401</v>
      </c>
      <c r="F22" s="747">
        <v>16189.681119820138</v>
      </c>
      <c r="G22" s="747">
        <v>837368.290355184</v>
      </c>
      <c r="H22" s="694">
        <v>0</v>
      </c>
      <c r="I22" s="749" t="s">
        <v>258</v>
      </c>
      <c r="J22" s="750">
        <v>837368.290355184</v>
      </c>
      <c r="K22" s="735">
        <v>0</v>
      </c>
      <c r="L22" s="735" t="s">
        <v>103</v>
      </c>
      <c r="M22" s="750">
        <v>0</v>
      </c>
      <c r="N22" s="750" t="s">
        <v>103</v>
      </c>
      <c r="O22" s="736">
        <v>0</v>
      </c>
      <c r="P22" s="693">
        <v>0</v>
      </c>
      <c r="Q22" s="752">
        <v>0</v>
      </c>
      <c r="R22" t="s">
        <v>103</v>
      </c>
      <c r="S22" t="s">
        <v>103</v>
      </c>
    </row>
    <row r="23" spans="2:19">
      <c r="B23" s="861" t="s">
        <v>135</v>
      </c>
      <c r="C23" t="s">
        <v>1009</v>
      </c>
      <c r="D23" s="730" t="s">
        <v>110</v>
      </c>
      <c r="E23" s="747">
        <v>5694241.8135652468</v>
      </c>
      <c r="F23" s="747">
        <v>336744.75959244178</v>
      </c>
      <c r="G23" s="747">
        <v>6030986.5731576886</v>
      </c>
      <c r="H23" s="694">
        <v>0</v>
      </c>
      <c r="I23" s="862" t="s">
        <v>258</v>
      </c>
      <c r="J23" s="863">
        <v>6030986.5731576886</v>
      </c>
      <c r="K23" s="735">
        <v>0</v>
      </c>
      <c r="L23" s="735" t="s">
        <v>103</v>
      </c>
      <c r="M23" s="863">
        <v>0</v>
      </c>
      <c r="N23" s="863" t="s">
        <v>103</v>
      </c>
      <c r="O23" s="736">
        <v>0</v>
      </c>
      <c r="P23" s="693">
        <v>0</v>
      </c>
      <c r="Q23" s="752">
        <v>0</v>
      </c>
      <c r="R23" t="s">
        <v>103</v>
      </c>
      <c r="S23" t="s">
        <v>103</v>
      </c>
    </row>
    <row r="24" spans="2:19" s="101" customFormat="1">
      <c r="B24" s="738" t="s">
        <v>1235</v>
      </c>
      <c r="C24" s="738"/>
      <c r="D24" s="738"/>
      <c r="E24" s="739">
        <v>10671898.055286417</v>
      </c>
      <c r="F24" s="739">
        <v>499663.08904182311</v>
      </c>
      <c r="G24" s="739">
        <v>11079403.73432824</v>
      </c>
      <c r="H24" s="740">
        <v>0</v>
      </c>
      <c r="I24" s="741"/>
      <c r="J24" s="742">
        <v>11079403.73432824</v>
      </c>
      <c r="K24" s="742">
        <v>0</v>
      </c>
      <c r="L24" s="741"/>
      <c r="M24" s="742">
        <v>0</v>
      </c>
      <c r="N24" s="742">
        <v>0</v>
      </c>
      <c r="O24" s="743">
        <v>0</v>
      </c>
      <c r="P24" s="742">
        <v>0</v>
      </c>
      <c r="Q24" s="744">
        <v>0</v>
      </c>
      <c r="R24" s="741" t="s">
        <v>103</v>
      </c>
      <c r="S24" s="741" t="s">
        <v>103</v>
      </c>
    </row>
    <row r="25" spans="2:19">
      <c r="B25" s="857" t="s">
        <v>140</v>
      </c>
      <c r="C25" s="857"/>
      <c r="D25" s="857"/>
      <c r="E25" s="724"/>
      <c r="F25" s="724"/>
      <c r="G25" s="724"/>
      <c r="H25" s="858">
        <v>0</v>
      </c>
      <c r="I25" s="859"/>
      <c r="J25" s="860"/>
      <c r="K25" s="859"/>
      <c r="L25" s="859"/>
      <c r="M25" s="860"/>
      <c r="N25" s="860"/>
      <c r="O25" s="728"/>
      <c r="P25" s="860"/>
      <c r="Q25" s="859"/>
      <c r="R25" s="859"/>
      <c r="S25" s="859"/>
    </row>
    <row r="26" spans="2:19">
      <c r="B26" s="861" t="s">
        <v>141</v>
      </c>
      <c r="C26" t="s">
        <v>1009</v>
      </c>
      <c r="D26" s="730" t="s">
        <v>110</v>
      </c>
      <c r="E26" s="747">
        <v>1402729.6366130144</v>
      </c>
      <c r="F26" s="747">
        <v>83995.538386566797</v>
      </c>
      <c r="G26" s="747">
        <v>1486725.174999581</v>
      </c>
      <c r="H26" s="694">
        <v>0</v>
      </c>
      <c r="I26" s="749" t="s">
        <v>258</v>
      </c>
      <c r="J26" s="750">
        <v>1486725.174999581</v>
      </c>
      <c r="K26" s="735">
        <v>0</v>
      </c>
      <c r="L26" s="735" t="s">
        <v>103</v>
      </c>
      <c r="M26" s="750">
        <v>0</v>
      </c>
      <c r="N26" s="750" t="s">
        <v>103</v>
      </c>
      <c r="O26" s="736">
        <v>0</v>
      </c>
      <c r="P26" s="693">
        <v>0</v>
      </c>
      <c r="Q26" s="752">
        <v>0</v>
      </c>
      <c r="R26" t="s">
        <v>103</v>
      </c>
      <c r="S26" t="s">
        <v>103</v>
      </c>
    </row>
    <row r="27" spans="2:19">
      <c r="B27" s="861" t="s">
        <v>142</v>
      </c>
      <c r="C27" t="s">
        <v>1009</v>
      </c>
      <c r="D27" s="730" t="s">
        <v>110</v>
      </c>
      <c r="E27" s="747">
        <v>585271.18619405536</v>
      </c>
      <c r="F27" s="747">
        <v>55098.071918135829</v>
      </c>
      <c r="G27" s="747">
        <v>640369.25811219111</v>
      </c>
      <c r="H27" s="694">
        <v>0</v>
      </c>
      <c r="I27" s="862" t="s">
        <v>258</v>
      </c>
      <c r="J27" s="863">
        <v>640369.25811219111</v>
      </c>
      <c r="K27" s="735">
        <v>0</v>
      </c>
      <c r="L27" s="735" t="s">
        <v>103</v>
      </c>
      <c r="M27" s="863">
        <v>0</v>
      </c>
      <c r="N27" s="863" t="s">
        <v>103</v>
      </c>
      <c r="O27" s="736">
        <v>0</v>
      </c>
      <c r="P27" s="693">
        <v>0</v>
      </c>
      <c r="Q27" s="752">
        <v>0</v>
      </c>
      <c r="R27" t="s">
        <v>103</v>
      </c>
      <c r="S27" t="s">
        <v>103</v>
      </c>
    </row>
    <row r="28" spans="2:19" s="101" customFormat="1">
      <c r="B28" s="738" t="s">
        <v>1243</v>
      </c>
      <c r="C28" s="738"/>
      <c r="D28" s="738"/>
      <c r="E28" s="739">
        <v>1988000.8228070699</v>
      </c>
      <c r="F28" s="739">
        <v>139093.61030470263</v>
      </c>
      <c r="G28" s="739">
        <v>2127094.4331117719</v>
      </c>
      <c r="H28" s="740">
        <v>0</v>
      </c>
      <c r="I28" s="741"/>
      <c r="J28" s="742">
        <v>2127094.4331117719</v>
      </c>
      <c r="K28" s="742">
        <v>0</v>
      </c>
      <c r="L28" s="741"/>
      <c r="M28" s="742">
        <v>0</v>
      </c>
      <c r="N28" s="742">
        <v>0</v>
      </c>
      <c r="O28" s="743">
        <v>0</v>
      </c>
      <c r="P28" s="742">
        <v>0</v>
      </c>
      <c r="Q28" s="744">
        <v>0</v>
      </c>
      <c r="R28" s="741" t="s">
        <v>103</v>
      </c>
      <c r="S28" s="741" t="s">
        <v>103</v>
      </c>
    </row>
    <row r="29" spans="2:19">
      <c r="B29" s="857" t="s">
        <v>143</v>
      </c>
      <c r="C29" s="857"/>
      <c r="D29" s="857"/>
      <c r="E29" s="724"/>
      <c r="F29" s="724"/>
      <c r="G29" s="724"/>
      <c r="H29" s="858">
        <v>0</v>
      </c>
      <c r="I29" s="859"/>
      <c r="J29" s="860"/>
      <c r="K29" s="859"/>
      <c r="L29" s="859"/>
      <c r="M29" s="860"/>
      <c r="N29" s="860"/>
      <c r="O29" s="728"/>
      <c r="P29" s="860"/>
      <c r="Q29" s="859"/>
      <c r="R29" s="859"/>
      <c r="S29" s="859"/>
    </row>
    <row r="30" spans="2:19">
      <c r="B30" s="861" t="s">
        <v>144</v>
      </c>
      <c r="C30" t="s">
        <v>1009</v>
      </c>
      <c r="D30" s="730" t="s">
        <v>110</v>
      </c>
      <c r="E30" s="747">
        <v>1237077.7063350533</v>
      </c>
      <c r="F30" s="747">
        <v>33081.285999497646</v>
      </c>
      <c r="G30" s="747">
        <v>1270158.9923345509</v>
      </c>
      <c r="H30" s="694">
        <v>0</v>
      </c>
      <c r="I30" s="749" t="s">
        <v>258</v>
      </c>
      <c r="J30" s="750">
        <v>1270158.9923345509</v>
      </c>
      <c r="K30" s="735">
        <v>0</v>
      </c>
      <c r="L30" s="735" t="s">
        <v>103</v>
      </c>
      <c r="M30" s="750">
        <v>0</v>
      </c>
      <c r="N30" s="750" t="s">
        <v>103</v>
      </c>
      <c r="O30" s="736">
        <v>0</v>
      </c>
      <c r="P30" s="693">
        <v>0</v>
      </c>
      <c r="Q30" s="752">
        <v>0</v>
      </c>
      <c r="R30" t="s">
        <v>103</v>
      </c>
      <c r="S30" t="s">
        <v>103</v>
      </c>
    </row>
    <row r="31" spans="2:19">
      <c r="B31" s="861" t="s">
        <v>145</v>
      </c>
      <c r="C31" t="s">
        <v>1009</v>
      </c>
      <c r="D31" s="730" t="s">
        <v>110</v>
      </c>
      <c r="E31" s="747">
        <v>6517546.7669859175</v>
      </c>
      <c r="F31" s="747">
        <v>341812.84093305899</v>
      </c>
      <c r="G31" s="747">
        <v>6859359.6079189768</v>
      </c>
      <c r="H31" s="694">
        <v>0</v>
      </c>
      <c r="I31" s="749" t="s">
        <v>258</v>
      </c>
      <c r="J31" s="750">
        <v>6859359.6079189768</v>
      </c>
      <c r="K31" s="735">
        <v>0</v>
      </c>
      <c r="L31" s="735" t="s">
        <v>103</v>
      </c>
      <c r="M31" s="750">
        <v>0</v>
      </c>
      <c r="N31" s="750" t="s">
        <v>103</v>
      </c>
      <c r="O31" s="736">
        <v>0</v>
      </c>
      <c r="P31" s="693">
        <v>0</v>
      </c>
      <c r="Q31" s="752">
        <v>0</v>
      </c>
      <c r="R31" t="s">
        <v>103</v>
      </c>
      <c r="S31" t="s">
        <v>103</v>
      </c>
    </row>
    <row r="32" spans="2:19">
      <c r="B32" s="861" t="s">
        <v>157</v>
      </c>
      <c r="C32" t="s">
        <v>1009</v>
      </c>
      <c r="D32" s="730" t="s">
        <v>110</v>
      </c>
      <c r="E32" s="747">
        <v>-576512.49829408189</v>
      </c>
      <c r="F32" s="747">
        <v>215759.75579058175</v>
      </c>
      <c r="G32" s="747">
        <v>-360752.74250349979</v>
      </c>
      <c r="H32" s="694">
        <v>1.6720112663348092</v>
      </c>
      <c r="I32" s="749" t="s">
        <v>258</v>
      </c>
      <c r="J32" s="750">
        <v>-360752.74250349979</v>
      </c>
      <c r="K32" s="735">
        <v>0</v>
      </c>
      <c r="L32" s="735" t="s">
        <v>103</v>
      </c>
      <c r="M32" s="750">
        <v>0</v>
      </c>
      <c r="N32" s="750" t="s">
        <v>103</v>
      </c>
      <c r="O32" s="736">
        <v>0</v>
      </c>
      <c r="P32" s="693">
        <v>0</v>
      </c>
      <c r="Q32" s="752">
        <v>0</v>
      </c>
      <c r="R32" t="s">
        <v>103</v>
      </c>
      <c r="S32" t="s">
        <v>103</v>
      </c>
    </row>
    <row r="33" spans="2:19">
      <c r="B33" s="861" t="s">
        <v>160</v>
      </c>
      <c r="C33" t="s">
        <v>1009</v>
      </c>
      <c r="D33" s="730" t="s">
        <v>110</v>
      </c>
      <c r="E33" s="747">
        <v>1126937.228754848</v>
      </c>
      <c r="F33" s="747">
        <v>49590.29839213597</v>
      </c>
      <c r="G33" s="747">
        <v>1176527.5271469837</v>
      </c>
      <c r="H33" s="694">
        <v>0</v>
      </c>
      <c r="I33" s="749" t="s">
        <v>258</v>
      </c>
      <c r="J33" s="750">
        <v>1176527.5271469837</v>
      </c>
      <c r="K33" s="735">
        <v>0</v>
      </c>
      <c r="L33" s="735" t="s">
        <v>103</v>
      </c>
      <c r="M33" s="750">
        <v>0</v>
      </c>
      <c r="N33" s="750" t="s">
        <v>103</v>
      </c>
      <c r="O33" s="736">
        <v>0</v>
      </c>
      <c r="P33" s="693">
        <v>0</v>
      </c>
      <c r="Q33" s="752">
        <v>0</v>
      </c>
      <c r="R33" t="s">
        <v>103</v>
      </c>
      <c r="S33" t="s">
        <v>103</v>
      </c>
    </row>
    <row r="34" spans="2:19">
      <c r="B34" s="861" t="s">
        <v>161</v>
      </c>
      <c r="C34" t="s">
        <v>1009</v>
      </c>
      <c r="D34" s="730" t="s">
        <v>110</v>
      </c>
      <c r="E34" s="747">
        <v>230955.98885376164</v>
      </c>
      <c r="F34" s="747">
        <v>16678.258906229086</v>
      </c>
      <c r="G34" s="747">
        <v>247634.24775999066</v>
      </c>
      <c r="H34" s="694">
        <v>0</v>
      </c>
      <c r="I34" s="749" t="s">
        <v>258</v>
      </c>
      <c r="J34" s="750">
        <v>247634.24775999066</v>
      </c>
      <c r="K34" s="735">
        <v>0</v>
      </c>
      <c r="L34" s="735" t="s">
        <v>103</v>
      </c>
      <c r="M34" s="750">
        <v>0</v>
      </c>
      <c r="N34" s="750" t="s">
        <v>103</v>
      </c>
      <c r="O34" s="736">
        <v>0</v>
      </c>
      <c r="P34" s="693">
        <v>0</v>
      </c>
      <c r="Q34" s="752">
        <v>0</v>
      </c>
      <c r="R34" t="s">
        <v>103</v>
      </c>
      <c r="S34" t="s">
        <v>103</v>
      </c>
    </row>
    <row r="35" spans="2:19">
      <c r="B35" s="861" t="s">
        <v>162</v>
      </c>
      <c r="C35" t="s">
        <v>1009</v>
      </c>
      <c r="D35" s="730" t="s">
        <v>110</v>
      </c>
      <c r="E35" s="747">
        <v>90685.030703674478</v>
      </c>
      <c r="F35" s="747">
        <v>6876.7499093532024</v>
      </c>
      <c r="G35" s="747">
        <v>97561.780613027688</v>
      </c>
      <c r="H35" s="694">
        <v>0</v>
      </c>
      <c r="I35" s="749" t="s">
        <v>258</v>
      </c>
      <c r="J35" s="750">
        <v>97561.780613027688</v>
      </c>
      <c r="K35" s="735">
        <v>0</v>
      </c>
      <c r="L35" s="735" t="s">
        <v>103</v>
      </c>
      <c r="M35" s="750">
        <v>0</v>
      </c>
      <c r="N35" s="750" t="s">
        <v>103</v>
      </c>
      <c r="O35" s="736">
        <v>0</v>
      </c>
      <c r="P35" s="693">
        <v>0</v>
      </c>
      <c r="Q35" s="752">
        <v>0</v>
      </c>
      <c r="R35" t="s">
        <v>103</v>
      </c>
      <c r="S35" t="s">
        <v>103</v>
      </c>
    </row>
    <row r="36" spans="2:19">
      <c r="B36" s="861" t="s">
        <v>163</v>
      </c>
      <c r="C36" t="s">
        <v>1009</v>
      </c>
      <c r="D36" t="s">
        <v>104</v>
      </c>
      <c r="E36" s="747">
        <v>-110670.24799975331</v>
      </c>
      <c r="F36" s="747">
        <v>166501.99197842204</v>
      </c>
      <c r="G36" s="747">
        <v>55831.743978668703</v>
      </c>
      <c r="H36" s="694">
        <v>0</v>
      </c>
      <c r="I36" s="749" t="s">
        <v>258</v>
      </c>
      <c r="J36" s="750">
        <v>55831.743978668703</v>
      </c>
      <c r="K36" s="735">
        <v>0</v>
      </c>
      <c r="L36" s="735" t="s">
        <v>103</v>
      </c>
      <c r="M36" s="750">
        <v>0</v>
      </c>
      <c r="N36" s="750" t="s">
        <v>103</v>
      </c>
      <c r="O36" s="752">
        <v>0</v>
      </c>
      <c r="P36" s="693">
        <v>0</v>
      </c>
      <c r="Q36" s="752">
        <v>0</v>
      </c>
      <c r="R36" t="s">
        <v>103</v>
      </c>
      <c r="S36" t="s">
        <v>103</v>
      </c>
    </row>
    <row r="37" spans="2:19">
      <c r="B37" s="861" t="s">
        <v>168</v>
      </c>
      <c r="C37" t="s">
        <v>1009</v>
      </c>
      <c r="D37" s="730" t="s">
        <v>110</v>
      </c>
      <c r="E37" s="747">
        <v>-90439.511755033061</v>
      </c>
      <c r="F37" s="747">
        <v>105521.07979357633</v>
      </c>
      <c r="G37" s="747">
        <v>15081.56803854293</v>
      </c>
      <c r="H37" s="694">
        <v>0</v>
      </c>
      <c r="I37" s="749" t="s">
        <v>258</v>
      </c>
      <c r="J37" s="750">
        <v>15081.56803854293</v>
      </c>
      <c r="K37" s="735">
        <v>0</v>
      </c>
      <c r="L37" s="735" t="s">
        <v>103</v>
      </c>
      <c r="M37" s="750">
        <v>0</v>
      </c>
      <c r="N37" s="750" t="s">
        <v>103</v>
      </c>
      <c r="O37" s="736">
        <v>0</v>
      </c>
      <c r="P37" s="693">
        <v>0</v>
      </c>
      <c r="Q37" s="752">
        <v>0</v>
      </c>
      <c r="R37" t="s">
        <v>103</v>
      </c>
      <c r="S37" t="s">
        <v>103</v>
      </c>
    </row>
    <row r="38" spans="2:19">
      <c r="B38" s="861" t="s">
        <v>174</v>
      </c>
      <c r="C38" t="s">
        <v>1009</v>
      </c>
      <c r="D38" s="730" t="s">
        <v>110</v>
      </c>
      <c r="E38" s="747">
        <v>-125024.24250791737</v>
      </c>
      <c r="F38" s="747">
        <v>110290.49866286354</v>
      </c>
      <c r="G38" s="747">
        <v>-14733.743845054501</v>
      </c>
      <c r="H38" s="694">
        <v>0.13359032757747041</v>
      </c>
      <c r="I38" s="749" t="s">
        <v>258</v>
      </c>
      <c r="J38" s="750">
        <v>-14733.743845054501</v>
      </c>
      <c r="K38" s="735">
        <v>0</v>
      </c>
      <c r="L38" s="735" t="s">
        <v>103</v>
      </c>
      <c r="M38" s="750">
        <v>0</v>
      </c>
      <c r="N38" s="750" t="s">
        <v>103</v>
      </c>
      <c r="O38" s="736">
        <v>0</v>
      </c>
      <c r="P38" s="693">
        <v>0</v>
      </c>
      <c r="Q38" s="752">
        <v>0</v>
      </c>
      <c r="R38" t="s">
        <v>103</v>
      </c>
      <c r="S38" t="s">
        <v>103</v>
      </c>
    </row>
    <row r="39" spans="2:19">
      <c r="B39" s="861" t="s">
        <v>179</v>
      </c>
      <c r="C39" t="s">
        <v>1009</v>
      </c>
      <c r="D39" s="730" t="s">
        <v>110</v>
      </c>
      <c r="E39" s="747">
        <v>1101165.4581947734</v>
      </c>
      <c r="F39" s="747">
        <v>234891.42308587494</v>
      </c>
      <c r="G39" s="747">
        <v>1327910.2412806125</v>
      </c>
      <c r="H39" s="694">
        <v>0</v>
      </c>
      <c r="I39" s="749" t="s">
        <v>258</v>
      </c>
      <c r="J39" s="750">
        <v>1327910.2412806125</v>
      </c>
      <c r="K39" s="735">
        <v>0</v>
      </c>
      <c r="L39" s="735" t="s">
        <v>103</v>
      </c>
      <c r="M39" s="750">
        <v>0</v>
      </c>
      <c r="N39" s="750" t="s">
        <v>103</v>
      </c>
      <c r="O39" s="752">
        <v>0</v>
      </c>
      <c r="P39" s="693">
        <v>0</v>
      </c>
      <c r="Q39" s="752">
        <v>0</v>
      </c>
      <c r="R39" t="s">
        <v>103</v>
      </c>
      <c r="S39" t="s">
        <v>103</v>
      </c>
    </row>
    <row r="40" spans="2:19">
      <c r="B40" s="861" t="s">
        <v>184</v>
      </c>
      <c r="C40" t="s">
        <v>1009</v>
      </c>
      <c r="D40" s="730" t="s">
        <v>110</v>
      </c>
      <c r="E40" s="747">
        <v>44672.065974952129</v>
      </c>
      <c r="F40" s="747">
        <v>156638.70002946333</v>
      </c>
      <c r="G40" s="747">
        <v>201310.76600441505</v>
      </c>
      <c r="H40" s="694">
        <v>0</v>
      </c>
      <c r="I40" s="749" t="s">
        <v>258</v>
      </c>
      <c r="J40" s="750">
        <v>201310.76600441505</v>
      </c>
      <c r="K40" s="735">
        <v>0</v>
      </c>
      <c r="L40" s="735" t="s">
        <v>103</v>
      </c>
      <c r="M40" s="750">
        <v>0</v>
      </c>
      <c r="N40" s="750" t="s">
        <v>103</v>
      </c>
      <c r="O40" s="736">
        <v>0</v>
      </c>
      <c r="P40" s="693">
        <v>0</v>
      </c>
      <c r="Q40" s="752">
        <v>0</v>
      </c>
      <c r="R40" t="s">
        <v>103</v>
      </c>
      <c r="S40" t="s">
        <v>103</v>
      </c>
    </row>
    <row r="41" spans="2:19">
      <c r="B41" s="861" t="s">
        <v>188</v>
      </c>
      <c r="C41" t="s">
        <v>1009</v>
      </c>
      <c r="D41" s="730" t="s">
        <v>110</v>
      </c>
      <c r="E41" s="747">
        <v>134506.72739675781</v>
      </c>
      <c r="F41" s="747">
        <v>3920.0507521610589</v>
      </c>
      <c r="G41" s="747">
        <v>138426.77814891888</v>
      </c>
      <c r="H41" s="694">
        <v>0</v>
      </c>
      <c r="I41" s="749" t="s">
        <v>258</v>
      </c>
      <c r="J41" s="750">
        <v>138426.77814891888</v>
      </c>
      <c r="K41" s="735">
        <v>0</v>
      </c>
      <c r="L41" s="735" t="s">
        <v>103</v>
      </c>
      <c r="M41" s="750">
        <v>0</v>
      </c>
      <c r="N41" s="750" t="s">
        <v>103</v>
      </c>
      <c r="O41" s="736">
        <v>0</v>
      </c>
      <c r="P41" s="693">
        <v>0</v>
      </c>
      <c r="Q41" s="752">
        <v>0</v>
      </c>
      <c r="R41" t="s">
        <v>103</v>
      </c>
      <c r="S41" t="s">
        <v>103</v>
      </c>
    </row>
    <row r="42" spans="2:19">
      <c r="B42" s="861" t="s">
        <v>189</v>
      </c>
      <c r="C42" t="s">
        <v>1009</v>
      </c>
      <c r="D42" s="730" t="s">
        <v>110</v>
      </c>
      <c r="E42" s="747">
        <v>1100023.3976960052</v>
      </c>
      <c r="F42" s="747">
        <v>27443.851999900449</v>
      </c>
      <c r="G42" s="747">
        <v>1127467.2496959057</v>
      </c>
      <c r="H42" s="694">
        <v>0</v>
      </c>
      <c r="I42" s="749" t="s">
        <v>258</v>
      </c>
      <c r="J42" s="750">
        <v>1127467.2496959057</v>
      </c>
      <c r="K42" s="735">
        <v>0</v>
      </c>
      <c r="L42" s="735" t="s">
        <v>103</v>
      </c>
      <c r="M42" s="750">
        <v>0</v>
      </c>
      <c r="N42" s="750" t="s">
        <v>103</v>
      </c>
      <c r="O42" s="736">
        <v>0</v>
      </c>
      <c r="P42" s="693">
        <v>0</v>
      </c>
      <c r="Q42" s="752">
        <v>0</v>
      </c>
      <c r="R42" t="s">
        <v>103</v>
      </c>
      <c r="S42" t="s">
        <v>103</v>
      </c>
    </row>
    <row r="43" spans="2:19">
      <c r="B43" s="861" t="s">
        <v>190</v>
      </c>
      <c r="C43" t="s">
        <v>1009</v>
      </c>
      <c r="D43" s="730" t="s">
        <v>110</v>
      </c>
      <c r="E43" s="747">
        <v>325992.65009993943</v>
      </c>
      <c r="F43" s="747">
        <v>227687.25032569628</v>
      </c>
      <c r="G43" s="747">
        <v>553679.90042563505</v>
      </c>
      <c r="H43" s="694">
        <v>0</v>
      </c>
      <c r="I43" s="749" t="s">
        <v>258</v>
      </c>
      <c r="J43" s="750">
        <v>553679.90042563505</v>
      </c>
      <c r="K43" s="735">
        <v>0</v>
      </c>
      <c r="L43" s="735" t="s">
        <v>103</v>
      </c>
      <c r="M43" s="750">
        <v>0</v>
      </c>
      <c r="N43" s="750" t="s">
        <v>103</v>
      </c>
      <c r="O43" s="736">
        <v>0</v>
      </c>
      <c r="P43" s="693">
        <v>0</v>
      </c>
      <c r="Q43" s="752">
        <v>0</v>
      </c>
      <c r="R43" t="s">
        <v>103</v>
      </c>
      <c r="S43" t="s">
        <v>103</v>
      </c>
    </row>
    <row r="44" spans="2:19">
      <c r="B44" s="861" t="s">
        <v>201</v>
      </c>
      <c r="C44" t="s">
        <v>1009</v>
      </c>
      <c r="D44" s="730" t="s">
        <v>110</v>
      </c>
      <c r="E44" s="747">
        <v>-131786.64182201255</v>
      </c>
      <c r="F44" s="747">
        <v>66608.677998978819</v>
      </c>
      <c r="G44" s="747">
        <v>-65177.963823033089</v>
      </c>
      <c r="H44" s="694">
        <v>0.97852060393740792</v>
      </c>
      <c r="I44" s="749" t="s">
        <v>258</v>
      </c>
      <c r="J44" s="750">
        <v>-65177.963823033089</v>
      </c>
      <c r="K44" s="735">
        <v>0</v>
      </c>
      <c r="L44" s="735" t="s">
        <v>103</v>
      </c>
      <c r="M44" s="750">
        <v>0</v>
      </c>
      <c r="N44" s="750" t="s">
        <v>103</v>
      </c>
      <c r="O44" s="736">
        <v>0</v>
      </c>
      <c r="P44" s="693">
        <v>0</v>
      </c>
      <c r="Q44" s="752">
        <v>0</v>
      </c>
      <c r="R44" t="s">
        <v>103</v>
      </c>
      <c r="S44" t="s">
        <v>103</v>
      </c>
    </row>
    <row r="45" spans="2:19">
      <c r="B45" s="861" t="s">
        <v>206</v>
      </c>
      <c r="C45" t="s">
        <v>1009</v>
      </c>
      <c r="D45" s="730" t="s">
        <v>110</v>
      </c>
      <c r="E45" s="747">
        <v>767233.68473277811</v>
      </c>
      <c r="F45" s="747">
        <v>89604.778401858275</v>
      </c>
      <c r="G45" s="747">
        <v>856838.46313463629</v>
      </c>
      <c r="H45" s="694">
        <v>0</v>
      </c>
      <c r="I45" s="749" t="s">
        <v>258</v>
      </c>
      <c r="J45" s="750">
        <v>856838.46313463629</v>
      </c>
      <c r="K45" s="735">
        <v>0</v>
      </c>
      <c r="L45" s="735" t="s">
        <v>103</v>
      </c>
      <c r="M45" s="750">
        <v>0</v>
      </c>
      <c r="N45" s="750" t="s">
        <v>103</v>
      </c>
      <c r="O45" s="736">
        <v>0</v>
      </c>
      <c r="P45" s="693">
        <v>0</v>
      </c>
      <c r="Q45" s="752">
        <v>0</v>
      </c>
      <c r="R45" t="s">
        <v>103</v>
      </c>
      <c r="S45" t="s">
        <v>103</v>
      </c>
    </row>
    <row r="46" spans="2:19">
      <c r="B46" s="861" t="s">
        <v>207</v>
      </c>
      <c r="C46" t="s">
        <v>1009</v>
      </c>
      <c r="D46" s="730" t="s">
        <v>110</v>
      </c>
      <c r="E46" s="747">
        <v>1341656.7260933327</v>
      </c>
      <c r="F46" s="747">
        <v>55644.259313218106</v>
      </c>
      <c r="G46" s="747">
        <v>1397300.9854065506</v>
      </c>
      <c r="H46" s="694">
        <v>0</v>
      </c>
      <c r="I46" s="749" t="s">
        <v>258</v>
      </c>
      <c r="J46" s="750">
        <v>1397300.9854065506</v>
      </c>
      <c r="K46" s="735">
        <v>0</v>
      </c>
      <c r="L46" s="735" t="s">
        <v>103</v>
      </c>
      <c r="M46" s="750">
        <v>0</v>
      </c>
      <c r="N46" s="750" t="s">
        <v>103</v>
      </c>
      <c r="O46" s="736">
        <v>0</v>
      </c>
      <c r="P46" s="693">
        <v>0</v>
      </c>
      <c r="Q46" s="752">
        <v>0</v>
      </c>
      <c r="R46" t="s">
        <v>103</v>
      </c>
      <c r="S46" t="s">
        <v>103</v>
      </c>
    </row>
    <row r="47" spans="2:19">
      <c r="B47" s="861" t="s">
        <v>208</v>
      </c>
      <c r="C47" t="s">
        <v>1009</v>
      </c>
      <c r="D47" s="730" t="s">
        <v>110</v>
      </c>
      <c r="E47" s="747">
        <v>5937544.1796218324</v>
      </c>
      <c r="F47" s="747">
        <v>267622.67963720392</v>
      </c>
      <c r="G47" s="747">
        <v>6205166.8592590373</v>
      </c>
      <c r="H47" s="694">
        <v>0</v>
      </c>
      <c r="I47" s="749" t="s">
        <v>258</v>
      </c>
      <c r="J47" s="750">
        <v>6205166.8592590373</v>
      </c>
      <c r="K47" s="735">
        <v>0</v>
      </c>
      <c r="L47" s="735" t="s">
        <v>103</v>
      </c>
      <c r="M47" s="750">
        <v>0</v>
      </c>
      <c r="N47" s="750" t="s">
        <v>103</v>
      </c>
      <c r="O47" s="736">
        <v>0</v>
      </c>
      <c r="P47" s="693">
        <v>0</v>
      </c>
      <c r="Q47" s="752">
        <v>0</v>
      </c>
      <c r="R47" t="s">
        <v>103</v>
      </c>
      <c r="S47" t="s">
        <v>103</v>
      </c>
    </row>
    <row r="48" spans="2:19">
      <c r="B48" s="861" t="s">
        <v>211</v>
      </c>
      <c r="C48" t="s">
        <v>1009</v>
      </c>
      <c r="D48" s="730" t="s">
        <v>110</v>
      </c>
      <c r="E48" s="747">
        <v>2246748.197168143</v>
      </c>
      <c r="F48" s="747">
        <v>161068.75089254641</v>
      </c>
      <c r="G48" s="747">
        <v>312244.94806068891</v>
      </c>
      <c r="H48" s="694">
        <v>0</v>
      </c>
      <c r="I48" s="749" t="s">
        <v>258</v>
      </c>
      <c r="J48" s="750">
        <v>312244.94806068891</v>
      </c>
      <c r="K48" s="735">
        <v>0</v>
      </c>
      <c r="L48" s="735" t="s">
        <v>103</v>
      </c>
      <c r="M48" s="750">
        <v>0</v>
      </c>
      <c r="N48" s="750" t="s">
        <v>103</v>
      </c>
      <c r="O48" s="736">
        <v>0</v>
      </c>
      <c r="P48" s="693">
        <v>0</v>
      </c>
      <c r="Q48" s="752">
        <v>0</v>
      </c>
      <c r="R48" t="s">
        <v>103</v>
      </c>
      <c r="S48" t="s">
        <v>103</v>
      </c>
    </row>
    <row r="49" spans="2:19">
      <c r="B49" s="861" t="s">
        <v>212</v>
      </c>
      <c r="C49" t="s">
        <v>1009</v>
      </c>
      <c r="D49" s="730" t="s">
        <v>110</v>
      </c>
      <c r="E49" s="747">
        <v>229121.05822840313</v>
      </c>
      <c r="F49" s="747">
        <v>56976.64968195965</v>
      </c>
      <c r="G49" s="747">
        <v>286097.70791036251</v>
      </c>
      <c r="H49" s="694">
        <v>0</v>
      </c>
      <c r="I49" s="749" t="s">
        <v>258</v>
      </c>
      <c r="J49" s="750">
        <v>286097.70791036251</v>
      </c>
      <c r="K49" s="735">
        <v>0</v>
      </c>
      <c r="L49" s="735" t="s">
        <v>103</v>
      </c>
      <c r="M49" s="750">
        <v>0</v>
      </c>
      <c r="N49" s="750" t="s">
        <v>103</v>
      </c>
      <c r="O49" s="736">
        <v>0</v>
      </c>
      <c r="P49" s="693">
        <v>0</v>
      </c>
      <c r="Q49" s="752">
        <v>0</v>
      </c>
      <c r="R49" t="s">
        <v>103</v>
      </c>
      <c r="S49" t="s">
        <v>103</v>
      </c>
    </row>
    <row r="50" spans="2:19">
      <c r="B50" s="861" t="s">
        <v>218</v>
      </c>
      <c r="C50" t="s">
        <v>1009</v>
      </c>
      <c r="D50" s="730" t="s">
        <v>110</v>
      </c>
      <c r="E50" s="747">
        <v>-328715.42875508987</v>
      </c>
      <c r="F50" s="747">
        <v>154810.50479454393</v>
      </c>
      <c r="G50" s="747">
        <v>-173904.92396054641</v>
      </c>
      <c r="H50" s="694">
        <v>1.123340591075157</v>
      </c>
      <c r="I50" s="749" t="s">
        <v>258</v>
      </c>
      <c r="J50" s="750">
        <v>-173904.92396054641</v>
      </c>
      <c r="K50" s="735">
        <v>0</v>
      </c>
      <c r="L50" s="735" t="s">
        <v>103</v>
      </c>
      <c r="M50" s="750">
        <v>0</v>
      </c>
      <c r="N50" s="750" t="s">
        <v>103</v>
      </c>
      <c r="O50" s="736">
        <v>0</v>
      </c>
      <c r="P50" s="693">
        <v>0</v>
      </c>
      <c r="Q50" s="752">
        <v>0</v>
      </c>
      <c r="R50" t="s">
        <v>103</v>
      </c>
      <c r="S50" t="s">
        <v>103</v>
      </c>
    </row>
    <row r="51" spans="2:19">
      <c r="B51" s="861" t="s">
        <v>226</v>
      </c>
      <c r="C51" t="s">
        <v>1009</v>
      </c>
      <c r="D51" s="730" t="s">
        <v>110</v>
      </c>
      <c r="E51" s="747">
        <v>1419207.0423158093</v>
      </c>
      <c r="F51" s="747">
        <v>84164.913115920557</v>
      </c>
      <c r="G51" s="747">
        <v>1503371.9554317296</v>
      </c>
      <c r="H51" s="694">
        <v>0</v>
      </c>
      <c r="I51" s="749" t="s">
        <v>258</v>
      </c>
      <c r="J51" s="750">
        <v>1503371.9554317296</v>
      </c>
      <c r="K51" s="735">
        <v>0</v>
      </c>
      <c r="L51" s="735" t="s">
        <v>103</v>
      </c>
      <c r="M51" s="750">
        <v>0</v>
      </c>
      <c r="N51" s="750" t="s">
        <v>103</v>
      </c>
      <c r="O51" s="736">
        <v>0</v>
      </c>
      <c r="P51" s="693">
        <v>0</v>
      </c>
      <c r="Q51" s="752">
        <v>0</v>
      </c>
      <c r="R51" t="s">
        <v>103</v>
      </c>
      <c r="S51" t="s">
        <v>103</v>
      </c>
    </row>
    <row r="52" spans="2:19">
      <c r="B52" s="861" t="s">
        <v>227</v>
      </c>
      <c r="C52" t="s">
        <v>1009</v>
      </c>
      <c r="D52" s="730" t="s">
        <v>110</v>
      </c>
      <c r="E52" s="747">
        <v>2445973.3897297606</v>
      </c>
      <c r="F52" s="747">
        <v>386642.85991754301</v>
      </c>
      <c r="G52" s="747">
        <v>2819363.7596473033</v>
      </c>
      <c r="H52" s="694">
        <v>0</v>
      </c>
      <c r="I52" s="749" t="s">
        <v>258</v>
      </c>
      <c r="J52" s="750">
        <v>2819363.7596473033</v>
      </c>
      <c r="K52" s="735">
        <v>0</v>
      </c>
      <c r="L52" s="735" t="s">
        <v>103</v>
      </c>
      <c r="M52" s="750">
        <v>0</v>
      </c>
      <c r="N52" s="750" t="s">
        <v>103</v>
      </c>
      <c r="O52" s="736">
        <v>0</v>
      </c>
      <c r="P52" s="693">
        <v>0</v>
      </c>
      <c r="Q52" s="752">
        <v>0</v>
      </c>
      <c r="R52" t="s">
        <v>103</v>
      </c>
      <c r="S52" t="s">
        <v>103</v>
      </c>
    </row>
    <row r="53" spans="2:19">
      <c r="B53" s="861" t="s">
        <v>235</v>
      </c>
      <c r="C53" t="s">
        <v>1009</v>
      </c>
      <c r="D53" s="730" t="s">
        <v>110</v>
      </c>
      <c r="E53" s="747">
        <v>-41978.293078060567</v>
      </c>
      <c r="F53" s="747">
        <v>49186.711606304802</v>
      </c>
      <c r="G53" s="747">
        <v>7208.418528244074</v>
      </c>
      <c r="H53" s="694">
        <v>0</v>
      </c>
      <c r="I53" s="749" t="s">
        <v>258</v>
      </c>
      <c r="J53" s="750">
        <v>7208.418528244074</v>
      </c>
      <c r="K53" s="735">
        <v>0</v>
      </c>
      <c r="L53" s="735" t="s">
        <v>103</v>
      </c>
      <c r="M53" s="750">
        <v>0</v>
      </c>
      <c r="N53" s="750" t="s">
        <v>103</v>
      </c>
      <c r="O53" s="736">
        <v>0</v>
      </c>
      <c r="P53" s="693">
        <v>0</v>
      </c>
      <c r="Q53" s="752">
        <v>0</v>
      </c>
      <c r="R53" t="s">
        <v>103</v>
      </c>
      <c r="S53" t="s">
        <v>103</v>
      </c>
    </row>
    <row r="54" spans="2:19">
      <c r="B54" s="861" t="s">
        <v>236</v>
      </c>
      <c r="C54" t="s">
        <v>1009</v>
      </c>
      <c r="D54" s="730" t="s">
        <v>110</v>
      </c>
      <c r="E54" s="747">
        <v>2858184.5305902492</v>
      </c>
      <c r="F54" s="747">
        <v>298965.00778111618</v>
      </c>
      <c r="G54" s="747">
        <v>3157149.5383713655</v>
      </c>
      <c r="H54" s="694">
        <v>0</v>
      </c>
      <c r="I54" s="749" t="s">
        <v>258</v>
      </c>
      <c r="J54" s="750">
        <v>3157149.5383713655</v>
      </c>
      <c r="K54" s="735">
        <v>0</v>
      </c>
      <c r="L54" s="735" t="s">
        <v>103</v>
      </c>
      <c r="M54" s="750">
        <v>0</v>
      </c>
      <c r="N54" s="750" t="s">
        <v>103</v>
      </c>
      <c r="O54" s="736">
        <v>0</v>
      </c>
      <c r="P54" s="693">
        <v>0</v>
      </c>
      <c r="Q54" s="752">
        <v>0</v>
      </c>
      <c r="R54" t="s">
        <v>103</v>
      </c>
      <c r="S54" t="s">
        <v>103</v>
      </c>
    </row>
    <row r="55" spans="2:19">
      <c r="B55" s="861" t="s">
        <v>237</v>
      </c>
      <c r="C55" t="s">
        <v>1009</v>
      </c>
      <c r="D55" s="730" t="s">
        <v>110</v>
      </c>
      <c r="E55" s="747">
        <v>1070274.67662553</v>
      </c>
      <c r="F55" s="747">
        <v>88417.549499363187</v>
      </c>
      <c r="G55" s="747">
        <v>1158692.2261248934</v>
      </c>
      <c r="H55" s="694">
        <v>0</v>
      </c>
      <c r="I55" s="749" t="s">
        <v>258</v>
      </c>
      <c r="J55" s="750">
        <v>1158692.2261248934</v>
      </c>
      <c r="K55" s="735">
        <v>0</v>
      </c>
      <c r="L55" s="735" t="s">
        <v>103</v>
      </c>
      <c r="M55" s="750">
        <v>0</v>
      </c>
      <c r="N55" s="750" t="s">
        <v>103</v>
      </c>
      <c r="O55" s="736">
        <v>0</v>
      </c>
      <c r="P55" s="693">
        <v>0</v>
      </c>
      <c r="Q55" s="752">
        <v>0</v>
      </c>
      <c r="R55" t="s">
        <v>103</v>
      </c>
      <c r="S55" t="s">
        <v>103</v>
      </c>
    </row>
    <row r="56" spans="2:19">
      <c r="B56" s="861" t="s">
        <v>238</v>
      </c>
      <c r="C56" t="s">
        <v>1009</v>
      </c>
      <c r="D56" s="730" t="s">
        <v>110</v>
      </c>
      <c r="E56" s="747">
        <v>-1494372.5693517136</v>
      </c>
      <c r="F56" s="747">
        <v>221845.00808983887</v>
      </c>
      <c r="G56" s="747">
        <v>-1272527.5612618753</v>
      </c>
      <c r="H56" s="694">
        <v>5.7361108650529093</v>
      </c>
      <c r="I56" s="749" t="s">
        <v>258</v>
      </c>
      <c r="J56" s="750">
        <v>-1272527.5612618753</v>
      </c>
      <c r="K56" s="735">
        <v>0</v>
      </c>
      <c r="L56" s="735" t="s">
        <v>103</v>
      </c>
      <c r="M56" s="750">
        <v>0</v>
      </c>
      <c r="N56" s="750" t="s">
        <v>103</v>
      </c>
      <c r="O56" s="736">
        <v>0</v>
      </c>
      <c r="P56" s="693">
        <v>0</v>
      </c>
      <c r="Q56" s="752">
        <v>0</v>
      </c>
      <c r="R56" t="s">
        <v>103</v>
      </c>
      <c r="S56" t="s">
        <v>103</v>
      </c>
    </row>
    <row r="57" spans="2:19">
      <c r="B57" s="861" t="s">
        <v>247</v>
      </c>
      <c r="C57" t="s">
        <v>1009</v>
      </c>
      <c r="D57" s="730" t="s">
        <v>110</v>
      </c>
      <c r="E57" s="747">
        <v>70889.34448827077</v>
      </c>
      <c r="F57" s="747">
        <v>5305.8812897524158</v>
      </c>
      <c r="G57" s="747">
        <v>76195.225778023188</v>
      </c>
      <c r="H57" s="694">
        <v>0</v>
      </c>
      <c r="I57" s="749" t="s">
        <v>258</v>
      </c>
      <c r="J57" s="750">
        <v>76195.225778023188</v>
      </c>
      <c r="K57" s="735">
        <v>0</v>
      </c>
      <c r="L57" s="735" t="s">
        <v>103</v>
      </c>
      <c r="M57" s="750">
        <v>0</v>
      </c>
      <c r="N57" s="750" t="s">
        <v>103</v>
      </c>
      <c r="O57" s="736">
        <v>0</v>
      </c>
      <c r="P57" s="693">
        <v>0</v>
      </c>
      <c r="Q57" s="752">
        <v>0</v>
      </c>
      <c r="R57" t="s">
        <v>103</v>
      </c>
      <c r="S57" t="s">
        <v>103</v>
      </c>
    </row>
    <row r="58" spans="2:19">
      <c r="B58" s="861" t="s">
        <v>248</v>
      </c>
      <c r="C58" t="s">
        <v>1009</v>
      </c>
      <c r="D58" s="730" t="s">
        <v>110</v>
      </c>
      <c r="E58" s="747">
        <v>-106696.47080930322</v>
      </c>
      <c r="F58" s="747">
        <v>151002.8394745267</v>
      </c>
      <c r="G58" s="747">
        <v>44306.368665223476</v>
      </c>
      <c r="H58" s="694">
        <v>53.155623624473812</v>
      </c>
      <c r="I58" s="749" t="s">
        <v>258</v>
      </c>
      <c r="J58" s="750">
        <v>44306.368665223476</v>
      </c>
      <c r="K58" s="735">
        <v>0</v>
      </c>
      <c r="L58" s="735" t="s">
        <v>103</v>
      </c>
      <c r="M58" s="750">
        <v>0</v>
      </c>
      <c r="N58" s="750" t="s">
        <v>103</v>
      </c>
      <c r="O58" s="736">
        <v>0</v>
      </c>
      <c r="P58" s="693">
        <v>0</v>
      </c>
      <c r="Q58" s="752">
        <v>0</v>
      </c>
      <c r="R58" t="s">
        <v>103</v>
      </c>
      <c r="S58" t="s">
        <v>103</v>
      </c>
    </row>
    <row r="59" spans="2:19">
      <c r="B59" s="861" t="s">
        <v>259</v>
      </c>
      <c r="C59" t="s">
        <v>1009</v>
      </c>
      <c r="D59" s="730" t="s">
        <v>110</v>
      </c>
      <c r="E59" s="747">
        <v>881821.56396360812</v>
      </c>
      <c r="F59" s="747">
        <v>32691.906056777771</v>
      </c>
      <c r="G59" s="747">
        <v>914513.47002038592</v>
      </c>
      <c r="H59" s="694">
        <v>0</v>
      </c>
      <c r="I59" s="749" t="s">
        <v>258</v>
      </c>
      <c r="J59" s="750">
        <v>914513.47002038592</v>
      </c>
      <c r="K59" s="735">
        <v>0</v>
      </c>
      <c r="L59" s="735" t="s">
        <v>103</v>
      </c>
      <c r="M59" s="750">
        <v>0</v>
      </c>
      <c r="N59" s="750" t="s">
        <v>103</v>
      </c>
      <c r="O59" s="736">
        <v>0</v>
      </c>
      <c r="P59" s="693">
        <v>0</v>
      </c>
      <c r="Q59" s="752">
        <v>0</v>
      </c>
      <c r="R59" t="s">
        <v>103</v>
      </c>
      <c r="S59" t="s">
        <v>103</v>
      </c>
    </row>
    <row r="60" spans="2:19">
      <c r="B60" s="861" t="s">
        <v>260</v>
      </c>
      <c r="C60" t="s">
        <v>1009</v>
      </c>
      <c r="D60" s="730" t="s">
        <v>110</v>
      </c>
      <c r="E60" s="747">
        <v>982059.35365532455</v>
      </c>
      <c r="F60" s="747">
        <v>259987.31150695533</v>
      </c>
      <c r="G60" s="747">
        <v>1242046.6651622807</v>
      </c>
      <c r="H60" s="694">
        <v>0</v>
      </c>
      <c r="I60" s="749" t="s">
        <v>258</v>
      </c>
      <c r="J60" s="750">
        <v>1242046.6651622807</v>
      </c>
      <c r="K60" s="735">
        <v>0</v>
      </c>
      <c r="L60" s="735" t="s">
        <v>103</v>
      </c>
      <c r="M60" s="750">
        <v>0</v>
      </c>
      <c r="N60" s="750" t="s">
        <v>103</v>
      </c>
      <c r="O60" s="736">
        <v>0</v>
      </c>
      <c r="P60" s="693">
        <v>0</v>
      </c>
      <c r="Q60" s="752">
        <v>0</v>
      </c>
      <c r="R60" t="s">
        <v>103</v>
      </c>
      <c r="S60" t="s">
        <v>103</v>
      </c>
    </row>
    <row r="61" spans="2:19">
      <c r="B61" s="861" t="s">
        <v>264</v>
      </c>
      <c r="C61" t="s">
        <v>1009</v>
      </c>
      <c r="D61" s="730" t="s">
        <v>110</v>
      </c>
      <c r="E61" s="747">
        <v>419001.48728856782</v>
      </c>
      <c r="F61" s="747">
        <v>105504.04025118286</v>
      </c>
      <c r="G61" s="747">
        <v>524505.52753975103</v>
      </c>
      <c r="H61" s="694">
        <v>0</v>
      </c>
      <c r="I61" s="749" t="s">
        <v>258</v>
      </c>
      <c r="J61" s="750">
        <v>524505.52753975103</v>
      </c>
      <c r="K61" s="735">
        <v>0</v>
      </c>
      <c r="L61" s="735" t="s">
        <v>103</v>
      </c>
      <c r="M61" s="750">
        <v>0</v>
      </c>
      <c r="N61" s="750" t="s">
        <v>103</v>
      </c>
      <c r="O61" s="736">
        <v>0</v>
      </c>
      <c r="P61" s="693">
        <v>0</v>
      </c>
      <c r="Q61" s="752">
        <v>0</v>
      </c>
      <c r="R61" t="s">
        <v>103</v>
      </c>
      <c r="S61" t="s">
        <v>103</v>
      </c>
    </row>
    <row r="62" spans="2:19">
      <c r="B62" s="861" t="s">
        <v>265</v>
      </c>
      <c r="C62" t="s">
        <v>1009</v>
      </c>
      <c r="D62" s="730" t="s">
        <v>110</v>
      </c>
      <c r="E62" s="747">
        <v>15688.995837428276</v>
      </c>
      <c r="F62" s="747">
        <v>5193.6148502533479</v>
      </c>
      <c r="G62" s="747">
        <v>20882.610687681634</v>
      </c>
      <c r="H62" s="694">
        <v>0</v>
      </c>
      <c r="I62" s="749" t="s">
        <v>258</v>
      </c>
      <c r="J62" s="750">
        <v>20882.610687681634</v>
      </c>
      <c r="K62" s="735">
        <v>0</v>
      </c>
      <c r="L62" s="735" t="s">
        <v>103</v>
      </c>
      <c r="M62" s="750">
        <v>0</v>
      </c>
      <c r="N62" s="750" t="s">
        <v>103</v>
      </c>
      <c r="O62" s="736">
        <v>0</v>
      </c>
      <c r="P62" s="693">
        <v>0</v>
      </c>
      <c r="Q62" s="752">
        <v>0</v>
      </c>
      <c r="R62" t="s">
        <v>103</v>
      </c>
      <c r="S62" t="s">
        <v>103</v>
      </c>
    </row>
    <row r="63" spans="2:19">
      <c r="B63" s="861" t="s">
        <v>266</v>
      </c>
      <c r="C63" t="s">
        <v>1009</v>
      </c>
      <c r="D63" s="730" t="s">
        <v>110</v>
      </c>
      <c r="E63" s="747">
        <v>2751595.1179122273</v>
      </c>
      <c r="F63" s="747">
        <v>167509.39987145006</v>
      </c>
      <c r="G63" s="747">
        <v>2877515.4377836771</v>
      </c>
      <c r="H63" s="694">
        <v>0</v>
      </c>
      <c r="I63" s="749" t="s">
        <v>258</v>
      </c>
      <c r="J63" s="750">
        <v>2877515.4377836771</v>
      </c>
      <c r="K63" s="735">
        <v>0</v>
      </c>
      <c r="L63" s="735" t="s">
        <v>103</v>
      </c>
      <c r="M63" s="750">
        <v>0</v>
      </c>
      <c r="N63" s="750" t="s">
        <v>103</v>
      </c>
      <c r="O63" s="736">
        <v>0</v>
      </c>
      <c r="P63" s="693">
        <v>0</v>
      </c>
      <c r="Q63" s="752">
        <v>0</v>
      </c>
      <c r="R63" t="s">
        <v>103</v>
      </c>
      <c r="S63" t="s">
        <v>103</v>
      </c>
    </row>
    <row r="64" spans="2:19">
      <c r="B64" s="861" t="s">
        <v>271</v>
      </c>
      <c r="C64" t="s">
        <v>1009</v>
      </c>
      <c r="D64" s="730" t="s">
        <v>110</v>
      </c>
      <c r="E64" s="747">
        <v>444119.18640995439</v>
      </c>
      <c r="F64" s="747">
        <v>14681.269777253563</v>
      </c>
      <c r="G64" s="747">
        <v>458800.45618720795</v>
      </c>
      <c r="H64" s="694">
        <v>0</v>
      </c>
      <c r="I64" s="749" t="s">
        <v>258</v>
      </c>
      <c r="J64" s="750">
        <v>458800.45618720795</v>
      </c>
      <c r="K64" s="735">
        <v>0</v>
      </c>
      <c r="L64" s="735" t="s">
        <v>103</v>
      </c>
      <c r="M64" s="750">
        <v>0</v>
      </c>
      <c r="N64" s="750" t="s">
        <v>103</v>
      </c>
      <c r="O64" s="736">
        <v>0</v>
      </c>
      <c r="P64" s="693">
        <v>0</v>
      </c>
      <c r="Q64" s="752">
        <v>0</v>
      </c>
      <c r="R64" t="s">
        <v>103</v>
      </c>
      <c r="S64" t="s">
        <v>103</v>
      </c>
    </row>
    <row r="65" spans="2:19">
      <c r="B65" s="861" t="s">
        <v>272</v>
      </c>
      <c r="C65" t="s">
        <v>1009</v>
      </c>
      <c r="D65" s="730" t="s">
        <v>110</v>
      </c>
      <c r="E65" s="747">
        <v>1225188.8536237336</v>
      </c>
      <c r="F65" s="747">
        <v>441523.19974177296</v>
      </c>
      <c r="G65" s="747">
        <v>1666712.0533655058</v>
      </c>
      <c r="H65" s="694">
        <v>0</v>
      </c>
      <c r="I65" s="749" t="s">
        <v>258</v>
      </c>
      <c r="J65" s="750">
        <v>1666712.0533655058</v>
      </c>
      <c r="K65" s="735">
        <v>0</v>
      </c>
      <c r="L65" s="735" t="s">
        <v>103</v>
      </c>
      <c r="M65" s="750">
        <v>0</v>
      </c>
      <c r="N65" s="750" t="s">
        <v>103</v>
      </c>
      <c r="O65" s="736">
        <v>0</v>
      </c>
      <c r="P65" s="693">
        <v>0</v>
      </c>
      <c r="Q65" s="752">
        <v>0</v>
      </c>
      <c r="R65" t="s">
        <v>103</v>
      </c>
      <c r="S65" t="s">
        <v>103</v>
      </c>
    </row>
    <row r="66" spans="2:19">
      <c r="B66" s="861" t="s">
        <v>276</v>
      </c>
      <c r="C66" t="s">
        <v>1009</v>
      </c>
      <c r="D66" s="730" t="s">
        <v>110</v>
      </c>
      <c r="E66" s="747">
        <v>-113602.34145052174</v>
      </c>
      <c r="F66" s="747">
        <v>10237.027272762165</v>
      </c>
      <c r="G66" s="747">
        <v>-103365.31417775956</v>
      </c>
      <c r="H66" s="694">
        <v>10.097200234367396</v>
      </c>
      <c r="I66" s="749" t="s">
        <v>258</v>
      </c>
      <c r="J66" s="750">
        <v>-103365.31417775956</v>
      </c>
      <c r="K66" s="735">
        <v>0</v>
      </c>
      <c r="L66" s="735" t="s">
        <v>103</v>
      </c>
      <c r="M66" s="750">
        <v>0</v>
      </c>
      <c r="N66" s="750" t="s">
        <v>103</v>
      </c>
      <c r="O66" s="736">
        <v>0</v>
      </c>
      <c r="P66" s="693">
        <v>0</v>
      </c>
      <c r="Q66" s="752">
        <v>0</v>
      </c>
      <c r="R66" t="s">
        <v>103</v>
      </c>
      <c r="S66" t="s">
        <v>103</v>
      </c>
    </row>
    <row r="67" spans="2:19">
      <c r="B67" s="861" t="s">
        <v>277</v>
      </c>
      <c r="C67" t="s">
        <v>1009</v>
      </c>
      <c r="D67" s="730" t="s">
        <v>110</v>
      </c>
      <c r="E67" s="747">
        <v>-3541932.5109463339</v>
      </c>
      <c r="F67" s="747">
        <v>76771.752067548674</v>
      </c>
      <c r="G67" s="747">
        <v>-3465160.7588787847</v>
      </c>
      <c r="H67" s="694">
        <v>45.13588221654647</v>
      </c>
      <c r="I67" s="749" t="s">
        <v>258</v>
      </c>
      <c r="J67" s="750">
        <v>-3465160.7588787847</v>
      </c>
      <c r="K67" s="735">
        <v>0</v>
      </c>
      <c r="L67" s="735" t="s">
        <v>103</v>
      </c>
      <c r="M67" s="750">
        <v>0</v>
      </c>
      <c r="N67" s="750" t="s">
        <v>103</v>
      </c>
      <c r="O67" s="736">
        <v>0</v>
      </c>
      <c r="P67" s="693">
        <v>0</v>
      </c>
      <c r="Q67" s="752">
        <v>0</v>
      </c>
      <c r="R67" t="s">
        <v>103</v>
      </c>
      <c r="S67" t="s">
        <v>103</v>
      </c>
    </row>
    <row r="68" spans="2:19">
      <c r="B68" s="861" t="s">
        <v>278</v>
      </c>
      <c r="C68" t="s">
        <v>1009</v>
      </c>
      <c r="D68" s="730" t="s">
        <v>110</v>
      </c>
      <c r="E68" s="747">
        <v>194353.12872864833</v>
      </c>
      <c r="F68" s="747">
        <v>18389.36418420769</v>
      </c>
      <c r="G68" s="747">
        <v>212742.49291285599</v>
      </c>
      <c r="H68" s="694">
        <v>0</v>
      </c>
      <c r="I68" s="749" t="s">
        <v>258</v>
      </c>
      <c r="J68" s="750">
        <v>212742.49291285599</v>
      </c>
      <c r="K68" s="735">
        <v>0</v>
      </c>
      <c r="L68" s="735" t="s">
        <v>103</v>
      </c>
      <c r="M68" s="750">
        <v>0</v>
      </c>
      <c r="N68" s="750" t="s">
        <v>103</v>
      </c>
      <c r="O68" s="736">
        <v>0</v>
      </c>
      <c r="P68" s="693">
        <v>0</v>
      </c>
      <c r="Q68" s="752">
        <v>0</v>
      </c>
      <c r="R68" t="s">
        <v>103</v>
      </c>
      <c r="S68" t="s">
        <v>103</v>
      </c>
    </row>
    <row r="69" spans="2:19">
      <c r="B69" s="861" t="s">
        <v>284</v>
      </c>
      <c r="C69" t="s">
        <v>1009</v>
      </c>
      <c r="D69" s="730" t="s">
        <v>110</v>
      </c>
      <c r="E69" s="747">
        <v>1543310.2940302682</v>
      </c>
      <c r="F69" s="747">
        <v>128253.39262713764</v>
      </c>
      <c r="G69" s="747">
        <v>1671563.6866574055</v>
      </c>
      <c r="H69" s="694">
        <v>0</v>
      </c>
      <c r="I69" s="749" t="s">
        <v>258</v>
      </c>
      <c r="J69" s="750">
        <v>1671563.6866574055</v>
      </c>
      <c r="K69" s="735">
        <v>0</v>
      </c>
      <c r="L69" s="735" t="s">
        <v>103</v>
      </c>
      <c r="M69" s="750">
        <v>0</v>
      </c>
      <c r="N69" s="750" t="s">
        <v>103</v>
      </c>
      <c r="O69" s="736">
        <v>0</v>
      </c>
      <c r="P69" s="693">
        <v>0</v>
      </c>
      <c r="Q69" s="752">
        <v>0</v>
      </c>
      <c r="R69" t="s">
        <v>103</v>
      </c>
      <c r="S69" t="s">
        <v>103</v>
      </c>
    </row>
    <row r="70" spans="2:19">
      <c r="B70" s="861" t="s">
        <v>285</v>
      </c>
      <c r="C70" t="s">
        <v>1009</v>
      </c>
      <c r="D70" s="730" t="s">
        <v>110</v>
      </c>
      <c r="E70" s="747">
        <v>-26316.611642503078</v>
      </c>
      <c r="F70" s="747">
        <v>95094.684835546053</v>
      </c>
      <c r="G70" s="747">
        <v>68778.073193043107</v>
      </c>
      <c r="H70" s="694">
        <v>0</v>
      </c>
      <c r="I70" s="749" t="s">
        <v>258</v>
      </c>
      <c r="J70" s="750">
        <v>68778.073193043107</v>
      </c>
      <c r="K70" s="735">
        <v>0</v>
      </c>
      <c r="L70" s="735" t="s">
        <v>103</v>
      </c>
      <c r="M70" s="750">
        <v>0</v>
      </c>
      <c r="N70" s="750" t="s">
        <v>103</v>
      </c>
      <c r="O70" s="736">
        <v>0</v>
      </c>
      <c r="P70" s="693">
        <v>0</v>
      </c>
      <c r="Q70" s="752">
        <v>0</v>
      </c>
      <c r="R70" t="s">
        <v>103</v>
      </c>
      <c r="S70" t="s">
        <v>103</v>
      </c>
    </row>
    <row r="71" spans="2:19">
      <c r="B71" s="861" t="s">
        <v>289</v>
      </c>
      <c r="C71" t="s">
        <v>1009</v>
      </c>
      <c r="D71" t="s">
        <v>104</v>
      </c>
      <c r="E71" s="747">
        <v>170206.46425968135</v>
      </c>
      <c r="F71" s="747">
        <v>57932.082079053886</v>
      </c>
      <c r="G71" s="747">
        <v>228138.54633873564</v>
      </c>
      <c r="H71" s="694">
        <v>0</v>
      </c>
      <c r="I71" s="749" t="s">
        <v>258</v>
      </c>
      <c r="J71" s="750">
        <v>228138.54633873564</v>
      </c>
      <c r="K71" s="735">
        <v>0</v>
      </c>
      <c r="L71" s="735" t="s">
        <v>103</v>
      </c>
      <c r="M71" s="750">
        <v>0</v>
      </c>
      <c r="N71" s="750" t="s">
        <v>103</v>
      </c>
      <c r="O71" s="752">
        <v>0</v>
      </c>
      <c r="P71" s="693">
        <v>0</v>
      </c>
      <c r="Q71" s="752">
        <v>0</v>
      </c>
      <c r="R71" t="s">
        <v>103</v>
      </c>
      <c r="S71" t="s">
        <v>103</v>
      </c>
    </row>
    <row r="72" spans="2:19">
      <c r="B72" s="861" t="s">
        <v>295</v>
      </c>
      <c r="C72" t="s">
        <v>1009</v>
      </c>
      <c r="D72" s="730" t="s">
        <v>110</v>
      </c>
      <c r="E72" s="747">
        <v>4318947.293612944</v>
      </c>
      <c r="F72" s="747">
        <v>282466.68150142964</v>
      </c>
      <c r="G72" s="747">
        <v>4601413.9751143735</v>
      </c>
      <c r="H72" s="694">
        <v>0</v>
      </c>
      <c r="I72" s="749" t="s">
        <v>258</v>
      </c>
      <c r="J72" s="750">
        <v>4601413.9751143735</v>
      </c>
      <c r="K72" s="735">
        <v>0</v>
      </c>
      <c r="L72" s="735" t="s">
        <v>103</v>
      </c>
      <c r="M72" s="750">
        <v>0</v>
      </c>
      <c r="N72" s="750" t="s">
        <v>103</v>
      </c>
      <c r="O72" s="736">
        <v>0</v>
      </c>
      <c r="P72" s="693">
        <v>0</v>
      </c>
      <c r="Q72" s="752">
        <v>0</v>
      </c>
      <c r="R72" t="s">
        <v>103</v>
      </c>
      <c r="S72" t="s">
        <v>103</v>
      </c>
    </row>
    <row r="73" spans="2:19">
      <c r="B73" s="861" t="s">
        <v>303</v>
      </c>
      <c r="C73" t="s">
        <v>1009</v>
      </c>
      <c r="D73" s="730" t="s">
        <v>110</v>
      </c>
      <c r="E73" s="747">
        <v>3429998.1915349928</v>
      </c>
      <c r="F73" s="747">
        <v>196270.99911496867</v>
      </c>
      <c r="G73" s="747">
        <v>3626269.1906499621</v>
      </c>
      <c r="H73" s="694">
        <v>0</v>
      </c>
      <c r="I73" s="749" t="s">
        <v>258</v>
      </c>
      <c r="J73" s="750">
        <v>3626269.1906499621</v>
      </c>
      <c r="K73" s="735">
        <v>0</v>
      </c>
      <c r="L73" s="735" t="s">
        <v>103</v>
      </c>
      <c r="M73" s="750">
        <v>0</v>
      </c>
      <c r="N73" s="750" t="s">
        <v>103</v>
      </c>
      <c r="O73" s="736">
        <v>0</v>
      </c>
      <c r="P73" s="693">
        <v>0</v>
      </c>
      <c r="Q73" s="752">
        <v>0</v>
      </c>
      <c r="R73" t="s">
        <v>103</v>
      </c>
      <c r="S73" t="s">
        <v>103</v>
      </c>
    </row>
    <row r="74" spans="2:19">
      <c r="B74" s="861" t="s">
        <v>309</v>
      </c>
      <c r="C74" t="s">
        <v>1009</v>
      </c>
      <c r="D74" s="730" t="s">
        <v>110</v>
      </c>
      <c r="E74" s="747">
        <v>-613675.864428406</v>
      </c>
      <c r="F74" s="747">
        <v>105347.70166882695</v>
      </c>
      <c r="G74" s="747">
        <v>-508328.16275957867</v>
      </c>
      <c r="H74" s="694">
        <v>4.8252420765435282</v>
      </c>
      <c r="I74" s="749" t="s">
        <v>258</v>
      </c>
      <c r="J74" s="750">
        <v>-508328.16275957867</v>
      </c>
      <c r="K74" s="735">
        <v>0</v>
      </c>
      <c r="L74" s="735" t="s">
        <v>103</v>
      </c>
      <c r="M74" s="750">
        <v>0</v>
      </c>
      <c r="N74" s="750" t="s">
        <v>103</v>
      </c>
      <c r="O74" s="736">
        <v>0</v>
      </c>
      <c r="P74" s="693">
        <v>0</v>
      </c>
      <c r="Q74" s="752">
        <v>0</v>
      </c>
      <c r="R74" t="s">
        <v>103</v>
      </c>
      <c r="S74" t="s">
        <v>103</v>
      </c>
    </row>
    <row r="75" spans="2:19">
      <c r="B75" s="861" t="s">
        <v>313</v>
      </c>
      <c r="C75" t="s">
        <v>1009</v>
      </c>
      <c r="D75" s="730" t="s">
        <v>110</v>
      </c>
      <c r="E75" s="747">
        <v>5808.2313882527524</v>
      </c>
      <c r="F75" s="747">
        <v>81001.362769414816</v>
      </c>
      <c r="G75" s="747">
        <v>86809.594157667045</v>
      </c>
      <c r="H75" s="694">
        <v>0</v>
      </c>
      <c r="I75" s="749" t="s">
        <v>258</v>
      </c>
      <c r="J75" s="750">
        <v>86809.594157667045</v>
      </c>
      <c r="K75" s="735">
        <v>0</v>
      </c>
      <c r="L75" s="735" t="s">
        <v>103</v>
      </c>
      <c r="M75" s="750">
        <v>0</v>
      </c>
      <c r="N75" s="750" t="s">
        <v>103</v>
      </c>
      <c r="O75" s="736">
        <v>0</v>
      </c>
      <c r="P75" s="693">
        <v>0</v>
      </c>
      <c r="Q75" s="752">
        <v>0</v>
      </c>
      <c r="R75" t="s">
        <v>103</v>
      </c>
      <c r="S75" t="s">
        <v>103</v>
      </c>
    </row>
    <row r="76" spans="2:19">
      <c r="B76" s="861" t="s">
        <v>314</v>
      </c>
      <c r="C76" t="s">
        <v>1009</v>
      </c>
      <c r="D76" s="730" t="s">
        <v>110</v>
      </c>
      <c r="E76" s="747">
        <v>17125709.719706185</v>
      </c>
      <c r="F76" s="747">
        <v>1684735.733717835</v>
      </c>
      <c r="G76" s="747">
        <v>18242070.553424023</v>
      </c>
      <c r="H76" s="694">
        <v>0</v>
      </c>
      <c r="I76" s="749" t="s">
        <v>258</v>
      </c>
      <c r="J76" s="750">
        <v>18242070.553424023</v>
      </c>
      <c r="K76" s="735">
        <v>0</v>
      </c>
      <c r="L76" s="735" t="s">
        <v>103</v>
      </c>
      <c r="M76" s="750">
        <v>0</v>
      </c>
      <c r="N76" s="750" t="s">
        <v>103</v>
      </c>
      <c r="O76" s="736">
        <v>0</v>
      </c>
      <c r="P76" s="693">
        <v>0</v>
      </c>
      <c r="Q76" s="752">
        <v>0</v>
      </c>
      <c r="R76" t="s">
        <v>103</v>
      </c>
      <c r="S76" t="s">
        <v>103</v>
      </c>
    </row>
    <row r="77" spans="2:19">
      <c r="B77" s="861" t="s">
        <v>324</v>
      </c>
      <c r="C77" t="s">
        <v>1009</v>
      </c>
      <c r="D77" s="730" t="s">
        <v>110</v>
      </c>
      <c r="E77" s="747">
        <v>79556.13843815244</v>
      </c>
      <c r="F77" s="747">
        <v>5262.4020494198412</v>
      </c>
      <c r="G77" s="747">
        <v>84818.540487572289</v>
      </c>
      <c r="H77" s="694">
        <v>0</v>
      </c>
      <c r="I77" s="749" t="s">
        <v>258</v>
      </c>
      <c r="J77" s="750">
        <v>84818.540487572289</v>
      </c>
      <c r="K77" s="735">
        <v>0</v>
      </c>
      <c r="L77" s="735" t="s">
        <v>103</v>
      </c>
      <c r="M77" s="750">
        <v>0</v>
      </c>
      <c r="N77" s="750" t="s">
        <v>103</v>
      </c>
      <c r="O77" s="736">
        <v>0</v>
      </c>
      <c r="P77" s="693">
        <v>0</v>
      </c>
      <c r="Q77" s="752">
        <v>0</v>
      </c>
      <c r="R77" t="s">
        <v>103</v>
      </c>
      <c r="S77" t="s">
        <v>103</v>
      </c>
    </row>
    <row r="78" spans="2:19">
      <c r="B78" s="861" t="s">
        <v>325</v>
      </c>
      <c r="C78" t="s">
        <v>1009</v>
      </c>
      <c r="D78" s="730" t="s">
        <v>110</v>
      </c>
      <c r="E78" s="747">
        <v>2722215.3228661837</v>
      </c>
      <c r="F78" s="747">
        <v>177864.3737107951</v>
      </c>
      <c r="G78" s="747">
        <v>2900079.6965769781</v>
      </c>
      <c r="H78" s="694">
        <v>0</v>
      </c>
      <c r="I78" s="749" t="s">
        <v>258</v>
      </c>
      <c r="J78" s="750">
        <v>2900079.6965769781</v>
      </c>
      <c r="K78" s="735">
        <v>0</v>
      </c>
      <c r="L78" s="735" t="s">
        <v>103</v>
      </c>
      <c r="M78" s="750">
        <v>0</v>
      </c>
      <c r="N78" s="750" t="s">
        <v>103</v>
      </c>
      <c r="O78" s="736">
        <v>0</v>
      </c>
      <c r="P78" s="693">
        <v>0</v>
      </c>
      <c r="Q78" s="752">
        <v>0</v>
      </c>
      <c r="R78" t="s">
        <v>103</v>
      </c>
      <c r="S78" t="s">
        <v>103</v>
      </c>
    </row>
    <row r="79" spans="2:19">
      <c r="B79" s="861" t="s">
        <v>330</v>
      </c>
      <c r="C79" t="s">
        <v>1009</v>
      </c>
      <c r="D79" s="730" t="s">
        <v>110</v>
      </c>
      <c r="E79" s="747">
        <v>-421110.54024551739</v>
      </c>
      <c r="F79" s="747">
        <v>39702.088670037352</v>
      </c>
      <c r="G79" s="747">
        <v>-381408.45157547982</v>
      </c>
      <c r="H79" s="694">
        <v>9.6067603582610452</v>
      </c>
      <c r="I79" s="749" t="s">
        <v>258</v>
      </c>
      <c r="J79" s="750">
        <v>-381408.45157547982</v>
      </c>
      <c r="K79" s="735">
        <v>0</v>
      </c>
      <c r="L79" s="735" t="s">
        <v>103</v>
      </c>
      <c r="M79" s="750">
        <v>0</v>
      </c>
      <c r="N79" s="750" t="s">
        <v>103</v>
      </c>
      <c r="O79" s="736">
        <v>0</v>
      </c>
      <c r="P79" s="693">
        <v>0</v>
      </c>
      <c r="Q79" s="752">
        <v>0</v>
      </c>
      <c r="R79" t="s">
        <v>103</v>
      </c>
      <c r="S79" t="s">
        <v>103</v>
      </c>
    </row>
    <row r="80" spans="2:19">
      <c r="B80" s="861" t="s">
        <v>331</v>
      </c>
      <c r="C80" t="s">
        <v>1009</v>
      </c>
      <c r="D80" s="730" t="s">
        <v>110</v>
      </c>
      <c r="E80" s="747">
        <v>-4196418.096170783</v>
      </c>
      <c r="F80" s="747">
        <v>167484.15763282977</v>
      </c>
      <c r="G80" s="747">
        <v>-4028933.9385379534</v>
      </c>
      <c r="H80" s="694">
        <v>24.05561215748213</v>
      </c>
      <c r="I80" s="749" t="s">
        <v>258</v>
      </c>
      <c r="J80" s="750">
        <v>-4028933.9385379534</v>
      </c>
      <c r="K80" s="735">
        <v>0</v>
      </c>
      <c r="L80" s="735" t="s">
        <v>103</v>
      </c>
      <c r="M80" s="750">
        <v>0</v>
      </c>
      <c r="N80" s="750" t="s">
        <v>103</v>
      </c>
      <c r="O80" s="736">
        <v>0</v>
      </c>
      <c r="P80" s="693">
        <v>0</v>
      </c>
      <c r="Q80" s="752">
        <v>0</v>
      </c>
      <c r="R80" t="s">
        <v>103</v>
      </c>
      <c r="S80" t="s">
        <v>103</v>
      </c>
    </row>
    <row r="81" spans="2:19">
      <c r="B81" s="861" t="s">
        <v>335</v>
      </c>
      <c r="C81" t="s">
        <v>1009</v>
      </c>
      <c r="D81" s="730" t="s">
        <v>110</v>
      </c>
      <c r="E81" s="747">
        <v>2881720.5481098862</v>
      </c>
      <c r="F81" s="747">
        <v>79000.077276301687</v>
      </c>
      <c r="G81" s="747">
        <v>2960720.6253861878</v>
      </c>
      <c r="H81" s="694">
        <v>0</v>
      </c>
      <c r="I81" s="749" t="s">
        <v>258</v>
      </c>
      <c r="J81" s="750">
        <v>2960720.6253861878</v>
      </c>
      <c r="K81" s="735">
        <v>0</v>
      </c>
      <c r="L81" s="735" t="s">
        <v>103</v>
      </c>
      <c r="M81" s="750">
        <v>0</v>
      </c>
      <c r="N81" s="750" t="s">
        <v>103</v>
      </c>
      <c r="O81" s="736">
        <v>0</v>
      </c>
      <c r="P81" s="693">
        <v>0</v>
      </c>
      <c r="Q81" s="752">
        <v>0</v>
      </c>
      <c r="R81" t="s">
        <v>103</v>
      </c>
      <c r="S81" t="s">
        <v>103</v>
      </c>
    </row>
    <row r="82" spans="2:19">
      <c r="B82" s="861" t="s">
        <v>336</v>
      </c>
      <c r="C82" t="s">
        <v>1009</v>
      </c>
      <c r="D82" s="730" t="s">
        <v>110</v>
      </c>
      <c r="E82" s="747">
        <v>182767.18188017001</v>
      </c>
      <c r="F82" s="747">
        <v>147960.84577324233</v>
      </c>
      <c r="G82" s="747">
        <v>330728.02765341278</v>
      </c>
      <c r="H82" s="694">
        <v>0</v>
      </c>
      <c r="I82" s="749" t="s">
        <v>258</v>
      </c>
      <c r="J82" s="750">
        <v>330728.02765341278</v>
      </c>
      <c r="K82" s="735">
        <v>0</v>
      </c>
      <c r="L82" s="735" t="s">
        <v>103</v>
      </c>
      <c r="M82" s="750">
        <v>0</v>
      </c>
      <c r="N82" s="750" t="s">
        <v>103</v>
      </c>
      <c r="O82" s="736">
        <v>0</v>
      </c>
      <c r="P82" s="693">
        <v>0</v>
      </c>
      <c r="Q82" s="752">
        <v>0</v>
      </c>
      <c r="R82" t="s">
        <v>103</v>
      </c>
      <c r="S82" t="s">
        <v>103</v>
      </c>
    </row>
    <row r="83" spans="2:19">
      <c r="B83" s="861" t="s">
        <v>341</v>
      </c>
      <c r="C83" t="s">
        <v>1009</v>
      </c>
      <c r="D83" s="730" t="s">
        <v>110</v>
      </c>
      <c r="E83" s="747">
        <v>-656534.9960214009</v>
      </c>
      <c r="F83" s="747">
        <v>198317.96683899738</v>
      </c>
      <c r="G83" s="747">
        <v>-458217.02918240329</v>
      </c>
      <c r="H83" s="694">
        <v>2.310516976782051</v>
      </c>
      <c r="I83" s="749" t="s">
        <v>258</v>
      </c>
      <c r="J83" s="750">
        <v>-458217.02918240329</v>
      </c>
      <c r="K83" s="735">
        <v>0</v>
      </c>
      <c r="L83" s="735" t="s">
        <v>103</v>
      </c>
      <c r="M83" s="750">
        <v>0</v>
      </c>
      <c r="N83" s="750" t="s">
        <v>103</v>
      </c>
      <c r="O83" s="736">
        <v>0</v>
      </c>
      <c r="P83" s="693">
        <v>0</v>
      </c>
      <c r="Q83" s="752">
        <v>0</v>
      </c>
      <c r="R83" t="s">
        <v>103</v>
      </c>
      <c r="S83" t="s">
        <v>103</v>
      </c>
    </row>
    <row r="84" spans="2:19">
      <c r="B84" s="861" t="s">
        <v>352</v>
      </c>
      <c r="C84" t="s">
        <v>1009</v>
      </c>
      <c r="D84" s="730" t="s">
        <v>110</v>
      </c>
      <c r="E84" s="747">
        <v>1614643.0356525653</v>
      </c>
      <c r="F84" s="747">
        <v>217148.52569803857</v>
      </c>
      <c r="G84" s="747">
        <v>1831791.5613506034</v>
      </c>
      <c r="H84" s="694">
        <v>0</v>
      </c>
      <c r="I84" s="749" t="s">
        <v>258</v>
      </c>
      <c r="J84" s="750">
        <v>1831791.5613506034</v>
      </c>
      <c r="K84" s="735">
        <v>0</v>
      </c>
      <c r="L84" s="735" t="s">
        <v>103</v>
      </c>
      <c r="M84" s="750">
        <v>0</v>
      </c>
      <c r="N84" s="750" t="s">
        <v>103</v>
      </c>
      <c r="O84" s="736">
        <v>0</v>
      </c>
      <c r="P84" s="693">
        <v>0</v>
      </c>
      <c r="Q84" s="752">
        <v>0</v>
      </c>
      <c r="R84" t="s">
        <v>103</v>
      </c>
      <c r="S84" t="s">
        <v>103</v>
      </c>
    </row>
    <row r="85" spans="2:19">
      <c r="B85" s="861" t="s">
        <v>356</v>
      </c>
      <c r="C85" t="s">
        <v>1009</v>
      </c>
      <c r="D85" s="730" t="s">
        <v>110</v>
      </c>
      <c r="E85" s="747">
        <v>2904112.3611403168</v>
      </c>
      <c r="F85" s="747">
        <v>279498.81747593038</v>
      </c>
      <c r="G85" s="747">
        <v>3183611.1786162485</v>
      </c>
      <c r="H85" s="694">
        <v>0</v>
      </c>
      <c r="I85" s="749" t="s">
        <v>258</v>
      </c>
      <c r="J85" s="750">
        <v>3183611.1786162485</v>
      </c>
      <c r="K85" s="735">
        <v>0</v>
      </c>
      <c r="L85" s="735" t="s">
        <v>103</v>
      </c>
      <c r="M85" s="750">
        <v>0</v>
      </c>
      <c r="N85" s="750" t="s">
        <v>103</v>
      </c>
      <c r="O85" s="736">
        <v>0</v>
      </c>
      <c r="P85" s="693">
        <v>0</v>
      </c>
      <c r="Q85" s="752">
        <v>0</v>
      </c>
      <c r="R85" t="s">
        <v>103</v>
      </c>
      <c r="S85" t="s">
        <v>103</v>
      </c>
    </row>
    <row r="86" spans="2:19">
      <c r="B86" s="861" t="s">
        <v>362</v>
      </c>
      <c r="C86" t="s">
        <v>1009</v>
      </c>
      <c r="D86" s="730" t="s">
        <v>110</v>
      </c>
      <c r="E86" s="747">
        <v>1745941.7709833167</v>
      </c>
      <c r="F86" s="747">
        <v>99712.861294316652</v>
      </c>
      <c r="G86" s="747">
        <v>1845654.6322776331</v>
      </c>
      <c r="H86" s="694">
        <v>0</v>
      </c>
      <c r="I86" s="749" t="s">
        <v>258</v>
      </c>
      <c r="J86" s="750">
        <v>1845654.6322776331</v>
      </c>
      <c r="K86" s="735">
        <v>0</v>
      </c>
      <c r="L86" s="735" t="s">
        <v>103</v>
      </c>
      <c r="M86" s="750">
        <v>0</v>
      </c>
      <c r="N86" s="750" t="s">
        <v>103</v>
      </c>
      <c r="O86" s="736">
        <v>0</v>
      </c>
      <c r="P86" s="693">
        <v>0</v>
      </c>
      <c r="Q86" s="752">
        <v>0</v>
      </c>
      <c r="R86" t="s">
        <v>103</v>
      </c>
      <c r="S86" t="s">
        <v>103</v>
      </c>
    </row>
    <row r="87" spans="2:19">
      <c r="B87" s="861" t="s">
        <v>363</v>
      </c>
      <c r="C87" t="s">
        <v>1009</v>
      </c>
      <c r="D87" s="730" t="s">
        <v>110</v>
      </c>
      <c r="E87" s="747">
        <v>1125491.4685440541</v>
      </c>
      <c r="F87" s="747">
        <v>34426.497296525828</v>
      </c>
      <c r="G87" s="747">
        <v>34426.965840579905</v>
      </c>
      <c r="H87" s="694">
        <v>0</v>
      </c>
      <c r="I87" s="749" t="s">
        <v>258</v>
      </c>
      <c r="J87" s="750">
        <v>34426.965840579905</v>
      </c>
      <c r="K87" s="735">
        <v>0</v>
      </c>
      <c r="L87" s="735" t="s">
        <v>103</v>
      </c>
      <c r="M87" s="750">
        <v>0</v>
      </c>
      <c r="N87" s="750" t="s">
        <v>103</v>
      </c>
      <c r="O87" s="736">
        <v>0</v>
      </c>
      <c r="P87" s="693">
        <v>0</v>
      </c>
      <c r="Q87" s="752">
        <v>0</v>
      </c>
      <c r="R87" t="s">
        <v>103</v>
      </c>
      <c r="S87" t="s">
        <v>103</v>
      </c>
    </row>
    <row r="88" spans="2:19">
      <c r="B88" s="861" t="s">
        <v>364</v>
      </c>
      <c r="C88" t="s">
        <v>1009</v>
      </c>
      <c r="D88" s="730" t="s">
        <v>110</v>
      </c>
      <c r="E88" s="747">
        <v>1185794.106372691</v>
      </c>
      <c r="F88" s="747">
        <v>127433.35746377389</v>
      </c>
      <c r="G88" s="747">
        <v>1313227.4638364646</v>
      </c>
      <c r="H88" s="694">
        <v>0</v>
      </c>
      <c r="I88" s="749" t="s">
        <v>258</v>
      </c>
      <c r="J88" s="750">
        <v>1313227.4638364646</v>
      </c>
      <c r="K88" s="735">
        <v>0</v>
      </c>
      <c r="L88" s="735" t="s">
        <v>103</v>
      </c>
      <c r="M88" s="750">
        <v>0</v>
      </c>
      <c r="N88" s="750" t="s">
        <v>103</v>
      </c>
      <c r="O88" s="736">
        <v>0</v>
      </c>
      <c r="P88" s="693">
        <v>0</v>
      </c>
      <c r="Q88" s="752">
        <v>0</v>
      </c>
      <c r="R88" t="s">
        <v>103</v>
      </c>
      <c r="S88" t="s">
        <v>103</v>
      </c>
    </row>
    <row r="89" spans="2:19">
      <c r="B89" s="861" t="s">
        <v>365</v>
      </c>
      <c r="C89" t="s">
        <v>1009</v>
      </c>
      <c r="D89" s="730" t="s">
        <v>110</v>
      </c>
      <c r="E89" s="747">
        <v>9873.0471649414449</v>
      </c>
      <c r="F89" s="747">
        <v>700.4542460683391</v>
      </c>
      <c r="G89" s="747">
        <v>10573.501411009784</v>
      </c>
      <c r="H89" s="694">
        <v>0</v>
      </c>
      <c r="I89" s="749" t="s">
        <v>258</v>
      </c>
      <c r="J89" s="750">
        <v>10573.501411009784</v>
      </c>
      <c r="K89" s="735">
        <v>0</v>
      </c>
      <c r="L89" s="735" t="s">
        <v>103</v>
      </c>
      <c r="M89" s="750">
        <v>0</v>
      </c>
      <c r="N89" s="750" t="s">
        <v>103</v>
      </c>
      <c r="O89" s="736">
        <v>0</v>
      </c>
      <c r="P89" s="693">
        <v>0</v>
      </c>
      <c r="Q89" s="752">
        <v>0</v>
      </c>
      <c r="R89" t="s">
        <v>103</v>
      </c>
      <c r="S89" t="s">
        <v>103</v>
      </c>
    </row>
    <row r="90" spans="2:19">
      <c r="B90" s="861" t="s">
        <v>366</v>
      </c>
      <c r="C90" t="s">
        <v>1009</v>
      </c>
      <c r="D90" s="730" t="s">
        <v>110</v>
      </c>
      <c r="E90" s="747">
        <v>675715.46975841245</v>
      </c>
      <c r="F90" s="747">
        <v>172940.77714729522</v>
      </c>
      <c r="G90" s="747">
        <v>848656.24690570706</v>
      </c>
      <c r="H90" s="694">
        <v>0</v>
      </c>
      <c r="I90" s="749" t="s">
        <v>258</v>
      </c>
      <c r="J90" s="750">
        <v>848656.24690570706</v>
      </c>
      <c r="K90" s="735">
        <v>0</v>
      </c>
      <c r="L90" s="735" t="s">
        <v>103</v>
      </c>
      <c r="M90" s="750">
        <v>0</v>
      </c>
      <c r="N90" s="750" t="s">
        <v>103</v>
      </c>
      <c r="O90" s="736">
        <v>0</v>
      </c>
      <c r="P90" s="693">
        <v>0</v>
      </c>
      <c r="Q90" s="752">
        <v>0</v>
      </c>
      <c r="R90" t="s">
        <v>103</v>
      </c>
      <c r="S90" t="s">
        <v>103</v>
      </c>
    </row>
    <row r="91" spans="2:19">
      <c r="B91" s="861" t="s">
        <v>371</v>
      </c>
      <c r="C91" t="s">
        <v>1009</v>
      </c>
      <c r="D91" s="730" t="s">
        <v>110</v>
      </c>
      <c r="E91" s="747">
        <v>7860406.8589999266</v>
      </c>
      <c r="F91" s="747">
        <v>336180.77863231639</v>
      </c>
      <c r="G91" s="747">
        <v>8196587.6376322452</v>
      </c>
      <c r="H91" s="694">
        <v>0</v>
      </c>
      <c r="I91" s="749" t="s">
        <v>258</v>
      </c>
      <c r="J91" s="750">
        <v>8196587.6376322452</v>
      </c>
      <c r="K91" s="735">
        <v>0</v>
      </c>
      <c r="L91" s="735" t="s">
        <v>103</v>
      </c>
      <c r="M91" s="750">
        <v>0</v>
      </c>
      <c r="N91" s="750" t="s">
        <v>103</v>
      </c>
      <c r="O91" s="736">
        <v>0</v>
      </c>
      <c r="P91" s="693">
        <v>0</v>
      </c>
      <c r="Q91" s="752">
        <v>0</v>
      </c>
      <c r="R91" t="s">
        <v>103</v>
      </c>
      <c r="S91" t="s">
        <v>103</v>
      </c>
    </row>
    <row r="92" spans="2:19">
      <c r="B92" s="861" t="s">
        <v>378</v>
      </c>
      <c r="C92" t="s">
        <v>1009</v>
      </c>
      <c r="D92" s="730" t="s">
        <v>110</v>
      </c>
      <c r="E92" s="747">
        <v>17021.660897259542</v>
      </c>
      <c r="F92" s="747">
        <v>102457.03227593911</v>
      </c>
      <c r="G92" s="747">
        <v>119478.69317319801</v>
      </c>
      <c r="H92" s="694">
        <v>22.746328436980303</v>
      </c>
      <c r="I92" s="749" t="s">
        <v>258</v>
      </c>
      <c r="J92" s="750">
        <v>119478.69317319801</v>
      </c>
      <c r="K92" s="735">
        <v>0</v>
      </c>
      <c r="L92" s="735" t="s">
        <v>103</v>
      </c>
      <c r="M92" s="750">
        <v>0</v>
      </c>
      <c r="N92" s="750" t="s">
        <v>103</v>
      </c>
      <c r="O92" s="736">
        <v>0</v>
      </c>
      <c r="P92" s="693">
        <v>0</v>
      </c>
      <c r="Q92" s="752">
        <v>0</v>
      </c>
      <c r="R92" t="s">
        <v>103</v>
      </c>
      <c r="S92" t="s">
        <v>103</v>
      </c>
    </row>
    <row r="93" spans="2:19">
      <c r="B93" s="861" t="s">
        <v>384</v>
      </c>
      <c r="C93" t="s">
        <v>1009</v>
      </c>
      <c r="D93" s="730" t="s">
        <v>110</v>
      </c>
      <c r="E93" s="747">
        <v>-536389.3197755341</v>
      </c>
      <c r="F93" s="747">
        <v>308760.60002059274</v>
      </c>
      <c r="G93" s="747">
        <v>-227628.71975494298</v>
      </c>
      <c r="H93" s="694">
        <v>0.73723370060740046</v>
      </c>
      <c r="I93" s="749" t="s">
        <v>258</v>
      </c>
      <c r="J93" s="750">
        <v>-227628.71975494298</v>
      </c>
      <c r="K93" s="735">
        <v>0</v>
      </c>
      <c r="L93" s="735" t="s">
        <v>103</v>
      </c>
      <c r="M93" s="750">
        <v>0</v>
      </c>
      <c r="N93" s="750" t="s">
        <v>103</v>
      </c>
      <c r="O93" s="736">
        <v>0</v>
      </c>
      <c r="P93" s="693">
        <v>0</v>
      </c>
      <c r="Q93" s="752">
        <v>0</v>
      </c>
      <c r="R93" t="s">
        <v>103</v>
      </c>
      <c r="S93" t="s">
        <v>103</v>
      </c>
    </row>
    <row r="94" spans="2:19">
      <c r="B94" s="861" t="s">
        <v>388</v>
      </c>
      <c r="C94" t="s">
        <v>1009</v>
      </c>
      <c r="D94" s="730" t="s">
        <v>110</v>
      </c>
      <c r="E94" s="747">
        <v>63992.155095670736</v>
      </c>
      <c r="F94" s="747">
        <v>6977.151616812982</v>
      </c>
      <c r="G94" s="747">
        <v>1196460.3067124835</v>
      </c>
      <c r="H94" s="694">
        <v>0</v>
      </c>
      <c r="I94" s="749" t="s">
        <v>258</v>
      </c>
      <c r="J94" s="750">
        <v>1196460.3067124835</v>
      </c>
      <c r="K94" s="735">
        <v>0</v>
      </c>
      <c r="L94" s="735" t="s">
        <v>103</v>
      </c>
      <c r="M94" s="750">
        <v>0</v>
      </c>
      <c r="N94" s="750" t="s">
        <v>103</v>
      </c>
      <c r="O94" s="736">
        <v>0</v>
      </c>
      <c r="P94" s="693">
        <v>0</v>
      </c>
      <c r="Q94" s="752">
        <v>0</v>
      </c>
      <c r="R94" t="s">
        <v>103</v>
      </c>
      <c r="S94" t="s">
        <v>103</v>
      </c>
    </row>
    <row r="95" spans="2:19">
      <c r="B95" s="861" t="s">
        <v>389</v>
      </c>
      <c r="C95" t="s">
        <v>1009</v>
      </c>
      <c r="D95" s="730" t="s">
        <v>110</v>
      </c>
      <c r="E95" s="747">
        <v>-37009.857774583157</v>
      </c>
      <c r="F95" s="747">
        <v>22110.951533072905</v>
      </c>
      <c r="G95" s="747">
        <v>-14898.906241510253</v>
      </c>
      <c r="H95" s="694">
        <v>0.67382474332797981</v>
      </c>
      <c r="I95" s="749" t="s">
        <v>258</v>
      </c>
      <c r="J95" s="750">
        <v>-14898.906241510253</v>
      </c>
      <c r="K95" s="735">
        <v>0</v>
      </c>
      <c r="L95" s="735" t="s">
        <v>103</v>
      </c>
      <c r="M95" s="750">
        <v>0</v>
      </c>
      <c r="N95" s="750" t="s">
        <v>103</v>
      </c>
      <c r="O95" s="736">
        <v>0</v>
      </c>
      <c r="P95" s="693">
        <v>0</v>
      </c>
      <c r="Q95" s="752">
        <v>0</v>
      </c>
      <c r="R95" t="s">
        <v>103</v>
      </c>
      <c r="S95" t="s">
        <v>103</v>
      </c>
    </row>
    <row r="96" spans="2:19">
      <c r="B96" s="861" t="s">
        <v>392</v>
      </c>
      <c r="C96" t="s">
        <v>1009</v>
      </c>
      <c r="D96" s="730" t="s">
        <v>110</v>
      </c>
      <c r="E96" s="747">
        <v>-314100.48702401324</v>
      </c>
      <c r="F96" s="747">
        <v>155368.09489357518</v>
      </c>
      <c r="G96" s="747">
        <v>-158732.39213043777</v>
      </c>
      <c r="H96" s="694">
        <v>1.0216537200843396</v>
      </c>
      <c r="I96" s="749" t="s">
        <v>258</v>
      </c>
      <c r="J96" s="750">
        <v>-158732.39213043777</v>
      </c>
      <c r="K96" s="735">
        <v>0</v>
      </c>
      <c r="L96" s="735" t="s">
        <v>103</v>
      </c>
      <c r="M96" s="750">
        <v>0</v>
      </c>
      <c r="N96" s="750" t="s">
        <v>103</v>
      </c>
      <c r="O96" s="736">
        <v>0</v>
      </c>
      <c r="P96" s="693">
        <v>0</v>
      </c>
      <c r="Q96" s="752">
        <v>0</v>
      </c>
      <c r="R96" t="s">
        <v>103</v>
      </c>
      <c r="S96" t="s">
        <v>103</v>
      </c>
    </row>
    <row r="97" spans="2:19">
      <c r="B97" s="861" t="s">
        <v>396</v>
      </c>
      <c r="C97" t="s">
        <v>1009</v>
      </c>
      <c r="D97" s="730" t="s">
        <v>110</v>
      </c>
      <c r="E97" s="747">
        <v>1149832.7682179837</v>
      </c>
      <c r="F97" s="747">
        <v>64239.97871679932</v>
      </c>
      <c r="G97" s="747">
        <v>1214072.7469347827</v>
      </c>
      <c r="H97" s="694">
        <v>0</v>
      </c>
      <c r="I97" s="749" t="s">
        <v>258</v>
      </c>
      <c r="J97" s="750">
        <v>1214072.7469347827</v>
      </c>
      <c r="K97" s="735">
        <v>0</v>
      </c>
      <c r="L97" s="735" t="s">
        <v>103</v>
      </c>
      <c r="M97" s="750">
        <v>0</v>
      </c>
      <c r="N97" s="750" t="s">
        <v>103</v>
      </c>
      <c r="O97" s="736">
        <v>0</v>
      </c>
      <c r="P97" s="693">
        <v>0</v>
      </c>
      <c r="Q97" s="752">
        <v>0</v>
      </c>
      <c r="R97" t="s">
        <v>103</v>
      </c>
      <c r="S97" t="s">
        <v>103</v>
      </c>
    </row>
    <row r="98" spans="2:19">
      <c r="B98" s="861" t="s">
        <v>397</v>
      </c>
      <c r="C98" t="s">
        <v>1009</v>
      </c>
      <c r="D98" s="730" t="s">
        <v>110</v>
      </c>
      <c r="E98" s="747">
        <v>312118.98994672229</v>
      </c>
      <c r="F98" s="747">
        <v>72932.114067678165</v>
      </c>
      <c r="G98" s="747">
        <v>385051.10401440068</v>
      </c>
      <c r="H98" s="694">
        <v>0</v>
      </c>
      <c r="I98" s="749" t="s">
        <v>258</v>
      </c>
      <c r="J98" s="750">
        <v>385051.10401440068</v>
      </c>
      <c r="K98" s="735">
        <v>0</v>
      </c>
      <c r="L98" s="735" t="s">
        <v>103</v>
      </c>
      <c r="M98" s="750">
        <v>0</v>
      </c>
      <c r="N98" s="750" t="s">
        <v>103</v>
      </c>
      <c r="O98" s="736">
        <v>0</v>
      </c>
      <c r="P98" s="693">
        <v>0</v>
      </c>
      <c r="Q98" s="752">
        <v>0</v>
      </c>
      <c r="R98" t="s">
        <v>103</v>
      </c>
      <c r="S98" t="s">
        <v>103</v>
      </c>
    </row>
    <row r="99" spans="2:19">
      <c r="B99" s="861" t="s">
        <v>398</v>
      </c>
      <c r="C99" t="s">
        <v>1009</v>
      </c>
      <c r="D99" s="730" t="s">
        <v>110</v>
      </c>
      <c r="E99" s="747">
        <v>-266934.43099349574</v>
      </c>
      <c r="F99" s="747">
        <v>157259.31628105015</v>
      </c>
      <c r="G99" s="747">
        <v>10912.555287533149</v>
      </c>
      <c r="H99" s="694">
        <v>0.69775411280779231</v>
      </c>
      <c r="I99" s="749" t="s">
        <v>258</v>
      </c>
      <c r="J99" s="750">
        <v>10912.555287533149</v>
      </c>
      <c r="K99" s="735">
        <v>0</v>
      </c>
      <c r="L99" s="735" t="s">
        <v>103</v>
      </c>
      <c r="M99" s="750">
        <v>0</v>
      </c>
      <c r="N99" s="750" t="s">
        <v>103</v>
      </c>
      <c r="O99" s="736">
        <v>0</v>
      </c>
      <c r="P99" s="693">
        <v>0</v>
      </c>
      <c r="Q99" s="752">
        <v>0</v>
      </c>
      <c r="R99" t="s">
        <v>103</v>
      </c>
      <c r="S99" t="s">
        <v>103</v>
      </c>
    </row>
    <row r="100" spans="2:19">
      <c r="B100" s="861" t="s">
        <v>405</v>
      </c>
      <c r="C100" t="s">
        <v>1009</v>
      </c>
      <c r="D100" s="730" t="s">
        <v>110</v>
      </c>
      <c r="E100" s="747">
        <v>-117548.44686703861</v>
      </c>
      <c r="F100" s="747">
        <v>49498.733406798347</v>
      </c>
      <c r="G100" s="747">
        <v>-68049.713460240266</v>
      </c>
      <c r="H100" s="694">
        <v>1.3747768635003912</v>
      </c>
      <c r="I100" s="749" t="s">
        <v>258</v>
      </c>
      <c r="J100" s="750">
        <v>-68049.713460240266</v>
      </c>
      <c r="K100" s="735">
        <v>0</v>
      </c>
      <c r="L100" s="735" t="s">
        <v>103</v>
      </c>
      <c r="M100" s="750">
        <v>0</v>
      </c>
      <c r="N100" s="750" t="s">
        <v>103</v>
      </c>
      <c r="O100" s="736">
        <v>0</v>
      </c>
      <c r="P100" s="693">
        <v>0</v>
      </c>
      <c r="Q100" s="752">
        <v>0</v>
      </c>
      <c r="R100" t="s">
        <v>103</v>
      </c>
      <c r="S100" t="s">
        <v>103</v>
      </c>
    </row>
    <row r="101" spans="2:19">
      <c r="B101" s="861" t="s">
        <v>409</v>
      </c>
      <c r="C101" t="s">
        <v>1009</v>
      </c>
      <c r="D101" s="730" t="s">
        <v>110</v>
      </c>
      <c r="E101" s="747">
        <v>-30426.853756032797</v>
      </c>
      <c r="F101" s="747">
        <v>180394.03883657354</v>
      </c>
      <c r="G101" s="747">
        <v>149967.18508054066</v>
      </c>
      <c r="H101" s="694">
        <v>0</v>
      </c>
      <c r="I101" s="749" t="s">
        <v>258</v>
      </c>
      <c r="J101" s="750">
        <v>149967.18508054066</v>
      </c>
      <c r="K101" s="735">
        <v>0</v>
      </c>
      <c r="L101" s="735" t="s">
        <v>103</v>
      </c>
      <c r="M101" s="750">
        <v>0</v>
      </c>
      <c r="N101" s="750" t="s">
        <v>103</v>
      </c>
      <c r="O101" s="736">
        <v>0</v>
      </c>
      <c r="P101" s="693">
        <v>0</v>
      </c>
      <c r="Q101" s="752">
        <v>0</v>
      </c>
      <c r="R101" t="s">
        <v>103</v>
      </c>
      <c r="S101" t="s">
        <v>103</v>
      </c>
    </row>
    <row r="102" spans="2:19">
      <c r="B102" s="861" t="s">
        <v>410</v>
      </c>
      <c r="C102" t="s">
        <v>1009</v>
      </c>
      <c r="D102" s="730" t="s">
        <v>110</v>
      </c>
      <c r="E102" s="747">
        <v>1248606.0894572812</v>
      </c>
      <c r="F102" s="747">
        <v>66477.266478971185</v>
      </c>
      <c r="G102" s="747">
        <v>1315083.355936252</v>
      </c>
      <c r="H102" s="694">
        <v>0</v>
      </c>
      <c r="I102" s="749" t="s">
        <v>258</v>
      </c>
      <c r="J102" s="750">
        <v>1315083.355936252</v>
      </c>
      <c r="K102" s="735">
        <v>0</v>
      </c>
      <c r="L102" s="735" t="s">
        <v>103</v>
      </c>
      <c r="M102" s="750">
        <v>0</v>
      </c>
      <c r="N102" s="750" t="s">
        <v>103</v>
      </c>
      <c r="O102" s="736">
        <v>0</v>
      </c>
      <c r="P102" s="693">
        <v>0</v>
      </c>
      <c r="Q102" s="752">
        <v>0</v>
      </c>
      <c r="R102" t="s">
        <v>103</v>
      </c>
      <c r="S102" t="s">
        <v>103</v>
      </c>
    </row>
    <row r="103" spans="2:19">
      <c r="B103" s="861" t="s">
        <v>411</v>
      </c>
      <c r="C103" t="s">
        <v>1009</v>
      </c>
      <c r="D103" s="730" t="s">
        <v>110</v>
      </c>
      <c r="E103" s="747">
        <v>-827791.99542210088</v>
      </c>
      <c r="F103" s="747">
        <v>535707.34387783939</v>
      </c>
      <c r="G103" s="747">
        <v>-292084.65154426312</v>
      </c>
      <c r="H103" s="694">
        <v>0.54523174804724905</v>
      </c>
      <c r="I103" s="749" t="s">
        <v>258</v>
      </c>
      <c r="J103" s="750">
        <v>-292084.65154426312</v>
      </c>
      <c r="K103" s="735">
        <v>0</v>
      </c>
      <c r="L103" s="735" t="s">
        <v>103</v>
      </c>
      <c r="M103" s="750">
        <v>0</v>
      </c>
      <c r="N103" s="750" t="s">
        <v>103</v>
      </c>
      <c r="O103" s="736">
        <v>0</v>
      </c>
      <c r="P103" s="693">
        <v>0</v>
      </c>
      <c r="Q103" s="752">
        <v>0</v>
      </c>
      <c r="R103" t="s">
        <v>103</v>
      </c>
      <c r="S103" t="s">
        <v>103</v>
      </c>
    </row>
    <row r="104" spans="2:19">
      <c r="B104" s="861" t="s">
        <v>417</v>
      </c>
      <c r="C104" t="s">
        <v>1009</v>
      </c>
      <c r="D104" s="730" t="s">
        <v>110</v>
      </c>
      <c r="E104" s="747">
        <v>1194372.8054628761</v>
      </c>
      <c r="F104" s="747">
        <v>55328.28732512804</v>
      </c>
      <c r="G104" s="747">
        <v>107521.09278800437</v>
      </c>
      <c r="H104" s="694">
        <v>0</v>
      </c>
      <c r="I104" s="749" t="s">
        <v>258</v>
      </c>
      <c r="J104" s="750">
        <v>107521.09278800437</v>
      </c>
      <c r="K104" s="735">
        <v>0</v>
      </c>
      <c r="L104" s="735" t="s">
        <v>103</v>
      </c>
      <c r="M104" s="750">
        <v>0</v>
      </c>
      <c r="N104" s="750" t="s">
        <v>103</v>
      </c>
      <c r="O104" s="736">
        <v>0</v>
      </c>
      <c r="P104" s="693">
        <v>0</v>
      </c>
      <c r="Q104" s="752">
        <v>0</v>
      </c>
      <c r="R104" t="s">
        <v>103</v>
      </c>
      <c r="S104" t="s">
        <v>103</v>
      </c>
    </row>
    <row r="105" spans="2:19">
      <c r="B105" s="861" t="s">
        <v>418</v>
      </c>
      <c r="C105" t="s">
        <v>1009</v>
      </c>
      <c r="D105" s="730" t="s">
        <v>110</v>
      </c>
      <c r="E105" s="747">
        <v>744741.97976324311</v>
      </c>
      <c r="F105" s="747">
        <v>40410.202762712484</v>
      </c>
      <c r="G105" s="747">
        <v>785152.18252595607</v>
      </c>
      <c r="H105" s="694">
        <v>0</v>
      </c>
      <c r="I105" s="749" t="s">
        <v>258</v>
      </c>
      <c r="J105" s="750">
        <v>785152.18252595607</v>
      </c>
      <c r="K105" s="735">
        <v>0</v>
      </c>
      <c r="L105" s="735" t="s">
        <v>103</v>
      </c>
      <c r="M105" s="750">
        <v>0</v>
      </c>
      <c r="N105" s="750" t="s">
        <v>103</v>
      </c>
      <c r="O105" s="736">
        <v>0</v>
      </c>
      <c r="P105" s="693">
        <v>0</v>
      </c>
      <c r="Q105" s="752">
        <v>0</v>
      </c>
      <c r="R105" t="s">
        <v>103</v>
      </c>
      <c r="S105" t="s">
        <v>103</v>
      </c>
    </row>
    <row r="106" spans="2:19">
      <c r="B106" s="861" t="s">
        <v>419</v>
      </c>
      <c r="C106" t="s">
        <v>1009</v>
      </c>
      <c r="D106" s="730" t="s">
        <v>110</v>
      </c>
      <c r="E106" s="747">
        <v>-31679.812044963997</v>
      </c>
      <c r="F106" s="747">
        <v>80847.391192147479</v>
      </c>
      <c r="G106" s="747">
        <v>49167.579147183773</v>
      </c>
      <c r="H106" s="694">
        <v>0</v>
      </c>
      <c r="I106" s="749" t="s">
        <v>258</v>
      </c>
      <c r="J106" s="750">
        <v>49167.579147183773</v>
      </c>
      <c r="K106" s="735">
        <v>0</v>
      </c>
      <c r="L106" s="735" t="s">
        <v>103</v>
      </c>
      <c r="M106" s="750">
        <v>0</v>
      </c>
      <c r="N106" s="750" t="s">
        <v>103</v>
      </c>
      <c r="O106" s="736">
        <v>0</v>
      </c>
      <c r="P106" s="693">
        <v>0</v>
      </c>
      <c r="Q106" s="752">
        <v>0</v>
      </c>
      <c r="R106" t="s">
        <v>103</v>
      </c>
      <c r="S106" t="s">
        <v>103</v>
      </c>
    </row>
    <row r="107" spans="2:19">
      <c r="B107" s="861" t="s">
        <v>423</v>
      </c>
      <c r="C107" t="s">
        <v>1009</v>
      </c>
      <c r="D107" s="730" t="s">
        <v>110</v>
      </c>
      <c r="E107" s="747">
        <v>4534541.617355003</v>
      </c>
      <c r="F107" s="747">
        <v>278739.75180857844</v>
      </c>
      <c r="G107" s="747">
        <v>4813281.3691635802</v>
      </c>
      <c r="H107" s="694">
        <v>0</v>
      </c>
      <c r="I107" s="749" t="s">
        <v>258</v>
      </c>
      <c r="J107" s="750">
        <v>4813281.3691635802</v>
      </c>
      <c r="K107" s="735">
        <v>0</v>
      </c>
      <c r="L107" s="735" t="s">
        <v>103</v>
      </c>
      <c r="M107" s="750">
        <v>0</v>
      </c>
      <c r="N107" s="750" t="s">
        <v>103</v>
      </c>
      <c r="O107" s="736">
        <v>0</v>
      </c>
      <c r="P107" s="693">
        <v>0</v>
      </c>
      <c r="Q107" s="752">
        <v>0</v>
      </c>
      <c r="R107" t="s">
        <v>103</v>
      </c>
      <c r="S107" t="s">
        <v>103</v>
      </c>
    </row>
    <row r="108" spans="2:19">
      <c r="B108" s="861" t="s">
        <v>429</v>
      </c>
      <c r="C108" t="s">
        <v>1009</v>
      </c>
      <c r="D108" s="730" t="s">
        <v>110</v>
      </c>
      <c r="E108" s="747">
        <v>-76283.313062736983</v>
      </c>
      <c r="F108" s="747">
        <v>114726.20617797785</v>
      </c>
      <c r="G108" s="747">
        <v>38442.893115241313</v>
      </c>
      <c r="H108" s="694">
        <v>63.336369247774897</v>
      </c>
      <c r="I108" s="749" t="s">
        <v>258</v>
      </c>
      <c r="J108" s="750">
        <v>38442.893115241313</v>
      </c>
      <c r="K108" s="735">
        <v>0</v>
      </c>
      <c r="L108" s="735" t="s">
        <v>103</v>
      </c>
      <c r="M108" s="750">
        <v>0</v>
      </c>
      <c r="N108" s="750" t="s">
        <v>103</v>
      </c>
      <c r="O108" s="736">
        <v>0</v>
      </c>
      <c r="P108" s="693">
        <v>0</v>
      </c>
      <c r="Q108" s="752">
        <v>0</v>
      </c>
      <c r="R108" t="s">
        <v>103</v>
      </c>
      <c r="S108" t="s">
        <v>103</v>
      </c>
    </row>
    <row r="109" spans="2:19">
      <c r="B109" s="861" t="s">
        <v>433</v>
      </c>
      <c r="C109" t="s">
        <v>1009</v>
      </c>
      <c r="D109" s="730" t="s">
        <v>110</v>
      </c>
      <c r="E109" s="747">
        <v>-645335.36056553561</v>
      </c>
      <c r="F109" s="747">
        <v>136319.44997373165</v>
      </c>
      <c r="G109" s="747">
        <v>-509015.91059180407</v>
      </c>
      <c r="H109" s="694">
        <v>3.7339932833494407</v>
      </c>
      <c r="I109" s="749" t="s">
        <v>258</v>
      </c>
      <c r="J109" s="750">
        <v>-509015.91059180407</v>
      </c>
      <c r="K109" s="735">
        <v>0</v>
      </c>
      <c r="L109" s="735" t="s">
        <v>103</v>
      </c>
      <c r="M109" s="750">
        <v>0</v>
      </c>
      <c r="N109" s="750" t="s">
        <v>103</v>
      </c>
      <c r="O109" s="736">
        <v>0</v>
      </c>
      <c r="P109" s="693">
        <v>0</v>
      </c>
      <c r="Q109" s="752">
        <v>0</v>
      </c>
      <c r="R109" t="s">
        <v>103</v>
      </c>
      <c r="S109" t="s">
        <v>103</v>
      </c>
    </row>
    <row r="110" spans="2:19">
      <c r="B110" s="861" t="s">
        <v>438</v>
      </c>
      <c r="C110" t="s">
        <v>1009</v>
      </c>
      <c r="D110" s="730" t="s">
        <v>110</v>
      </c>
      <c r="E110" s="747">
        <v>843576.11938644783</v>
      </c>
      <c r="F110" s="747">
        <v>539564.47783851461</v>
      </c>
      <c r="G110" s="747">
        <v>1383140.5972249631</v>
      </c>
      <c r="H110" s="694">
        <v>0</v>
      </c>
      <c r="I110" s="749" t="s">
        <v>258</v>
      </c>
      <c r="J110" s="750">
        <v>1383140.5972249631</v>
      </c>
      <c r="K110" s="735">
        <v>0</v>
      </c>
      <c r="L110" s="735" t="s">
        <v>103</v>
      </c>
      <c r="M110" s="750">
        <v>0</v>
      </c>
      <c r="N110" s="750" t="s">
        <v>103</v>
      </c>
      <c r="O110" s="736">
        <v>0</v>
      </c>
      <c r="P110" s="693">
        <v>0</v>
      </c>
      <c r="Q110" s="752">
        <v>0</v>
      </c>
      <c r="R110" t="s">
        <v>103</v>
      </c>
      <c r="S110" t="s">
        <v>103</v>
      </c>
    </row>
    <row r="111" spans="2:19">
      <c r="B111" s="861" t="s">
        <v>444</v>
      </c>
      <c r="C111" t="s">
        <v>1009</v>
      </c>
      <c r="D111" s="730" t="s">
        <v>110</v>
      </c>
      <c r="E111" s="747">
        <v>770247.6704871715</v>
      </c>
      <c r="F111" s="747">
        <v>41676.968680076214</v>
      </c>
      <c r="G111" s="747">
        <v>811924.63916724792</v>
      </c>
      <c r="H111" s="694">
        <v>0</v>
      </c>
      <c r="I111" s="749" t="s">
        <v>258</v>
      </c>
      <c r="J111" s="750">
        <v>811924.63916724792</v>
      </c>
      <c r="K111" s="735">
        <v>0</v>
      </c>
      <c r="L111" s="735" t="s">
        <v>103</v>
      </c>
      <c r="M111" s="750">
        <v>0</v>
      </c>
      <c r="N111" s="750" t="s">
        <v>103</v>
      </c>
      <c r="O111" s="736">
        <v>0</v>
      </c>
      <c r="P111" s="693">
        <v>0</v>
      </c>
      <c r="Q111" s="752">
        <v>0</v>
      </c>
      <c r="R111" t="s">
        <v>103</v>
      </c>
      <c r="S111" t="s">
        <v>103</v>
      </c>
    </row>
    <row r="112" spans="2:19">
      <c r="B112" s="861" t="s">
        <v>448</v>
      </c>
      <c r="C112" t="s">
        <v>1009</v>
      </c>
      <c r="D112" s="730" t="s">
        <v>110</v>
      </c>
      <c r="E112" s="747">
        <v>834966.03101697145</v>
      </c>
      <c r="F112" s="747">
        <v>225009.83381089015</v>
      </c>
      <c r="G112" s="747">
        <v>1059975.864827862</v>
      </c>
      <c r="H112" s="694">
        <v>0</v>
      </c>
      <c r="I112" s="749" t="s">
        <v>258</v>
      </c>
      <c r="J112" s="750">
        <v>1059975.864827862</v>
      </c>
      <c r="K112" s="735">
        <v>0</v>
      </c>
      <c r="L112" s="735" t="s">
        <v>103</v>
      </c>
      <c r="M112" s="750">
        <v>0</v>
      </c>
      <c r="N112" s="750" t="s">
        <v>103</v>
      </c>
      <c r="O112" s="736">
        <v>0</v>
      </c>
      <c r="P112" s="693">
        <v>0</v>
      </c>
      <c r="Q112" s="752">
        <v>0</v>
      </c>
      <c r="R112" t="s">
        <v>103</v>
      </c>
      <c r="S112" t="s">
        <v>103</v>
      </c>
    </row>
    <row r="113" spans="2:19">
      <c r="B113" s="861" t="s">
        <v>449</v>
      </c>
      <c r="C113" t="s">
        <v>1009</v>
      </c>
      <c r="D113" s="730" t="s">
        <v>110</v>
      </c>
      <c r="E113" s="747">
        <v>-1280992.3726182897</v>
      </c>
      <c r="F113" s="747">
        <v>262015.92249180059</v>
      </c>
      <c r="G113" s="747">
        <v>-1162312.0701264893</v>
      </c>
      <c r="H113" s="694">
        <v>4.4360360205317759</v>
      </c>
      <c r="I113" s="749" t="s">
        <v>258</v>
      </c>
      <c r="J113" s="750">
        <v>-1162312.0701264893</v>
      </c>
      <c r="K113" s="735">
        <v>0</v>
      </c>
      <c r="L113" s="735" t="s">
        <v>103</v>
      </c>
      <c r="M113" s="750">
        <v>0</v>
      </c>
      <c r="N113" s="750" t="s">
        <v>103</v>
      </c>
      <c r="O113" s="736">
        <v>0</v>
      </c>
      <c r="P113" s="693">
        <v>0</v>
      </c>
      <c r="Q113" s="752">
        <v>0</v>
      </c>
      <c r="R113" t="s">
        <v>103</v>
      </c>
      <c r="S113" t="s">
        <v>103</v>
      </c>
    </row>
    <row r="114" spans="2:19">
      <c r="B114" s="861" t="s">
        <v>456</v>
      </c>
      <c r="C114" t="s">
        <v>1009</v>
      </c>
      <c r="D114" s="730" t="s">
        <v>110</v>
      </c>
      <c r="E114" s="747">
        <v>188725.54914450663</v>
      </c>
      <c r="F114" s="747">
        <v>13163.543306056048</v>
      </c>
      <c r="G114" s="747">
        <v>201889.09245056269</v>
      </c>
      <c r="H114" s="694">
        <v>0</v>
      </c>
      <c r="I114" s="749" t="s">
        <v>258</v>
      </c>
      <c r="J114" s="750">
        <v>201889.09245056269</v>
      </c>
      <c r="K114" s="735">
        <v>0</v>
      </c>
      <c r="L114" s="735" t="s">
        <v>103</v>
      </c>
      <c r="M114" s="750">
        <v>0</v>
      </c>
      <c r="N114" s="750" t="s">
        <v>103</v>
      </c>
      <c r="O114" s="736">
        <v>0</v>
      </c>
      <c r="P114" s="693">
        <v>0</v>
      </c>
      <c r="Q114" s="752">
        <v>0</v>
      </c>
      <c r="R114" t="s">
        <v>103</v>
      </c>
      <c r="S114" t="s">
        <v>103</v>
      </c>
    </row>
    <row r="115" spans="2:19">
      <c r="B115" s="861" t="s">
        <v>457</v>
      </c>
      <c r="C115" t="s">
        <v>1009</v>
      </c>
      <c r="D115" s="730" t="s">
        <v>110</v>
      </c>
      <c r="E115" s="747">
        <v>-795249.33277009171</v>
      </c>
      <c r="F115" s="747">
        <v>312474.95453576982</v>
      </c>
      <c r="G115" s="747">
        <v>-1582774.3782343245</v>
      </c>
      <c r="H115" s="694">
        <v>5.0652839699929944</v>
      </c>
      <c r="I115" s="749" t="s">
        <v>258</v>
      </c>
      <c r="J115" s="750">
        <v>-1582774.3782343245</v>
      </c>
      <c r="K115" s="735">
        <v>0</v>
      </c>
      <c r="L115" s="735" t="s">
        <v>103</v>
      </c>
      <c r="M115" s="750">
        <v>0</v>
      </c>
      <c r="N115" s="750" t="s">
        <v>103</v>
      </c>
      <c r="O115" s="736">
        <v>0</v>
      </c>
      <c r="P115" s="693">
        <v>0</v>
      </c>
      <c r="Q115" s="752">
        <v>0</v>
      </c>
      <c r="R115" t="s">
        <v>103</v>
      </c>
      <c r="S115" t="s">
        <v>103</v>
      </c>
    </row>
    <row r="116" spans="2:19">
      <c r="B116" s="861" t="s">
        <v>469</v>
      </c>
      <c r="C116" t="s">
        <v>1009</v>
      </c>
      <c r="D116" s="730" t="s">
        <v>110</v>
      </c>
      <c r="E116" s="747">
        <v>33387352.541853808</v>
      </c>
      <c r="F116" s="747">
        <v>2651303.8512374707</v>
      </c>
      <c r="G116" s="747">
        <v>35786953.083091281</v>
      </c>
      <c r="H116" s="694">
        <v>0</v>
      </c>
      <c r="I116" s="862" t="s">
        <v>258</v>
      </c>
      <c r="J116" s="863">
        <v>35786953.083091281</v>
      </c>
      <c r="K116" s="735">
        <v>0</v>
      </c>
      <c r="L116" s="735" t="s">
        <v>103</v>
      </c>
      <c r="M116" s="863">
        <v>0</v>
      </c>
      <c r="N116" s="863" t="s">
        <v>103</v>
      </c>
      <c r="O116" s="736">
        <v>0</v>
      </c>
      <c r="P116" s="693">
        <v>0</v>
      </c>
      <c r="Q116" s="752">
        <v>0</v>
      </c>
      <c r="R116" t="s">
        <v>103</v>
      </c>
      <c r="S116" t="s">
        <v>103</v>
      </c>
    </row>
    <row r="117" spans="2:19" s="101" customFormat="1">
      <c r="B117" s="738" t="s">
        <v>1247</v>
      </c>
      <c r="C117" s="738"/>
      <c r="D117" s="738"/>
      <c r="E117" s="739">
        <v>114547008.57258436</v>
      </c>
      <c r="F117" s="739">
        <v>16155550.07630031</v>
      </c>
      <c r="G117" s="739">
        <v>125458992.27888462</v>
      </c>
      <c r="H117" s="740">
        <v>0</v>
      </c>
      <c r="I117" s="741"/>
      <c r="J117" s="742">
        <v>125458992.27888462</v>
      </c>
      <c r="K117" s="742">
        <v>0</v>
      </c>
      <c r="L117" s="741"/>
      <c r="M117" s="742">
        <v>0</v>
      </c>
      <c r="N117" s="742">
        <v>0</v>
      </c>
      <c r="O117" s="743">
        <v>0</v>
      </c>
      <c r="P117" s="742">
        <v>0</v>
      </c>
      <c r="Q117" s="744">
        <v>0</v>
      </c>
      <c r="R117" s="741" t="s">
        <v>103</v>
      </c>
      <c r="S117" s="741" t="s">
        <v>103</v>
      </c>
    </row>
    <row r="118" spans="2:19">
      <c r="B118" s="857" t="s">
        <v>502</v>
      </c>
      <c r="C118" s="857"/>
      <c r="D118" s="857"/>
      <c r="E118" s="724"/>
      <c r="F118" s="724"/>
      <c r="G118" s="724"/>
      <c r="H118" s="858">
        <v>0</v>
      </c>
      <c r="I118" s="859"/>
      <c r="J118" s="860"/>
      <c r="K118" s="859"/>
      <c r="L118" s="859"/>
      <c r="M118" s="860">
        <v>0</v>
      </c>
      <c r="N118" s="860" t="s">
        <v>103</v>
      </c>
      <c r="O118" s="728"/>
      <c r="P118" s="860"/>
      <c r="Q118" s="859"/>
      <c r="R118" s="859"/>
      <c r="S118" s="859"/>
    </row>
    <row r="119" spans="2:19">
      <c r="B119" s="861" t="s">
        <v>503</v>
      </c>
      <c r="C119" t="s">
        <v>1009</v>
      </c>
      <c r="D119" s="730" t="s">
        <v>110</v>
      </c>
      <c r="E119" s="747">
        <v>7087.7081561579007</v>
      </c>
      <c r="F119" s="747">
        <v>133.25030611554101</v>
      </c>
      <c r="G119" s="747">
        <v>7220.9584622734419</v>
      </c>
      <c r="H119" s="694">
        <v>0</v>
      </c>
      <c r="I119" s="862" t="s">
        <v>258</v>
      </c>
      <c r="J119" s="863">
        <v>7220.9584622734419</v>
      </c>
      <c r="K119" s="735">
        <v>0</v>
      </c>
      <c r="L119" s="735" t="s">
        <v>103</v>
      </c>
      <c r="M119" s="863">
        <v>0</v>
      </c>
      <c r="N119" s="863" t="s">
        <v>103</v>
      </c>
      <c r="O119" s="736">
        <v>0</v>
      </c>
      <c r="P119" s="693">
        <v>0</v>
      </c>
      <c r="Q119" s="752">
        <v>0</v>
      </c>
      <c r="R119" t="s">
        <v>103</v>
      </c>
      <c r="S119" t="s">
        <v>103</v>
      </c>
    </row>
    <row r="120" spans="2:19" s="101" customFormat="1">
      <c r="B120" s="738" t="s">
        <v>1336</v>
      </c>
      <c r="C120" s="738"/>
      <c r="D120" s="738"/>
      <c r="E120" s="739">
        <v>7087.7081561579007</v>
      </c>
      <c r="F120" s="739">
        <v>133.25030611554101</v>
      </c>
      <c r="G120" s="739">
        <v>7220.9584622734419</v>
      </c>
      <c r="H120" s="740">
        <v>0</v>
      </c>
      <c r="I120" s="741"/>
      <c r="J120" s="742">
        <v>7220.9584622734419</v>
      </c>
      <c r="K120" s="742">
        <v>0</v>
      </c>
      <c r="L120" s="741"/>
      <c r="M120" s="742">
        <v>0</v>
      </c>
      <c r="N120" s="742">
        <v>0</v>
      </c>
      <c r="O120" s="743">
        <v>0</v>
      </c>
      <c r="P120" s="742">
        <v>0</v>
      </c>
      <c r="Q120" s="744">
        <v>0</v>
      </c>
      <c r="R120" s="741" t="s">
        <v>103</v>
      </c>
      <c r="S120" s="741" t="s">
        <v>103</v>
      </c>
    </row>
    <row r="121" spans="2:19">
      <c r="B121" s="857" t="s">
        <v>504</v>
      </c>
      <c r="C121" s="857"/>
      <c r="D121" s="857"/>
      <c r="E121" s="724"/>
      <c r="F121" s="724"/>
      <c r="G121" s="724"/>
      <c r="H121" s="858">
        <v>0</v>
      </c>
      <c r="I121" s="859"/>
      <c r="J121" s="860"/>
      <c r="K121" s="859"/>
      <c r="L121" s="859"/>
      <c r="M121" s="860">
        <v>0</v>
      </c>
      <c r="N121" s="860" t="s">
        <v>103</v>
      </c>
      <c r="O121" s="728"/>
      <c r="P121" s="860"/>
      <c r="Q121" s="859"/>
      <c r="R121" s="859"/>
      <c r="S121" s="859"/>
    </row>
    <row r="122" spans="2:19">
      <c r="B122" s="861" t="s">
        <v>505</v>
      </c>
      <c r="C122" t="s">
        <v>1009</v>
      </c>
      <c r="D122" s="730" t="s">
        <v>110</v>
      </c>
      <c r="E122" s="747">
        <v>296931.08063023363</v>
      </c>
      <c r="F122" s="747">
        <v>37670.831386891303</v>
      </c>
      <c r="G122" s="747">
        <v>334601.91201712505</v>
      </c>
      <c r="H122" s="694">
        <v>0</v>
      </c>
      <c r="I122" s="749" t="s">
        <v>258</v>
      </c>
      <c r="J122" s="750">
        <v>334601.91201712505</v>
      </c>
      <c r="K122" s="735">
        <v>0</v>
      </c>
      <c r="L122" s="735" t="s">
        <v>103</v>
      </c>
      <c r="M122" s="750">
        <v>0</v>
      </c>
      <c r="N122" s="750" t="s">
        <v>103</v>
      </c>
      <c r="O122" s="736">
        <v>0</v>
      </c>
      <c r="P122" s="693">
        <v>0</v>
      </c>
      <c r="Q122" s="752">
        <v>0</v>
      </c>
      <c r="R122" t="s">
        <v>103</v>
      </c>
      <c r="S122" t="s">
        <v>103</v>
      </c>
    </row>
    <row r="123" spans="2:19">
      <c r="B123" s="861" t="s">
        <v>510</v>
      </c>
      <c r="C123" t="s">
        <v>1009</v>
      </c>
      <c r="D123" s="730" t="s">
        <v>110</v>
      </c>
      <c r="E123" s="747">
        <v>224026.53024149922</v>
      </c>
      <c r="F123" s="747">
        <v>27828.857239732693</v>
      </c>
      <c r="G123" s="747">
        <v>251855.38748123188</v>
      </c>
      <c r="H123" s="694">
        <v>0</v>
      </c>
      <c r="I123" s="862" t="s">
        <v>258</v>
      </c>
      <c r="J123" s="863">
        <v>251855.38748123188</v>
      </c>
      <c r="K123" s="735">
        <v>0</v>
      </c>
      <c r="L123" s="735" t="s">
        <v>103</v>
      </c>
      <c r="M123" s="863">
        <v>0</v>
      </c>
      <c r="N123" s="863" t="s">
        <v>103</v>
      </c>
      <c r="O123" s="736">
        <v>0</v>
      </c>
      <c r="P123" s="693">
        <v>0</v>
      </c>
      <c r="Q123" s="752">
        <v>0</v>
      </c>
      <c r="R123" t="s">
        <v>103</v>
      </c>
      <c r="S123" t="s">
        <v>103</v>
      </c>
    </row>
    <row r="124" spans="2:19" s="101" customFormat="1">
      <c r="B124" s="738" t="s">
        <v>1339</v>
      </c>
      <c r="C124" s="738"/>
      <c r="D124" s="738"/>
      <c r="E124" s="739">
        <v>520957.61087173282</v>
      </c>
      <c r="F124" s="739">
        <v>65499.688626623996</v>
      </c>
      <c r="G124" s="739">
        <v>586457.29949835688</v>
      </c>
      <c r="H124" s="740">
        <v>0</v>
      </c>
      <c r="I124" s="741"/>
      <c r="J124" s="742">
        <v>586457.29949835688</v>
      </c>
      <c r="K124" s="742">
        <v>0</v>
      </c>
      <c r="L124" s="741"/>
      <c r="M124" s="742">
        <v>0</v>
      </c>
      <c r="N124" s="742">
        <v>0</v>
      </c>
      <c r="O124" s="743">
        <v>0</v>
      </c>
      <c r="P124" s="742">
        <v>0</v>
      </c>
      <c r="Q124" s="744">
        <v>0</v>
      </c>
      <c r="R124" s="741" t="s">
        <v>103</v>
      </c>
      <c r="S124" s="741" t="s">
        <v>103</v>
      </c>
    </row>
    <row r="125" spans="2:19">
      <c r="B125" s="857" t="s">
        <v>514</v>
      </c>
      <c r="C125" s="857"/>
      <c r="D125" s="857"/>
      <c r="E125" s="724"/>
      <c r="F125" s="724"/>
      <c r="G125" s="724"/>
      <c r="H125" s="858">
        <v>0</v>
      </c>
      <c r="I125" s="859"/>
      <c r="J125" s="860"/>
      <c r="K125" s="859"/>
      <c r="L125" s="859"/>
      <c r="M125" s="860">
        <v>0</v>
      </c>
      <c r="N125" s="860" t="s">
        <v>103</v>
      </c>
      <c r="O125" s="728"/>
      <c r="P125" s="860"/>
      <c r="Q125" s="859"/>
      <c r="R125" s="859"/>
      <c r="S125" s="859"/>
    </row>
    <row r="126" spans="2:19">
      <c r="B126" s="861" t="s">
        <v>515</v>
      </c>
      <c r="C126" t="s">
        <v>1009</v>
      </c>
      <c r="D126" s="730" t="s">
        <v>110</v>
      </c>
      <c r="E126" s="747">
        <v>45960.867275935365</v>
      </c>
      <c r="F126" s="747">
        <v>50000.070468903963</v>
      </c>
      <c r="G126" s="747">
        <v>95960.937744839321</v>
      </c>
      <c r="H126" s="694">
        <v>0</v>
      </c>
      <c r="I126" s="749" t="s">
        <v>258</v>
      </c>
      <c r="J126" s="750">
        <v>95960.937744839321</v>
      </c>
      <c r="K126" s="735">
        <v>0</v>
      </c>
      <c r="L126" s="735" t="s">
        <v>103</v>
      </c>
      <c r="M126" s="750">
        <v>0</v>
      </c>
      <c r="N126" s="750" t="s">
        <v>103</v>
      </c>
      <c r="O126" s="736">
        <v>0</v>
      </c>
      <c r="P126" s="693">
        <v>0</v>
      </c>
      <c r="Q126" s="752">
        <v>0</v>
      </c>
      <c r="R126" t="s">
        <v>103</v>
      </c>
      <c r="S126" t="s">
        <v>103</v>
      </c>
    </row>
    <row r="127" spans="2:19">
      <c r="B127" s="861" t="s">
        <v>516</v>
      </c>
      <c r="C127" t="s">
        <v>1009</v>
      </c>
      <c r="D127" s="730" t="s">
        <v>110</v>
      </c>
      <c r="E127" s="747">
        <v>2648.2070043492813</v>
      </c>
      <c r="F127" s="747">
        <v>168.92059888108443</v>
      </c>
      <c r="G127" s="747">
        <v>2817.1276032303658</v>
      </c>
      <c r="H127" s="694">
        <v>0</v>
      </c>
      <c r="I127" s="749" t="s">
        <v>258</v>
      </c>
      <c r="J127" s="750">
        <v>2817.1276032303658</v>
      </c>
      <c r="K127" s="735">
        <v>0</v>
      </c>
      <c r="L127" s="735" t="s">
        <v>103</v>
      </c>
      <c r="M127" s="750">
        <v>0</v>
      </c>
      <c r="N127" s="750" t="s">
        <v>103</v>
      </c>
      <c r="O127" s="736">
        <v>0</v>
      </c>
      <c r="P127" s="693">
        <v>0</v>
      </c>
      <c r="Q127" s="752">
        <v>0</v>
      </c>
      <c r="R127" t="s">
        <v>103</v>
      </c>
      <c r="S127" t="s">
        <v>103</v>
      </c>
    </row>
    <row r="128" spans="2:19">
      <c r="B128" s="861" t="s">
        <v>517</v>
      </c>
      <c r="C128" t="s">
        <v>1009</v>
      </c>
      <c r="D128" s="730" t="s">
        <v>110</v>
      </c>
      <c r="E128" s="747">
        <v>-1299790.8853048962</v>
      </c>
      <c r="F128" s="747">
        <v>76795.267580402811</v>
      </c>
      <c r="G128" s="747">
        <v>-1726697.0477244931</v>
      </c>
      <c r="H128" s="694">
        <v>22.484419966590814</v>
      </c>
      <c r="I128" s="749" t="s">
        <v>258</v>
      </c>
      <c r="J128" s="750">
        <v>-1726697.0477244931</v>
      </c>
      <c r="K128" s="735">
        <v>0</v>
      </c>
      <c r="L128" s="735" t="s">
        <v>103</v>
      </c>
      <c r="M128" s="750">
        <v>0</v>
      </c>
      <c r="N128" s="750" t="s">
        <v>103</v>
      </c>
      <c r="O128" s="736">
        <v>0</v>
      </c>
      <c r="P128" s="693">
        <v>0</v>
      </c>
      <c r="Q128" s="752">
        <v>0</v>
      </c>
      <c r="R128" t="s">
        <v>103</v>
      </c>
      <c r="S128" t="s">
        <v>103</v>
      </c>
    </row>
    <row r="129" spans="2:19">
      <c r="B129" s="861" t="s">
        <v>521</v>
      </c>
      <c r="C129" t="s">
        <v>1009</v>
      </c>
      <c r="D129" s="730" t="s">
        <v>110</v>
      </c>
      <c r="E129" s="747">
        <v>2125158.1883259583</v>
      </c>
      <c r="F129" s="747">
        <v>219123.40655192378</v>
      </c>
      <c r="G129" s="747">
        <v>2344281.5948778819</v>
      </c>
      <c r="H129" s="694">
        <v>0</v>
      </c>
      <c r="I129" s="749" t="s">
        <v>258</v>
      </c>
      <c r="J129" s="750">
        <v>2344281.5948778819</v>
      </c>
      <c r="K129" s="735">
        <v>0</v>
      </c>
      <c r="L129" s="735" t="s">
        <v>103</v>
      </c>
      <c r="M129" s="750">
        <v>0</v>
      </c>
      <c r="N129" s="750" t="s">
        <v>103</v>
      </c>
      <c r="O129" s="736">
        <v>0</v>
      </c>
      <c r="P129" s="693">
        <v>0</v>
      </c>
      <c r="Q129" s="752">
        <v>0</v>
      </c>
      <c r="R129" t="s">
        <v>103</v>
      </c>
      <c r="S129" t="s">
        <v>103</v>
      </c>
    </row>
    <row r="130" spans="2:19">
      <c r="B130" s="861" t="s">
        <v>525</v>
      </c>
      <c r="C130" t="s">
        <v>1009</v>
      </c>
      <c r="D130" s="730" t="s">
        <v>110</v>
      </c>
      <c r="E130" s="747">
        <v>1907760.8457767921</v>
      </c>
      <c r="F130" s="747">
        <v>300252.2857917574</v>
      </c>
      <c r="G130" s="747">
        <v>2208013.1315685501</v>
      </c>
      <c r="H130" s="694">
        <v>0</v>
      </c>
      <c r="I130" s="749" t="s">
        <v>258</v>
      </c>
      <c r="J130" s="750">
        <v>2208013.1315685501</v>
      </c>
      <c r="K130" s="735">
        <v>0</v>
      </c>
      <c r="L130" s="735" t="s">
        <v>103</v>
      </c>
      <c r="M130" s="750">
        <v>0</v>
      </c>
      <c r="N130" s="750" t="s">
        <v>103</v>
      </c>
      <c r="O130" s="736">
        <v>0</v>
      </c>
      <c r="P130" s="693">
        <v>0</v>
      </c>
      <c r="Q130" s="752">
        <v>0</v>
      </c>
      <c r="R130" t="s">
        <v>103</v>
      </c>
      <c r="S130" t="s">
        <v>103</v>
      </c>
    </row>
    <row r="131" spans="2:19">
      <c r="B131" s="861" t="s">
        <v>526</v>
      </c>
      <c r="C131" t="s">
        <v>1009</v>
      </c>
      <c r="D131" s="730" t="s">
        <v>110</v>
      </c>
      <c r="E131" s="747">
        <v>1781463.6420382119</v>
      </c>
      <c r="F131" s="747">
        <v>90082.682984873289</v>
      </c>
      <c r="G131" s="747">
        <v>1871546.3250230849</v>
      </c>
      <c r="H131" s="694">
        <v>0</v>
      </c>
      <c r="I131" s="749" t="s">
        <v>258</v>
      </c>
      <c r="J131" s="750">
        <v>1871546.3250230849</v>
      </c>
      <c r="K131" s="735">
        <v>0</v>
      </c>
      <c r="L131" s="735" t="s">
        <v>103</v>
      </c>
      <c r="M131" s="750">
        <v>0</v>
      </c>
      <c r="N131" s="750" t="s">
        <v>103</v>
      </c>
      <c r="O131" s="736">
        <v>0</v>
      </c>
      <c r="P131" s="693">
        <v>0</v>
      </c>
      <c r="Q131" s="752">
        <v>0</v>
      </c>
      <c r="R131" t="s">
        <v>103</v>
      </c>
      <c r="S131" t="s">
        <v>103</v>
      </c>
    </row>
    <row r="132" spans="2:19">
      <c r="B132" s="861" t="s">
        <v>527</v>
      </c>
      <c r="C132" t="s">
        <v>1009</v>
      </c>
      <c r="D132" s="730" t="s">
        <v>110</v>
      </c>
      <c r="E132" s="747">
        <v>890605.36547578068</v>
      </c>
      <c r="F132" s="747">
        <v>101011.52789980535</v>
      </c>
      <c r="G132" s="747">
        <v>991616.89337558567</v>
      </c>
      <c r="H132" s="694">
        <v>0</v>
      </c>
      <c r="I132" s="749" t="s">
        <v>258</v>
      </c>
      <c r="J132" s="750">
        <v>991616.89337558567</v>
      </c>
      <c r="K132" s="735">
        <v>0</v>
      </c>
      <c r="L132" s="735" t="s">
        <v>103</v>
      </c>
      <c r="M132" s="750">
        <v>0</v>
      </c>
      <c r="N132" s="750" t="s">
        <v>103</v>
      </c>
      <c r="O132" s="736">
        <v>0</v>
      </c>
      <c r="P132" s="693">
        <v>0</v>
      </c>
      <c r="Q132" s="752">
        <v>0</v>
      </c>
      <c r="R132" t="s">
        <v>103</v>
      </c>
      <c r="S132" t="s">
        <v>103</v>
      </c>
    </row>
    <row r="133" spans="2:19">
      <c r="B133" s="861" t="s">
        <v>530</v>
      </c>
      <c r="C133" t="s">
        <v>1009</v>
      </c>
      <c r="D133" s="730" t="s">
        <v>110</v>
      </c>
      <c r="E133" s="747">
        <v>4373354.0251166979</v>
      </c>
      <c r="F133" s="747">
        <v>306137.66082553525</v>
      </c>
      <c r="G133" s="747">
        <v>330417.64594223496</v>
      </c>
      <c r="H133" s="694">
        <v>0</v>
      </c>
      <c r="I133" s="749" t="s">
        <v>258</v>
      </c>
      <c r="J133" s="750">
        <v>330417.64594223496</v>
      </c>
      <c r="K133" s="735">
        <v>0</v>
      </c>
      <c r="L133" s="735" t="s">
        <v>103</v>
      </c>
      <c r="M133" s="750">
        <v>0</v>
      </c>
      <c r="N133" s="750" t="s">
        <v>103</v>
      </c>
      <c r="O133" s="736">
        <v>0</v>
      </c>
      <c r="P133" s="693">
        <v>0</v>
      </c>
      <c r="Q133" s="752">
        <v>0</v>
      </c>
      <c r="R133" t="s">
        <v>103</v>
      </c>
      <c r="S133" t="s">
        <v>103</v>
      </c>
    </row>
    <row r="134" spans="2:19">
      <c r="B134" s="861" t="s">
        <v>540</v>
      </c>
      <c r="C134" t="s">
        <v>1009</v>
      </c>
      <c r="D134" s="730" t="s">
        <v>110</v>
      </c>
      <c r="E134" s="747">
        <v>-1939119.4969395723</v>
      </c>
      <c r="F134" s="747">
        <v>443396.87504032499</v>
      </c>
      <c r="G134" s="747">
        <v>-1495722.6218992476</v>
      </c>
      <c r="H134" s="694">
        <v>3.3733269359717934</v>
      </c>
      <c r="I134" s="749" t="s">
        <v>258</v>
      </c>
      <c r="J134" s="750">
        <v>-1495722.6218992476</v>
      </c>
      <c r="K134" s="735">
        <v>0</v>
      </c>
      <c r="L134" s="735" t="s">
        <v>103</v>
      </c>
      <c r="M134" s="750">
        <v>0</v>
      </c>
      <c r="N134" s="750" t="s">
        <v>103</v>
      </c>
      <c r="O134" s="736">
        <v>0</v>
      </c>
      <c r="P134" s="693">
        <v>0</v>
      </c>
      <c r="Q134" s="752">
        <v>0</v>
      </c>
      <c r="R134" t="s">
        <v>103</v>
      </c>
      <c r="S134" t="s">
        <v>103</v>
      </c>
    </row>
    <row r="135" spans="2:19">
      <c r="B135" s="861" t="s">
        <v>552</v>
      </c>
      <c r="C135" t="s">
        <v>1009</v>
      </c>
      <c r="D135" s="730" t="s">
        <v>110</v>
      </c>
      <c r="E135" s="747">
        <v>-2387093.87572309</v>
      </c>
      <c r="F135" s="747">
        <v>430692.40758108877</v>
      </c>
      <c r="G135" s="747">
        <v>-1964320.8481420001</v>
      </c>
      <c r="H135" s="694">
        <v>4.5608439191539887</v>
      </c>
      <c r="I135" s="749" t="s">
        <v>258</v>
      </c>
      <c r="J135" s="750">
        <v>-1964320.8481420001</v>
      </c>
      <c r="K135" s="735">
        <v>0</v>
      </c>
      <c r="L135" s="735" t="s">
        <v>103</v>
      </c>
      <c r="M135" s="750">
        <v>0</v>
      </c>
      <c r="N135" s="750" t="s">
        <v>103</v>
      </c>
      <c r="O135" s="736">
        <v>0</v>
      </c>
      <c r="P135" s="693">
        <v>0</v>
      </c>
      <c r="Q135" s="752">
        <v>0</v>
      </c>
      <c r="R135" t="s">
        <v>103</v>
      </c>
      <c r="S135" t="s">
        <v>103</v>
      </c>
    </row>
    <row r="136" spans="2:19">
      <c r="B136" s="861" t="s">
        <v>561</v>
      </c>
      <c r="C136" t="s">
        <v>1009</v>
      </c>
      <c r="D136" s="730" t="s">
        <v>110</v>
      </c>
      <c r="E136" s="747">
        <v>1771807.827135521</v>
      </c>
      <c r="F136" s="747">
        <v>124895.78602689708</v>
      </c>
      <c r="G136" s="747">
        <v>1896703.6131624181</v>
      </c>
      <c r="H136" s="694">
        <v>0</v>
      </c>
      <c r="I136" s="749" t="s">
        <v>258</v>
      </c>
      <c r="J136" s="750">
        <v>1896703.6131624181</v>
      </c>
      <c r="K136" s="735">
        <v>0</v>
      </c>
      <c r="L136" s="735" t="s">
        <v>103</v>
      </c>
      <c r="M136" s="750">
        <v>0</v>
      </c>
      <c r="N136" s="750" t="s">
        <v>103</v>
      </c>
      <c r="O136" s="736">
        <v>0</v>
      </c>
      <c r="P136" s="693">
        <v>0</v>
      </c>
      <c r="Q136" s="752">
        <v>0</v>
      </c>
      <c r="R136" t="s">
        <v>103</v>
      </c>
      <c r="S136" t="s">
        <v>103</v>
      </c>
    </row>
    <row r="137" spans="2:19">
      <c r="B137" s="861" t="s">
        <v>562</v>
      </c>
      <c r="C137" t="s">
        <v>1009</v>
      </c>
      <c r="D137" s="730" t="s">
        <v>110</v>
      </c>
      <c r="E137" s="747">
        <v>768228.75118350214</v>
      </c>
      <c r="F137" s="747">
        <v>152691.25818205779</v>
      </c>
      <c r="G137" s="747">
        <v>920920.00936556014</v>
      </c>
      <c r="H137" s="694">
        <v>0</v>
      </c>
      <c r="I137" s="749" t="s">
        <v>258</v>
      </c>
      <c r="J137" s="750">
        <v>920920.00936556014</v>
      </c>
      <c r="K137" s="735">
        <v>0</v>
      </c>
      <c r="L137" s="735" t="s">
        <v>103</v>
      </c>
      <c r="M137" s="750">
        <v>0</v>
      </c>
      <c r="N137" s="750" t="s">
        <v>103</v>
      </c>
      <c r="O137" s="736">
        <v>0</v>
      </c>
      <c r="P137" s="693">
        <v>0</v>
      </c>
      <c r="Q137" s="752">
        <v>0</v>
      </c>
      <c r="R137" t="s">
        <v>103</v>
      </c>
      <c r="S137" t="s">
        <v>103</v>
      </c>
    </row>
    <row r="138" spans="2:19">
      <c r="B138" s="861" t="s">
        <v>567</v>
      </c>
      <c r="C138" t="s">
        <v>1009</v>
      </c>
      <c r="D138" s="730" t="s">
        <v>110</v>
      </c>
      <c r="E138" s="747">
        <v>99560.046767390071</v>
      </c>
      <c r="F138" s="747">
        <v>20382.27884114486</v>
      </c>
      <c r="G138" s="747">
        <v>119942.32560853496</v>
      </c>
      <c r="H138" s="694">
        <v>0</v>
      </c>
      <c r="I138" s="749" t="s">
        <v>258</v>
      </c>
      <c r="J138" s="750">
        <v>119942.32560853496</v>
      </c>
      <c r="K138" s="735">
        <v>0</v>
      </c>
      <c r="L138" s="735" t="s">
        <v>103</v>
      </c>
      <c r="M138" s="750">
        <v>0</v>
      </c>
      <c r="N138" s="750" t="s">
        <v>103</v>
      </c>
      <c r="O138" s="736">
        <v>0</v>
      </c>
      <c r="P138" s="693">
        <v>0</v>
      </c>
      <c r="Q138" s="752">
        <v>0</v>
      </c>
      <c r="R138" t="s">
        <v>103</v>
      </c>
      <c r="S138" t="s">
        <v>103</v>
      </c>
    </row>
    <row r="139" spans="2:19">
      <c r="B139" s="861" t="s">
        <v>571</v>
      </c>
      <c r="C139" t="s">
        <v>1009</v>
      </c>
      <c r="D139" s="730" t="s">
        <v>110</v>
      </c>
      <c r="E139" s="747">
        <v>2267265.723067902</v>
      </c>
      <c r="F139" s="747">
        <v>88264.004340641579</v>
      </c>
      <c r="G139" s="747">
        <v>10572663.867408544</v>
      </c>
      <c r="H139" s="694">
        <v>0</v>
      </c>
      <c r="I139" s="749" t="s">
        <v>258</v>
      </c>
      <c r="J139" s="750">
        <v>10572663.867408544</v>
      </c>
      <c r="K139" s="735">
        <v>0</v>
      </c>
      <c r="L139" s="735" t="s">
        <v>103</v>
      </c>
      <c r="M139" s="750">
        <v>0</v>
      </c>
      <c r="N139" s="750" t="s">
        <v>103</v>
      </c>
      <c r="O139" s="736">
        <v>0</v>
      </c>
      <c r="P139" s="693">
        <v>0</v>
      </c>
      <c r="Q139" s="752">
        <v>0</v>
      </c>
      <c r="R139" t="s">
        <v>103</v>
      </c>
      <c r="S139" t="s">
        <v>103</v>
      </c>
    </row>
    <row r="140" spans="2:19">
      <c r="B140" s="861" t="s">
        <v>578</v>
      </c>
      <c r="C140" t="s">
        <v>1009</v>
      </c>
      <c r="D140" s="730" t="s">
        <v>110</v>
      </c>
      <c r="E140" s="747">
        <v>126545.32081026811</v>
      </c>
      <c r="F140" s="747">
        <v>0</v>
      </c>
      <c r="G140" s="747">
        <v>126545.32081026811</v>
      </c>
      <c r="H140" s="694">
        <v>0</v>
      </c>
      <c r="I140" s="749" t="s">
        <v>258</v>
      </c>
      <c r="J140" s="750">
        <v>126545.32081026811</v>
      </c>
      <c r="K140" s="735">
        <v>0</v>
      </c>
      <c r="L140" s="735" t="s">
        <v>103</v>
      </c>
      <c r="M140" s="750">
        <v>0</v>
      </c>
      <c r="N140" s="750" t="s">
        <v>103</v>
      </c>
      <c r="O140" s="736">
        <v>0</v>
      </c>
      <c r="P140" s="693">
        <v>0</v>
      </c>
      <c r="Q140" s="752">
        <v>0</v>
      </c>
      <c r="R140" t="s">
        <v>103</v>
      </c>
      <c r="S140" t="s">
        <v>103</v>
      </c>
    </row>
    <row r="141" spans="2:19">
      <c r="B141" s="861" t="s">
        <v>579</v>
      </c>
      <c r="C141" t="s">
        <v>1009</v>
      </c>
      <c r="D141" s="730" t="s">
        <v>110</v>
      </c>
      <c r="E141" s="747">
        <v>69507.72689901838</v>
      </c>
      <c r="F141" s="747">
        <v>10006.873794858346</v>
      </c>
      <c r="G141" s="747">
        <v>79514.600693876739</v>
      </c>
      <c r="H141" s="694">
        <v>0</v>
      </c>
      <c r="I141" s="749" t="s">
        <v>258</v>
      </c>
      <c r="J141" s="750">
        <v>79514.600693876739</v>
      </c>
      <c r="K141" s="735">
        <v>0</v>
      </c>
      <c r="L141" s="735" t="s">
        <v>103</v>
      </c>
      <c r="M141" s="750">
        <v>0</v>
      </c>
      <c r="N141" s="750" t="s">
        <v>103</v>
      </c>
      <c r="O141" s="736">
        <v>0</v>
      </c>
      <c r="P141" s="693">
        <v>0</v>
      </c>
      <c r="Q141" s="752">
        <v>0</v>
      </c>
      <c r="R141" t="s">
        <v>103</v>
      </c>
      <c r="S141" t="s">
        <v>103</v>
      </c>
    </row>
    <row r="142" spans="2:19">
      <c r="B142" s="861" t="s">
        <v>580</v>
      </c>
      <c r="C142" t="s">
        <v>1009</v>
      </c>
      <c r="D142" s="730" t="s">
        <v>110</v>
      </c>
      <c r="E142" s="747">
        <v>574622.53327618656</v>
      </c>
      <c r="F142" s="747">
        <v>24587.655202299436</v>
      </c>
      <c r="G142" s="747">
        <v>24587.188478485994</v>
      </c>
      <c r="H142" s="694">
        <v>0</v>
      </c>
      <c r="I142" s="749" t="s">
        <v>258</v>
      </c>
      <c r="J142" s="750">
        <v>24587.188478485994</v>
      </c>
      <c r="K142" s="735">
        <v>0</v>
      </c>
      <c r="L142" s="735" t="s">
        <v>103</v>
      </c>
      <c r="M142" s="750">
        <v>0</v>
      </c>
      <c r="N142" s="750" t="s">
        <v>103</v>
      </c>
      <c r="O142" s="736">
        <v>0</v>
      </c>
      <c r="P142" s="693">
        <v>0</v>
      </c>
      <c r="Q142" s="752">
        <v>0</v>
      </c>
      <c r="R142" t="s">
        <v>103</v>
      </c>
      <c r="S142" t="s">
        <v>103</v>
      </c>
    </row>
    <row r="143" spans="2:19">
      <c r="B143" s="861" t="s">
        <v>581</v>
      </c>
      <c r="C143" t="s">
        <v>1009</v>
      </c>
      <c r="D143" s="730" t="s">
        <v>110</v>
      </c>
      <c r="E143" s="747">
        <v>-1300357.5813848323</v>
      </c>
      <c r="F143" s="747">
        <v>0</v>
      </c>
      <c r="G143" s="747">
        <v>-1300357.5813848323</v>
      </c>
      <c r="H143" s="694">
        <v>0</v>
      </c>
      <c r="I143" s="749" t="s">
        <v>258</v>
      </c>
      <c r="J143" s="750">
        <v>-1300357.5813848323</v>
      </c>
      <c r="K143" s="735">
        <v>0</v>
      </c>
      <c r="L143" s="735" t="s">
        <v>103</v>
      </c>
      <c r="M143" s="750">
        <v>0</v>
      </c>
      <c r="N143" s="750" t="s">
        <v>103</v>
      </c>
      <c r="O143" s="736">
        <v>0</v>
      </c>
      <c r="P143" s="693">
        <v>0</v>
      </c>
      <c r="Q143" s="752">
        <v>0</v>
      </c>
      <c r="R143" t="s">
        <v>103</v>
      </c>
      <c r="S143" t="s">
        <v>103</v>
      </c>
    </row>
    <row r="144" spans="2:19">
      <c r="B144" s="861" t="s">
        <v>582</v>
      </c>
      <c r="C144" t="s">
        <v>1009</v>
      </c>
      <c r="D144" s="730" t="s">
        <v>110</v>
      </c>
      <c r="E144" s="747">
        <v>78134.300231513262</v>
      </c>
      <c r="F144" s="747">
        <v>44810.244100549637</v>
      </c>
      <c r="G144" s="747">
        <v>122944.54433206274</v>
      </c>
      <c r="H144" s="694">
        <v>0</v>
      </c>
      <c r="I144" s="749" t="s">
        <v>258</v>
      </c>
      <c r="J144" s="750">
        <v>122944.54433206274</v>
      </c>
      <c r="K144" s="735">
        <v>0</v>
      </c>
      <c r="L144" s="735" t="s">
        <v>103</v>
      </c>
      <c r="M144" s="750">
        <v>0</v>
      </c>
      <c r="N144" s="750" t="s">
        <v>103</v>
      </c>
      <c r="O144" s="736">
        <v>0</v>
      </c>
      <c r="P144" s="693">
        <v>0</v>
      </c>
      <c r="Q144" s="752">
        <v>0</v>
      </c>
      <c r="R144" t="s">
        <v>103</v>
      </c>
      <c r="S144" t="s">
        <v>103</v>
      </c>
    </row>
    <row r="145" spans="2:19">
      <c r="B145" s="861" t="s">
        <v>585</v>
      </c>
      <c r="C145" t="s">
        <v>1009</v>
      </c>
      <c r="D145" s="730" t="s">
        <v>110</v>
      </c>
      <c r="E145" s="747">
        <v>68185.424396837872</v>
      </c>
      <c r="F145" s="747">
        <v>73824.075270351357</v>
      </c>
      <c r="G145" s="747">
        <v>142009.49966718943</v>
      </c>
      <c r="H145" s="694">
        <v>0</v>
      </c>
      <c r="I145" s="749" t="s">
        <v>258</v>
      </c>
      <c r="J145" s="750">
        <v>142009.49966718943</v>
      </c>
      <c r="K145" s="735">
        <v>0</v>
      </c>
      <c r="L145" s="735" t="s">
        <v>103</v>
      </c>
      <c r="M145" s="750">
        <v>0</v>
      </c>
      <c r="N145" s="750" t="s">
        <v>103</v>
      </c>
      <c r="O145" s="736">
        <v>0</v>
      </c>
      <c r="P145" s="693">
        <v>0</v>
      </c>
      <c r="Q145" s="752">
        <v>0</v>
      </c>
      <c r="R145" t="s">
        <v>103</v>
      </c>
      <c r="S145" t="s">
        <v>103</v>
      </c>
    </row>
    <row r="146" spans="2:19">
      <c r="B146" s="861" t="s">
        <v>589</v>
      </c>
      <c r="C146" t="s">
        <v>1009</v>
      </c>
      <c r="D146" s="730" t="s">
        <v>110</v>
      </c>
      <c r="E146" s="747">
        <v>-867966.27156771999</v>
      </c>
      <c r="F146" s="747">
        <v>223882.94076589553</v>
      </c>
      <c r="G146" s="747">
        <v>-644083.33080182585</v>
      </c>
      <c r="H146" s="694">
        <v>2.876875426946063</v>
      </c>
      <c r="I146" s="749" t="s">
        <v>258</v>
      </c>
      <c r="J146" s="750">
        <v>-644083.33080182585</v>
      </c>
      <c r="K146" s="735">
        <v>0</v>
      </c>
      <c r="L146" s="735" t="s">
        <v>103</v>
      </c>
      <c r="M146" s="750">
        <v>0</v>
      </c>
      <c r="N146" s="750" t="s">
        <v>103</v>
      </c>
      <c r="O146" s="736">
        <v>0</v>
      </c>
      <c r="P146" s="693">
        <v>0</v>
      </c>
      <c r="Q146" s="752">
        <v>0</v>
      </c>
      <c r="R146" t="s">
        <v>103</v>
      </c>
      <c r="S146" t="s">
        <v>103</v>
      </c>
    </row>
    <row r="147" spans="2:19">
      <c r="B147" s="861" t="s">
        <v>596</v>
      </c>
      <c r="C147" t="s">
        <v>1009</v>
      </c>
      <c r="D147" s="730" t="s">
        <v>110</v>
      </c>
      <c r="E147" s="747">
        <v>-16888.143386177951</v>
      </c>
      <c r="F147" s="747">
        <v>289751.30564897729</v>
      </c>
      <c r="G147" s="747">
        <v>272863.16226279957</v>
      </c>
      <c r="H147" s="694">
        <v>0</v>
      </c>
      <c r="I147" s="749" t="s">
        <v>258</v>
      </c>
      <c r="J147" s="750">
        <v>272863.16226279957</v>
      </c>
      <c r="K147" s="735">
        <v>0</v>
      </c>
      <c r="L147" s="735" t="s">
        <v>103</v>
      </c>
      <c r="M147" s="750">
        <v>0</v>
      </c>
      <c r="N147" s="750" t="s">
        <v>103</v>
      </c>
      <c r="O147" s="736">
        <v>0</v>
      </c>
      <c r="P147" s="693">
        <v>0</v>
      </c>
      <c r="Q147" s="752">
        <v>0</v>
      </c>
      <c r="R147" t="s">
        <v>103</v>
      </c>
      <c r="S147" t="s">
        <v>103</v>
      </c>
    </row>
    <row r="148" spans="2:19">
      <c r="B148" s="861" t="s">
        <v>599</v>
      </c>
      <c r="C148" t="s">
        <v>1009</v>
      </c>
      <c r="D148" s="730" t="s">
        <v>110</v>
      </c>
      <c r="E148" s="747">
        <v>680380.73852844408</v>
      </c>
      <c r="F148" s="747">
        <v>78668.241109987503</v>
      </c>
      <c r="G148" s="747">
        <v>-40951.020361568415</v>
      </c>
      <c r="H148" s="694">
        <v>0.52055339974252179</v>
      </c>
      <c r="I148" s="749" t="s">
        <v>258</v>
      </c>
      <c r="J148" s="750">
        <v>-40951.020361568415</v>
      </c>
      <c r="K148" s="735">
        <v>0</v>
      </c>
      <c r="L148" s="735" t="s">
        <v>103</v>
      </c>
      <c r="M148" s="750">
        <v>0</v>
      </c>
      <c r="N148" s="750" t="s">
        <v>103</v>
      </c>
      <c r="O148" s="736">
        <v>0</v>
      </c>
      <c r="P148" s="693">
        <v>0</v>
      </c>
      <c r="Q148" s="752">
        <v>0</v>
      </c>
      <c r="R148" t="s">
        <v>103</v>
      </c>
      <c r="S148" t="s">
        <v>103</v>
      </c>
    </row>
    <row r="149" spans="2:19">
      <c r="B149" s="861" t="s">
        <v>603</v>
      </c>
      <c r="C149" t="s">
        <v>1009</v>
      </c>
      <c r="D149" s="730" t="s">
        <v>110</v>
      </c>
      <c r="E149" s="747">
        <v>50296.650746657513</v>
      </c>
      <c r="F149" s="747">
        <v>54172.205328570868</v>
      </c>
      <c r="G149" s="747">
        <v>104468.85607522838</v>
      </c>
      <c r="H149" s="694">
        <v>0</v>
      </c>
      <c r="I149" s="749" t="s">
        <v>258</v>
      </c>
      <c r="J149" s="750">
        <v>104468.85607522838</v>
      </c>
      <c r="K149" s="735">
        <v>0</v>
      </c>
      <c r="L149" s="735" t="s">
        <v>103</v>
      </c>
      <c r="M149" s="750">
        <v>0</v>
      </c>
      <c r="N149" s="750" t="s">
        <v>103</v>
      </c>
      <c r="O149" s="736">
        <v>0</v>
      </c>
      <c r="P149" s="693">
        <v>0</v>
      </c>
      <c r="Q149" s="752">
        <v>0</v>
      </c>
      <c r="R149" t="s">
        <v>103</v>
      </c>
      <c r="S149" t="s">
        <v>103</v>
      </c>
    </row>
    <row r="150" spans="2:19">
      <c r="B150" s="861" t="s">
        <v>604</v>
      </c>
      <c r="C150" t="s">
        <v>1009</v>
      </c>
      <c r="D150" s="730" t="s">
        <v>110</v>
      </c>
      <c r="E150" s="747">
        <v>2099819.6631310279</v>
      </c>
      <c r="F150" s="747">
        <v>577106.53202239494</v>
      </c>
      <c r="G150" s="747">
        <v>2676926.1951534236</v>
      </c>
      <c r="H150" s="694">
        <v>0</v>
      </c>
      <c r="I150" s="749" t="s">
        <v>258</v>
      </c>
      <c r="J150" s="750">
        <v>2676926.1951534236</v>
      </c>
      <c r="K150" s="735">
        <v>0</v>
      </c>
      <c r="L150" s="735" t="s">
        <v>103</v>
      </c>
      <c r="M150" s="750">
        <v>0</v>
      </c>
      <c r="N150" s="750" t="s">
        <v>103</v>
      </c>
      <c r="O150" s="736">
        <v>0</v>
      </c>
      <c r="P150" s="693">
        <v>0</v>
      </c>
      <c r="Q150" s="752">
        <v>0</v>
      </c>
      <c r="R150" t="s">
        <v>103</v>
      </c>
      <c r="S150" t="s">
        <v>103</v>
      </c>
    </row>
    <row r="151" spans="2:19">
      <c r="B151" s="861" t="s">
        <v>622</v>
      </c>
      <c r="C151" t="s">
        <v>1009</v>
      </c>
      <c r="D151" s="730" t="s">
        <v>110</v>
      </c>
      <c r="E151" s="747">
        <v>422401.54679882654</v>
      </c>
      <c r="F151" s="747">
        <v>78513.706854315882</v>
      </c>
      <c r="G151" s="747">
        <v>15807.333653142618</v>
      </c>
      <c r="H151" s="694">
        <v>29.661578718580678</v>
      </c>
      <c r="I151" s="749" t="s">
        <v>258</v>
      </c>
      <c r="J151" s="750">
        <v>15807.333653142618</v>
      </c>
      <c r="K151" s="735">
        <v>0</v>
      </c>
      <c r="L151" s="735" t="s">
        <v>103</v>
      </c>
      <c r="M151" s="750">
        <v>0</v>
      </c>
      <c r="N151" s="750" t="s">
        <v>103</v>
      </c>
      <c r="O151" s="736">
        <v>0</v>
      </c>
      <c r="P151" s="693">
        <v>0</v>
      </c>
      <c r="Q151" s="752">
        <v>0</v>
      </c>
      <c r="R151" t="s">
        <v>103</v>
      </c>
      <c r="S151" t="s">
        <v>103</v>
      </c>
    </row>
    <row r="152" spans="2:19">
      <c r="B152" s="861" t="s">
        <v>629</v>
      </c>
      <c r="C152" t="s">
        <v>1009</v>
      </c>
      <c r="D152" s="730" t="s">
        <v>110</v>
      </c>
      <c r="E152" s="747">
        <v>4648.234917837879</v>
      </c>
      <c r="F152" s="747">
        <v>70063.777990977003</v>
      </c>
      <c r="G152" s="747">
        <v>74712.012908814664</v>
      </c>
      <c r="H152" s="694">
        <v>41.75178774213277</v>
      </c>
      <c r="I152" s="749" t="s">
        <v>258</v>
      </c>
      <c r="J152" s="750">
        <v>74712.012908814664</v>
      </c>
      <c r="K152" s="735">
        <v>0</v>
      </c>
      <c r="L152" s="735" t="s">
        <v>103</v>
      </c>
      <c r="M152" s="750">
        <v>0</v>
      </c>
      <c r="N152" s="750" t="s">
        <v>103</v>
      </c>
      <c r="O152" s="736">
        <v>0</v>
      </c>
      <c r="P152" s="693">
        <v>0</v>
      </c>
      <c r="Q152" s="752">
        <v>0</v>
      </c>
      <c r="R152" t="s">
        <v>103</v>
      </c>
      <c r="S152" t="s">
        <v>103</v>
      </c>
    </row>
    <row r="153" spans="2:19">
      <c r="B153" s="861" t="s">
        <v>633</v>
      </c>
      <c r="C153" t="s">
        <v>1009</v>
      </c>
      <c r="D153" s="730" t="s">
        <v>110</v>
      </c>
      <c r="E153" s="747">
        <v>1222766.6392086488</v>
      </c>
      <c r="F153" s="747">
        <v>120913.83234774298</v>
      </c>
      <c r="G153" s="747">
        <v>1343680.4715563913</v>
      </c>
      <c r="H153" s="694">
        <v>0</v>
      </c>
      <c r="I153" s="749" t="s">
        <v>258</v>
      </c>
      <c r="J153" s="750">
        <v>1343680.4715563913</v>
      </c>
      <c r="K153" s="735">
        <v>0</v>
      </c>
      <c r="L153" s="735" t="s">
        <v>103</v>
      </c>
      <c r="M153" s="750">
        <v>0</v>
      </c>
      <c r="N153" s="750" t="s">
        <v>103</v>
      </c>
      <c r="O153" s="736">
        <v>0</v>
      </c>
      <c r="P153" s="693">
        <v>0</v>
      </c>
      <c r="Q153" s="752">
        <v>0</v>
      </c>
      <c r="R153" t="s">
        <v>103</v>
      </c>
      <c r="S153" t="s">
        <v>103</v>
      </c>
    </row>
    <row r="154" spans="2:19">
      <c r="B154" s="861" t="s">
        <v>634</v>
      </c>
      <c r="C154" t="s">
        <v>1009</v>
      </c>
      <c r="D154" s="730" t="s">
        <v>110</v>
      </c>
      <c r="E154" s="747">
        <v>55542.307207490827</v>
      </c>
      <c r="F154" s="747">
        <v>10371.805884657713</v>
      </c>
      <c r="G154" s="747">
        <v>46954.113092148611</v>
      </c>
      <c r="H154" s="694">
        <v>0</v>
      </c>
      <c r="I154" s="749" t="s">
        <v>258</v>
      </c>
      <c r="J154" s="750">
        <v>46954.113092148611</v>
      </c>
      <c r="K154" s="752">
        <v>120000</v>
      </c>
      <c r="L154" t="s">
        <v>580</v>
      </c>
      <c r="M154" s="750">
        <v>101040</v>
      </c>
      <c r="N154" s="757">
        <v>2024</v>
      </c>
      <c r="O154" s="736">
        <v>395357</v>
      </c>
      <c r="P154" s="693">
        <v>0</v>
      </c>
      <c r="Q154" s="752">
        <v>0</v>
      </c>
      <c r="R154" t="s">
        <v>103</v>
      </c>
      <c r="S154" t="s">
        <v>103</v>
      </c>
    </row>
    <row r="155" spans="2:19">
      <c r="B155" s="861" t="s">
        <v>638</v>
      </c>
      <c r="C155" t="s">
        <v>1009</v>
      </c>
      <c r="D155" s="730" t="s">
        <v>110</v>
      </c>
      <c r="E155" s="747">
        <v>2461994.4659229796</v>
      </c>
      <c r="F155" s="747">
        <v>179368.83353153427</v>
      </c>
      <c r="G155" s="747">
        <v>2641363.2994545139</v>
      </c>
      <c r="H155" s="694">
        <v>0</v>
      </c>
      <c r="I155" s="749" t="s">
        <v>258</v>
      </c>
      <c r="J155" s="750">
        <v>2641363.2994545139</v>
      </c>
      <c r="K155" s="735">
        <v>0</v>
      </c>
      <c r="L155" s="735" t="s">
        <v>103</v>
      </c>
      <c r="M155" s="750">
        <v>0</v>
      </c>
      <c r="N155" s="750" t="s">
        <v>103</v>
      </c>
      <c r="O155" s="736">
        <v>0</v>
      </c>
      <c r="P155" s="693">
        <v>0</v>
      </c>
      <c r="Q155" s="752">
        <v>0</v>
      </c>
      <c r="R155" t="s">
        <v>103</v>
      </c>
      <c r="S155" t="s">
        <v>103</v>
      </c>
    </row>
    <row r="156" spans="2:19">
      <c r="B156" s="861" t="s">
        <v>643</v>
      </c>
      <c r="C156" t="s">
        <v>1009</v>
      </c>
      <c r="D156" s="730" t="s">
        <v>110</v>
      </c>
      <c r="E156" s="747">
        <v>9931.1838488678331</v>
      </c>
      <c r="F156" s="747">
        <v>81639.870819644217</v>
      </c>
      <c r="G156" s="747">
        <v>91571.054668511642</v>
      </c>
      <c r="H156" s="694">
        <v>52.773588469407436</v>
      </c>
      <c r="I156" s="749" t="s">
        <v>258</v>
      </c>
      <c r="J156" s="750">
        <v>91571.054668511642</v>
      </c>
      <c r="K156" s="735">
        <v>0</v>
      </c>
      <c r="L156" s="735" t="s">
        <v>103</v>
      </c>
      <c r="M156" s="750">
        <v>0</v>
      </c>
      <c r="N156" s="750" t="s">
        <v>103</v>
      </c>
      <c r="O156" s="736">
        <v>0</v>
      </c>
      <c r="P156" s="693">
        <v>0</v>
      </c>
      <c r="Q156" s="752">
        <v>0</v>
      </c>
      <c r="R156" t="s">
        <v>103</v>
      </c>
      <c r="S156" t="s">
        <v>103</v>
      </c>
    </row>
    <row r="157" spans="2:19">
      <c r="B157" s="861" t="s">
        <v>647</v>
      </c>
      <c r="C157" t="s">
        <v>1009</v>
      </c>
      <c r="D157" s="730" t="s">
        <v>110</v>
      </c>
      <c r="E157" s="747">
        <v>649511.92400904233</v>
      </c>
      <c r="F157" s="747">
        <v>303909.4965205068</v>
      </c>
      <c r="G157" s="747">
        <v>953421.42052954866</v>
      </c>
      <c r="H157" s="694">
        <v>0</v>
      </c>
      <c r="I157" s="862" t="s">
        <v>258</v>
      </c>
      <c r="J157" s="863">
        <v>953421.42052954866</v>
      </c>
      <c r="K157" s="735">
        <v>0</v>
      </c>
      <c r="L157" s="735" t="s">
        <v>103</v>
      </c>
      <c r="M157" s="863">
        <v>0</v>
      </c>
      <c r="N157" s="863" t="s">
        <v>103</v>
      </c>
      <c r="O157" s="736">
        <v>0</v>
      </c>
      <c r="P157" s="693">
        <v>0</v>
      </c>
      <c r="Q157" s="752">
        <v>0</v>
      </c>
      <c r="R157" t="s">
        <v>103</v>
      </c>
      <c r="S157" t="s">
        <v>103</v>
      </c>
    </row>
    <row r="158" spans="2:19" s="101" customFormat="1">
      <c r="B158" s="738" t="s">
        <v>1343</v>
      </c>
      <c r="C158" s="738"/>
      <c r="D158" s="738"/>
      <c r="E158" s="739">
        <v>16796885.894795399</v>
      </c>
      <c r="F158" s="739">
        <v>4625485.829907502</v>
      </c>
      <c r="G158" s="739">
        <v>22900120.094702903</v>
      </c>
      <c r="H158" s="740">
        <v>0</v>
      </c>
      <c r="I158" s="741"/>
      <c r="J158" s="742">
        <v>22900120.094702903</v>
      </c>
      <c r="K158" s="742">
        <v>120000</v>
      </c>
      <c r="L158" s="741"/>
      <c r="M158" s="742">
        <v>101040</v>
      </c>
      <c r="N158" s="742">
        <v>2024</v>
      </c>
      <c r="O158" s="743">
        <v>395357</v>
      </c>
      <c r="P158" s="742">
        <v>0</v>
      </c>
      <c r="Q158" s="744">
        <v>0</v>
      </c>
      <c r="R158" s="741" t="s">
        <v>103</v>
      </c>
      <c r="S158" s="741" t="s">
        <v>103</v>
      </c>
    </row>
    <row r="159" spans="2:19">
      <c r="B159" s="857" t="s">
        <v>658</v>
      </c>
      <c r="C159" s="857"/>
      <c r="D159" s="857"/>
      <c r="E159" s="724"/>
      <c r="F159" s="724"/>
      <c r="G159" s="724"/>
      <c r="H159" s="858">
        <v>0</v>
      </c>
      <c r="I159" s="859"/>
      <c r="J159" s="860"/>
      <c r="K159" s="859"/>
      <c r="L159" s="859"/>
      <c r="M159" s="860">
        <v>0</v>
      </c>
      <c r="N159" s="860"/>
      <c r="O159" s="728"/>
      <c r="P159" s="860"/>
      <c r="Q159" s="859"/>
      <c r="R159" s="859"/>
      <c r="S159" s="859"/>
    </row>
    <row r="160" spans="2:19">
      <c r="B160" s="861" t="s">
        <v>659</v>
      </c>
      <c r="C160" t="s">
        <v>1009</v>
      </c>
      <c r="D160" s="730" t="s">
        <v>110</v>
      </c>
      <c r="E160" s="747">
        <v>71261.174080009383</v>
      </c>
      <c r="F160" s="747">
        <v>24175.099065373317</v>
      </c>
      <c r="G160" s="747">
        <v>95436.273145382656</v>
      </c>
      <c r="H160" s="694">
        <v>0</v>
      </c>
      <c r="I160" s="749" t="s">
        <v>258</v>
      </c>
      <c r="J160" s="750">
        <v>95436.273145382656</v>
      </c>
      <c r="K160" s="735">
        <v>0</v>
      </c>
      <c r="L160" s="735" t="s">
        <v>103</v>
      </c>
      <c r="M160" s="750">
        <v>0</v>
      </c>
      <c r="N160" s="750" t="s">
        <v>103</v>
      </c>
      <c r="O160" s="736">
        <v>0</v>
      </c>
      <c r="P160" s="693">
        <v>0</v>
      </c>
      <c r="Q160" s="752">
        <v>0</v>
      </c>
      <c r="R160" t="s">
        <v>103</v>
      </c>
      <c r="S160" t="s">
        <v>103</v>
      </c>
    </row>
    <row r="161" spans="2:19">
      <c r="B161" s="861" t="s">
        <v>664</v>
      </c>
      <c r="C161" t="s">
        <v>1009</v>
      </c>
      <c r="D161" s="730" t="s">
        <v>110</v>
      </c>
      <c r="E161" s="747">
        <v>646545.62935910211</v>
      </c>
      <c r="F161" s="747">
        <v>25167.234021849454</v>
      </c>
      <c r="G161" s="747">
        <v>671712.86338095157</v>
      </c>
      <c r="H161" s="694">
        <v>0</v>
      </c>
      <c r="I161" s="749" t="s">
        <v>258</v>
      </c>
      <c r="J161" s="750">
        <v>671712.86338095157</v>
      </c>
      <c r="K161" s="735">
        <v>0</v>
      </c>
      <c r="L161" s="735" t="s">
        <v>103</v>
      </c>
      <c r="M161" s="750">
        <v>0</v>
      </c>
      <c r="N161" s="750" t="s">
        <v>103</v>
      </c>
      <c r="O161" s="736">
        <v>0</v>
      </c>
      <c r="P161" s="693">
        <v>0</v>
      </c>
      <c r="Q161" s="752">
        <v>0</v>
      </c>
      <c r="R161" t="s">
        <v>103</v>
      </c>
      <c r="S161" t="s">
        <v>103</v>
      </c>
    </row>
    <row r="162" spans="2:19">
      <c r="B162" s="861" t="s">
        <v>665</v>
      </c>
      <c r="C162" t="s">
        <v>1009</v>
      </c>
      <c r="D162" s="730" t="s">
        <v>110</v>
      </c>
      <c r="E162" s="747">
        <v>219640.47384918079</v>
      </c>
      <c r="F162" s="747">
        <v>15959.412021871616</v>
      </c>
      <c r="G162" s="747">
        <v>235599.88587105236</v>
      </c>
      <c r="H162" s="694">
        <v>0</v>
      </c>
      <c r="I162" s="749" t="s">
        <v>258</v>
      </c>
      <c r="J162" s="750">
        <v>235599.88587105236</v>
      </c>
      <c r="K162" s="735">
        <v>0</v>
      </c>
      <c r="L162" s="735" t="s">
        <v>103</v>
      </c>
      <c r="M162" s="750">
        <v>0</v>
      </c>
      <c r="N162" s="750" t="s">
        <v>103</v>
      </c>
      <c r="O162" s="736">
        <v>0</v>
      </c>
      <c r="P162" s="693">
        <v>0</v>
      </c>
      <c r="Q162" s="752">
        <v>0</v>
      </c>
      <c r="R162" t="s">
        <v>103</v>
      </c>
      <c r="S162" t="s">
        <v>103</v>
      </c>
    </row>
    <row r="163" spans="2:19">
      <c r="B163" s="861" t="s">
        <v>666</v>
      </c>
      <c r="C163" t="s">
        <v>1009</v>
      </c>
      <c r="D163" s="730" t="s">
        <v>110</v>
      </c>
      <c r="E163" s="747">
        <v>-38046.467387022218</v>
      </c>
      <c r="F163" s="747">
        <v>10154.749138926256</v>
      </c>
      <c r="G163" s="747">
        <v>-27891.71824809596</v>
      </c>
      <c r="H163" s="694">
        <v>2.7466673835573627</v>
      </c>
      <c r="I163" s="749" t="s">
        <v>258</v>
      </c>
      <c r="J163" s="750">
        <v>-27891.71824809596</v>
      </c>
      <c r="K163" s="735">
        <v>0</v>
      </c>
      <c r="L163" s="735" t="s">
        <v>103</v>
      </c>
      <c r="M163" s="750">
        <v>0</v>
      </c>
      <c r="N163" s="750" t="s">
        <v>103</v>
      </c>
      <c r="O163" s="736">
        <v>0</v>
      </c>
      <c r="P163" s="693">
        <v>0</v>
      </c>
      <c r="Q163" s="752">
        <v>0</v>
      </c>
      <c r="R163" t="s">
        <v>103</v>
      </c>
      <c r="S163" t="s">
        <v>103</v>
      </c>
    </row>
    <row r="164" spans="2:19">
      <c r="B164" s="861" t="s">
        <v>670</v>
      </c>
      <c r="C164" t="s">
        <v>1009</v>
      </c>
      <c r="D164" s="730" t="s">
        <v>110</v>
      </c>
      <c r="E164" s="747">
        <v>-267042.64116798382</v>
      </c>
      <c r="F164" s="747">
        <v>94179.350240553918</v>
      </c>
      <c r="G164" s="747">
        <v>-172863.29092743003</v>
      </c>
      <c r="H164" s="694">
        <v>1.8354691393166416</v>
      </c>
      <c r="I164" s="749" t="s">
        <v>258</v>
      </c>
      <c r="J164" s="750">
        <v>-172863.29092743003</v>
      </c>
      <c r="K164" s="735">
        <v>0</v>
      </c>
      <c r="L164" s="735" t="s">
        <v>103</v>
      </c>
      <c r="M164" s="750">
        <v>0</v>
      </c>
      <c r="N164" s="750" t="s">
        <v>103</v>
      </c>
      <c r="O164" s="736">
        <v>0</v>
      </c>
      <c r="P164" s="693">
        <v>0</v>
      </c>
      <c r="Q164" s="752">
        <v>0</v>
      </c>
      <c r="R164" t="s">
        <v>103</v>
      </c>
      <c r="S164" t="s">
        <v>103</v>
      </c>
    </row>
    <row r="165" spans="2:19">
      <c r="B165" s="861" t="s">
        <v>678</v>
      </c>
      <c r="C165" t="s">
        <v>1009</v>
      </c>
      <c r="D165" s="730" t="s">
        <v>110</v>
      </c>
      <c r="E165" s="747">
        <v>321061.41392720828</v>
      </c>
      <c r="F165" s="747">
        <v>141536.39274814969</v>
      </c>
      <c r="G165" s="747">
        <v>462597.80667535833</v>
      </c>
      <c r="H165" s="694">
        <v>0</v>
      </c>
      <c r="I165" s="749" t="s">
        <v>258</v>
      </c>
      <c r="J165" s="750">
        <v>462597.80667535833</v>
      </c>
      <c r="K165" s="735">
        <v>0</v>
      </c>
      <c r="L165" s="735" t="s">
        <v>103</v>
      </c>
      <c r="M165" s="750">
        <v>0</v>
      </c>
      <c r="N165" s="750" t="s">
        <v>103</v>
      </c>
      <c r="O165" s="736">
        <v>0</v>
      </c>
      <c r="P165" s="693">
        <v>0</v>
      </c>
      <c r="Q165" s="752">
        <v>0</v>
      </c>
      <c r="R165" t="s">
        <v>103</v>
      </c>
      <c r="S165" t="s">
        <v>103</v>
      </c>
    </row>
    <row r="166" spans="2:19">
      <c r="B166" s="861" t="s">
        <v>679</v>
      </c>
      <c r="C166" t="s">
        <v>1009</v>
      </c>
      <c r="D166" s="730" t="s">
        <v>110</v>
      </c>
      <c r="E166" s="747">
        <v>864568.50666020054</v>
      </c>
      <c r="F166" s="747">
        <v>50777.034694539412</v>
      </c>
      <c r="G166" s="747">
        <v>915345.54135474004</v>
      </c>
      <c r="H166" s="694">
        <v>0</v>
      </c>
      <c r="I166" s="749" t="s">
        <v>258</v>
      </c>
      <c r="J166" s="750">
        <v>915345.54135474004</v>
      </c>
      <c r="K166" s="735">
        <v>0</v>
      </c>
      <c r="L166" s="735" t="s">
        <v>103</v>
      </c>
      <c r="M166" s="750">
        <v>0</v>
      </c>
      <c r="N166" s="750" t="s">
        <v>103</v>
      </c>
      <c r="O166" s="736">
        <v>0</v>
      </c>
      <c r="P166" s="693">
        <v>0</v>
      </c>
      <c r="Q166" s="752">
        <v>0</v>
      </c>
      <c r="R166" t="s">
        <v>103</v>
      </c>
      <c r="S166" t="s">
        <v>103</v>
      </c>
    </row>
    <row r="167" spans="2:19">
      <c r="B167" s="861" t="s">
        <v>684</v>
      </c>
      <c r="C167" t="s">
        <v>1009</v>
      </c>
      <c r="D167" s="730" t="s">
        <v>110</v>
      </c>
      <c r="E167" s="758">
        <v>356568.26291221799</v>
      </c>
      <c r="F167" s="758">
        <v>43371.963018734386</v>
      </c>
      <c r="G167" s="758">
        <v>399940.22593095235</v>
      </c>
      <c r="H167" s="694">
        <v>0</v>
      </c>
      <c r="I167" s="749" t="s">
        <v>258</v>
      </c>
      <c r="J167" s="750">
        <v>399940.22593095235</v>
      </c>
      <c r="K167" s="735">
        <v>0</v>
      </c>
      <c r="L167" s="735" t="s">
        <v>103</v>
      </c>
      <c r="M167" s="750">
        <v>0</v>
      </c>
      <c r="N167" s="750" t="s">
        <v>103</v>
      </c>
      <c r="O167" s="736">
        <v>0</v>
      </c>
      <c r="P167" s="693">
        <v>0</v>
      </c>
      <c r="Q167" s="752">
        <v>0</v>
      </c>
      <c r="R167" t="s">
        <v>103</v>
      </c>
      <c r="S167" t="s">
        <v>103</v>
      </c>
    </row>
    <row r="168" spans="2:19">
      <c r="B168" s="861" t="s">
        <v>685</v>
      </c>
      <c r="C168" t="s">
        <v>1009</v>
      </c>
      <c r="D168" s="730" t="s">
        <v>110</v>
      </c>
      <c r="E168" s="747">
        <v>726967.85624996177</v>
      </c>
      <c r="F168" s="747">
        <v>78537.010341576504</v>
      </c>
      <c r="G168" s="747">
        <v>805504.86659153807</v>
      </c>
      <c r="H168" s="694">
        <v>0</v>
      </c>
      <c r="I168" s="749" t="s">
        <v>258</v>
      </c>
      <c r="J168" s="750">
        <v>805504.86659153807</v>
      </c>
      <c r="K168" s="735">
        <v>0</v>
      </c>
      <c r="L168" s="735" t="s">
        <v>103</v>
      </c>
      <c r="M168" s="750">
        <v>0</v>
      </c>
      <c r="N168" s="750" t="s">
        <v>103</v>
      </c>
      <c r="O168" s="736">
        <v>0</v>
      </c>
      <c r="P168" s="693">
        <v>0</v>
      </c>
      <c r="Q168" s="752">
        <v>0</v>
      </c>
      <c r="R168" t="s">
        <v>103</v>
      </c>
      <c r="S168" t="s">
        <v>103</v>
      </c>
    </row>
    <row r="169" spans="2:19">
      <c r="B169" s="861" t="s">
        <v>688</v>
      </c>
      <c r="C169" t="s">
        <v>1009</v>
      </c>
      <c r="D169" s="730" t="s">
        <v>110</v>
      </c>
      <c r="E169" s="747">
        <v>275513.59407248278</v>
      </c>
      <c r="F169" s="747">
        <v>11014.498389916391</v>
      </c>
      <c r="G169" s="747">
        <v>20923.092462398941</v>
      </c>
      <c r="H169" s="694">
        <v>0</v>
      </c>
      <c r="I169" s="749" t="s">
        <v>258</v>
      </c>
      <c r="J169" s="750">
        <v>20923.092462398941</v>
      </c>
      <c r="K169" s="735">
        <v>0</v>
      </c>
      <c r="L169" s="735" t="s">
        <v>103</v>
      </c>
      <c r="M169" s="750">
        <v>0</v>
      </c>
      <c r="N169" s="750" t="s">
        <v>103</v>
      </c>
      <c r="O169" s="736">
        <v>0</v>
      </c>
      <c r="P169" s="693">
        <v>0</v>
      </c>
      <c r="Q169" s="752">
        <v>0</v>
      </c>
      <c r="R169" t="s">
        <v>103</v>
      </c>
      <c r="S169" t="s">
        <v>103</v>
      </c>
    </row>
    <row r="170" spans="2:19">
      <c r="B170" s="861" t="s">
        <v>692</v>
      </c>
      <c r="C170" t="s">
        <v>1009</v>
      </c>
      <c r="D170" s="730" t="s">
        <v>110</v>
      </c>
      <c r="E170" s="758">
        <v>137594.16850431403</v>
      </c>
      <c r="F170" s="758">
        <v>0</v>
      </c>
      <c r="G170" s="758">
        <v>137594.16850431403</v>
      </c>
      <c r="H170" s="694">
        <v>0</v>
      </c>
      <c r="I170" s="749" t="s">
        <v>258</v>
      </c>
      <c r="J170" s="750">
        <v>137594.16850431403</v>
      </c>
      <c r="K170" s="735">
        <v>0</v>
      </c>
      <c r="L170" s="735" t="s">
        <v>103</v>
      </c>
      <c r="M170" s="750">
        <v>0</v>
      </c>
      <c r="N170" s="750" t="s">
        <v>103</v>
      </c>
      <c r="O170" s="736">
        <v>0</v>
      </c>
      <c r="P170" s="693">
        <v>0</v>
      </c>
      <c r="Q170" s="752">
        <v>0</v>
      </c>
      <c r="R170" t="s">
        <v>103</v>
      </c>
      <c r="S170" t="s">
        <v>103</v>
      </c>
    </row>
    <row r="171" spans="2:19">
      <c r="B171" s="861" t="s">
        <v>693</v>
      </c>
      <c r="C171" t="s">
        <v>1009</v>
      </c>
      <c r="D171" s="730" t="s">
        <v>110</v>
      </c>
      <c r="E171" s="747">
        <v>-104909.21839876089</v>
      </c>
      <c r="F171" s="747">
        <v>26036.492810245265</v>
      </c>
      <c r="G171" s="747">
        <v>-78872.725588515503</v>
      </c>
      <c r="H171" s="694">
        <v>3.0293145149518517</v>
      </c>
      <c r="I171" s="749" t="s">
        <v>258</v>
      </c>
      <c r="J171" s="750">
        <v>-78872.725588515503</v>
      </c>
      <c r="K171" s="735">
        <v>0</v>
      </c>
      <c r="L171" s="735" t="s">
        <v>103</v>
      </c>
      <c r="M171" s="750">
        <v>0</v>
      </c>
      <c r="N171" s="750" t="s">
        <v>103</v>
      </c>
      <c r="O171" s="736">
        <v>0</v>
      </c>
      <c r="P171" s="693">
        <v>0</v>
      </c>
      <c r="Q171" s="752">
        <v>0</v>
      </c>
      <c r="R171" t="s">
        <v>103</v>
      </c>
      <c r="S171" t="s">
        <v>103</v>
      </c>
    </row>
    <row r="172" spans="2:19">
      <c r="B172" s="861" t="s">
        <v>697</v>
      </c>
      <c r="C172" t="s">
        <v>1009</v>
      </c>
      <c r="D172" s="730" t="s">
        <v>110</v>
      </c>
      <c r="E172" s="758">
        <v>727305.18775071821</v>
      </c>
      <c r="F172" s="758">
        <v>62656.028624530838</v>
      </c>
      <c r="G172" s="758">
        <v>789961.21637524909</v>
      </c>
      <c r="H172" s="694">
        <v>0</v>
      </c>
      <c r="I172" s="749" t="s">
        <v>258</v>
      </c>
      <c r="J172" s="750">
        <v>789961.21637524909</v>
      </c>
      <c r="K172" s="735">
        <v>0</v>
      </c>
      <c r="L172" s="735" t="s">
        <v>103</v>
      </c>
      <c r="M172" s="750">
        <v>0</v>
      </c>
      <c r="N172" s="750" t="s">
        <v>103</v>
      </c>
      <c r="O172" s="736">
        <v>0</v>
      </c>
      <c r="P172" s="693">
        <v>0</v>
      </c>
      <c r="Q172" s="752">
        <v>0</v>
      </c>
      <c r="R172" t="s">
        <v>103</v>
      </c>
      <c r="S172" t="s">
        <v>103</v>
      </c>
    </row>
    <row r="173" spans="2:19">
      <c r="B173" s="861" t="s">
        <v>698</v>
      </c>
      <c r="C173" t="s">
        <v>1009</v>
      </c>
      <c r="D173" s="730" t="s">
        <v>110</v>
      </c>
      <c r="E173" s="747">
        <v>1020760.8991655228</v>
      </c>
      <c r="F173" s="747">
        <v>163532.82559987358</v>
      </c>
      <c r="G173" s="747">
        <v>1184293.724765396</v>
      </c>
      <c r="H173" s="694">
        <v>0</v>
      </c>
      <c r="I173" s="749" t="s">
        <v>258</v>
      </c>
      <c r="J173" s="750">
        <v>1184293.724765396</v>
      </c>
      <c r="K173" s="735">
        <v>0</v>
      </c>
      <c r="L173" s="735" t="s">
        <v>103</v>
      </c>
      <c r="M173" s="750">
        <v>0</v>
      </c>
      <c r="N173" s="750" t="s">
        <v>103</v>
      </c>
      <c r="O173" s="736">
        <v>0</v>
      </c>
      <c r="P173" s="693">
        <v>0</v>
      </c>
      <c r="Q173" s="752">
        <v>0</v>
      </c>
      <c r="R173" t="s">
        <v>103</v>
      </c>
      <c r="S173" t="s">
        <v>103</v>
      </c>
    </row>
    <row r="174" spans="2:19">
      <c r="B174" s="861" t="s">
        <v>704</v>
      </c>
      <c r="C174" t="s">
        <v>1009</v>
      </c>
      <c r="D174" s="730" t="s">
        <v>110</v>
      </c>
      <c r="E174" s="747">
        <v>49661.567714858495</v>
      </c>
      <c r="F174" s="747">
        <v>21534.512851397198</v>
      </c>
      <c r="G174" s="747">
        <v>67511.880566255117</v>
      </c>
      <c r="H174" s="694">
        <v>0</v>
      </c>
      <c r="I174" s="749" t="s">
        <v>258</v>
      </c>
      <c r="J174" s="750">
        <v>67511.880566255117</v>
      </c>
      <c r="K174" s="735">
        <v>0</v>
      </c>
      <c r="L174" s="735" t="s">
        <v>103</v>
      </c>
      <c r="M174" s="750">
        <v>0</v>
      </c>
      <c r="N174" s="750" t="s">
        <v>103</v>
      </c>
      <c r="O174" s="736">
        <v>0</v>
      </c>
      <c r="P174" s="693">
        <v>0</v>
      </c>
      <c r="Q174" s="752">
        <v>0</v>
      </c>
      <c r="R174" t="s">
        <v>103</v>
      </c>
      <c r="S174" t="s">
        <v>103</v>
      </c>
    </row>
    <row r="175" spans="2:19">
      <c r="B175" s="861" t="s">
        <v>708</v>
      </c>
      <c r="C175" t="s">
        <v>1009</v>
      </c>
      <c r="D175" s="730" t="s">
        <v>110</v>
      </c>
      <c r="E175" s="747">
        <v>1053425.0214358789</v>
      </c>
      <c r="F175" s="747">
        <v>46575.112435282892</v>
      </c>
      <c r="G175" s="747">
        <v>1100000.1338711618</v>
      </c>
      <c r="H175" s="694">
        <v>0</v>
      </c>
      <c r="I175" s="749" t="s">
        <v>258</v>
      </c>
      <c r="J175" s="750">
        <v>1100000.1338711618</v>
      </c>
      <c r="K175" s="735">
        <v>0</v>
      </c>
      <c r="L175" s="735" t="s">
        <v>103</v>
      </c>
      <c r="M175" s="750">
        <v>0</v>
      </c>
      <c r="N175" s="750" t="s">
        <v>103</v>
      </c>
      <c r="O175" s="736">
        <v>0</v>
      </c>
      <c r="P175" s="693">
        <v>0</v>
      </c>
      <c r="Q175" s="752">
        <v>0</v>
      </c>
      <c r="R175" t="s">
        <v>103</v>
      </c>
      <c r="S175" t="s">
        <v>103</v>
      </c>
    </row>
    <row r="176" spans="2:19">
      <c r="B176" s="861" t="s">
        <v>709</v>
      </c>
      <c r="C176" t="s">
        <v>1009</v>
      </c>
      <c r="D176" s="730" t="s">
        <v>110</v>
      </c>
      <c r="E176" s="747">
        <v>794566.24737987109</v>
      </c>
      <c r="F176" s="747">
        <v>90852.00854445342</v>
      </c>
      <c r="G176" s="747">
        <v>885418.25592432451</v>
      </c>
      <c r="H176" s="694">
        <v>0</v>
      </c>
      <c r="I176" s="749" t="s">
        <v>258</v>
      </c>
      <c r="J176" s="750">
        <v>885418.25592432451</v>
      </c>
      <c r="K176" s="735">
        <v>0</v>
      </c>
      <c r="L176" s="735" t="s">
        <v>103</v>
      </c>
      <c r="M176" s="750">
        <v>0</v>
      </c>
      <c r="N176" s="750" t="s">
        <v>103</v>
      </c>
      <c r="O176" s="736">
        <v>0</v>
      </c>
      <c r="P176" s="693">
        <v>0</v>
      </c>
      <c r="Q176" s="752">
        <v>0</v>
      </c>
      <c r="R176" t="s">
        <v>103</v>
      </c>
      <c r="S176" t="s">
        <v>103</v>
      </c>
    </row>
    <row r="177" spans="2:19">
      <c r="B177" s="861" t="s">
        <v>710</v>
      </c>
      <c r="C177" t="s">
        <v>1009</v>
      </c>
      <c r="D177" s="730" t="s">
        <v>110</v>
      </c>
      <c r="E177" s="747">
        <v>-1062899.5311078816</v>
      </c>
      <c r="F177" s="747">
        <v>166247.93823472961</v>
      </c>
      <c r="G177" s="747">
        <v>-896651.59287315223</v>
      </c>
      <c r="H177" s="694">
        <v>5.3934599273474753</v>
      </c>
      <c r="I177" s="749" t="s">
        <v>258</v>
      </c>
      <c r="J177" s="750">
        <v>-896651.59287315223</v>
      </c>
      <c r="K177" s="735">
        <v>0</v>
      </c>
      <c r="L177" s="735" t="s">
        <v>103</v>
      </c>
      <c r="M177" s="750">
        <v>0</v>
      </c>
      <c r="N177" s="750" t="s">
        <v>103</v>
      </c>
      <c r="O177" s="736">
        <v>0</v>
      </c>
      <c r="P177" s="693">
        <v>0</v>
      </c>
      <c r="Q177" s="752">
        <v>0</v>
      </c>
      <c r="R177" t="s">
        <v>103</v>
      </c>
      <c r="S177" t="s">
        <v>103</v>
      </c>
    </row>
    <row r="178" spans="2:19">
      <c r="B178" s="861" t="s">
        <v>715</v>
      </c>
      <c r="C178" t="s">
        <v>1009</v>
      </c>
      <c r="D178" s="730" t="s">
        <v>110</v>
      </c>
      <c r="E178" s="747">
        <v>-58524.545117316302</v>
      </c>
      <c r="F178" s="747">
        <v>35592.269517010267</v>
      </c>
      <c r="G178" s="747">
        <v>-22932.275600306035</v>
      </c>
      <c r="H178" s="694">
        <v>0.64430495474154115</v>
      </c>
      <c r="I178" s="749" t="s">
        <v>258</v>
      </c>
      <c r="J178" s="750">
        <v>-22932.275600306035</v>
      </c>
      <c r="K178" s="735">
        <v>0</v>
      </c>
      <c r="L178" s="735" t="s">
        <v>103</v>
      </c>
      <c r="M178" s="750">
        <v>0</v>
      </c>
      <c r="N178" s="750" t="s">
        <v>103</v>
      </c>
      <c r="O178" s="736">
        <v>0</v>
      </c>
      <c r="P178" s="693">
        <v>0</v>
      </c>
      <c r="Q178" s="752">
        <v>0</v>
      </c>
      <c r="R178" t="s">
        <v>103</v>
      </c>
      <c r="S178" t="s">
        <v>103</v>
      </c>
    </row>
    <row r="179" spans="2:19">
      <c r="B179" s="861" t="s">
        <v>719</v>
      </c>
      <c r="C179" t="s">
        <v>1009</v>
      </c>
      <c r="D179" s="730" t="s">
        <v>110</v>
      </c>
      <c r="E179" s="747">
        <v>-177135.39252289076</v>
      </c>
      <c r="F179" s="747">
        <v>42067.042768992171</v>
      </c>
      <c r="G179" s="747">
        <v>-135068.34975389866</v>
      </c>
      <c r="H179" s="694">
        <v>3.2107878487113006</v>
      </c>
      <c r="I179" s="749" t="s">
        <v>258</v>
      </c>
      <c r="J179" s="750">
        <v>-135068.34975389866</v>
      </c>
      <c r="K179" s="735">
        <v>0</v>
      </c>
      <c r="L179" s="735" t="s">
        <v>103</v>
      </c>
      <c r="M179" s="750">
        <v>0</v>
      </c>
      <c r="N179" s="750" t="s">
        <v>103</v>
      </c>
      <c r="O179" s="736">
        <v>0</v>
      </c>
      <c r="P179" s="693">
        <v>0</v>
      </c>
      <c r="Q179" s="752">
        <v>0</v>
      </c>
      <c r="R179" t="s">
        <v>103</v>
      </c>
      <c r="S179" t="s">
        <v>103</v>
      </c>
    </row>
    <row r="180" spans="2:19">
      <c r="B180" s="861" t="s">
        <v>720</v>
      </c>
      <c r="C180" t="s">
        <v>1009</v>
      </c>
      <c r="D180" s="730" t="s">
        <v>110</v>
      </c>
      <c r="E180" s="747">
        <v>6334.0784089472472</v>
      </c>
      <c r="F180" s="747">
        <v>55.590129564075937</v>
      </c>
      <c r="G180" s="747">
        <v>6389.6685385113233</v>
      </c>
      <c r="H180" s="694">
        <v>0</v>
      </c>
      <c r="I180" s="749" t="s">
        <v>258</v>
      </c>
      <c r="J180" s="750">
        <v>6389.6685385113233</v>
      </c>
      <c r="K180" s="735">
        <v>0</v>
      </c>
      <c r="L180" s="735" t="s">
        <v>103</v>
      </c>
      <c r="M180" s="750">
        <v>0</v>
      </c>
      <c r="N180" s="750" t="s">
        <v>103</v>
      </c>
      <c r="O180" s="736">
        <v>0</v>
      </c>
      <c r="P180" s="693">
        <v>0</v>
      </c>
      <c r="Q180" s="752">
        <v>0</v>
      </c>
      <c r="R180" t="s">
        <v>103</v>
      </c>
      <c r="S180" t="s">
        <v>103</v>
      </c>
    </row>
    <row r="181" spans="2:19">
      <c r="B181" s="861" t="s">
        <v>721</v>
      </c>
      <c r="C181" t="s">
        <v>1009</v>
      </c>
      <c r="D181" s="730" t="s">
        <v>110</v>
      </c>
      <c r="E181" s="747">
        <v>191953.65288084213</v>
      </c>
      <c r="F181" s="747">
        <v>26328.776768996486</v>
      </c>
      <c r="G181" s="747">
        <v>218282.4296498386</v>
      </c>
      <c r="H181" s="694">
        <v>0</v>
      </c>
      <c r="I181" s="749" t="s">
        <v>258</v>
      </c>
      <c r="J181" s="750">
        <v>218282.4296498386</v>
      </c>
      <c r="K181" s="735">
        <v>0</v>
      </c>
      <c r="L181" s="735" t="s">
        <v>103</v>
      </c>
      <c r="M181" s="750">
        <v>0</v>
      </c>
      <c r="N181" s="750" t="s">
        <v>103</v>
      </c>
      <c r="O181" s="736">
        <v>0</v>
      </c>
      <c r="P181" s="693">
        <v>0</v>
      </c>
      <c r="Q181" s="752">
        <v>0</v>
      </c>
      <c r="R181" t="s">
        <v>103</v>
      </c>
      <c r="S181" t="s">
        <v>103</v>
      </c>
    </row>
    <row r="182" spans="2:19">
      <c r="B182" s="861" t="s">
        <v>724</v>
      </c>
      <c r="C182" t="s">
        <v>1009</v>
      </c>
      <c r="D182" s="730" t="s">
        <v>110</v>
      </c>
      <c r="E182" s="747">
        <v>353009.01383400703</v>
      </c>
      <c r="F182" s="747">
        <v>32931.172254480196</v>
      </c>
      <c r="G182" s="747">
        <v>385940.18608848727</v>
      </c>
      <c r="H182" s="694">
        <v>0</v>
      </c>
      <c r="I182" s="749" t="s">
        <v>258</v>
      </c>
      <c r="J182" s="750">
        <v>385940.18608848727</v>
      </c>
      <c r="K182" s="735">
        <v>0</v>
      </c>
      <c r="L182" s="735" t="s">
        <v>103</v>
      </c>
      <c r="M182" s="750">
        <v>0</v>
      </c>
      <c r="N182" s="750" t="s">
        <v>103</v>
      </c>
      <c r="O182" s="736">
        <v>0</v>
      </c>
      <c r="P182" s="693">
        <v>0</v>
      </c>
      <c r="Q182" s="752">
        <v>0</v>
      </c>
      <c r="R182" t="s">
        <v>103</v>
      </c>
      <c r="S182" t="s">
        <v>103</v>
      </c>
    </row>
    <row r="183" spans="2:19">
      <c r="B183" s="861" t="s">
        <v>728</v>
      </c>
      <c r="C183" t="s">
        <v>1009</v>
      </c>
      <c r="D183" s="730" t="s">
        <v>110</v>
      </c>
      <c r="E183" s="758">
        <v>311380.64721562719</v>
      </c>
      <c r="F183" s="758">
        <v>27392.989280499052</v>
      </c>
      <c r="G183" s="758">
        <v>338773.63649612624</v>
      </c>
      <c r="H183" s="694">
        <v>0</v>
      </c>
      <c r="I183" s="749" t="s">
        <v>258</v>
      </c>
      <c r="J183" s="750">
        <v>338773.63649612624</v>
      </c>
      <c r="K183" s="735">
        <v>0</v>
      </c>
      <c r="L183" s="735" t="s">
        <v>103</v>
      </c>
      <c r="M183" s="750">
        <v>0</v>
      </c>
      <c r="N183" s="750" t="s">
        <v>103</v>
      </c>
      <c r="O183" s="736">
        <v>0</v>
      </c>
      <c r="P183" s="693">
        <v>0</v>
      </c>
      <c r="Q183" s="752">
        <v>0</v>
      </c>
      <c r="R183" t="s">
        <v>103</v>
      </c>
      <c r="S183" t="s">
        <v>103</v>
      </c>
    </row>
    <row r="184" spans="2:19">
      <c r="B184" s="861" t="s">
        <v>729</v>
      </c>
      <c r="C184" t="s">
        <v>1009</v>
      </c>
      <c r="D184" s="730" t="s">
        <v>110</v>
      </c>
      <c r="E184" s="747">
        <v>10382692.588242125</v>
      </c>
      <c r="F184" s="747">
        <v>595702.85199162806</v>
      </c>
      <c r="G184" s="747">
        <v>10978395.440233752</v>
      </c>
      <c r="H184" s="694">
        <v>0</v>
      </c>
      <c r="I184" s="862" t="s">
        <v>258</v>
      </c>
      <c r="J184" s="863">
        <v>10978395.440233752</v>
      </c>
      <c r="K184" s="735">
        <v>0</v>
      </c>
      <c r="L184" s="735" t="s">
        <v>103</v>
      </c>
      <c r="M184" s="863">
        <v>0</v>
      </c>
      <c r="N184" s="863" t="s">
        <v>103</v>
      </c>
      <c r="O184" s="736">
        <v>0</v>
      </c>
      <c r="P184" s="693">
        <v>0</v>
      </c>
      <c r="Q184" s="752">
        <v>0</v>
      </c>
      <c r="R184" t="s">
        <v>103</v>
      </c>
      <c r="S184" t="s">
        <v>103</v>
      </c>
    </row>
    <row r="185" spans="2:19" s="101" customFormat="1">
      <c r="B185" s="738" t="s">
        <v>1377</v>
      </c>
      <c r="C185" s="738"/>
      <c r="D185" s="738"/>
      <c r="E185" s="739">
        <v>16802252.18794122</v>
      </c>
      <c r="F185" s="739">
        <v>1832378.3554931739</v>
      </c>
      <c r="G185" s="739">
        <v>18365341.343434393</v>
      </c>
      <c r="H185" s="740">
        <v>0</v>
      </c>
      <c r="I185" s="741"/>
      <c r="J185" s="742">
        <v>18365341.343434393</v>
      </c>
      <c r="K185" s="742">
        <v>0</v>
      </c>
      <c r="L185" s="741"/>
      <c r="M185" s="742">
        <v>0</v>
      </c>
      <c r="N185" s="742">
        <v>0</v>
      </c>
      <c r="O185" s="743">
        <v>0</v>
      </c>
      <c r="P185" s="742">
        <v>0</v>
      </c>
      <c r="Q185" s="744">
        <v>0</v>
      </c>
      <c r="R185" s="741" t="s">
        <v>103</v>
      </c>
      <c r="S185" s="741" t="s">
        <v>103</v>
      </c>
    </row>
    <row r="186" spans="2:19">
      <c r="B186" s="857" t="s">
        <v>746</v>
      </c>
      <c r="C186" s="857"/>
      <c r="D186" s="857"/>
      <c r="E186" s="724"/>
      <c r="F186" s="724"/>
      <c r="G186" s="724"/>
      <c r="H186" s="858">
        <v>0</v>
      </c>
      <c r="I186" s="859"/>
      <c r="J186" s="860"/>
      <c r="K186" s="859"/>
      <c r="L186" s="859"/>
      <c r="M186" s="860">
        <v>0</v>
      </c>
      <c r="N186" s="860"/>
      <c r="O186" s="728"/>
      <c r="P186" s="860"/>
      <c r="Q186" s="859"/>
      <c r="R186" s="859"/>
      <c r="S186" s="859"/>
    </row>
    <row r="187" spans="2:19">
      <c r="B187" s="861" t="s">
        <v>747</v>
      </c>
      <c r="C187" t="s">
        <v>1009</v>
      </c>
      <c r="D187" s="730" t="s">
        <v>110</v>
      </c>
      <c r="E187" s="747">
        <v>-40844.25418831245</v>
      </c>
      <c r="F187" s="747">
        <v>12868.608449029889</v>
      </c>
      <c r="G187" s="747">
        <v>-27975.645739282561</v>
      </c>
      <c r="H187" s="694">
        <v>2.1739449024413768</v>
      </c>
      <c r="I187" s="749" t="s">
        <v>258</v>
      </c>
      <c r="J187" s="750">
        <v>-27975.645739282561</v>
      </c>
      <c r="K187" s="735">
        <v>0</v>
      </c>
      <c r="L187" s="735" t="s">
        <v>103</v>
      </c>
      <c r="M187" s="750">
        <v>0</v>
      </c>
      <c r="N187" s="750" t="s">
        <v>103</v>
      </c>
      <c r="O187" s="736">
        <v>0</v>
      </c>
      <c r="P187" s="693">
        <v>0</v>
      </c>
      <c r="Q187" s="752">
        <v>0</v>
      </c>
      <c r="R187" t="s">
        <v>103</v>
      </c>
      <c r="S187" t="s">
        <v>103</v>
      </c>
    </row>
    <row r="188" spans="2:19">
      <c r="B188" s="861" t="s">
        <v>752</v>
      </c>
      <c r="C188" t="s">
        <v>1009</v>
      </c>
      <c r="D188" s="730" t="s">
        <v>110</v>
      </c>
      <c r="E188" s="747">
        <v>514883.69707266125</v>
      </c>
      <c r="F188" s="747">
        <v>142383.73168475076</v>
      </c>
      <c r="G188" s="747">
        <v>661110.65875741642</v>
      </c>
      <c r="H188" s="694">
        <v>16.033475553914577</v>
      </c>
      <c r="I188" s="749" t="s">
        <v>258</v>
      </c>
      <c r="J188" s="750">
        <v>661110.65875741642</v>
      </c>
      <c r="K188" s="735">
        <v>0</v>
      </c>
      <c r="L188" s="735" t="s">
        <v>103</v>
      </c>
      <c r="M188" s="750">
        <v>0</v>
      </c>
      <c r="N188" s="750" t="s">
        <v>103</v>
      </c>
      <c r="O188" s="736">
        <v>0</v>
      </c>
      <c r="P188" s="693">
        <v>0</v>
      </c>
      <c r="Q188" s="752">
        <v>0</v>
      </c>
      <c r="R188" t="s">
        <v>103</v>
      </c>
      <c r="S188" t="s">
        <v>103</v>
      </c>
    </row>
    <row r="189" spans="2:19">
      <c r="B189" s="861" t="s">
        <v>759</v>
      </c>
      <c r="C189" t="s">
        <v>1009</v>
      </c>
      <c r="D189" s="730" t="s">
        <v>110</v>
      </c>
      <c r="E189" s="747">
        <v>5064.3601004832963</v>
      </c>
      <c r="F189" s="747">
        <v>365.39568816937606</v>
      </c>
      <c r="G189" s="747">
        <v>5429.755788652672</v>
      </c>
      <c r="H189" s="694">
        <v>0</v>
      </c>
      <c r="I189" s="749" t="s">
        <v>258</v>
      </c>
      <c r="J189" s="750">
        <v>5429.755788652672</v>
      </c>
      <c r="K189" s="735">
        <v>0</v>
      </c>
      <c r="L189" s="735" t="s">
        <v>103</v>
      </c>
      <c r="M189" s="750">
        <v>0</v>
      </c>
      <c r="N189" s="750" t="s">
        <v>103</v>
      </c>
      <c r="O189" s="736">
        <v>0</v>
      </c>
      <c r="P189" s="693">
        <v>0</v>
      </c>
      <c r="Q189" s="752">
        <v>0</v>
      </c>
      <c r="R189" t="s">
        <v>103</v>
      </c>
      <c r="S189" t="s">
        <v>103</v>
      </c>
    </row>
    <row r="190" spans="2:19">
      <c r="B190" s="861" t="s">
        <v>760</v>
      </c>
      <c r="C190" t="s">
        <v>1009</v>
      </c>
      <c r="D190" s="730" t="s">
        <v>110</v>
      </c>
      <c r="E190" s="747">
        <v>-269813.07467956463</v>
      </c>
      <c r="F190" s="747">
        <v>64081.407694446265</v>
      </c>
      <c r="G190" s="747">
        <v>-205731.66698511841</v>
      </c>
      <c r="H190" s="694">
        <v>3.21047358956424</v>
      </c>
      <c r="I190" s="749" t="s">
        <v>258</v>
      </c>
      <c r="J190" s="750">
        <v>-205731.66698511841</v>
      </c>
      <c r="K190" s="735">
        <v>0</v>
      </c>
      <c r="L190" s="735" t="s">
        <v>103</v>
      </c>
      <c r="M190" s="750">
        <v>0</v>
      </c>
      <c r="N190" s="750" t="s">
        <v>103</v>
      </c>
      <c r="O190" s="736">
        <v>0</v>
      </c>
      <c r="P190" s="693">
        <v>0</v>
      </c>
      <c r="Q190" s="752">
        <v>0</v>
      </c>
      <c r="R190" t="s">
        <v>103</v>
      </c>
      <c r="S190" t="s">
        <v>103</v>
      </c>
    </row>
    <row r="191" spans="2:19">
      <c r="B191" s="861" t="s">
        <v>764</v>
      </c>
      <c r="C191" t="s">
        <v>1009</v>
      </c>
      <c r="D191" s="730" t="s">
        <v>110</v>
      </c>
      <c r="E191" s="747">
        <v>989437.21929416887</v>
      </c>
      <c r="F191" s="747">
        <v>92814.539232521638</v>
      </c>
      <c r="G191" s="747">
        <v>1078525.2885266899</v>
      </c>
      <c r="H191" s="694">
        <v>0</v>
      </c>
      <c r="I191" s="749" t="s">
        <v>258</v>
      </c>
      <c r="J191" s="750">
        <v>1078525.2885266899</v>
      </c>
      <c r="K191" s="735">
        <v>0</v>
      </c>
      <c r="L191" s="735" t="s">
        <v>103</v>
      </c>
      <c r="M191" s="750">
        <v>0</v>
      </c>
      <c r="N191" s="750" t="s">
        <v>103</v>
      </c>
      <c r="O191" s="736">
        <v>0</v>
      </c>
      <c r="P191" s="693">
        <v>0</v>
      </c>
      <c r="Q191" s="752">
        <v>0</v>
      </c>
      <c r="R191" t="s">
        <v>103</v>
      </c>
      <c r="S191" t="s">
        <v>103</v>
      </c>
    </row>
    <row r="192" spans="2:19">
      <c r="B192" s="861" t="s">
        <v>772</v>
      </c>
      <c r="C192" t="s">
        <v>1009</v>
      </c>
      <c r="D192" s="730" t="s">
        <v>110</v>
      </c>
      <c r="E192" s="747">
        <v>-904112.25137978385</v>
      </c>
      <c r="F192" s="747">
        <v>10203.56646088199</v>
      </c>
      <c r="G192" s="747">
        <v>-893908.684918902</v>
      </c>
      <c r="H192" s="694">
        <v>87.60747414601866</v>
      </c>
      <c r="I192" s="749" t="s">
        <v>258</v>
      </c>
      <c r="J192" s="750">
        <v>-893908.684918902</v>
      </c>
      <c r="K192" s="735">
        <v>0</v>
      </c>
      <c r="L192" s="735" t="s">
        <v>103</v>
      </c>
      <c r="M192" s="750">
        <v>0</v>
      </c>
      <c r="N192" s="750" t="s">
        <v>103</v>
      </c>
      <c r="O192" s="736">
        <v>0</v>
      </c>
      <c r="P192" s="693">
        <v>0</v>
      </c>
      <c r="Q192" s="752">
        <v>0</v>
      </c>
      <c r="R192" t="s">
        <v>103</v>
      </c>
      <c r="S192" t="s">
        <v>103</v>
      </c>
    </row>
    <row r="193" spans="2:19">
      <c r="B193" s="861" t="s">
        <v>777</v>
      </c>
      <c r="C193" t="s">
        <v>1009</v>
      </c>
      <c r="D193" s="730" t="s">
        <v>110</v>
      </c>
      <c r="E193" s="747">
        <v>19582.265005382862</v>
      </c>
      <c r="F193" s="747">
        <v>1287.9050348831984</v>
      </c>
      <c r="G193" s="747">
        <v>20870.170040266061</v>
      </c>
      <c r="H193" s="694">
        <v>0</v>
      </c>
      <c r="I193" s="749" t="s">
        <v>258</v>
      </c>
      <c r="J193" s="750">
        <v>20870.170040266061</v>
      </c>
      <c r="K193" s="735">
        <v>0</v>
      </c>
      <c r="L193" s="735" t="s">
        <v>103</v>
      </c>
      <c r="M193" s="750">
        <v>0</v>
      </c>
      <c r="N193" s="750" t="s">
        <v>103</v>
      </c>
      <c r="O193" s="736">
        <v>0</v>
      </c>
      <c r="P193" s="693">
        <v>0</v>
      </c>
      <c r="Q193" s="752">
        <v>0</v>
      </c>
      <c r="R193" t="s">
        <v>103</v>
      </c>
      <c r="S193" t="s">
        <v>103</v>
      </c>
    </row>
    <row r="194" spans="2:19">
      <c r="B194" s="861" t="s">
        <v>778</v>
      </c>
      <c r="C194" t="s">
        <v>1009</v>
      </c>
      <c r="D194" s="730" t="s">
        <v>110</v>
      </c>
      <c r="E194" s="747">
        <v>2879326.8759859935</v>
      </c>
      <c r="F194" s="747">
        <v>146804.59253654582</v>
      </c>
      <c r="G194" s="747">
        <v>-273868.53147746017</v>
      </c>
      <c r="H194" s="694">
        <v>1.8655310896304746</v>
      </c>
      <c r="I194" s="749" t="s">
        <v>258</v>
      </c>
      <c r="J194" s="750">
        <v>-273868.53147746017</v>
      </c>
      <c r="K194" s="735">
        <v>0</v>
      </c>
      <c r="L194" s="735" t="s">
        <v>103</v>
      </c>
      <c r="M194" s="750">
        <v>0</v>
      </c>
      <c r="N194" s="750" t="s">
        <v>103</v>
      </c>
      <c r="O194" s="736">
        <v>0</v>
      </c>
      <c r="P194" s="693">
        <v>0</v>
      </c>
      <c r="Q194" s="752">
        <v>0</v>
      </c>
      <c r="R194" t="s">
        <v>103</v>
      </c>
      <c r="S194" t="s">
        <v>103</v>
      </c>
    </row>
    <row r="195" spans="2:19">
      <c r="B195" s="861" t="s">
        <v>794</v>
      </c>
      <c r="C195" t="s">
        <v>1009</v>
      </c>
      <c r="D195" s="730" t="s">
        <v>110</v>
      </c>
      <c r="E195" s="747">
        <v>926930.86589414498</v>
      </c>
      <c r="F195" s="747">
        <v>17484.591710285589</v>
      </c>
      <c r="G195" s="747">
        <v>944415.45760443062</v>
      </c>
      <c r="H195" s="694">
        <v>0</v>
      </c>
      <c r="I195" s="749" t="s">
        <v>258</v>
      </c>
      <c r="J195" s="750">
        <v>944415.45760443062</v>
      </c>
      <c r="K195" s="735">
        <v>0</v>
      </c>
      <c r="L195" s="735" t="s">
        <v>103</v>
      </c>
      <c r="M195" s="750">
        <v>0</v>
      </c>
      <c r="N195" s="750" t="s">
        <v>103</v>
      </c>
      <c r="O195" s="736">
        <v>0</v>
      </c>
      <c r="P195" s="693">
        <v>0</v>
      </c>
      <c r="Q195" s="752">
        <v>0</v>
      </c>
      <c r="R195" t="s">
        <v>103</v>
      </c>
      <c r="S195" t="s">
        <v>103</v>
      </c>
    </row>
    <row r="196" spans="2:19">
      <c r="B196" s="861" t="s">
        <v>795</v>
      </c>
      <c r="C196" t="s">
        <v>1009</v>
      </c>
      <c r="D196" s="730" t="s">
        <v>110</v>
      </c>
      <c r="E196" s="747">
        <v>1525056.1838726252</v>
      </c>
      <c r="F196" s="747">
        <v>157227.7539772141</v>
      </c>
      <c r="G196" s="747">
        <v>1682283.9378498392</v>
      </c>
      <c r="H196" s="694">
        <v>0</v>
      </c>
      <c r="I196" s="749" t="s">
        <v>258</v>
      </c>
      <c r="J196" s="750">
        <v>1682283.9378498392</v>
      </c>
      <c r="K196" s="735">
        <v>0</v>
      </c>
      <c r="L196" s="735" t="s">
        <v>103</v>
      </c>
      <c r="M196" s="750">
        <v>0</v>
      </c>
      <c r="N196" s="750" t="s">
        <v>103</v>
      </c>
      <c r="O196" s="736">
        <v>0</v>
      </c>
      <c r="P196" s="693">
        <v>0</v>
      </c>
      <c r="Q196" s="752">
        <v>0</v>
      </c>
      <c r="R196" t="s">
        <v>103</v>
      </c>
      <c r="S196" t="s">
        <v>103</v>
      </c>
    </row>
    <row r="197" spans="2:19">
      <c r="B197" s="861" t="s">
        <v>802</v>
      </c>
      <c r="C197" t="s">
        <v>1009</v>
      </c>
      <c r="D197" s="730" t="s">
        <v>110</v>
      </c>
      <c r="E197" s="747">
        <v>-139907.61189999222</v>
      </c>
      <c r="F197" s="747">
        <v>79073.824727570231</v>
      </c>
      <c r="G197" s="747">
        <v>-60833.787172421755</v>
      </c>
      <c r="H197" s="694">
        <v>0.76932900845519836</v>
      </c>
      <c r="I197" s="749" t="s">
        <v>258</v>
      </c>
      <c r="J197" s="750">
        <v>-60833.787172421755</v>
      </c>
      <c r="K197" s="735">
        <v>0</v>
      </c>
      <c r="L197" s="735" t="s">
        <v>103</v>
      </c>
      <c r="M197" s="750">
        <v>0</v>
      </c>
      <c r="N197" s="750" t="s">
        <v>103</v>
      </c>
      <c r="O197" s="736">
        <v>0</v>
      </c>
      <c r="P197" s="693">
        <v>0</v>
      </c>
      <c r="Q197" s="752">
        <v>0</v>
      </c>
      <c r="R197" t="s">
        <v>103</v>
      </c>
      <c r="S197" t="s">
        <v>103</v>
      </c>
    </row>
    <row r="198" spans="2:19">
      <c r="B198" s="861" t="s">
        <v>806</v>
      </c>
      <c r="C198" t="s">
        <v>1009</v>
      </c>
      <c r="D198" s="730" t="s">
        <v>110</v>
      </c>
      <c r="E198" s="747">
        <v>260533.98625185358</v>
      </c>
      <c r="F198" s="747">
        <v>37514.033585019701</v>
      </c>
      <c r="G198" s="747">
        <v>298048.01983687334</v>
      </c>
      <c r="H198" s="694">
        <v>0</v>
      </c>
      <c r="I198" s="749" t="s">
        <v>258</v>
      </c>
      <c r="J198" s="750">
        <v>298048.01983687334</v>
      </c>
      <c r="K198" s="735">
        <v>0</v>
      </c>
      <c r="L198" s="735" t="s">
        <v>103</v>
      </c>
      <c r="M198" s="750">
        <v>0</v>
      </c>
      <c r="N198" s="750" t="s">
        <v>103</v>
      </c>
      <c r="O198" s="736">
        <v>0</v>
      </c>
      <c r="P198" s="693">
        <v>0</v>
      </c>
      <c r="Q198" s="752">
        <v>0</v>
      </c>
      <c r="R198" t="s">
        <v>103</v>
      </c>
      <c r="S198" t="s">
        <v>103</v>
      </c>
    </row>
    <row r="199" spans="2:19">
      <c r="B199" s="861" t="s">
        <v>809</v>
      </c>
      <c r="C199" t="s">
        <v>1009</v>
      </c>
      <c r="D199" s="730" t="s">
        <v>110</v>
      </c>
      <c r="E199" s="747">
        <v>-221489.44503362011</v>
      </c>
      <c r="F199" s="747">
        <v>82333.443480908274</v>
      </c>
      <c r="G199" s="747">
        <v>188922.71844728792</v>
      </c>
      <c r="H199" s="694">
        <v>1.6901516038859652</v>
      </c>
      <c r="I199" s="749" t="s">
        <v>258</v>
      </c>
      <c r="J199" s="750">
        <v>188922.71844728792</v>
      </c>
      <c r="K199" s="735">
        <v>0</v>
      </c>
      <c r="L199" s="735" t="s">
        <v>103</v>
      </c>
      <c r="M199" s="750">
        <v>0</v>
      </c>
      <c r="N199" s="750" t="s">
        <v>103</v>
      </c>
      <c r="O199" s="736">
        <v>0</v>
      </c>
      <c r="P199" s="693">
        <v>0</v>
      </c>
      <c r="Q199" s="752">
        <v>0</v>
      </c>
      <c r="R199" t="s">
        <v>103</v>
      </c>
      <c r="S199" t="s">
        <v>103</v>
      </c>
    </row>
    <row r="200" spans="2:19">
      <c r="B200" s="861" t="s">
        <v>818</v>
      </c>
      <c r="C200" t="s">
        <v>1009</v>
      </c>
      <c r="D200" s="730" t="s">
        <v>110</v>
      </c>
      <c r="E200" s="747">
        <v>1621638.6441793842</v>
      </c>
      <c r="F200" s="747">
        <v>283739.98255640623</v>
      </c>
      <c r="G200" s="747">
        <v>1905378.6267357913</v>
      </c>
      <c r="H200" s="694">
        <v>0</v>
      </c>
      <c r="I200" s="749" t="s">
        <v>258</v>
      </c>
      <c r="J200" s="750">
        <v>1905378.6267357913</v>
      </c>
      <c r="K200" s="735">
        <v>0</v>
      </c>
      <c r="L200" s="735" t="s">
        <v>103</v>
      </c>
      <c r="M200" s="750">
        <v>0</v>
      </c>
      <c r="N200" s="750" t="s">
        <v>103</v>
      </c>
      <c r="O200" s="736">
        <v>0</v>
      </c>
      <c r="P200" s="693">
        <v>0</v>
      </c>
      <c r="Q200" s="752">
        <v>0</v>
      </c>
      <c r="R200" t="s">
        <v>103</v>
      </c>
      <c r="S200" t="s">
        <v>103</v>
      </c>
    </row>
    <row r="201" spans="2:19">
      <c r="B201" s="861" t="s">
        <v>826</v>
      </c>
      <c r="C201" t="s">
        <v>1009</v>
      </c>
      <c r="D201" s="730" t="s">
        <v>110</v>
      </c>
      <c r="E201" s="747">
        <v>-531394.35987826507</v>
      </c>
      <c r="F201" s="747">
        <v>159958.77947225378</v>
      </c>
      <c r="G201" s="747">
        <v>-371435.58040601201</v>
      </c>
      <c r="H201" s="694">
        <v>2.3220706086372753</v>
      </c>
      <c r="I201" s="749" t="s">
        <v>258</v>
      </c>
      <c r="J201" s="750">
        <v>-371435.58040601201</v>
      </c>
      <c r="K201" s="735">
        <v>0</v>
      </c>
      <c r="L201" s="735" t="s">
        <v>103</v>
      </c>
      <c r="M201" s="750">
        <v>0</v>
      </c>
      <c r="N201" s="750" t="s">
        <v>103</v>
      </c>
      <c r="O201" s="736">
        <v>0</v>
      </c>
      <c r="P201" s="693">
        <v>0</v>
      </c>
      <c r="Q201" s="752">
        <v>0</v>
      </c>
      <c r="R201" t="s">
        <v>103</v>
      </c>
      <c r="S201" t="s">
        <v>103</v>
      </c>
    </row>
    <row r="202" spans="2:19">
      <c r="B202" s="861" t="s">
        <v>833</v>
      </c>
      <c r="C202" t="s">
        <v>1009</v>
      </c>
      <c r="D202" s="730" t="s">
        <v>110</v>
      </c>
      <c r="E202" s="747">
        <v>2164368.1579193021</v>
      </c>
      <c r="F202" s="747">
        <v>148267.62751894898</v>
      </c>
      <c r="G202" s="747">
        <v>-687364.21456174843</v>
      </c>
      <c r="H202" s="694">
        <v>4.6359696048545835</v>
      </c>
      <c r="I202" s="749" t="s">
        <v>258</v>
      </c>
      <c r="J202" s="750">
        <v>-687364.21456174843</v>
      </c>
      <c r="K202" s="735">
        <v>0</v>
      </c>
      <c r="L202" s="735" t="s">
        <v>103</v>
      </c>
      <c r="M202" s="750">
        <v>0</v>
      </c>
      <c r="N202" s="750" t="s">
        <v>103</v>
      </c>
      <c r="O202" s="736">
        <v>0</v>
      </c>
      <c r="P202" s="693">
        <v>0</v>
      </c>
      <c r="Q202" s="752">
        <v>0</v>
      </c>
      <c r="R202" t="s">
        <v>103</v>
      </c>
      <c r="S202" t="s">
        <v>103</v>
      </c>
    </row>
    <row r="203" spans="2:19">
      <c r="B203" s="861" t="s">
        <v>838</v>
      </c>
      <c r="C203" t="s">
        <v>1009</v>
      </c>
      <c r="D203" s="730" t="s">
        <v>110</v>
      </c>
      <c r="E203" s="747">
        <v>-585889.94525511237</v>
      </c>
      <c r="F203" s="747">
        <v>132944.21057750558</v>
      </c>
      <c r="G203" s="747">
        <v>-452945.73467760585</v>
      </c>
      <c r="H203" s="694">
        <v>3.407036174873832</v>
      </c>
      <c r="I203" s="749" t="s">
        <v>258</v>
      </c>
      <c r="J203" s="750">
        <v>-452945.73467760585</v>
      </c>
      <c r="K203" s="735">
        <v>0</v>
      </c>
      <c r="L203" s="735" t="s">
        <v>103</v>
      </c>
      <c r="M203" s="750">
        <v>0</v>
      </c>
      <c r="N203" s="750" t="s">
        <v>103</v>
      </c>
      <c r="O203" s="736">
        <v>0</v>
      </c>
      <c r="P203" s="693">
        <v>0</v>
      </c>
      <c r="Q203" s="752">
        <v>0</v>
      </c>
      <c r="R203" t="s">
        <v>103</v>
      </c>
      <c r="S203" t="s">
        <v>103</v>
      </c>
    </row>
    <row r="204" spans="2:19">
      <c r="B204" s="861" t="s">
        <v>841</v>
      </c>
      <c r="C204" t="s">
        <v>1009</v>
      </c>
      <c r="D204" s="730" t="s">
        <v>110</v>
      </c>
      <c r="E204" s="747">
        <v>2368347.4803962088</v>
      </c>
      <c r="F204" s="747">
        <v>477635.25694311241</v>
      </c>
      <c r="G204" s="747">
        <v>2845982.7373393197</v>
      </c>
      <c r="H204" s="694">
        <v>0</v>
      </c>
      <c r="I204" s="749" t="s">
        <v>258</v>
      </c>
      <c r="J204" s="750">
        <v>2845982.7373393197</v>
      </c>
      <c r="K204" s="735">
        <v>0</v>
      </c>
      <c r="L204" s="735" t="s">
        <v>103</v>
      </c>
      <c r="M204" s="750">
        <v>0</v>
      </c>
      <c r="N204" s="750" t="s">
        <v>103</v>
      </c>
      <c r="O204" s="736">
        <v>0</v>
      </c>
      <c r="P204" s="693">
        <v>0</v>
      </c>
      <c r="Q204" s="752">
        <v>0</v>
      </c>
      <c r="R204" t="s">
        <v>103</v>
      </c>
      <c r="S204" t="s">
        <v>103</v>
      </c>
    </row>
    <row r="205" spans="2:19">
      <c r="B205" s="861" t="s">
        <v>853</v>
      </c>
      <c r="C205" t="s">
        <v>1009</v>
      </c>
      <c r="D205" s="730" t="s">
        <v>110</v>
      </c>
      <c r="E205" s="747">
        <v>-83386.071775638746</v>
      </c>
      <c r="F205" s="747">
        <v>60784.357674790292</v>
      </c>
      <c r="G205" s="747">
        <v>-226580.6641008484</v>
      </c>
      <c r="H205" s="694">
        <v>3.7276146819401283</v>
      </c>
      <c r="I205" s="749" t="s">
        <v>258</v>
      </c>
      <c r="J205" s="750">
        <v>-226580.6641008484</v>
      </c>
      <c r="K205" s="735">
        <v>0</v>
      </c>
      <c r="L205" s="735" t="s">
        <v>103</v>
      </c>
      <c r="M205" s="750">
        <v>0</v>
      </c>
      <c r="N205" s="750" t="s">
        <v>103</v>
      </c>
      <c r="O205" s="736">
        <v>0</v>
      </c>
      <c r="P205" s="693">
        <v>0</v>
      </c>
      <c r="Q205" s="752">
        <v>0</v>
      </c>
      <c r="R205" t="s">
        <v>103</v>
      </c>
      <c r="S205" t="s">
        <v>103</v>
      </c>
    </row>
    <row r="206" spans="2:19">
      <c r="B206" s="861" t="s">
        <v>861</v>
      </c>
      <c r="C206" t="s">
        <v>1009</v>
      </c>
      <c r="D206" s="730" t="s">
        <v>110</v>
      </c>
      <c r="E206" s="747">
        <v>2897111.8294678451</v>
      </c>
      <c r="F206" s="747">
        <v>156889.72911984657</v>
      </c>
      <c r="G206" s="747">
        <v>3054001.5585876917</v>
      </c>
      <c r="H206" s="694">
        <v>0</v>
      </c>
      <c r="I206" s="749" t="s">
        <v>258</v>
      </c>
      <c r="J206" s="750">
        <v>3054001.5585876917</v>
      </c>
      <c r="K206" s="735">
        <v>0</v>
      </c>
      <c r="L206" s="735" t="s">
        <v>103</v>
      </c>
      <c r="M206" s="750">
        <v>0</v>
      </c>
      <c r="N206" s="750" t="s">
        <v>103</v>
      </c>
      <c r="O206" s="736">
        <v>0</v>
      </c>
      <c r="P206" s="693">
        <v>0</v>
      </c>
      <c r="Q206" s="752">
        <v>0</v>
      </c>
      <c r="R206" t="s">
        <v>103</v>
      </c>
      <c r="S206" t="s">
        <v>103</v>
      </c>
    </row>
    <row r="207" spans="2:19">
      <c r="B207" s="861" t="s">
        <v>862</v>
      </c>
      <c r="C207" t="s">
        <v>1009</v>
      </c>
      <c r="D207" s="730" t="s">
        <v>110</v>
      </c>
      <c r="E207" s="747">
        <v>529016.89902743034</v>
      </c>
      <c r="F207" s="747">
        <v>71108.539754032681</v>
      </c>
      <c r="G207" s="747">
        <v>600125.43878146308</v>
      </c>
      <c r="H207" s="694">
        <v>0</v>
      </c>
      <c r="I207" s="749" t="s">
        <v>258</v>
      </c>
      <c r="J207" s="750">
        <v>600125.43878146308</v>
      </c>
      <c r="K207" s="735">
        <v>0</v>
      </c>
      <c r="L207" s="735" t="s">
        <v>103</v>
      </c>
      <c r="M207" s="750">
        <v>0</v>
      </c>
      <c r="N207" s="750" t="s">
        <v>103</v>
      </c>
      <c r="O207" s="736">
        <v>0</v>
      </c>
      <c r="P207" s="693">
        <v>0</v>
      </c>
      <c r="Q207" s="752">
        <v>0</v>
      </c>
      <c r="R207" t="s">
        <v>103</v>
      </c>
      <c r="S207" t="s">
        <v>103</v>
      </c>
    </row>
    <row r="208" spans="2:19">
      <c r="B208" s="861" t="s">
        <v>869</v>
      </c>
      <c r="C208" t="s">
        <v>1009</v>
      </c>
      <c r="D208" s="730" t="s">
        <v>110</v>
      </c>
      <c r="E208" s="747">
        <v>-239104.65339821699</v>
      </c>
      <c r="F208" s="747">
        <v>87768.612041807326</v>
      </c>
      <c r="G208" s="747">
        <v>-151336.04135641031</v>
      </c>
      <c r="H208" s="694">
        <v>1.7242615308115337</v>
      </c>
      <c r="I208" s="749" t="s">
        <v>258</v>
      </c>
      <c r="J208" s="750">
        <v>-151336.04135641031</v>
      </c>
      <c r="K208" s="735">
        <v>0</v>
      </c>
      <c r="L208" s="735" t="s">
        <v>103</v>
      </c>
      <c r="M208" s="750">
        <v>0</v>
      </c>
      <c r="N208" s="750" t="s">
        <v>103</v>
      </c>
      <c r="O208" s="736">
        <v>0</v>
      </c>
      <c r="P208" s="693">
        <v>0</v>
      </c>
      <c r="Q208" s="752">
        <v>0</v>
      </c>
      <c r="R208" t="s">
        <v>103</v>
      </c>
      <c r="S208" t="s">
        <v>103</v>
      </c>
    </row>
    <row r="209" spans="2:19">
      <c r="B209" s="861" t="s">
        <v>870</v>
      </c>
      <c r="C209" t="s">
        <v>1009</v>
      </c>
      <c r="D209" s="730" t="s">
        <v>110</v>
      </c>
      <c r="E209" s="747">
        <v>1851959.367582849</v>
      </c>
      <c r="F209" s="747">
        <v>20447.693893866897</v>
      </c>
      <c r="G209" s="747">
        <v>1872407.0614767158</v>
      </c>
      <c r="H209" s="694">
        <v>0</v>
      </c>
      <c r="I209" s="749" t="s">
        <v>258</v>
      </c>
      <c r="J209" s="750">
        <v>1872407.0614767158</v>
      </c>
      <c r="K209" s="735">
        <v>0</v>
      </c>
      <c r="L209" s="735" t="s">
        <v>103</v>
      </c>
      <c r="M209" s="750">
        <v>0</v>
      </c>
      <c r="N209" s="750" t="s">
        <v>103</v>
      </c>
      <c r="O209" s="736">
        <v>0</v>
      </c>
      <c r="P209" s="693">
        <v>0</v>
      </c>
      <c r="Q209" s="752">
        <v>0</v>
      </c>
      <c r="R209" t="s">
        <v>103</v>
      </c>
      <c r="S209" t="s">
        <v>103</v>
      </c>
    </row>
    <row r="210" spans="2:19">
      <c r="B210" s="861" t="s">
        <v>871</v>
      </c>
      <c r="C210" t="s">
        <v>1009</v>
      </c>
      <c r="D210" s="730" t="s">
        <v>110</v>
      </c>
      <c r="E210" s="747">
        <v>10798565.000190055</v>
      </c>
      <c r="F210" s="747">
        <v>1143821.9106383726</v>
      </c>
      <c r="G210" s="747">
        <v>10442386.910828426</v>
      </c>
      <c r="H210" s="694">
        <v>0</v>
      </c>
      <c r="I210" s="862" t="s">
        <v>258</v>
      </c>
      <c r="J210" s="863">
        <v>10442386.910828426</v>
      </c>
      <c r="K210" s="735">
        <v>0</v>
      </c>
      <c r="L210" s="735" t="s">
        <v>103</v>
      </c>
      <c r="M210" s="863">
        <v>0</v>
      </c>
      <c r="N210" s="863" t="s">
        <v>103</v>
      </c>
      <c r="O210" s="736">
        <v>0</v>
      </c>
      <c r="P210" s="693">
        <v>0</v>
      </c>
      <c r="Q210" s="752">
        <v>0</v>
      </c>
      <c r="R210" t="s">
        <v>103</v>
      </c>
      <c r="S210" t="s">
        <v>103</v>
      </c>
    </row>
    <row r="211" spans="2:19" s="101" customFormat="1">
      <c r="B211" s="738" t="s">
        <v>1404</v>
      </c>
      <c r="C211" s="738"/>
      <c r="D211" s="738"/>
      <c r="E211" s="739">
        <v>26335881.16475188</v>
      </c>
      <c r="F211" s="739">
        <v>3587810.09445317</v>
      </c>
      <c r="G211" s="739">
        <v>22247907.789205052</v>
      </c>
      <c r="H211" s="740">
        <v>0</v>
      </c>
      <c r="I211" s="741"/>
      <c r="J211" s="742">
        <v>22247907.789205052</v>
      </c>
      <c r="K211" s="742">
        <v>0</v>
      </c>
      <c r="L211" s="741"/>
      <c r="M211" s="742">
        <v>0</v>
      </c>
      <c r="N211" s="742">
        <v>0</v>
      </c>
      <c r="O211" s="743">
        <v>0</v>
      </c>
      <c r="P211" s="742">
        <v>0</v>
      </c>
      <c r="Q211" s="744">
        <v>0</v>
      </c>
      <c r="R211" s="741" t="s">
        <v>103</v>
      </c>
      <c r="S211" s="741" t="s">
        <v>103</v>
      </c>
    </row>
    <row r="212" spans="2:19">
      <c r="B212" s="857" t="s">
        <v>880</v>
      </c>
      <c r="C212" s="857"/>
      <c r="D212" s="857"/>
      <c r="E212" s="724"/>
      <c r="F212" s="724"/>
      <c r="G212" s="724"/>
      <c r="H212" s="858">
        <v>0</v>
      </c>
      <c r="I212" s="859"/>
      <c r="J212" s="860"/>
      <c r="K212" s="859"/>
      <c r="L212" s="859"/>
      <c r="M212" s="860"/>
      <c r="N212" s="860"/>
      <c r="O212" s="728"/>
      <c r="P212" s="860"/>
      <c r="Q212" s="859"/>
      <c r="R212" s="859"/>
      <c r="S212" s="859"/>
    </row>
    <row r="213" spans="2:19">
      <c r="B213" s="861" t="s">
        <v>881</v>
      </c>
      <c r="C213" t="s">
        <v>1009</v>
      </c>
      <c r="D213" s="730" t="s">
        <v>110</v>
      </c>
      <c r="E213" s="747">
        <v>1531.6924693808085</v>
      </c>
      <c r="F213" s="747">
        <v>112.06876774034788</v>
      </c>
      <c r="G213" s="747">
        <v>1643.7612371211562</v>
      </c>
      <c r="H213" s="694">
        <v>0</v>
      </c>
      <c r="I213" s="862" t="s">
        <v>258</v>
      </c>
      <c r="J213" s="863">
        <v>1643.7612371211562</v>
      </c>
      <c r="K213" s="735">
        <v>0</v>
      </c>
      <c r="L213" s="735" t="s">
        <v>103</v>
      </c>
      <c r="M213" s="863">
        <v>0</v>
      </c>
      <c r="N213" s="863" t="s">
        <v>103</v>
      </c>
      <c r="O213" s="736">
        <v>0</v>
      </c>
      <c r="P213" s="693">
        <v>0</v>
      </c>
      <c r="Q213" s="752">
        <v>0</v>
      </c>
      <c r="R213" t="s">
        <v>103</v>
      </c>
      <c r="S213" t="s">
        <v>103</v>
      </c>
    </row>
    <row r="214" spans="2:19" s="101" customFormat="1">
      <c r="B214" s="738" t="s">
        <v>1430</v>
      </c>
      <c r="C214" s="738"/>
      <c r="D214" s="738"/>
      <c r="E214" s="739">
        <v>1531.6924693808085</v>
      </c>
      <c r="F214" s="739">
        <v>112.06876774034788</v>
      </c>
      <c r="G214" s="739">
        <v>1643.7612371211562</v>
      </c>
      <c r="H214" s="740">
        <v>0</v>
      </c>
      <c r="I214" s="741"/>
      <c r="J214" s="742">
        <v>1643.7612371211562</v>
      </c>
      <c r="K214" s="742">
        <v>0</v>
      </c>
      <c r="L214" s="741"/>
      <c r="M214" s="742">
        <v>0</v>
      </c>
      <c r="N214" s="742">
        <v>0</v>
      </c>
      <c r="O214" s="743">
        <v>0</v>
      </c>
      <c r="P214" s="742">
        <v>0</v>
      </c>
      <c r="Q214" s="744">
        <v>0</v>
      </c>
      <c r="R214" s="741" t="s">
        <v>103</v>
      </c>
      <c r="S214" s="741" t="s">
        <v>103</v>
      </c>
    </row>
    <row r="215" spans="2:19">
      <c r="B215" s="857" t="s">
        <v>882</v>
      </c>
      <c r="C215" s="857"/>
      <c r="D215" s="857"/>
      <c r="E215" s="724"/>
      <c r="F215" s="724"/>
      <c r="G215" s="724"/>
      <c r="H215" s="858">
        <v>0</v>
      </c>
      <c r="I215" s="859"/>
      <c r="J215" s="860"/>
      <c r="K215" s="859"/>
      <c r="L215" s="859"/>
      <c r="M215" s="860"/>
      <c r="N215" s="860"/>
      <c r="O215" s="728"/>
      <c r="P215" s="860"/>
      <c r="Q215" s="859"/>
      <c r="R215" s="859"/>
      <c r="S215" s="859"/>
    </row>
    <row r="216" spans="2:19">
      <c r="B216" s="861" t="s">
        <v>883</v>
      </c>
      <c r="C216" t="s">
        <v>1009</v>
      </c>
      <c r="D216" s="730" t="s">
        <v>110</v>
      </c>
      <c r="E216" s="747">
        <v>167913.20324960054</v>
      </c>
      <c r="F216" s="747">
        <v>30439.374882148695</v>
      </c>
      <c r="G216" s="747">
        <v>198352.57813174918</v>
      </c>
      <c r="H216" s="694">
        <v>0</v>
      </c>
      <c r="I216" s="749" t="s">
        <v>258</v>
      </c>
      <c r="J216" s="750">
        <v>198352.57813174918</v>
      </c>
      <c r="K216" s="735">
        <v>0</v>
      </c>
      <c r="L216" s="735" t="s">
        <v>103</v>
      </c>
      <c r="M216" s="750">
        <v>0</v>
      </c>
      <c r="N216" s="750" t="s">
        <v>103</v>
      </c>
      <c r="O216" s="736">
        <v>0</v>
      </c>
      <c r="P216" s="693">
        <v>0</v>
      </c>
      <c r="Q216" s="752">
        <v>0</v>
      </c>
      <c r="R216" t="s">
        <v>103</v>
      </c>
      <c r="S216" t="s">
        <v>103</v>
      </c>
    </row>
    <row r="217" spans="2:19">
      <c r="B217" s="861" t="s">
        <v>884</v>
      </c>
      <c r="C217" t="s">
        <v>1009</v>
      </c>
      <c r="D217" s="730" t="s">
        <v>110</v>
      </c>
      <c r="E217" s="747">
        <v>1301667.849952946</v>
      </c>
      <c r="F217" s="747">
        <v>63784.315572038082</v>
      </c>
      <c r="G217" s="747">
        <v>1365452.165524984</v>
      </c>
      <c r="H217" s="694">
        <v>0</v>
      </c>
      <c r="I217" s="749" t="s">
        <v>258</v>
      </c>
      <c r="J217" s="750">
        <v>1365452.165524984</v>
      </c>
      <c r="K217" s="735">
        <v>0</v>
      </c>
      <c r="L217" s="735" t="s">
        <v>103</v>
      </c>
      <c r="M217" s="750">
        <v>0</v>
      </c>
      <c r="N217" s="750" t="s">
        <v>103</v>
      </c>
      <c r="O217" s="736">
        <v>0</v>
      </c>
      <c r="P217" s="693">
        <v>0</v>
      </c>
      <c r="Q217" s="752">
        <v>0</v>
      </c>
      <c r="R217" t="s">
        <v>103</v>
      </c>
      <c r="S217" t="s">
        <v>103</v>
      </c>
    </row>
    <row r="218" spans="2:19">
      <c r="B218" s="861" t="s">
        <v>885</v>
      </c>
      <c r="C218" t="s">
        <v>1009</v>
      </c>
      <c r="D218" s="730" t="s">
        <v>110</v>
      </c>
      <c r="E218" s="747">
        <v>1606680.5419889693</v>
      </c>
      <c r="F218" s="747">
        <v>345440.31836033711</v>
      </c>
      <c r="G218" s="747">
        <v>1952120.8603493059</v>
      </c>
      <c r="H218" s="694">
        <v>0</v>
      </c>
      <c r="I218" s="749" t="s">
        <v>258</v>
      </c>
      <c r="J218" s="750">
        <v>1952120.8603493059</v>
      </c>
      <c r="K218" s="735">
        <v>0</v>
      </c>
      <c r="L218" s="735" t="s">
        <v>103</v>
      </c>
      <c r="M218" s="750">
        <v>0</v>
      </c>
      <c r="N218" s="750" t="s">
        <v>103</v>
      </c>
      <c r="O218" s="736">
        <v>0</v>
      </c>
      <c r="P218" s="693">
        <v>0</v>
      </c>
      <c r="Q218" s="752">
        <v>0</v>
      </c>
      <c r="R218" t="s">
        <v>103</v>
      </c>
      <c r="S218" t="s">
        <v>103</v>
      </c>
    </row>
    <row r="219" spans="2:19">
      <c r="B219" s="861" t="s">
        <v>889</v>
      </c>
      <c r="C219" t="s">
        <v>1009</v>
      </c>
      <c r="D219" s="730" t="s">
        <v>110</v>
      </c>
      <c r="E219" s="747">
        <v>-359047.15154410235</v>
      </c>
      <c r="F219" s="747">
        <v>183170.32460747188</v>
      </c>
      <c r="G219" s="747">
        <v>-175876.82693663012</v>
      </c>
      <c r="H219" s="694">
        <v>0.96018188160952667</v>
      </c>
      <c r="I219" s="862" t="s">
        <v>258</v>
      </c>
      <c r="J219" s="863">
        <v>-175876.82693663012</v>
      </c>
      <c r="K219" s="735">
        <v>0</v>
      </c>
      <c r="L219" s="735" t="s">
        <v>103</v>
      </c>
      <c r="M219" s="863">
        <v>0</v>
      </c>
      <c r="N219" s="863" t="s">
        <v>103</v>
      </c>
      <c r="O219" s="736">
        <v>0</v>
      </c>
      <c r="P219" s="693">
        <v>0</v>
      </c>
      <c r="Q219" s="752">
        <v>0</v>
      </c>
      <c r="R219" t="s">
        <v>103</v>
      </c>
      <c r="S219" t="s">
        <v>103</v>
      </c>
    </row>
    <row r="220" spans="2:19" s="101" customFormat="1">
      <c r="B220" s="738" t="s">
        <v>1433</v>
      </c>
      <c r="C220" s="738"/>
      <c r="D220" s="738"/>
      <c r="E220" s="739">
        <v>2717214.4436474135</v>
      </c>
      <c r="F220" s="739">
        <v>622834.33342199586</v>
      </c>
      <c r="G220" s="739">
        <v>3340048.7770694089</v>
      </c>
      <c r="H220" s="740">
        <v>0</v>
      </c>
      <c r="I220" s="741"/>
      <c r="J220" s="742">
        <v>3340048.7770694089</v>
      </c>
      <c r="K220" s="742">
        <v>0</v>
      </c>
      <c r="L220" s="741"/>
      <c r="M220" s="742">
        <v>0</v>
      </c>
      <c r="N220" s="742">
        <v>0</v>
      </c>
      <c r="O220" s="743">
        <v>0</v>
      </c>
      <c r="P220" s="742">
        <v>0</v>
      </c>
      <c r="Q220" s="744">
        <v>0</v>
      </c>
      <c r="R220" s="741" t="s">
        <v>103</v>
      </c>
      <c r="S220" s="741" t="s">
        <v>103</v>
      </c>
    </row>
    <row r="221" spans="2:19">
      <c r="B221" s="857" t="s">
        <v>897</v>
      </c>
      <c r="C221" s="857"/>
      <c r="D221" s="857"/>
      <c r="E221" s="724"/>
      <c r="F221" s="724"/>
      <c r="G221" s="724"/>
      <c r="H221" s="858">
        <v>0</v>
      </c>
      <c r="I221" s="859"/>
      <c r="J221" s="860"/>
      <c r="K221" s="859"/>
      <c r="L221" s="859"/>
      <c r="M221" s="860"/>
      <c r="N221" s="860"/>
      <c r="O221" s="728"/>
      <c r="P221" s="860"/>
      <c r="Q221" s="859"/>
      <c r="R221" s="859"/>
      <c r="S221" s="859"/>
    </row>
    <row r="222" spans="2:19">
      <c r="B222" s="861" t="s">
        <v>898</v>
      </c>
      <c r="C222" t="s">
        <v>1009</v>
      </c>
      <c r="D222" s="730" t="s">
        <v>110</v>
      </c>
      <c r="E222" s="747">
        <v>66868.472663689143</v>
      </c>
      <c r="F222" s="747">
        <v>24203.504386202414</v>
      </c>
      <c r="G222" s="747">
        <v>91071.97704989159</v>
      </c>
      <c r="H222" s="694">
        <v>0</v>
      </c>
      <c r="I222" s="749" t="s">
        <v>258</v>
      </c>
      <c r="J222" s="750">
        <v>91071.97704989159</v>
      </c>
      <c r="K222" s="735">
        <v>0</v>
      </c>
      <c r="L222" s="735" t="s">
        <v>103</v>
      </c>
      <c r="M222" s="750">
        <v>0</v>
      </c>
      <c r="N222" s="750" t="s">
        <v>103</v>
      </c>
      <c r="O222" s="736">
        <v>0</v>
      </c>
      <c r="P222" s="693">
        <v>0</v>
      </c>
      <c r="Q222" s="752">
        <v>0</v>
      </c>
      <c r="R222" t="s">
        <v>103</v>
      </c>
      <c r="S222" t="s">
        <v>103</v>
      </c>
    </row>
    <row r="223" spans="2:19">
      <c r="B223" s="861" t="s">
        <v>902</v>
      </c>
      <c r="C223" t="s">
        <v>1009</v>
      </c>
      <c r="D223" s="730" t="s">
        <v>110</v>
      </c>
      <c r="E223" s="747">
        <v>737077.64204445691</v>
      </c>
      <c r="F223" s="747">
        <v>13847.276185853802</v>
      </c>
      <c r="G223" s="747">
        <v>750924.91823031066</v>
      </c>
      <c r="H223" s="694">
        <v>0</v>
      </c>
      <c r="I223" s="749" t="s">
        <v>258</v>
      </c>
      <c r="J223" s="750">
        <v>750924.91823031066</v>
      </c>
      <c r="K223" s="735">
        <v>0</v>
      </c>
      <c r="L223" s="735" t="s">
        <v>103</v>
      </c>
      <c r="M223" s="750">
        <v>0</v>
      </c>
      <c r="N223" s="750" t="s">
        <v>103</v>
      </c>
      <c r="O223" s="736">
        <v>0</v>
      </c>
      <c r="P223" s="693">
        <v>0</v>
      </c>
      <c r="Q223" s="752">
        <v>0</v>
      </c>
      <c r="R223" t="s">
        <v>103</v>
      </c>
      <c r="S223" t="s">
        <v>103</v>
      </c>
    </row>
    <row r="224" spans="2:19">
      <c r="B224" s="861" t="s">
        <v>905</v>
      </c>
      <c r="C224" t="s">
        <v>1009</v>
      </c>
      <c r="D224" s="730" t="s">
        <v>110</v>
      </c>
      <c r="E224" s="747">
        <v>512251.22658457916</v>
      </c>
      <c r="F224" s="747">
        <v>24136.521856496431</v>
      </c>
      <c r="G224" s="747">
        <v>536387.74844107556</v>
      </c>
      <c r="H224" s="694">
        <v>0</v>
      </c>
      <c r="I224" s="749" t="s">
        <v>258</v>
      </c>
      <c r="J224" s="750">
        <v>536387.74844107556</v>
      </c>
      <c r="K224" s="735">
        <v>0</v>
      </c>
      <c r="L224" s="735" t="s">
        <v>103</v>
      </c>
      <c r="M224" s="750">
        <v>0</v>
      </c>
      <c r="N224" s="750" t="s">
        <v>103</v>
      </c>
      <c r="O224" s="736">
        <v>0</v>
      </c>
      <c r="P224" s="693">
        <v>0</v>
      </c>
      <c r="Q224" s="752">
        <v>0</v>
      </c>
      <c r="R224" t="s">
        <v>103</v>
      </c>
      <c r="S224" t="s">
        <v>103</v>
      </c>
    </row>
    <row r="225" spans="2:19">
      <c r="B225" s="861" t="s">
        <v>908</v>
      </c>
      <c r="C225" t="s">
        <v>1009</v>
      </c>
      <c r="D225" s="730" t="s">
        <v>110</v>
      </c>
      <c r="E225" s="747">
        <v>902113.21205660619</v>
      </c>
      <c r="F225" s="747">
        <v>67145.538328775205</v>
      </c>
      <c r="G225" s="747">
        <v>969258.75038538128</v>
      </c>
      <c r="H225" s="694">
        <v>0</v>
      </c>
      <c r="I225" s="749" t="s">
        <v>258</v>
      </c>
      <c r="J225" s="750">
        <v>969258.75038538128</v>
      </c>
      <c r="K225" s="735">
        <v>0</v>
      </c>
      <c r="L225" s="735" t="s">
        <v>103</v>
      </c>
      <c r="M225" s="750">
        <v>0</v>
      </c>
      <c r="N225" s="750" t="s">
        <v>103</v>
      </c>
      <c r="O225" s="736">
        <v>0</v>
      </c>
      <c r="P225" s="693">
        <v>0</v>
      </c>
      <c r="Q225" s="752">
        <v>0</v>
      </c>
      <c r="R225" t="s">
        <v>103</v>
      </c>
      <c r="S225" t="s">
        <v>103</v>
      </c>
    </row>
    <row r="226" spans="2:19">
      <c r="B226" s="861" t="s">
        <v>911</v>
      </c>
      <c r="C226" t="s">
        <v>1009</v>
      </c>
      <c r="D226" s="730" t="s">
        <v>110</v>
      </c>
      <c r="E226" s="747">
        <v>441637.53911253595</v>
      </c>
      <c r="F226" s="747">
        <v>78341.705756088966</v>
      </c>
      <c r="G226" s="747">
        <v>519979.24486862519</v>
      </c>
      <c r="H226" s="694">
        <v>0</v>
      </c>
      <c r="I226" s="749" t="s">
        <v>258</v>
      </c>
      <c r="J226" s="750">
        <v>519979.24486862519</v>
      </c>
      <c r="K226" s="735">
        <v>0</v>
      </c>
      <c r="L226" s="735" t="s">
        <v>103</v>
      </c>
      <c r="M226" s="750">
        <v>0</v>
      </c>
      <c r="N226" s="750" t="s">
        <v>103</v>
      </c>
      <c r="O226" s="736">
        <v>0</v>
      </c>
      <c r="P226" s="693">
        <v>0</v>
      </c>
      <c r="Q226" s="752">
        <v>0</v>
      </c>
      <c r="R226" t="s">
        <v>103</v>
      </c>
      <c r="S226" t="s">
        <v>103</v>
      </c>
    </row>
    <row r="227" spans="2:19">
      <c r="B227" s="861" t="s">
        <v>912</v>
      </c>
      <c r="C227" t="s">
        <v>1009</v>
      </c>
      <c r="D227" s="730" t="s">
        <v>110</v>
      </c>
      <c r="E227" s="747">
        <v>-67462.004851121863</v>
      </c>
      <c r="F227" s="747">
        <v>178105.43085674255</v>
      </c>
      <c r="G227" s="747">
        <v>125761.7860056205</v>
      </c>
      <c r="H227" s="694">
        <v>3.4966655480331945</v>
      </c>
      <c r="I227" s="749" t="s">
        <v>258</v>
      </c>
      <c r="J227" s="750">
        <v>125761.7860056205</v>
      </c>
      <c r="K227" s="735">
        <v>0</v>
      </c>
      <c r="L227" s="735" t="s">
        <v>103</v>
      </c>
      <c r="M227" s="750">
        <v>0</v>
      </c>
      <c r="N227" s="750" t="s">
        <v>103</v>
      </c>
      <c r="O227" s="736">
        <v>0</v>
      </c>
      <c r="P227" s="693">
        <v>0</v>
      </c>
      <c r="Q227" s="752">
        <v>0</v>
      </c>
      <c r="R227" t="s">
        <v>103</v>
      </c>
      <c r="S227" t="s">
        <v>103</v>
      </c>
    </row>
    <row r="228" spans="2:19">
      <c r="B228" s="861" t="s">
        <v>920</v>
      </c>
      <c r="C228" t="s">
        <v>1009</v>
      </c>
      <c r="D228" s="730" t="s">
        <v>110</v>
      </c>
      <c r="E228" s="747">
        <v>129558.15721761819</v>
      </c>
      <c r="F228" s="747">
        <v>14688.797993228927</v>
      </c>
      <c r="G228" s="747">
        <v>144246.95521084711</v>
      </c>
      <c r="H228" s="694">
        <v>0</v>
      </c>
      <c r="I228" s="749" t="s">
        <v>258</v>
      </c>
      <c r="J228" s="750">
        <v>144246.95521084711</v>
      </c>
      <c r="K228" s="735">
        <v>0</v>
      </c>
      <c r="L228" s="735" t="s">
        <v>103</v>
      </c>
      <c r="M228" s="750">
        <v>0</v>
      </c>
      <c r="N228" s="750" t="s">
        <v>103</v>
      </c>
      <c r="O228" s="736">
        <v>0</v>
      </c>
      <c r="P228" s="693">
        <v>0</v>
      </c>
      <c r="Q228" s="752">
        <v>0</v>
      </c>
      <c r="R228" t="s">
        <v>103</v>
      </c>
      <c r="S228" t="s">
        <v>103</v>
      </c>
    </row>
    <row r="229" spans="2:19">
      <c r="B229" s="861" t="s">
        <v>921</v>
      </c>
      <c r="C229" t="s">
        <v>1009</v>
      </c>
      <c r="D229" s="730" t="s">
        <v>110</v>
      </c>
      <c r="E229" s="747">
        <v>13796653.154732548</v>
      </c>
      <c r="F229" s="747">
        <v>601650.47160518984</v>
      </c>
      <c r="G229" s="747">
        <v>14398303.626337737</v>
      </c>
      <c r="H229" s="694">
        <v>0</v>
      </c>
      <c r="I229" s="862" t="s">
        <v>258</v>
      </c>
      <c r="J229" s="863">
        <v>14398303.626337737</v>
      </c>
      <c r="K229" s="735">
        <v>0</v>
      </c>
      <c r="L229" s="735" t="s">
        <v>103</v>
      </c>
      <c r="M229" s="863">
        <v>0</v>
      </c>
      <c r="N229" s="863" t="s">
        <v>103</v>
      </c>
      <c r="O229" s="736">
        <v>0</v>
      </c>
      <c r="P229" s="693">
        <v>0</v>
      </c>
      <c r="Q229" s="752">
        <v>0</v>
      </c>
      <c r="R229" t="s">
        <v>103</v>
      </c>
      <c r="S229" t="s">
        <v>103</v>
      </c>
    </row>
    <row r="230" spans="2:19" s="101" customFormat="1">
      <c r="B230" s="738" t="s">
        <v>1439</v>
      </c>
      <c r="C230" s="738"/>
      <c r="D230" s="738"/>
      <c r="E230" s="739">
        <v>16518697.399560912</v>
      </c>
      <c r="F230" s="739">
        <v>1002119.2469685781</v>
      </c>
      <c r="G230" s="739">
        <v>17535935.006529488</v>
      </c>
      <c r="H230" s="740">
        <v>0</v>
      </c>
      <c r="I230" s="741"/>
      <c r="J230" s="742">
        <v>17535935.006529488</v>
      </c>
      <c r="K230" s="742">
        <v>0</v>
      </c>
      <c r="L230" s="742"/>
      <c r="M230" s="742">
        <v>0</v>
      </c>
      <c r="N230" s="742">
        <v>0</v>
      </c>
      <c r="O230" s="743">
        <v>0</v>
      </c>
      <c r="P230" s="742">
        <v>0</v>
      </c>
      <c r="Q230" s="744">
        <v>0</v>
      </c>
      <c r="R230" s="741" t="s">
        <v>103</v>
      </c>
      <c r="S230" s="741" t="s">
        <v>103</v>
      </c>
    </row>
    <row r="231" spans="2:19">
      <c r="B231" s="857" t="s">
        <v>926</v>
      </c>
      <c r="C231" s="857"/>
      <c r="D231" s="857"/>
      <c r="E231" s="724"/>
      <c r="F231" s="724"/>
      <c r="G231" s="724"/>
      <c r="H231" s="858">
        <v>0</v>
      </c>
      <c r="I231" s="859"/>
      <c r="J231" s="860"/>
      <c r="K231" s="859"/>
      <c r="L231" s="859"/>
      <c r="M231" s="860"/>
      <c r="N231" s="860"/>
      <c r="O231" s="728"/>
      <c r="P231" s="860"/>
      <c r="Q231" s="859"/>
      <c r="R231" s="859"/>
      <c r="S231" s="859"/>
    </row>
    <row r="232" spans="2:19">
      <c r="B232" s="861" t="s">
        <v>1642</v>
      </c>
      <c r="C232" t="s">
        <v>1009</v>
      </c>
      <c r="D232" s="730" t="s">
        <v>110</v>
      </c>
      <c r="E232" s="747">
        <v>1590.3889173486057</v>
      </c>
      <c r="F232" s="747">
        <v>25.609415754913385</v>
      </c>
      <c r="G232" s="747">
        <v>1615.9983331035191</v>
      </c>
      <c r="H232" s="694">
        <v>0</v>
      </c>
      <c r="I232" s="862" t="s">
        <v>258</v>
      </c>
      <c r="J232" s="863">
        <v>1615.9983331035191</v>
      </c>
      <c r="K232" s="735">
        <v>0</v>
      </c>
      <c r="L232" s="735" t="s">
        <v>103</v>
      </c>
      <c r="M232" s="863">
        <v>0</v>
      </c>
      <c r="N232" s="863" t="s">
        <v>103</v>
      </c>
      <c r="O232" s="736">
        <v>0</v>
      </c>
      <c r="P232" s="693">
        <v>0</v>
      </c>
      <c r="Q232" s="752">
        <v>0</v>
      </c>
      <c r="R232" t="s">
        <v>103</v>
      </c>
      <c r="S232" t="s">
        <v>103</v>
      </c>
    </row>
    <row r="233" spans="2:19" s="101" customFormat="1">
      <c r="B233" s="738" t="s">
        <v>1852</v>
      </c>
      <c r="C233" s="738"/>
      <c r="D233" s="738"/>
      <c r="E233" s="739">
        <v>1590.3889173486057</v>
      </c>
      <c r="F233" s="739">
        <v>25.609415754913385</v>
      </c>
      <c r="G233" s="739">
        <v>1615.9983331035191</v>
      </c>
      <c r="H233" s="740">
        <v>0</v>
      </c>
      <c r="I233" s="741"/>
      <c r="J233" s="742">
        <v>1615.9983331035191</v>
      </c>
      <c r="K233" s="742">
        <v>0</v>
      </c>
      <c r="L233" s="742"/>
      <c r="M233" s="742">
        <v>0</v>
      </c>
      <c r="N233" s="742">
        <v>0</v>
      </c>
      <c r="O233" s="743">
        <v>0</v>
      </c>
      <c r="P233" s="742">
        <v>0</v>
      </c>
      <c r="Q233" s="744">
        <v>0</v>
      </c>
      <c r="R233" s="741" t="s">
        <v>103</v>
      </c>
      <c r="S233" s="741" t="s">
        <v>103</v>
      </c>
    </row>
    <row r="234" spans="2:19">
      <c r="B234" s="857" t="s">
        <v>928</v>
      </c>
      <c r="C234" s="857"/>
      <c r="D234" s="857"/>
      <c r="E234" s="724"/>
      <c r="F234" s="724"/>
      <c r="G234" s="724"/>
      <c r="H234" s="858">
        <v>0</v>
      </c>
      <c r="I234" s="859"/>
      <c r="J234" s="860"/>
      <c r="K234" s="859"/>
      <c r="L234" s="859"/>
      <c r="M234" s="860"/>
      <c r="N234" s="860"/>
      <c r="O234" s="728"/>
      <c r="P234" s="860"/>
      <c r="Q234" s="859"/>
      <c r="R234" s="859"/>
      <c r="S234" s="859"/>
    </row>
    <row r="235" spans="2:19">
      <c r="B235" s="861" t="s">
        <v>929</v>
      </c>
      <c r="C235" t="s">
        <v>1009</v>
      </c>
      <c r="D235" s="730" t="s">
        <v>110</v>
      </c>
      <c r="E235" s="747">
        <v>-108236.14144051961</v>
      </c>
      <c r="F235" s="747">
        <v>92824.868182987702</v>
      </c>
      <c r="G235" s="747">
        <v>253804.17674246806</v>
      </c>
      <c r="H235" s="694">
        <v>16.65712921034784</v>
      </c>
      <c r="I235" s="749" t="s">
        <v>258</v>
      </c>
      <c r="J235" s="750">
        <v>253804.17674246806</v>
      </c>
      <c r="K235" s="735">
        <v>0</v>
      </c>
      <c r="L235" s="735" t="s">
        <v>103</v>
      </c>
      <c r="M235" s="750">
        <v>0</v>
      </c>
      <c r="N235" s="750" t="s">
        <v>103</v>
      </c>
      <c r="O235" s="736">
        <v>0</v>
      </c>
      <c r="P235" s="693">
        <v>0</v>
      </c>
      <c r="Q235" s="752">
        <v>0</v>
      </c>
      <c r="R235" t="s">
        <v>103</v>
      </c>
      <c r="S235" t="s">
        <v>103</v>
      </c>
    </row>
    <row r="236" spans="2:19">
      <c r="B236" s="861" t="s">
        <v>939</v>
      </c>
      <c r="C236" t="s">
        <v>1009</v>
      </c>
      <c r="D236" s="730" t="s">
        <v>110</v>
      </c>
      <c r="E236" s="747">
        <v>601115.11869549053</v>
      </c>
      <c r="F236" s="747">
        <v>23654.847736524716</v>
      </c>
      <c r="G236" s="747">
        <v>624769.96643201541</v>
      </c>
      <c r="H236" s="694">
        <v>0</v>
      </c>
      <c r="I236" s="749" t="s">
        <v>258</v>
      </c>
      <c r="J236" s="750">
        <v>624769.96643201541</v>
      </c>
      <c r="K236" s="735">
        <v>0</v>
      </c>
      <c r="L236" s="735" t="s">
        <v>103</v>
      </c>
      <c r="M236" s="750">
        <v>0</v>
      </c>
      <c r="N236" s="750" t="s">
        <v>103</v>
      </c>
      <c r="O236" s="736">
        <v>0</v>
      </c>
      <c r="P236" s="693">
        <v>0</v>
      </c>
      <c r="Q236" s="752">
        <v>0</v>
      </c>
      <c r="R236" t="s">
        <v>103</v>
      </c>
      <c r="S236" t="s">
        <v>103</v>
      </c>
    </row>
    <row r="237" spans="2:19">
      <c r="B237" s="861" t="s">
        <v>940</v>
      </c>
      <c r="C237" t="s">
        <v>1009</v>
      </c>
      <c r="D237" s="730" t="s">
        <v>110</v>
      </c>
      <c r="E237" s="747">
        <v>557963.62891520257</v>
      </c>
      <c r="F237" s="747">
        <v>35668.256119691228</v>
      </c>
      <c r="G237" s="747">
        <v>593631.88503489387</v>
      </c>
      <c r="H237" s="694">
        <v>0</v>
      </c>
      <c r="I237" s="749" t="s">
        <v>258</v>
      </c>
      <c r="J237" s="750">
        <v>593631.88503489387</v>
      </c>
      <c r="K237" s="735">
        <v>0</v>
      </c>
      <c r="L237" s="735" t="s">
        <v>103</v>
      </c>
      <c r="M237" s="750">
        <v>0</v>
      </c>
      <c r="N237" s="750" t="s">
        <v>103</v>
      </c>
      <c r="O237" s="736">
        <v>0</v>
      </c>
      <c r="P237" s="693">
        <v>0</v>
      </c>
      <c r="Q237" s="752">
        <v>0</v>
      </c>
      <c r="R237" t="s">
        <v>103</v>
      </c>
      <c r="S237" t="s">
        <v>103</v>
      </c>
    </row>
    <row r="238" spans="2:19">
      <c r="B238" s="861" t="s">
        <v>941</v>
      </c>
      <c r="C238" t="s">
        <v>1009</v>
      </c>
      <c r="D238" s="730" t="s">
        <v>110</v>
      </c>
      <c r="E238" s="747">
        <v>-202194.09865617001</v>
      </c>
      <c r="F238" s="747">
        <v>30769.50317644751</v>
      </c>
      <c r="G238" s="747">
        <v>-171424.59547972257</v>
      </c>
      <c r="H238" s="694">
        <v>5.5712500295077687</v>
      </c>
      <c r="I238" s="749" t="s">
        <v>258</v>
      </c>
      <c r="J238" s="750">
        <v>-171424.59547972257</v>
      </c>
      <c r="K238" s="735">
        <v>0</v>
      </c>
      <c r="L238" s="735" t="s">
        <v>103</v>
      </c>
      <c r="M238" s="750">
        <v>0</v>
      </c>
      <c r="N238" s="750" t="s">
        <v>103</v>
      </c>
      <c r="O238" s="736">
        <v>0</v>
      </c>
      <c r="P238" s="693">
        <v>0</v>
      </c>
      <c r="Q238" s="752">
        <v>0</v>
      </c>
      <c r="R238" t="s">
        <v>103</v>
      </c>
      <c r="S238" t="s">
        <v>103</v>
      </c>
    </row>
    <row r="239" spans="2:19">
      <c r="B239" s="861" t="s">
        <v>945</v>
      </c>
      <c r="C239" t="s">
        <v>1009</v>
      </c>
      <c r="D239" s="730" t="s">
        <v>110</v>
      </c>
      <c r="E239" s="747">
        <v>2818556.0443715332</v>
      </c>
      <c r="F239" s="747">
        <v>257089.49968269517</v>
      </c>
      <c r="G239" s="747">
        <v>3075645.0940542282</v>
      </c>
      <c r="H239" s="694">
        <v>0</v>
      </c>
      <c r="I239" s="749" t="s">
        <v>258</v>
      </c>
      <c r="J239" s="750">
        <v>3075645.0940542282</v>
      </c>
      <c r="K239" s="735">
        <v>0</v>
      </c>
      <c r="L239" s="735" t="s">
        <v>103</v>
      </c>
      <c r="M239" s="750">
        <v>0</v>
      </c>
      <c r="N239" s="750" t="s">
        <v>103</v>
      </c>
      <c r="O239" s="736">
        <v>0</v>
      </c>
      <c r="P239" s="693">
        <v>0</v>
      </c>
      <c r="Q239" s="752">
        <v>0</v>
      </c>
      <c r="R239" t="s">
        <v>103</v>
      </c>
      <c r="S239" t="s">
        <v>103</v>
      </c>
    </row>
    <row r="240" spans="2:19">
      <c r="B240" s="861" t="s">
        <v>953</v>
      </c>
      <c r="C240" t="s">
        <v>1009</v>
      </c>
      <c r="D240" s="730" t="s">
        <v>110</v>
      </c>
      <c r="E240" s="747">
        <v>-182111.98600166471</v>
      </c>
      <c r="F240" s="747">
        <v>41367.493434020063</v>
      </c>
      <c r="G240" s="747">
        <v>-140744.49256764472</v>
      </c>
      <c r="H240" s="694">
        <v>3.4022968491462517</v>
      </c>
      <c r="I240" s="749" t="s">
        <v>258</v>
      </c>
      <c r="J240" s="750">
        <v>-140744.49256764472</v>
      </c>
      <c r="K240" s="735">
        <v>0</v>
      </c>
      <c r="L240" s="735" t="s">
        <v>103</v>
      </c>
      <c r="M240" s="750">
        <v>0</v>
      </c>
      <c r="N240" s="750" t="s">
        <v>103</v>
      </c>
      <c r="O240" s="736">
        <v>0</v>
      </c>
      <c r="P240" s="693">
        <v>0</v>
      </c>
      <c r="Q240" s="752">
        <v>0</v>
      </c>
      <c r="R240" t="s">
        <v>103</v>
      </c>
      <c r="S240" t="s">
        <v>103</v>
      </c>
    </row>
    <row r="241" spans="2:19">
      <c r="B241" s="861" t="s">
        <v>958</v>
      </c>
      <c r="C241" t="s">
        <v>1009</v>
      </c>
      <c r="D241" s="730" t="s">
        <v>110</v>
      </c>
      <c r="E241" s="747">
        <v>946316.56776268361</v>
      </c>
      <c r="F241" s="747">
        <v>66959.346866906359</v>
      </c>
      <c r="G241" s="747">
        <v>1013275.91462959</v>
      </c>
      <c r="H241" s="694">
        <v>0</v>
      </c>
      <c r="I241" s="749" t="s">
        <v>258</v>
      </c>
      <c r="J241" s="750">
        <v>1013275.91462959</v>
      </c>
      <c r="K241" s="735">
        <v>0</v>
      </c>
      <c r="L241" s="735" t="s">
        <v>103</v>
      </c>
      <c r="M241" s="750">
        <v>0</v>
      </c>
      <c r="N241" s="750" t="s">
        <v>103</v>
      </c>
      <c r="O241" s="736">
        <v>0</v>
      </c>
      <c r="P241" s="693">
        <v>0</v>
      </c>
      <c r="Q241" s="752">
        <v>0</v>
      </c>
      <c r="R241" t="s">
        <v>103</v>
      </c>
      <c r="S241" t="s">
        <v>103</v>
      </c>
    </row>
    <row r="242" spans="2:19">
      <c r="B242" s="861" t="s">
        <v>961</v>
      </c>
      <c r="C242" t="s">
        <v>1009</v>
      </c>
      <c r="D242" s="730" t="s">
        <v>110</v>
      </c>
      <c r="E242" s="747">
        <v>667917.31568401295</v>
      </c>
      <c r="F242" s="747">
        <v>197357.52641623092</v>
      </c>
      <c r="G242" s="747">
        <v>865274.84210024402</v>
      </c>
      <c r="H242" s="694">
        <v>0</v>
      </c>
      <c r="I242" s="749" t="s">
        <v>258</v>
      </c>
      <c r="J242" s="750">
        <v>865274.84210024402</v>
      </c>
      <c r="K242" s="735">
        <v>0</v>
      </c>
      <c r="L242" s="735" t="s">
        <v>103</v>
      </c>
      <c r="M242" s="750">
        <v>0</v>
      </c>
      <c r="N242" s="750" t="s">
        <v>103</v>
      </c>
      <c r="O242" s="736">
        <v>0</v>
      </c>
      <c r="P242" s="693">
        <v>0</v>
      </c>
      <c r="Q242" s="752">
        <v>0</v>
      </c>
      <c r="R242" t="s">
        <v>103</v>
      </c>
      <c r="S242" t="s">
        <v>103</v>
      </c>
    </row>
    <row r="243" spans="2:19">
      <c r="B243" s="861" t="s">
        <v>968</v>
      </c>
      <c r="C243" t="s">
        <v>1009</v>
      </c>
      <c r="D243" s="730" t="s">
        <v>110</v>
      </c>
      <c r="E243" s="747">
        <v>1606934.8490630975</v>
      </c>
      <c r="F243" s="747">
        <v>190674.24926980451</v>
      </c>
      <c r="G243" s="747">
        <v>1797609.098332902</v>
      </c>
      <c r="H243" s="694">
        <v>0</v>
      </c>
      <c r="I243" s="749" t="s">
        <v>258</v>
      </c>
      <c r="J243" s="750">
        <v>1797609.098332902</v>
      </c>
      <c r="K243" s="735">
        <v>0</v>
      </c>
      <c r="L243" s="735" t="s">
        <v>103</v>
      </c>
      <c r="M243" s="750">
        <v>0</v>
      </c>
      <c r="N243" s="750" t="s">
        <v>103</v>
      </c>
      <c r="O243" s="736">
        <v>0</v>
      </c>
      <c r="P243" s="693">
        <v>0</v>
      </c>
      <c r="Q243" s="752">
        <v>0</v>
      </c>
      <c r="R243" t="s">
        <v>103</v>
      </c>
      <c r="S243" t="s">
        <v>103</v>
      </c>
    </row>
    <row r="244" spans="2:19">
      <c r="B244" s="861" t="s">
        <v>1563</v>
      </c>
      <c r="C244" t="s">
        <v>1009</v>
      </c>
      <c r="D244" s="730" t="s">
        <v>110</v>
      </c>
      <c r="E244" s="747">
        <v>611910.27097794716</v>
      </c>
      <c r="F244" s="747">
        <v>249184.44781430188</v>
      </c>
      <c r="G244" s="747">
        <v>861094.71879224968</v>
      </c>
      <c r="H244" s="694">
        <v>0</v>
      </c>
      <c r="I244" s="749" t="s">
        <v>258</v>
      </c>
      <c r="J244" s="750">
        <v>861094.71879224968</v>
      </c>
      <c r="K244" s="735">
        <v>0</v>
      </c>
      <c r="L244" s="735" t="s">
        <v>103</v>
      </c>
      <c r="M244" s="750">
        <v>0</v>
      </c>
      <c r="N244" s="750" t="s">
        <v>103</v>
      </c>
      <c r="O244" s="736">
        <v>0</v>
      </c>
      <c r="P244" s="693">
        <v>0</v>
      </c>
      <c r="Q244" s="752">
        <v>0</v>
      </c>
      <c r="R244" t="s">
        <v>103</v>
      </c>
      <c r="S244" t="s">
        <v>103</v>
      </c>
    </row>
    <row r="245" spans="2:19">
      <c r="B245" s="861" t="s">
        <v>973</v>
      </c>
      <c r="C245" t="s">
        <v>1009</v>
      </c>
      <c r="D245" s="730" t="s">
        <v>110</v>
      </c>
      <c r="E245" s="747">
        <v>2494761.2583968844</v>
      </c>
      <c r="F245" s="747">
        <v>294804.13752359577</v>
      </c>
      <c r="G245" s="747">
        <v>2789565.3959204801</v>
      </c>
      <c r="H245" s="694">
        <v>0</v>
      </c>
      <c r="I245" s="862" t="s">
        <v>258</v>
      </c>
      <c r="J245" s="863">
        <v>2789565.3959204801</v>
      </c>
      <c r="K245" s="735">
        <v>0</v>
      </c>
      <c r="L245" s="735" t="s">
        <v>103</v>
      </c>
      <c r="M245" s="863">
        <v>0</v>
      </c>
      <c r="N245" s="863" t="s">
        <v>103</v>
      </c>
      <c r="O245" s="736">
        <v>0</v>
      </c>
      <c r="P245" s="693">
        <v>0</v>
      </c>
      <c r="Q245" s="752">
        <v>0</v>
      </c>
      <c r="R245" t="s">
        <v>103</v>
      </c>
      <c r="S245" t="s">
        <v>103</v>
      </c>
    </row>
    <row r="246" spans="2:19" s="101" customFormat="1">
      <c r="B246" s="738" t="s">
        <v>1452</v>
      </c>
      <c r="C246" s="738"/>
      <c r="D246" s="738"/>
      <c r="E246" s="739">
        <v>9812932.8277684972</v>
      </c>
      <c r="F246" s="739">
        <v>1480354.1762232056</v>
      </c>
      <c r="G246" s="739">
        <v>11562502.003991704</v>
      </c>
      <c r="H246" s="740">
        <v>0</v>
      </c>
      <c r="I246" s="741"/>
      <c r="J246" s="742">
        <v>11562502.003991704</v>
      </c>
      <c r="K246" s="743">
        <v>0</v>
      </c>
      <c r="L246" s="743"/>
      <c r="M246" s="742">
        <v>0</v>
      </c>
      <c r="N246" s="742">
        <v>0</v>
      </c>
      <c r="O246" s="743">
        <v>0</v>
      </c>
      <c r="P246" s="742">
        <v>0</v>
      </c>
      <c r="Q246" s="744">
        <v>0</v>
      </c>
      <c r="R246" s="741" t="s">
        <v>103</v>
      </c>
      <c r="S246" s="741" t="s">
        <v>103</v>
      </c>
    </row>
    <row r="247" spans="2:19">
      <c r="B247" s="864"/>
      <c r="J247" s="693"/>
      <c r="K247"/>
      <c r="M247" s="693"/>
      <c r="N247" s="693"/>
      <c r="O247" s="752"/>
      <c r="P247" s="693">
        <v>0</v>
      </c>
      <c r="Q247"/>
    </row>
    <row r="248" spans="2:19" s="101" customFormat="1">
      <c r="B248" s="738" t="s">
        <v>1465</v>
      </c>
      <c r="C248" s="738"/>
      <c r="D248" s="738"/>
      <c r="E248" s="760">
        <f>SUM(E6:E246)/2</f>
        <v>218432235.30000779</v>
      </c>
      <c r="F248" s="760">
        <f>SUM(F6:F246)/2</f>
        <v>30072973.256407928</v>
      </c>
      <c r="G248" s="760">
        <f>SUM(G6:G246)/2</f>
        <v>236986493.8364158</v>
      </c>
      <c r="H248" s="740">
        <v>0</v>
      </c>
      <c r="I248" s="741"/>
      <c r="J248" s="742">
        <f>SUM(J6:J246)/2</f>
        <v>236986493.8364158</v>
      </c>
      <c r="K248" s="743">
        <v>120000</v>
      </c>
      <c r="L248" s="743"/>
      <c r="M248" s="742">
        <v>101040</v>
      </c>
      <c r="N248" s="742"/>
      <c r="O248" s="743">
        <v>395357</v>
      </c>
      <c r="P248" s="742">
        <v>0</v>
      </c>
      <c r="Q248" s="744">
        <v>0</v>
      </c>
      <c r="R248" s="741" t="s">
        <v>103</v>
      </c>
      <c r="S248" s="741" t="s">
        <v>103</v>
      </c>
    </row>
  </sheetData>
  <autoFilter ref="B5:S248" xr:uid="{00000000-0009-0000-0000-000013000000}"/>
  <mergeCells count="3">
    <mergeCell ref="B3:S3"/>
    <mergeCell ref="E4:G4"/>
    <mergeCell ref="J4:K4"/>
  </mergeCells>
  <dataValidations count="1">
    <dataValidation type="list" allowBlank="1" showInputMessage="1" showErrorMessage="1" sqref="D8:D11 C9:C10 C14:D14 D15 D18:D23 D26:D27 D30:D35 D37:D70 D72:D116 D119 D122:D123 D126:D157 D160:D184 D187:D210 D213 D216:D219 D222:D229 D232 D235:D245" xr:uid="{C2D9A6F0-EC79-4C3A-AA8E-D26C732F134D}">
      <formula1>Yes_No_Unsure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3:G9"/>
  <sheetViews>
    <sheetView workbookViewId="0">
      <selection activeCell="C3" sqref="C3:C5"/>
    </sheetView>
  </sheetViews>
  <sheetFormatPr defaultRowHeight="14.45"/>
  <cols>
    <col min="4" max="4" width="10.5703125" customWidth="1"/>
  </cols>
  <sheetData>
    <row r="3" spans="2:7">
      <c r="B3">
        <v>1</v>
      </c>
      <c r="C3" t="s">
        <v>104</v>
      </c>
      <c r="D3" t="s">
        <v>997</v>
      </c>
      <c r="E3" t="s">
        <v>998</v>
      </c>
      <c r="G3" t="s">
        <v>999</v>
      </c>
    </row>
    <row r="4" spans="2:7">
      <c r="B4">
        <v>2</v>
      </c>
      <c r="C4" t="s">
        <v>110</v>
      </c>
      <c r="D4" t="s">
        <v>1000</v>
      </c>
      <c r="E4" t="s">
        <v>1001</v>
      </c>
      <c r="G4" t="s">
        <v>1002</v>
      </c>
    </row>
    <row r="5" spans="2:7">
      <c r="B5">
        <v>3</v>
      </c>
      <c r="C5" t="s">
        <v>1003</v>
      </c>
      <c r="D5" t="s">
        <v>1004</v>
      </c>
      <c r="E5" t="s">
        <v>1005</v>
      </c>
    </row>
    <row r="6" spans="2:7">
      <c r="B6">
        <v>3</v>
      </c>
      <c r="D6" t="s">
        <v>1006</v>
      </c>
      <c r="E6" t="s">
        <v>1007</v>
      </c>
    </row>
    <row r="7" spans="2:7">
      <c r="B7">
        <v>4</v>
      </c>
      <c r="D7" t="s">
        <v>1007</v>
      </c>
      <c r="E7" t="s">
        <v>1008</v>
      </c>
    </row>
    <row r="8" spans="2:7">
      <c r="B8">
        <v>5</v>
      </c>
      <c r="D8" t="s">
        <v>1008</v>
      </c>
      <c r="E8" t="s">
        <v>1009</v>
      </c>
    </row>
    <row r="9" spans="2:7">
      <c r="D9" t="s">
        <v>1009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30B7C-2C79-4550-BD32-786024DCFE1B}">
  <sheetPr>
    <pageSetUpPr fitToPage="1"/>
  </sheetPr>
  <dimension ref="A2:R248"/>
  <sheetViews>
    <sheetView zoomScale="94" workbookViewId="0">
      <pane xSplit="1" ySplit="5" topLeftCell="B6" activePane="bottomRight" state="frozen"/>
      <selection pane="bottomRight" activeCell="B255" sqref="B255"/>
      <selection pane="bottomLeft" activeCell="A6" sqref="A6"/>
      <selection pane="topRight" activeCell="C1" sqref="C1"/>
    </sheetView>
  </sheetViews>
  <sheetFormatPr defaultRowHeight="14.45"/>
  <cols>
    <col min="1" max="1" width="33.85546875" bestFit="1" customWidth="1"/>
    <col min="2" max="2" width="16.85546875" customWidth="1"/>
    <col min="3" max="3" width="17.42578125" customWidth="1"/>
    <col min="4" max="4" width="16.42578125" style="693" customWidth="1"/>
    <col min="5" max="5" width="18.42578125" style="693" bestFit="1" customWidth="1"/>
    <col min="6" max="6" width="13.5703125" style="693" customWidth="1"/>
    <col min="7" max="7" width="11.85546875" style="694" customWidth="1"/>
    <col min="8" max="8" width="16.42578125" customWidth="1"/>
    <col min="9" max="9" width="15.140625" style="145" customWidth="1"/>
    <col min="10" max="10" width="14.5703125" style="145" customWidth="1"/>
    <col min="11" max="11" width="13.140625" bestFit="1" customWidth="1"/>
    <col min="12" max="12" width="13.5703125" style="761" bestFit="1" customWidth="1"/>
    <col min="13" max="13" width="12.85546875" style="695" customWidth="1"/>
    <col min="14" max="14" width="12" style="145" customWidth="1"/>
    <col min="15" max="15" width="14.5703125" style="693" bestFit="1" customWidth="1"/>
    <col min="16" max="16" width="11.85546875" style="145" customWidth="1"/>
    <col min="17" max="17" width="10.5703125" customWidth="1"/>
    <col min="18" max="18" width="12.140625" customWidth="1"/>
  </cols>
  <sheetData>
    <row r="2" spans="1:18" ht="15" thickBot="1">
      <c r="F2" s="843"/>
      <c r="L2" s="693"/>
    </row>
    <row r="3" spans="1:18" ht="15" thickBot="1">
      <c r="A3" s="1191" t="s">
        <v>1865</v>
      </c>
      <c r="B3" s="1192"/>
      <c r="C3" s="1192"/>
      <c r="D3" s="1192"/>
      <c r="E3" s="1192"/>
      <c r="F3" s="1192"/>
      <c r="G3" s="1192"/>
      <c r="H3" s="1192"/>
      <c r="I3" s="1192"/>
      <c r="J3" s="1193"/>
      <c r="K3" s="1192"/>
      <c r="L3" s="1194"/>
      <c r="M3" s="1195"/>
      <c r="N3" s="1193"/>
      <c r="O3" s="1192"/>
      <c r="P3" s="1193"/>
      <c r="Q3" s="1192"/>
      <c r="R3" s="1196"/>
    </row>
    <row r="4" spans="1:18" ht="15" thickBot="1">
      <c r="B4" s="855"/>
      <c r="C4" s="856"/>
      <c r="D4" s="1197" t="s">
        <v>1831</v>
      </c>
      <c r="E4" s="1197"/>
      <c r="F4" s="1197"/>
      <c r="G4" s="698"/>
      <c r="H4" s="699"/>
      <c r="I4" s="1198" t="s">
        <v>1832</v>
      </c>
      <c r="J4" s="1199"/>
      <c r="K4" s="699"/>
      <c r="L4" s="700"/>
      <c r="M4" s="701"/>
      <c r="N4" s="702"/>
      <c r="O4" s="703"/>
      <c r="P4" s="702"/>
      <c r="Q4" s="699"/>
      <c r="R4" s="704"/>
    </row>
    <row r="5" spans="1:18" ht="62.25" customHeight="1">
      <c r="A5" s="705" t="s">
        <v>3</v>
      </c>
      <c r="B5" s="706" t="s">
        <v>1833</v>
      </c>
      <c r="C5" s="707" t="s">
        <v>1834</v>
      </c>
      <c r="D5" s="708" t="s">
        <v>1864</v>
      </c>
      <c r="E5" s="708" t="s">
        <v>1866</v>
      </c>
      <c r="F5" s="708" t="s">
        <v>1867</v>
      </c>
      <c r="G5" s="709" t="s">
        <v>1838</v>
      </c>
      <c r="H5" s="707" t="s">
        <v>1839</v>
      </c>
      <c r="I5" s="708" t="s">
        <v>1840</v>
      </c>
      <c r="J5" s="710" t="s">
        <v>1841</v>
      </c>
      <c r="K5" s="711" t="s">
        <v>1842</v>
      </c>
      <c r="L5" s="708" t="s">
        <v>1843</v>
      </c>
      <c r="M5" s="712" t="s">
        <v>1844</v>
      </c>
      <c r="N5" s="713" t="s">
        <v>1845</v>
      </c>
      <c r="O5" s="708" t="s">
        <v>1846</v>
      </c>
      <c r="P5" s="713" t="s">
        <v>1847</v>
      </c>
      <c r="Q5" s="707" t="s">
        <v>1848</v>
      </c>
      <c r="R5" s="714" t="s">
        <v>1849</v>
      </c>
    </row>
    <row r="6" spans="1:18" ht="18" customHeight="1">
      <c r="A6" s="715"/>
      <c r="B6" s="716" t="s">
        <v>88</v>
      </c>
      <c r="C6" s="716" t="s">
        <v>88</v>
      </c>
      <c r="D6" s="717" t="s">
        <v>99</v>
      </c>
      <c r="E6" s="717" t="s">
        <v>99</v>
      </c>
      <c r="F6" s="717" t="s">
        <v>99</v>
      </c>
      <c r="G6" s="718" t="s">
        <v>1850</v>
      </c>
      <c r="H6" s="719" t="s">
        <v>99</v>
      </c>
      <c r="I6" s="717" t="s">
        <v>99</v>
      </c>
      <c r="J6" s="719" t="s">
        <v>99</v>
      </c>
      <c r="K6" s="720" t="s">
        <v>86</v>
      </c>
      <c r="L6" s="717" t="s">
        <v>99</v>
      </c>
      <c r="M6" s="717" t="s">
        <v>1201</v>
      </c>
      <c r="N6" s="721" t="s">
        <v>99</v>
      </c>
      <c r="O6" s="717" t="s">
        <v>99</v>
      </c>
      <c r="P6" s="719" t="s">
        <v>99</v>
      </c>
      <c r="Q6" s="719" t="s">
        <v>99</v>
      </c>
      <c r="R6" s="722" t="s">
        <v>99</v>
      </c>
    </row>
    <row r="7" spans="1:18">
      <c r="A7" s="857" t="s">
        <v>101</v>
      </c>
      <c r="B7" s="857"/>
      <c r="C7" s="857"/>
      <c r="D7" s="724"/>
      <c r="E7" s="724"/>
      <c r="F7" s="724"/>
      <c r="G7" s="858"/>
      <c r="H7" s="859"/>
      <c r="I7" s="860"/>
      <c r="J7" s="859"/>
      <c r="K7" s="859"/>
      <c r="L7" s="860"/>
      <c r="M7" s="860"/>
      <c r="N7" s="728"/>
      <c r="O7" s="860"/>
      <c r="P7" s="859"/>
      <c r="Q7" s="859"/>
      <c r="R7" s="859"/>
    </row>
    <row r="8" spans="1:18">
      <c r="A8" s="861" t="s">
        <v>102</v>
      </c>
      <c r="B8" t="s">
        <v>1009</v>
      </c>
      <c r="C8" s="730" t="s">
        <v>110</v>
      </c>
      <c r="D8" s="731">
        <v>799114.38021706138</v>
      </c>
      <c r="E8" s="731">
        <f>VLOOKUP(A8,'[7]2020 Annual Allocation'!$A$4:$B$211,2,FALSE)</f>
        <v>15285.487384302049</v>
      </c>
      <c r="F8" s="731">
        <f>VLOOKUP(A8,'[7]2019 Alloc_Expend Sum'!$A$4:$AD$217,30,FALSE)</f>
        <v>814399.86760136345</v>
      </c>
      <c r="G8" s="732">
        <v>0</v>
      </c>
      <c r="H8" s="745" t="s">
        <v>258</v>
      </c>
      <c r="I8" s="734">
        <f>F8</f>
        <v>814399.86760136345</v>
      </c>
      <c r="J8" s="735">
        <v>0</v>
      </c>
      <c r="K8" s="735" t="s">
        <v>103</v>
      </c>
      <c r="L8" s="734">
        <v>0</v>
      </c>
      <c r="M8" s="734" t="s">
        <v>103</v>
      </c>
      <c r="N8" s="736">
        <v>0</v>
      </c>
      <c r="O8" s="737">
        <v>0</v>
      </c>
      <c r="P8" s="736">
        <v>0</v>
      </c>
      <c r="Q8" s="735" t="s">
        <v>103</v>
      </c>
      <c r="R8" s="735" t="s">
        <v>103</v>
      </c>
    </row>
    <row r="9" spans="1:18" s="101" customFormat="1">
      <c r="A9" s="738" t="s">
        <v>1225</v>
      </c>
      <c r="B9" s="738"/>
      <c r="C9" s="738"/>
      <c r="D9" s="739">
        <f>SUM(D8)</f>
        <v>799114.38021706138</v>
      </c>
      <c r="E9" s="739">
        <f>SUM(E8)</f>
        <v>15285.487384302049</v>
      </c>
      <c r="F9" s="739">
        <f>SUM(F8)</f>
        <v>814399.86760136345</v>
      </c>
      <c r="G9" s="740">
        <v>0</v>
      </c>
      <c r="H9" s="741"/>
      <c r="I9" s="742">
        <f t="shared" ref="I9:I72" si="0">F9</f>
        <v>814399.86760136345</v>
      </c>
      <c r="J9" s="742">
        <v>0</v>
      </c>
      <c r="K9" s="741"/>
      <c r="L9" s="742">
        <v>0</v>
      </c>
      <c r="M9" s="742">
        <v>0</v>
      </c>
      <c r="N9" s="743">
        <v>0</v>
      </c>
      <c r="O9" s="742">
        <v>0</v>
      </c>
      <c r="P9" s="744">
        <v>0</v>
      </c>
      <c r="Q9" s="741" t="s">
        <v>103</v>
      </c>
      <c r="R9" s="741" t="s">
        <v>103</v>
      </c>
    </row>
    <row r="10" spans="1:18">
      <c r="A10" s="857" t="s">
        <v>106</v>
      </c>
      <c r="B10" s="857"/>
      <c r="C10" s="857"/>
      <c r="D10" s="724"/>
      <c r="E10" s="724"/>
      <c r="F10" s="724"/>
      <c r="G10" s="858"/>
      <c r="H10" s="859"/>
      <c r="I10" s="860"/>
      <c r="J10" s="859"/>
      <c r="K10" s="859"/>
      <c r="L10" s="860"/>
      <c r="M10" s="860"/>
      <c r="N10" s="728"/>
      <c r="O10" s="860"/>
      <c r="P10" s="859"/>
      <c r="Q10" s="859"/>
      <c r="R10" s="859"/>
    </row>
    <row r="11" spans="1:18">
      <c r="A11" s="861" t="s">
        <v>107</v>
      </c>
      <c r="B11" t="s">
        <v>1009</v>
      </c>
      <c r="C11" s="730" t="s">
        <v>110</v>
      </c>
      <c r="D11" s="731">
        <v>186805.87921106312</v>
      </c>
      <c r="E11" s="731">
        <f>VLOOKUP(A11,'[7]2020 Annual Allocation'!$A$4:$B$211,2,FALSE)</f>
        <v>3173.7564101560024</v>
      </c>
      <c r="F11" s="731">
        <f>VLOOKUP(A11,'[7]2019 Alloc_Expend Sum'!$A$4:$AD$217,30,FALSE)</f>
        <v>189979.63562121912</v>
      </c>
      <c r="G11" s="732">
        <v>0</v>
      </c>
      <c r="H11" s="745" t="s">
        <v>258</v>
      </c>
      <c r="I11" s="734">
        <f t="shared" si="0"/>
        <v>189979.63562121912</v>
      </c>
      <c r="J11" s="735">
        <v>0</v>
      </c>
      <c r="K11" s="735" t="s">
        <v>103</v>
      </c>
      <c r="L11" s="734">
        <v>0</v>
      </c>
      <c r="M11" s="734" t="s">
        <v>103</v>
      </c>
      <c r="N11" s="736">
        <v>0</v>
      </c>
      <c r="O11" s="737">
        <v>0</v>
      </c>
      <c r="P11" s="736">
        <v>0</v>
      </c>
      <c r="Q11" s="735" t="s">
        <v>103</v>
      </c>
      <c r="R11" s="735" t="s">
        <v>103</v>
      </c>
    </row>
    <row r="12" spans="1:18" s="101" customFormat="1">
      <c r="A12" s="738" t="s">
        <v>1228</v>
      </c>
      <c r="B12" s="738" t="s">
        <v>150</v>
      </c>
      <c r="C12" s="738" t="s">
        <v>150</v>
      </c>
      <c r="D12" s="739">
        <f>SUM(D11)</f>
        <v>186805.87921106312</v>
      </c>
      <c r="E12" s="739">
        <f>SUM(E11)</f>
        <v>3173.7564101560024</v>
      </c>
      <c r="F12" s="739">
        <f>SUM(F11)</f>
        <v>189979.63562121912</v>
      </c>
      <c r="G12" s="740">
        <v>0</v>
      </c>
      <c r="H12" s="741"/>
      <c r="I12" s="742">
        <f t="shared" si="0"/>
        <v>189979.63562121912</v>
      </c>
      <c r="J12" s="742">
        <v>0</v>
      </c>
      <c r="K12" s="741"/>
      <c r="L12" s="742">
        <v>0</v>
      </c>
      <c r="M12" s="742">
        <v>0</v>
      </c>
      <c r="N12" s="743">
        <v>0</v>
      </c>
      <c r="O12" s="742">
        <v>0</v>
      </c>
      <c r="P12" s="744">
        <v>0</v>
      </c>
      <c r="Q12" s="741" t="s">
        <v>103</v>
      </c>
      <c r="R12" s="741" t="s">
        <v>103</v>
      </c>
    </row>
    <row r="13" spans="1:18">
      <c r="A13" s="857" t="s">
        <v>108</v>
      </c>
      <c r="B13" s="857"/>
      <c r="C13" s="857"/>
      <c r="D13" s="724"/>
      <c r="E13" s="724"/>
      <c r="F13" s="724"/>
      <c r="G13" s="858"/>
      <c r="H13" s="859"/>
      <c r="I13" s="860"/>
      <c r="J13" s="859"/>
      <c r="K13" s="859"/>
      <c r="L13" s="860"/>
      <c r="M13" s="860"/>
      <c r="N13" s="728"/>
      <c r="O13" s="860"/>
      <c r="P13" s="859"/>
      <c r="Q13" s="859"/>
      <c r="R13" s="859"/>
    </row>
    <row r="14" spans="1:18">
      <c r="A14" s="861" t="s">
        <v>109</v>
      </c>
      <c r="B14" t="s">
        <v>1009</v>
      </c>
      <c r="C14" s="730" t="s">
        <v>110</v>
      </c>
      <c r="D14" s="747">
        <v>114635.80385167708</v>
      </c>
      <c r="E14" s="747">
        <f>VLOOKUP(A14,'[7]2020 Annual Allocation'!$A$4:$B$211,2,FALSE)</f>
        <v>2251.7899727597469</v>
      </c>
      <c r="F14" s="747">
        <f>VLOOKUP(A14,'[7]2019 Alloc_Expend Sum'!$A$4:$AD$217,30,FALSE)</f>
        <v>116887.59382443683</v>
      </c>
      <c r="G14" s="694">
        <v>0</v>
      </c>
      <c r="H14" s="749" t="s">
        <v>258</v>
      </c>
      <c r="I14" s="750">
        <f t="shared" si="0"/>
        <v>116887.59382443683</v>
      </c>
      <c r="J14" s="735">
        <v>0</v>
      </c>
      <c r="K14" s="735" t="s">
        <v>103</v>
      </c>
      <c r="L14" s="750">
        <v>0</v>
      </c>
      <c r="M14" s="750" t="s">
        <v>103</v>
      </c>
      <c r="N14" s="736">
        <v>0</v>
      </c>
      <c r="O14" s="693">
        <v>0</v>
      </c>
      <c r="P14" s="752">
        <v>0</v>
      </c>
      <c r="Q14" t="s">
        <v>103</v>
      </c>
      <c r="R14" t="s">
        <v>103</v>
      </c>
    </row>
    <row r="15" spans="1:18">
      <c r="A15" s="861" t="s">
        <v>111</v>
      </c>
      <c r="B15" t="s">
        <v>1009</v>
      </c>
      <c r="C15" s="730" t="s">
        <v>110</v>
      </c>
      <c r="D15" s="731">
        <v>671654.29434753535</v>
      </c>
      <c r="E15" s="731">
        <f>VLOOKUP(A15,'[7]2020 Annual Allocation'!$A$4:$B$211,2,FALSE)</f>
        <v>22585.354048872603</v>
      </c>
      <c r="F15" s="731">
        <f>VLOOKUP(A15,'[7]2019 Alloc_Expend Sum'!$A$4:$AD$217,30,FALSE)</f>
        <v>694239.64839640807</v>
      </c>
      <c r="G15" s="694">
        <v>0</v>
      </c>
      <c r="H15" s="745" t="s">
        <v>258</v>
      </c>
      <c r="I15" s="734">
        <f t="shared" si="0"/>
        <v>694239.64839640807</v>
      </c>
      <c r="J15" s="735">
        <v>0</v>
      </c>
      <c r="K15" s="735" t="s">
        <v>103</v>
      </c>
      <c r="L15" s="734">
        <v>0</v>
      </c>
      <c r="M15" s="734" t="s">
        <v>103</v>
      </c>
      <c r="N15" s="736">
        <v>0</v>
      </c>
      <c r="O15" s="693">
        <v>0</v>
      </c>
      <c r="P15" s="736">
        <v>0</v>
      </c>
      <c r="Q15" t="s">
        <v>103</v>
      </c>
      <c r="R15" t="s">
        <v>103</v>
      </c>
    </row>
    <row r="16" spans="1:18" s="101" customFormat="1">
      <c r="A16" s="738" t="s">
        <v>1231</v>
      </c>
      <c r="B16" s="738" t="s">
        <v>150</v>
      </c>
      <c r="C16" s="738" t="s">
        <v>150</v>
      </c>
      <c r="D16" s="739">
        <f>SUM(D14:D15)</f>
        <v>786290.09819921246</v>
      </c>
      <c r="E16" s="739">
        <f>SUM(E14:E15)</f>
        <v>24837.14402163235</v>
      </c>
      <c r="F16" s="739">
        <f>SUM(F14:F15)</f>
        <v>811127.24222084484</v>
      </c>
      <c r="G16" s="740">
        <v>0</v>
      </c>
      <c r="H16" s="741"/>
      <c r="I16" s="742">
        <f t="shared" si="0"/>
        <v>811127.24222084484</v>
      </c>
      <c r="J16" s="742">
        <v>0</v>
      </c>
      <c r="K16" s="741"/>
      <c r="L16" s="742">
        <v>0</v>
      </c>
      <c r="M16" s="742">
        <v>0</v>
      </c>
      <c r="N16" s="743">
        <v>0</v>
      </c>
      <c r="O16" s="742">
        <v>0</v>
      </c>
      <c r="P16" s="744">
        <v>0</v>
      </c>
      <c r="Q16" s="741" t="s">
        <v>103</v>
      </c>
      <c r="R16" s="741" t="s">
        <v>103</v>
      </c>
    </row>
    <row r="17" spans="1:18">
      <c r="A17" s="857" t="s">
        <v>112</v>
      </c>
      <c r="B17" s="857"/>
      <c r="C17" s="857"/>
      <c r="D17" s="724"/>
      <c r="E17" s="724"/>
      <c r="F17" s="724"/>
      <c r="G17" s="858"/>
      <c r="H17" s="859"/>
      <c r="I17" s="860"/>
      <c r="J17" s="859"/>
      <c r="K17" s="859"/>
      <c r="L17" s="860"/>
      <c r="M17" s="860"/>
      <c r="N17" s="728"/>
      <c r="O17" s="860"/>
      <c r="P17" s="859"/>
      <c r="Q17" s="859"/>
      <c r="R17" s="859"/>
    </row>
    <row r="18" spans="1:18">
      <c r="A18" s="861" t="s">
        <v>113</v>
      </c>
      <c r="B18" t="s">
        <v>1009</v>
      </c>
      <c r="C18" s="730" t="s">
        <v>110</v>
      </c>
      <c r="D18" s="747">
        <v>722748.93356204813</v>
      </c>
      <c r="E18" s="747">
        <f>VLOOKUP(A18,'[7]2020 Annual Allocation'!$A$4:$B$211,2,FALSE)</f>
        <v>10482.321112854474</v>
      </c>
      <c r="F18" s="747">
        <f>VLOOKUP(A18,'[7]2019 Alloc_Expend Sum'!$A$4:$AD$217,30,FALSE)</f>
        <v>733231.25467490265</v>
      </c>
      <c r="G18" s="694">
        <v>0</v>
      </c>
      <c r="H18" s="749" t="s">
        <v>258</v>
      </c>
      <c r="I18" s="750">
        <f t="shared" si="0"/>
        <v>733231.25467490265</v>
      </c>
      <c r="J18" s="735">
        <v>0</v>
      </c>
      <c r="K18" s="735" t="s">
        <v>103</v>
      </c>
      <c r="L18" s="750">
        <v>0</v>
      </c>
      <c r="M18" s="750" t="s">
        <v>103</v>
      </c>
      <c r="N18" s="736">
        <v>0</v>
      </c>
      <c r="O18" s="693">
        <v>0</v>
      </c>
      <c r="P18" s="752">
        <v>0</v>
      </c>
      <c r="Q18" t="s">
        <v>103</v>
      </c>
      <c r="R18" t="s">
        <v>103</v>
      </c>
    </row>
    <row r="19" spans="1:18">
      <c r="A19" s="861" t="s">
        <v>126</v>
      </c>
      <c r="B19" t="s">
        <v>1009</v>
      </c>
      <c r="C19" s="730" t="s">
        <v>110</v>
      </c>
      <c r="D19" s="747">
        <v>-93627.460535579987</v>
      </c>
      <c r="E19" s="747">
        <f>VLOOKUP(A19,'[7]2020 Annual Allocation'!$A$4:$B$211,2,FALSE)</f>
        <v>30382.013322639454</v>
      </c>
      <c r="F19" s="747">
        <f>VLOOKUP(A19,'[7]2019 Alloc_Expend Sum'!$A$4:$AD$217,30,FALSE)</f>
        <v>-63245.447212940839</v>
      </c>
      <c r="G19" s="694">
        <v>2.0816740003801155</v>
      </c>
      <c r="H19" s="749" t="s">
        <v>258</v>
      </c>
      <c r="I19" s="750">
        <f t="shared" si="0"/>
        <v>-63245.447212940839</v>
      </c>
      <c r="J19" s="735">
        <v>0</v>
      </c>
      <c r="K19" s="735" t="s">
        <v>103</v>
      </c>
      <c r="L19" s="750">
        <v>0</v>
      </c>
      <c r="M19" s="750" t="s">
        <v>103</v>
      </c>
      <c r="N19" s="736">
        <v>0</v>
      </c>
      <c r="O19" s="693">
        <v>0</v>
      </c>
      <c r="P19" s="752">
        <v>0</v>
      </c>
      <c r="Q19" t="s">
        <v>103</v>
      </c>
      <c r="R19" t="s">
        <v>103</v>
      </c>
    </row>
    <row r="20" spans="1:18">
      <c r="A20" s="861" t="s">
        <v>132</v>
      </c>
      <c r="B20" t="s">
        <v>1009</v>
      </c>
      <c r="C20" s="730" t="s">
        <v>110</v>
      </c>
      <c r="D20" s="747">
        <v>145511.88537042896</v>
      </c>
      <c r="E20" s="747">
        <f>VLOOKUP(A20,'[7]2020 Annual Allocation'!$A$4:$B$211,2,FALSE)</f>
        <v>5055.2812171392034</v>
      </c>
      <c r="F20" s="747">
        <f>VLOOKUP(A20,'[7]2019 Alloc_Expend Sum'!$A$4:$AD$217,30,FALSE)</f>
        <v>150567.16658756818</v>
      </c>
      <c r="G20" s="694">
        <v>0</v>
      </c>
      <c r="H20" s="749" t="s">
        <v>258</v>
      </c>
      <c r="I20" s="750">
        <f t="shared" si="0"/>
        <v>150567.16658756818</v>
      </c>
      <c r="J20" s="735">
        <v>0</v>
      </c>
      <c r="K20" s="735" t="s">
        <v>103</v>
      </c>
      <c r="L20" s="750">
        <v>0</v>
      </c>
      <c r="M20" s="750" t="s">
        <v>103</v>
      </c>
      <c r="N20" s="736">
        <v>0</v>
      </c>
      <c r="O20" s="693">
        <v>0</v>
      </c>
      <c r="P20" s="752">
        <v>0</v>
      </c>
      <c r="Q20" t="s">
        <v>103</v>
      </c>
      <c r="R20" t="s">
        <v>103</v>
      </c>
    </row>
    <row r="21" spans="1:18">
      <c r="A21" s="861" t="s">
        <v>133</v>
      </c>
      <c r="B21" t="s">
        <v>1009</v>
      </c>
      <c r="C21" s="730" t="s">
        <v>110</v>
      </c>
      <c r="D21" s="747">
        <v>3436415.5124184703</v>
      </c>
      <c r="E21" s="747">
        <f>VLOOKUP(A21,'[7]2020 Annual Allocation'!$A$4:$B$211,2,FALSE)</f>
        <v>46214.50522318219</v>
      </c>
      <c r="F21" s="747">
        <f>VLOOKUP(A21,'[7]2019 Alloc_Expend Sum'!$A$4:$AD$217,30,FALSE)</f>
        <v>3482630.0176416528</v>
      </c>
      <c r="G21" s="694">
        <v>0</v>
      </c>
      <c r="H21" s="749" t="s">
        <v>258</v>
      </c>
      <c r="I21" s="750">
        <f t="shared" si="0"/>
        <v>3482630.0176416528</v>
      </c>
      <c r="J21" s="735">
        <v>0</v>
      </c>
      <c r="K21" s="735" t="s">
        <v>103</v>
      </c>
      <c r="L21" s="750">
        <v>0</v>
      </c>
      <c r="M21" s="750" t="s">
        <v>103</v>
      </c>
      <c r="N21" s="736">
        <v>0</v>
      </c>
      <c r="O21" s="693">
        <v>0</v>
      </c>
      <c r="P21" s="752">
        <v>0</v>
      </c>
      <c r="Q21" t="s">
        <v>103</v>
      </c>
      <c r="R21" t="s">
        <v>103</v>
      </c>
    </row>
    <row r="22" spans="1:18">
      <c r="A22" s="861" t="s">
        <v>134</v>
      </c>
      <c r="B22" t="s">
        <v>1009</v>
      </c>
      <c r="C22" s="730" t="s">
        <v>110</v>
      </c>
      <c r="D22" s="747">
        <v>837368.290355184</v>
      </c>
      <c r="E22" s="747">
        <f>VLOOKUP(A22,'[7]2020 Annual Allocation'!$A$4:$B$211,2,FALSE)</f>
        <v>8500.8226665021721</v>
      </c>
      <c r="F22" s="747">
        <f>VLOOKUP(A22,'[7]2019 Alloc_Expend Sum'!$A$4:$AD$217,30,FALSE)</f>
        <v>845869.11302168621</v>
      </c>
      <c r="G22" s="694">
        <v>0</v>
      </c>
      <c r="H22" s="749" t="s">
        <v>258</v>
      </c>
      <c r="I22" s="750">
        <f t="shared" si="0"/>
        <v>845869.11302168621</v>
      </c>
      <c r="J22" s="735">
        <v>0</v>
      </c>
      <c r="K22" s="735" t="s">
        <v>103</v>
      </c>
      <c r="L22" s="750">
        <v>0</v>
      </c>
      <c r="M22" s="750" t="s">
        <v>103</v>
      </c>
      <c r="N22" s="736">
        <v>0</v>
      </c>
      <c r="O22" s="693">
        <v>0</v>
      </c>
      <c r="P22" s="752">
        <v>0</v>
      </c>
      <c r="Q22" t="s">
        <v>103</v>
      </c>
      <c r="R22" t="s">
        <v>103</v>
      </c>
    </row>
    <row r="23" spans="1:18">
      <c r="A23" s="861" t="s">
        <v>135</v>
      </c>
      <c r="B23" t="s">
        <v>1009</v>
      </c>
      <c r="C23" s="730" t="s">
        <v>110</v>
      </c>
      <c r="D23" s="747">
        <v>6030986.5731576886</v>
      </c>
      <c r="E23" s="747">
        <f>VLOOKUP(A23,'[7]2020 Annual Allocation'!$A$4:$B$211,2,FALSE)</f>
        <v>233673.15028533287</v>
      </c>
      <c r="F23" s="747">
        <f>VLOOKUP(A23,'[7]2019 Alloc_Expend Sum'!$A$4:$AD$217,30,FALSE)</f>
        <v>6264659.7234430211</v>
      </c>
      <c r="G23" s="694">
        <v>0</v>
      </c>
      <c r="H23" s="862" t="s">
        <v>258</v>
      </c>
      <c r="I23" s="863">
        <f t="shared" si="0"/>
        <v>6264659.7234430211</v>
      </c>
      <c r="J23" s="735">
        <v>0</v>
      </c>
      <c r="K23" s="735" t="s">
        <v>103</v>
      </c>
      <c r="L23" s="863">
        <v>0</v>
      </c>
      <c r="M23" s="863" t="s">
        <v>103</v>
      </c>
      <c r="N23" s="736">
        <v>0</v>
      </c>
      <c r="O23" s="693">
        <v>0</v>
      </c>
      <c r="P23" s="752">
        <v>0</v>
      </c>
      <c r="Q23" t="s">
        <v>103</v>
      </c>
      <c r="R23" t="s">
        <v>103</v>
      </c>
    </row>
    <row r="24" spans="1:18" s="101" customFormat="1">
      <c r="A24" s="738" t="s">
        <v>1235</v>
      </c>
      <c r="B24" s="738"/>
      <c r="C24" s="738"/>
      <c r="D24" s="739">
        <f>SUM(D18:D23)</f>
        <v>11079403.73432824</v>
      </c>
      <c r="E24" s="739">
        <f>SUM(E18:E23)</f>
        <v>334308.09382765036</v>
      </c>
      <c r="F24" s="739">
        <f>SUM(F18:F23)</f>
        <v>11413711.82815589</v>
      </c>
      <c r="G24" s="740">
        <v>0</v>
      </c>
      <c r="H24" s="741"/>
      <c r="I24" s="742">
        <f t="shared" si="0"/>
        <v>11413711.82815589</v>
      </c>
      <c r="J24" s="742">
        <v>0</v>
      </c>
      <c r="K24" s="741"/>
      <c r="L24" s="742">
        <v>0</v>
      </c>
      <c r="M24" s="742">
        <v>0</v>
      </c>
      <c r="N24" s="743">
        <v>0</v>
      </c>
      <c r="O24" s="742">
        <v>0</v>
      </c>
      <c r="P24" s="744">
        <v>0</v>
      </c>
      <c r="Q24" s="741" t="s">
        <v>103</v>
      </c>
      <c r="R24" s="741" t="s">
        <v>103</v>
      </c>
    </row>
    <row r="25" spans="1:18">
      <c r="A25" s="857" t="s">
        <v>140</v>
      </c>
      <c r="B25" s="857"/>
      <c r="C25" s="857"/>
      <c r="D25" s="724"/>
      <c r="E25" s="724"/>
      <c r="F25" s="724"/>
      <c r="G25" s="858">
        <v>0</v>
      </c>
      <c r="H25" s="859"/>
      <c r="I25" s="860"/>
      <c r="J25" s="859"/>
      <c r="K25" s="859"/>
      <c r="L25" s="860"/>
      <c r="M25" s="860"/>
      <c r="N25" s="728"/>
      <c r="O25" s="860"/>
      <c r="P25" s="859"/>
      <c r="Q25" s="859"/>
      <c r="R25" s="859"/>
    </row>
    <row r="26" spans="1:18">
      <c r="A26" s="861" t="s">
        <v>141</v>
      </c>
      <c r="B26" t="s">
        <v>1009</v>
      </c>
      <c r="C26" s="730" t="s">
        <v>110</v>
      </c>
      <c r="D26" s="747">
        <v>1486725.174999581</v>
      </c>
      <c r="E26" s="747">
        <f>VLOOKUP(A26,'[7]2020 Annual Allocation'!$A$4:$B$211,2,FALSE)</f>
        <v>47183.025845663942</v>
      </c>
      <c r="F26" s="747">
        <f>VLOOKUP(A26,'[7]2019 Alloc_Expend Sum'!$A$4:$AD$217,30,FALSE)</f>
        <v>1533908.2008452446</v>
      </c>
      <c r="G26" s="694">
        <v>0</v>
      </c>
      <c r="H26" s="749" t="s">
        <v>258</v>
      </c>
      <c r="I26" s="750">
        <f t="shared" si="0"/>
        <v>1533908.2008452446</v>
      </c>
      <c r="J26" s="735">
        <v>0</v>
      </c>
      <c r="K26" s="735" t="s">
        <v>103</v>
      </c>
      <c r="L26" s="750">
        <v>0</v>
      </c>
      <c r="M26" s="750" t="s">
        <v>103</v>
      </c>
      <c r="N26" s="736">
        <v>0</v>
      </c>
      <c r="O26" s="693">
        <v>0</v>
      </c>
      <c r="P26" s="752">
        <v>0</v>
      </c>
      <c r="Q26" t="s">
        <v>103</v>
      </c>
      <c r="R26" t="s">
        <v>103</v>
      </c>
    </row>
    <row r="27" spans="1:18">
      <c r="A27" s="861" t="s">
        <v>142</v>
      </c>
      <c r="B27" t="s">
        <v>1009</v>
      </c>
      <c r="C27" s="730" t="s">
        <v>110</v>
      </c>
      <c r="D27" s="747">
        <v>640369.25811219111</v>
      </c>
      <c r="E27" s="747">
        <f>VLOOKUP(A27,'[7]2020 Annual Allocation'!$A$4:$B$211,2,FALSE)</f>
        <v>40610.18152712327</v>
      </c>
      <c r="F27" s="747">
        <f>VLOOKUP(A27,'[7]2019 Alloc_Expend Sum'!$A$4:$AD$217,30,FALSE)</f>
        <v>680979.43963931454</v>
      </c>
      <c r="G27" s="694">
        <v>0</v>
      </c>
      <c r="H27" s="862" t="s">
        <v>258</v>
      </c>
      <c r="I27" s="863">
        <f t="shared" si="0"/>
        <v>680979.43963931454</v>
      </c>
      <c r="J27" s="735">
        <v>0</v>
      </c>
      <c r="K27" s="735" t="s">
        <v>103</v>
      </c>
      <c r="L27" s="863">
        <v>0</v>
      </c>
      <c r="M27" s="863" t="s">
        <v>103</v>
      </c>
      <c r="N27" s="736">
        <v>0</v>
      </c>
      <c r="O27" s="693">
        <v>0</v>
      </c>
      <c r="P27" s="752">
        <v>0</v>
      </c>
      <c r="Q27" t="s">
        <v>103</v>
      </c>
      <c r="R27" t="s">
        <v>103</v>
      </c>
    </row>
    <row r="28" spans="1:18" s="101" customFormat="1">
      <c r="A28" s="738" t="s">
        <v>1243</v>
      </c>
      <c r="B28" s="738"/>
      <c r="C28" s="738"/>
      <c r="D28" s="739">
        <f>SUM(D26:D27)</f>
        <v>2127094.4331117719</v>
      </c>
      <c r="E28" s="739">
        <f>SUM(E26:E27)</f>
        <v>87793.207372787205</v>
      </c>
      <c r="F28" s="739">
        <f>SUM(F26:F27)</f>
        <v>2214887.6404845593</v>
      </c>
      <c r="G28" s="740">
        <v>0</v>
      </c>
      <c r="H28" s="741"/>
      <c r="I28" s="742">
        <f t="shared" si="0"/>
        <v>2214887.6404845593</v>
      </c>
      <c r="J28" s="742">
        <v>0</v>
      </c>
      <c r="K28" s="741"/>
      <c r="L28" s="742">
        <v>0</v>
      </c>
      <c r="M28" s="742">
        <v>0</v>
      </c>
      <c r="N28" s="743">
        <v>0</v>
      </c>
      <c r="O28" s="742">
        <v>0</v>
      </c>
      <c r="P28" s="744">
        <v>0</v>
      </c>
      <c r="Q28" s="741" t="s">
        <v>103</v>
      </c>
      <c r="R28" s="741" t="s">
        <v>103</v>
      </c>
    </row>
    <row r="29" spans="1:18">
      <c r="A29" s="857" t="s">
        <v>143</v>
      </c>
      <c r="B29" s="857"/>
      <c r="C29" s="857"/>
      <c r="D29" s="724"/>
      <c r="E29" s="724"/>
      <c r="F29" s="724"/>
      <c r="G29" s="858">
        <v>0</v>
      </c>
      <c r="H29" s="859"/>
      <c r="I29" s="860"/>
      <c r="J29" s="859"/>
      <c r="K29" s="859"/>
      <c r="L29" s="860"/>
      <c r="M29" s="860"/>
      <c r="N29" s="728"/>
      <c r="O29" s="860"/>
      <c r="P29" s="859"/>
      <c r="Q29" s="859"/>
      <c r="R29" s="859"/>
    </row>
    <row r="30" spans="1:18">
      <c r="A30" s="861" t="s">
        <v>144</v>
      </c>
      <c r="B30" t="s">
        <v>1009</v>
      </c>
      <c r="C30" s="730" t="s">
        <v>110</v>
      </c>
      <c r="D30" s="747">
        <v>1270158.9923345509</v>
      </c>
      <c r="E30" s="747">
        <f>VLOOKUP(A30,'[7]2020 Annual Allocation'!$A$4:$B$211,2,FALSE)</f>
        <v>23592.462730351363</v>
      </c>
      <c r="F30" s="747">
        <f>VLOOKUP(A30,'[7]2019 Alloc_Expend Sum'!$A$4:$AD$217,30,FALSE)</f>
        <v>1293751.4550649023</v>
      </c>
      <c r="G30" s="694">
        <v>0</v>
      </c>
      <c r="H30" s="749" t="s">
        <v>258</v>
      </c>
      <c r="I30" s="750">
        <f t="shared" si="0"/>
        <v>1293751.4550649023</v>
      </c>
      <c r="J30" s="735">
        <v>0</v>
      </c>
      <c r="K30" s="735" t="s">
        <v>103</v>
      </c>
      <c r="L30" s="750">
        <v>0</v>
      </c>
      <c r="M30" s="750" t="s">
        <v>103</v>
      </c>
      <c r="N30" s="736">
        <v>0</v>
      </c>
      <c r="O30" s="693">
        <v>0</v>
      </c>
      <c r="P30" s="752">
        <v>0</v>
      </c>
      <c r="Q30" t="s">
        <v>103</v>
      </c>
      <c r="R30" t="s">
        <v>103</v>
      </c>
    </row>
    <row r="31" spans="1:18">
      <c r="A31" s="861" t="s">
        <v>145</v>
      </c>
      <c r="B31" t="s">
        <v>1009</v>
      </c>
      <c r="C31" s="730" t="s">
        <v>110</v>
      </c>
      <c r="D31" s="747">
        <v>6859359.6079189768</v>
      </c>
      <c r="E31" s="747">
        <f>VLOOKUP(A31,'[7]2020 Annual Allocation'!$A$4:$B$211,2,FALSE)</f>
        <v>251196.48368771555</v>
      </c>
      <c r="F31" s="747">
        <f>VLOOKUP(A31,'[7]2019 Alloc_Expend Sum'!$A$4:$AD$217,30,FALSE)</f>
        <v>7110556.0916066933</v>
      </c>
      <c r="G31" s="694">
        <v>0</v>
      </c>
      <c r="H31" s="749" t="s">
        <v>258</v>
      </c>
      <c r="I31" s="750">
        <f t="shared" si="0"/>
        <v>7110556.0916066933</v>
      </c>
      <c r="J31" s="735">
        <v>0</v>
      </c>
      <c r="K31" s="735" t="s">
        <v>103</v>
      </c>
      <c r="L31" s="750">
        <v>0</v>
      </c>
      <c r="M31" s="750" t="s">
        <v>103</v>
      </c>
      <c r="N31" s="736">
        <v>0</v>
      </c>
      <c r="O31" s="693">
        <v>0</v>
      </c>
      <c r="P31" s="752">
        <v>0</v>
      </c>
      <c r="Q31" t="s">
        <v>103</v>
      </c>
      <c r="R31" t="s">
        <v>103</v>
      </c>
    </row>
    <row r="32" spans="1:18">
      <c r="A32" s="861" t="s">
        <v>157</v>
      </c>
      <c r="B32" t="s">
        <v>1009</v>
      </c>
      <c r="C32" s="730" t="s">
        <v>110</v>
      </c>
      <c r="D32" s="747">
        <v>-360752.74250349979</v>
      </c>
      <c r="E32" s="747">
        <f>VLOOKUP(A32,'[7]2020 Annual Allocation'!$A$4:$B$211,2,FALSE)</f>
        <v>159978.27764345799</v>
      </c>
      <c r="F32" s="747">
        <f>VLOOKUP(A32,'[7]2019 Alloc_Expend Sum'!$A$4:$AD$217,30,FALSE)</f>
        <v>-200774.46486004163</v>
      </c>
      <c r="G32" s="694">
        <v>1.2550107915745017</v>
      </c>
      <c r="H32" s="749" t="s">
        <v>258</v>
      </c>
      <c r="I32" s="750">
        <f t="shared" si="0"/>
        <v>-200774.46486004163</v>
      </c>
      <c r="J32" s="735">
        <v>0</v>
      </c>
      <c r="K32" s="735" t="s">
        <v>103</v>
      </c>
      <c r="L32" s="750">
        <v>0</v>
      </c>
      <c r="M32" s="750" t="s">
        <v>103</v>
      </c>
      <c r="N32" s="736">
        <v>0</v>
      </c>
      <c r="O32" s="693">
        <v>0</v>
      </c>
      <c r="P32" s="752">
        <v>0</v>
      </c>
      <c r="Q32" t="s">
        <v>103</v>
      </c>
      <c r="R32" t="s">
        <v>103</v>
      </c>
    </row>
    <row r="33" spans="1:18">
      <c r="A33" s="861" t="s">
        <v>160</v>
      </c>
      <c r="B33" t="s">
        <v>1009</v>
      </c>
      <c r="C33" s="730" t="s">
        <v>110</v>
      </c>
      <c r="D33" s="747">
        <v>1176527.5271469837</v>
      </c>
      <c r="E33" s="747">
        <f>VLOOKUP(A33,'[7]2020 Annual Allocation'!$A$4:$B$211,2,FALSE)</f>
        <v>35563.438198989781</v>
      </c>
      <c r="F33" s="747">
        <f>VLOOKUP(A33,'[7]2019 Alloc_Expend Sum'!$A$4:$AD$217,30,FALSE)</f>
        <v>1212090.9653459736</v>
      </c>
      <c r="G33" s="694">
        <v>0</v>
      </c>
      <c r="H33" s="749" t="s">
        <v>258</v>
      </c>
      <c r="I33" s="750">
        <f t="shared" si="0"/>
        <v>1212090.9653459736</v>
      </c>
      <c r="J33" s="735">
        <v>0</v>
      </c>
      <c r="K33" s="735" t="s">
        <v>103</v>
      </c>
      <c r="L33" s="750">
        <v>0</v>
      </c>
      <c r="M33" s="750" t="s">
        <v>103</v>
      </c>
      <c r="N33" s="736">
        <v>0</v>
      </c>
      <c r="O33" s="693">
        <v>0</v>
      </c>
      <c r="P33" s="752">
        <v>0</v>
      </c>
      <c r="Q33" t="s">
        <v>103</v>
      </c>
      <c r="R33" t="s">
        <v>103</v>
      </c>
    </row>
    <row r="34" spans="1:18">
      <c r="A34" s="861" t="s">
        <v>161</v>
      </c>
      <c r="B34" t="s">
        <v>1009</v>
      </c>
      <c r="C34" s="730" t="s">
        <v>110</v>
      </c>
      <c r="D34" s="747">
        <v>247634.24775999066</v>
      </c>
      <c r="E34" s="747">
        <f>VLOOKUP(A34,'[7]2020 Annual Allocation'!$A$4:$B$211,2,FALSE)</f>
        <v>11600.322447653562</v>
      </c>
      <c r="F34" s="747">
        <f>VLOOKUP(A34,'[7]2019 Alloc_Expend Sum'!$A$4:$AD$217,30,FALSE)</f>
        <v>259234.5702076442</v>
      </c>
      <c r="G34" s="694">
        <v>0</v>
      </c>
      <c r="H34" s="749" t="s">
        <v>258</v>
      </c>
      <c r="I34" s="750">
        <f t="shared" si="0"/>
        <v>259234.5702076442</v>
      </c>
      <c r="J34" s="735">
        <v>0</v>
      </c>
      <c r="K34" s="735" t="s">
        <v>103</v>
      </c>
      <c r="L34" s="750">
        <v>0</v>
      </c>
      <c r="M34" s="750" t="s">
        <v>103</v>
      </c>
      <c r="N34" s="736">
        <v>0</v>
      </c>
      <c r="O34" s="693">
        <v>0</v>
      </c>
      <c r="P34" s="752">
        <v>0</v>
      </c>
      <c r="Q34" t="s">
        <v>103</v>
      </c>
      <c r="R34" t="s">
        <v>103</v>
      </c>
    </row>
    <row r="35" spans="1:18">
      <c r="A35" s="861" t="s">
        <v>162</v>
      </c>
      <c r="B35" t="s">
        <v>1009</v>
      </c>
      <c r="C35" s="730" t="s">
        <v>110</v>
      </c>
      <c r="D35" s="747">
        <v>97561.780613027688</v>
      </c>
      <c r="E35" s="747">
        <f>VLOOKUP(A35,'[7]2020 Annual Allocation'!$A$4:$B$211,2,FALSE)</f>
        <v>5775.8296415378945</v>
      </c>
      <c r="F35" s="747">
        <f>VLOOKUP(A35,'[7]2019 Alloc_Expend Sum'!$A$4:$AD$217,30,FALSE)</f>
        <v>103337.61025456559</v>
      </c>
      <c r="G35" s="694">
        <v>0</v>
      </c>
      <c r="H35" s="749" t="s">
        <v>258</v>
      </c>
      <c r="I35" s="750">
        <f t="shared" si="0"/>
        <v>103337.61025456559</v>
      </c>
      <c r="J35" s="735">
        <v>0</v>
      </c>
      <c r="K35" s="735" t="s">
        <v>103</v>
      </c>
      <c r="L35" s="750">
        <v>0</v>
      </c>
      <c r="M35" s="750" t="s">
        <v>103</v>
      </c>
      <c r="N35" s="736">
        <v>0</v>
      </c>
      <c r="O35" s="693">
        <v>0</v>
      </c>
      <c r="P35" s="752">
        <v>0</v>
      </c>
      <c r="Q35" t="s">
        <v>103</v>
      </c>
      <c r="R35" t="s">
        <v>103</v>
      </c>
    </row>
    <row r="36" spans="1:18">
      <c r="A36" s="861" t="s">
        <v>163</v>
      </c>
      <c r="B36" t="s">
        <v>1009</v>
      </c>
      <c r="C36" t="s">
        <v>104</v>
      </c>
      <c r="D36" s="747">
        <v>55831.743978668703</v>
      </c>
      <c r="E36" s="747">
        <f>VLOOKUP(A36,'[7]2020 Annual Allocation'!$A$4:$B$211,2,FALSE)</f>
        <v>117891.09669265286</v>
      </c>
      <c r="F36" s="747">
        <f>VLOOKUP(A36,'[7]2019 Alloc_Expend Sum'!$A$4:$AD$217,30,FALSE)</f>
        <v>173722.84067132318</v>
      </c>
      <c r="G36" s="694">
        <v>0</v>
      </c>
      <c r="H36" s="749" t="s">
        <v>258</v>
      </c>
      <c r="I36" s="750">
        <f t="shared" si="0"/>
        <v>173722.84067132318</v>
      </c>
      <c r="J36" s="735">
        <v>0</v>
      </c>
      <c r="K36" s="735" t="s">
        <v>103</v>
      </c>
      <c r="L36" s="750">
        <v>0</v>
      </c>
      <c r="M36" s="750" t="s">
        <v>103</v>
      </c>
      <c r="N36" s="752">
        <v>0</v>
      </c>
      <c r="O36" s="693">
        <v>0</v>
      </c>
      <c r="P36" s="752">
        <v>0</v>
      </c>
      <c r="Q36" t="s">
        <v>103</v>
      </c>
      <c r="R36" t="s">
        <v>103</v>
      </c>
    </row>
    <row r="37" spans="1:18">
      <c r="A37" s="861" t="s">
        <v>168</v>
      </c>
      <c r="B37" t="s">
        <v>1009</v>
      </c>
      <c r="C37" s="730" t="s">
        <v>110</v>
      </c>
      <c r="D37" s="747">
        <v>15081.56803854293</v>
      </c>
      <c r="E37" s="747">
        <f>VLOOKUP(A37,'[7]2020 Annual Allocation'!$A$4:$B$211,2,FALSE)</f>
        <v>77543.135596649779</v>
      </c>
      <c r="F37" s="747">
        <f>VLOOKUP(A37,'[7]2019 Alloc_Expend Sum'!$A$4:$AD$217,30,FALSE)</f>
        <v>92624.703635192534</v>
      </c>
      <c r="G37" s="694">
        <v>0</v>
      </c>
      <c r="H37" s="749" t="s">
        <v>258</v>
      </c>
      <c r="I37" s="750">
        <f t="shared" si="0"/>
        <v>92624.703635192534</v>
      </c>
      <c r="J37" s="735">
        <v>0</v>
      </c>
      <c r="K37" s="735" t="s">
        <v>103</v>
      </c>
      <c r="L37" s="750">
        <v>0</v>
      </c>
      <c r="M37" s="750" t="s">
        <v>103</v>
      </c>
      <c r="N37" s="736">
        <v>0</v>
      </c>
      <c r="O37" s="693">
        <v>0</v>
      </c>
      <c r="P37" s="752">
        <v>0</v>
      </c>
      <c r="Q37" t="s">
        <v>103</v>
      </c>
      <c r="R37" t="s">
        <v>103</v>
      </c>
    </row>
    <row r="38" spans="1:18">
      <c r="A38" s="861" t="s">
        <v>174</v>
      </c>
      <c r="B38" t="s">
        <v>1009</v>
      </c>
      <c r="C38" s="730" t="s">
        <v>110</v>
      </c>
      <c r="D38" s="747">
        <v>-14733.743845054501</v>
      </c>
      <c r="E38" s="747">
        <f>VLOOKUP(A38,'[7]2020 Annual Allocation'!$A$4:$B$211,2,FALSE)</f>
        <v>78722.961409252108</v>
      </c>
      <c r="F38" s="747">
        <f>VLOOKUP(A38,'[7]2019 Alloc_Expend Sum'!$A$4:$AD$217,30,FALSE)</f>
        <v>1292913.7175641982</v>
      </c>
      <c r="G38" s="694">
        <v>0.13359032757747041</v>
      </c>
      <c r="H38" s="749" t="s">
        <v>258</v>
      </c>
      <c r="I38" s="750">
        <f t="shared" si="0"/>
        <v>1292913.7175641982</v>
      </c>
      <c r="J38" s="735">
        <v>0</v>
      </c>
      <c r="K38" s="735" t="s">
        <v>103</v>
      </c>
      <c r="L38" s="750">
        <v>0</v>
      </c>
      <c r="M38" s="750" t="s">
        <v>103</v>
      </c>
      <c r="N38" s="736">
        <v>0</v>
      </c>
      <c r="O38" s="693">
        <v>0</v>
      </c>
      <c r="P38" s="752">
        <v>0</v>
      </c>
      <c r="Q38" t="s">
        <v>103</v>
      </c>
      <c r="R38" t="s">
        <v>103</v>
      </c>
    </row>
    <row r="39" spans="1:18">
      <c r="A39" s="861" t="s">
        <v>179</v>
      </c>
      <c r="B39" t="s">
        <v>1009</v>
      </c>
      <c r="C39" s="730" t="s">
        <v>110</v>
      </c>
      <c r="D39" s="747">
        <v>1327910.2412806125</v>
      </c>
      <c r="E39" s="747">
        <f>VLOOKUP(A39,'[7]2020 Annual Allocation'!$A$4:$B$211,2,FALSE)</f>
        <v>170657.30440082334</v>
      </c>
      <c r="F39" s="747">
        <f>VLOOKUP(A39,'[7]2019 Alloc_Expend Sum'!$A$4:$AD$217,30,FALSE)</f>
        <v>1498567.5456814368</v>
      </c>
      <c r="G39" s="694">
        <v>0</v>
      </c>
      <c r="H39" s="749" t="s">
        <v>258</v>
      </c>
      <c r="I39" s="750">
        <f t="shared" si="0"/>
        <v>1498567.5456814368</v>
      </c>
      <c r="J39" s="735">
        <v>0</v>
      </c>
      <c r="K39" s="735" t="s">
        <v>103</v>
      </c>
      <c r="L39" s="750">
        <v>0</v>
      </c>
      <c r="M39" s="750" t="s">
        <v>103</v>
      </c>
      <c r="N39" s="752">
        <v>0</v>
      </c>
      <c r="O39" s="693">
        <v>0</v>
      </c>
      <c r="P39" s="752">
        <v>0</v>
      </c>
      <c r="Q39" t="s">
        <v>103</v>
      </c>
      <c r="R39" t="s">
        <v>103</v>
      </c>
    </row>
    <row r="40" spans="1:18">
      <c r="A40" s="861" t="s">
        <v>184</v>
      </c>
      <c r="B40" t="s">
        <v>1009</v>
      </c>
      <c r="C40" s="730" t="s">
        <v>110</v>
      </c>
      <c r="D40" s="747">
        <v>201310.76600441505</v>
      </c>
      <c r="E40" s="747">
        <f>VLOOKUP(A40,'[7]2020 Annual Allocation'!$A$4:$B$211,2,FALSE)</f>
        <v>114409.90248031489</v>
      </c>
      <c r="F40" s="747">
        <f>VLOOKUP(A40,'[7]2019 Alloc_Expend Sum'!$A$4:$AD$217,30,FALSE)</f>
        <v>315720.66848473012</v>
      </c>
      <c r="G40" s="694">
        <v>0</v>
      </c>
      <c r="H40" s="749" t="s">
        <v>258</v>
      </c>
      <c r="I40" s="750">
        <f t="shared" si="0"/>
        <v>315720.66848473012</v>
      </c>
      <c r="J40" s="735">
        <v>0</v>
      </c>
      <c r="K40" s="735" t="s">
        <v>103</v>
      </c>
      <c r="L40" s="750">
        <v>0</v>
      </c>
      <c r="M40" s="750" t="s">
        <v>103</v>
      </c>
      <c r="N40" s="736">
        <v>0</v>
      </c>
      <c r="O40" s="693">
        <v>0</v>
      </c>
      <c r="P40" s="752">
        <v>0</v>
      </c>
      <c r="Q40" t="s">
        <v>103</v>
      </c>
      <c r="R40" t="s">
        <v>103</v>
      </c>
    </row>
    <row r="41" spans="1:18">
      <c r="A41" s="861" t="s">
        <v>188</v>
      </c>
      <c r="B41" t="s">
        <v>1009</v>
      </c>
      <c r="C41" s="730" t="s">
        <v>110</v>
      </c>
      <c r="D41" s="747">
        <v>138426.77814891888</v>
      </c>
      <c r="E41" s="747">
        <f>VLOOKUP(A41,'[7]2020 Annual Allocation'!$A$4:$B$211,2,FALSE)</f>
        <v>3044.8896230336291</v>
      </c>
      <c r="F41" s="747">
        <f>VLOOKUP(A41,'[7]2019 Alloc_Expend Sum'!$A$4:$AD$217,30,FALSE)</f>
        <v>141471.66777195252</v>
      </c>
      <c r="G41" s="694">
        <v>0</v>
      </c>
      <c r="H41" s="749" t="s">
        <v>258</v>
      </c>
      <c r="I41" s="750">
        <f t="shared" si="0"/>
        <v>141471.66777195252</v>
      </c>
      <c r="J41" s="735">
        <v>0</v>
      </c>
      <c r="K41" s="735" t="s">
        <v>103</v>
      </c>
      <c r="L41" s="750">
        <v>0</v>
      </c>
      <c r="M41" s="750" t="s">
        <v>103</v>
      </c>
      <c r="N41" s="736">
        <v>0</v>
      </c>
      <c r="O41" s="693">
        <v>0</v>
      </c>
      <c r="P41" s="752">
        <v>0</v>
      </c>
      <c r="Q41" t="s">
        <v>103</v>
      </c>
      <c r="R41" t="s">
        <v>103</v>
      </c>
    </row>
    <row r="42" spans="1:18">
      <c r="A42" s="861" t="s">
        <v>189</v>
      </c>
      <c r="B42" t="s">
        <v>1009</v>
      </c>
      <c r="C42" s="730" t="s">
        <v>110</v>
      </c>
      <c r="D42" s="747">
        <v>1127467.2496959057</v>
      </c>
      <c r="E42" s="747">
        <f>VLOOKUP(A42,'[7]2020 Annual Allocation'!$A$4:$B$211,2,FALSE)</f>
        <v>15183.634062395053</v>
      </c>
      <c r="F42" s="747">
        <f>VLOOKUP(A42,'[7]2019 Alloc_Expend Sum'!$A$4:$AD$217,30,FALSE)</f>
        <v>1142650.8837583007</v>
      </c>
      <c r="G42" s="694">
        <v>0</v>
      </c>
      <c r="H42" s="749" t="s">
        <v>258</v>
      </c>
      <c r="I42" s="750">
        <f t="shared" si="0"/>
        <v>1142650.8837583007</v>
      </c>
      <c r="J42" s="735">
        <v>0</v>
      </c>
      <c r="K42" s="735" t="s">
        <v>103</v>
      </c>
      <c r="L42" s="750">
        <v>0</v>
      </c>
      <c r="M42" s="750" t="s">
        <v>103</v>
      </c>
      <c r="N42" s="736">
        <v>0</v>
      </c>
      <c r="O42" s="693">
        <v>0</v>
      </c>
      <c r="P42" s="752">
        <v>0</v>
      </c>
      <c r="Q42" t="s">
        <v>103</v>
      </c>
      <c r="R42" t="s">
        <v>103</v>
      </c>
    </row>
    <row r="43" spans="1:18">
      <c r="A43" s="861" t="s">
        <v>190</v>
      </c>
      <c r="B43" t="s">
        <v>1009</v>
      </c>
      <c r="C43" s="730" t="s">
        <v>110</v>
      </c>
      <c r="D43" s="747">
        <v>553679.90042563505</v>
      </c>
      <c r="E43" s="747">
        <f>VLOOKUP(A43,'[7]2020 Annual Allocation'!$A$4:$B$211,2,FALSE)</f>
        <v>157146.59527679248</v>
      </c>
      <c r="F43" s="747">
        <f>VLOOKUP(A43,'[7]2019 Alloc_Expend Sum'!$A$4:$AD$217,30,FALSE)</f>
        <v>710826.49570242781</v>
      </c>
      <c r="G43" s="694">
        <v>0</v>
      </c>
      <c r="H43" s="749" t="s">
        <v>258</v>
      </c>
      <c r="I43" s="750">
        <f t="shared" si="0"/>
        <v>710826.49570242781</v>
      </c>
      <c r="J43" s="735">
        <v>0</v>
      </c>
      <c r="K43" s="735" t="s">
        <v>103</v>
      </c>
      <c r="L43" s="750">
        <v>0</v>
      </c>
      <c r="M43" s="750" t="s">
        <v>103</v>
      </c>
      <c r="N43" s="736">
        <v>0</v>
      </c>
      <c r="O43" s="693">
        <v>0</v>
      </c>
      <c r="P43" s="752">
        <v>0</v>
      </c>
      <c r="Q43" t="s">
        <v>103</v>
      </c>
      <c r="R43" t="s">
        <v>103</v>
      </c>
    </row>
    <row r="44" spans="1:18">
      <c r="A44" s="861" t="s">
        <v>201</v>
      </c>
      <c r="B44" t="s">
        <v>1009</v>
      </c>
      <c r="C44" s="730" t="s">
        <v>110</v>
      </c>
      <c r="D44" s="747">
        <v>-65177.963823033089</v>
      </c>
      <c r="E44" s="747">
        <f>VLOOKUP(A44,'[7]2020 Annual Allocation'!$A$4:$B$211,2,FALSE)</f>
        <v>45562.693865192836</v>
      </c>
      <c r="F44" s="747">
        <f>VLOOKUP(A44,'[7]2019 Alloc_Expend Sum'!$A$4:$AD$217,30,FALSE)</f>
        <v>-19615.269957840079</v>
      </c>
      <c r="G44" s="694">
        <v>0.43051163778586343</v>
      </c>
      <c r="H44" s="749" t="s">
        <v>258</v>
      </c>
      <c r="I44" s="750">
        <f t="shared" si="0"/>
        <v>-19615.269957840079</v>
      </c>
      <c r="J44" s="735">
        <v>0</v>
      </c>
      <c r="K44" s="735" t="s">
        <v>103</v>
      </c>
      <c r="L44" s="750">
        <v>0</v>
      </c>
      <c r="M44" s="750" t="s">
        <v>103</v>
      </c>
      <c r="N44" s="736">
        <v>0</v>
      </c>
      <c r="O44" s="693">
        <v>0</v>
      </c>
      <c r="P44" s="752">
        <v>0</v>
      </c>
      <c r="Q44" t="s">
        <v>103</v>
      </c>
      <c r="R44" t="s">
        <v>103</v>
      </c>
    </row>
    <row r="45" spans="1:18">
      <c r="A45" s="861" t="s">
        <v>206</v>
      </c>
      <c r="B45" t="s">
        <v>1009</v>
      </c>
      <c r="C45" s="730" t="s">
        <v>110</v>
      </c>
      <c r="D45" s="747">
        <v>856838.46313463629</v>
      </c>
      <c r="E45" s="747">
        <f>VLOOKUP(A45,'[7]2020 Annual Allocation'!$A$4:$B$211,2,FALSE)</f>
        <v>61820.207140245766</v>
      </c>
      <c r="F45" s="747">
        <f>VLOOKUP(A45,'[7]2019 Alloc_Expend Sum'!$A$4:$AD$217,30,FALSE)</f>
        <v>918658.67027488188</v>
      </c>
      <c r="G45" s="694">
        <v>0</v>
      </c>
      <c r="H45" s="749" t="s">
        <v>258</v>
      </c>
      <c r="I45" s="750">
        <f t="shared" si="0"/>
        <v>918658.67027488188</v>
      </c>
      <c r="J45" s="735">
        <v>0</v>
      </c>
      <c r="K45" s="735" t="s">
        <v>103</v>
      </c>
      <c r="L45" s="750">
        <v>0</v>
      </c>
      <c r="M45" s="750" t="s">
        <v>103</v>
      </c>
      <c r="N45" s="736">
        <v>0</v>
      </c>
      <c r="O45" s="693">
        <v>0</v>
      </c>
      <c r="P45" s="752">
        <v>0</v>
      </c>
      <c r="Q45" t="s">
        <v>103</v>
      </c>
      <c r="R45" t="s">
        <v>103</v>
      </c>
    </row>
    <row r="46" spans="1:18">
      <c r="A46" s="861" t="s">
        <v>207</v>
      </c>
      <c r="B46" t="s">
        <v>1009</v>
      </c>
      <c r="C46" s="730" t="s">
        <v>110</v>
      </c>
      <c r="D46" s="747">
        <v>1397300.9854065506</v>
      </c>
      <c r="E46" s="747">
        <f>VLOOKUP(A46,'[7]2020 Annual Allocation'!$A$4:$B$211,2,FALSE)</f>
        <v>40668.987383012514</v>
      </c>
      <c r="F46" s="747">
        <f>VLOOKUP(A46,'[7]2019 Alloc_Expend Sum'!$A$4:$AD$217,30,FALSE)</f>
        <v>1437969.9727895632</v>
      </c>
      <c r="G46" s="694">
        <v>0</v>
      </c>
      <c r="H46" s="749" t="s">
        <v>258</v>
      </c>
      <c r="I46" s="750">
        <f t="shared" si="0"/>
        <v>1437969.9727895632</v>
      </c>
      <c r="J46" s="735">
        <v>0</v>
      </c>
      <c r="K46" s="735" t="s">
        <v>103</v>
      </c>
      <c r="L46" s="750">
        <v>0</v>
      </c>
      <c r="M46" s="750" t="s">
        <v>103</v>
      </c>
      <c r="N46" s="736">
        <v>0</v>
      </c>
      <c r="O46" s="693">
        <v>0</v>
      </c>
      <c r="P46" s="752">
        <v>0</v>
      </c>
      <c r="Q46" t="s">
        <v>103</v>
      </c>
      <c r="R46" t="s">
        <v>103</v>
      </c>
    </row>
    <row r="47" spans="1:18">
      <c r="A47" s="861" t="s">
        <v>208</v>
      </c>
      <c r="B47" t="s">
        <v>1009</v>
      </c>
      <c r="C47" s="730" t="s">
        <v>110</v>
      </c>
      <c r="D47" s="747">
        <v>6205166.8592590373</v>
      </c>
      <c r="E47" s="747">
        <f>VLOOKUP(A47,'[7]2020 Annual Allocation'!$A$4:$B$211,2,FALSE)</f>
        <v>192773.7636530376</v>
      </c>
      <c r="F47" s="747">
        <f>VLOOKUP(A47,'[7]2019 Alloc_Expend Sum'!$A$4:$AD$217,30,FALSE)</f>
        <v>6397940.6229120735</v>
      </c>
      <c r="G47" s="694">
        <v>0</v>
      </c>
      <c r="H47" s="749" t="s">
        <v>258</v>
      </c>
      <c r="I47" s="750">
        <f t="shared" si="0"/>
        <v>6397940.6229120735</v>
      </c>
      <c r="J47" s="735">
        <v>0</v>
      </c>
      <c r="K47" s="735" t="s">
        <v>103</v>
      </c>
      <c r="L47" s="750">
        <v>0</v>
      </c>
      <c r="M47" s="750" t="s">
        <v>103</v>
      </c>
      <c r="N47" s="736">
        <v>0</v>
      </c>
      <c r="O47" s="693">
        <v>0</v>
      </c>
      <c r="P47" s="752">
        <v>0</v>
      </c>
      <c r="Q47" t="s">
        <v>103</v>
      </c>
      <c r="R47" t="s">
        <v>103</v>
      </c>
    </row>
    <row r="48" spans="1:18">
      <c r="A48" s="861" t="s">
        <v>211</v>
      </c>
      <c r="B48" t="s">
        <v>1009</v>
      </c>
      <c r="C48" s="730" t="s">
        <v>110</v>
      </c>
      <c r="D48" s="747">
        <v>312244.94806068891</v>
      </c>
      <c r="E48" s="747">
        <f>VLOOKUP(A48,'[7]2020 Annual Allocation'!$A$4:$B$211,2,FALSE)</f>
        <v>114248.54047537637</v>
      </c>
      <c r="F48" s="747">
        <f>VLOOKUP(A48,'[7]2019 Alloc_Expend Sum'!$A$4:$AD$217,30,FALSE)</f>
        <v>426493.48853606492</v>
      </c>
      <c r="G48" s="694">
        <v>0</v>
      </c>
      <c r="H48" s="749" t="s">
        <v>258</v>
      </c>
      <c r="I48" s="750">
        <f t="shared" si="0"/>
        <v>426493.48853606492</v>
      </c>
      <c r="J48" s="735">
        <v>0</v>
      </c>
      <c r="K48" s="735" t="s">
        <v>103</v>
      </c>
      <c r="L48" s="750">
        <v>0</v>
      </c>
      <c r="M48" s="750" t="s">
        <v>103</v>
      </c>
      <c r="N48" s="736">
        <v>0</v>
      </c>
      <c r="O48" s="693">
        <v>0</v>
      </c>
      <c r="P48" s="752">
        <v>0</v>
      </c>
      <c r="Q48" t="s">
        <v>103</v>
      </c>
      <c r="R48" t="s">
        <v>103</v>
      </c>
    </row>
    <row r="49" spans="1:18">
      <c r="A49" s="861" t="s">
        <v>212</v>
      </c>
      <c r="B49" t="s">
        <v>1009</v>
      </c>
      <c r="C49" s="730" t="s">
        <v>110</v>
      </c>
      <c r="D49" s="747">
        <v>286097.70791036251</v>
      </c>
      <c r="E49" s="747">
        <f>VLOOKUP(A49,'[7]2020 Annual Allocation'!$A$4:$B$211,2,FALSE)</f>
        <v>40888.587159052942</v>
      </c>
      <c r="F49" s="747">
        <f>VLOOKUP(A49,'[7]2019 Alloc_Expend Sum'!$A$4:$AD$217,30,FALSE)</f>
        <v>326986.29506941582</v>
      </c>
      <c r="G49" s="694">
        <v>0</v>
      </c>
      <c r="H49" s="749" t="s">
        <v>258</v>
      </c>
      <c r="I49" s="750">
        <f t="shared" si="0"/>
        <v>326986.29506941582</v>
      </c>
      <c r="J49" s="735">
        <v>0</v>
      </c>
      <c r="K49" s="735" t="s">
        <v>103</v>
      </c>
      <c r="L49" s="750">
        <v>0</v>
      </c>
      <c r="M49" s="750" t="s">
        <v>103</v>
      </c>
      <c r="N49" s="736">
        <v>0</v>
      </c>
      <c r="O49" s="693">
        <v>0</v>
      </c>
      <c r="P49" s="752">
        <v>0</v>
      </c>
      <c r="Q49" t="s">
        <v>103</v>
      </c>
      <c r="R49" t="s">
        <v>103</v>
      </c>
    </row>
    <row r="50" spans="1:18">
      <c r="A50" s="861" t="s">
        <v>218</v>
      </c>
      <c r="B50" t="s">
        <v>1009</v>
      </c>
      <c r="C50" s="730" t="s">
        <v>110</v>
      </c>
      <c r="D50" s="747">
        <v>-173904.92396054641</v>
      </c>
      <c r="E50" s="747">
        <f>VLOOKUP(A50,'[7]2020 Annual Allocation'!$A$4:$B$211,2,FALSE)</f>
        <v>110990.034624105</v>
      </c>
      <c r="F50" s="747">
        <f>VLOOKUP(A50,'[7]2019 Alloc_Expend Sum'!$A$4:$AD$217,30,FALSE)</f>
        <v>-62914.889336442197</v>
      </c>
      <c r="G50" s="694">
        <v>0.56685169573573801</v>
      </c>
      <c r="H50" s="749" t="s">
        <v>258</v>
      </c>
      <c r="I50" s="750">
        <f t="shared" si="0"/>
        <v>-62914.889336442197</v>
      </c>
      <c r="J50" s="735">
        <v>0</v>
      </c>
      <c r="K50" s="735" t="s">
        <v>103</v>
      </c>
      <c r="L50" s="750">
        <v>0</v>
      </c>
      <c r="M50" s="750" t="s">
        <v>103</v>
      </c>
      <c r="N50" s="736">
        <v>0</v>
      </c>
      <c r="O50" s="693">
        <v>0</v>
      </c>
      <c r="P50" s="752">
        <v>0</v>
      </c>
      <c r="Q50" t="s">
        <v>103</v>
      </c>
      <c r="R50" t="s">
        <v>103</v>
      </c>
    </row>
    <row r="51" spans="1:18">
      <c r="A51" s="861" t="s">
        <v>226</v>
      </c>
      <c r="B51" t="s">
        <v>1009</v>
      </c>
      <c r="C51" s="730" t="s">
        <v>110</v>
      </c>
      <c r="D51" s="747">
        <v>1503371.9554317296</v>
      </c>
      <c r="E51" s="747">
        <f>VLOOKUP(A51,'[7]2020 Annual Allocation'!$A$4:$B$211,2,FALSE)</f>
        <v>57350.598997975525</v>
      </c>
      <c r="F51" s="747">
        <f>VLOOKUP(A51,'[7]2019 Alloc_Expend Sum'!$A$4:$AD$217,30,FALSE)</f>
        <v>1560722.554429705</v>
      </c>
      <c r="G51" s="694">
        <v>0</v>
      </c>
      <c r="H51" s="749" t="s">
        <v>258</v>
      </c>
      <c r="I51" s="750">
        <f t="shared" si="0"/>
        <v>1560722.554429705</v>
      </c>
      <c r="J51" s="735">
        <v>0</v>
      </c>
      <c r="K51" s="735" t="s">
        <v>103</v>
      </c>
      <c r="L51" s="750">
        <v>0</v>
      </c>
      <c r="M51" s="750" t="s">
        <v>103</v>
      </c>
      <c r="N51" s="736">
        <v>0</v>
      </c>
      <c r="O51" s="693">
        <v>0</v>
      </c>
      <c r="P51" s="752">
        <v>0</v>
      </c>
      <c r="Q51" t="s">
        <v>103</v>
      </c>
      <c r="R51" t="s">
        <v>103</v>
      </c>
    </row>
    <row r="52" spans="1:18">
      <c r="A52" s="861" t="s">
        <v>227</v>
      </c>
      <c r="B52" t="s">
        <v>1009</v>
      </c>
      <c r="C52" s="730" t="s">
        <v>110</v>
      </c>
      <c r="D52" s="747">
        <v>2819363.7596473033</v>
      </c>
      <c r="E52" s="747">
        <f>VLOOKUP(A52,'[7]2020 Annual Allocation'!$A$4:$B$211,2,FALSE)</f>
        <v>283704.80060867575</v>
      </c>
      <c r="F52" s="747">
        <f>VLOOKUP(A52,'[7]2019 Alloc_Expend Sum'!$A$4:$AD$217,30,FALSE)</f>
        <v>3103068.5602559801</v>
      </c>
      <c r="G52" s="694">
        <v>0</v>
      </c>
      <c r="H52" s="749" t="s">
        <v>258</v>
      </c>
      <c r="I52" s="750">
        <f t="shared" si="0"/>
        <v>3103068.5602559801</v>
      </c>
      <c r="J52" s="735">
        <v>0</v>
      </c>
      <c r="K52" s="735" t="s">
        <v>103</v>
      </c>
      <c r="L52" s="750">
        <v>0</v>
      </c>
      <c r="M52" s="750" t="s">
        <v>103</v>
      </c>
      <c r="N52" s="736">
        <v>0</v>
      </c>
      <c r="O52" s="693">
        <v>0</v>
      </c>
      <c r="P52" s="752">
        <v>0</v>
      </c>
      <c r="Q52" t="s">
        <v>103</v>
      </c>
      <c r="R52" t="s">
        <v>103</v>
      </c>
    </row>
    <row r="53" spans="1:18">
      <c r="A53" s="861" t="s">
        <v>235</v>
      </c>
      <c r="B53" t="s">
        <v>1009</v>
      </c>
      <c r="C53" s="730" t="s">
        <v>110</v>
      </c>
      <c r="D53" s="747">
        <v>7208.418528244074</v>
      </c>
      <c r="E53" s="747">
        <f>VLOOKUP(A53,'[7]2020 Annual Allocation'!$A$4:$B$211,2,FALSE)</f>
        <v>33196.165684878928</v>
      </c>
      <c r="F53" s="747">
        <f>VLOOKUP(A53,'[7]2019 Alloc_Expend Sum'!$A$4:$AD$217,30,FALSE)</f>
        <v>40404.584213122827</v>
      </c>
      <c r="G53" s="694">
        <v>0</v>
      </c>
      <c r="H53" s="749" t="s">
        <v>258</v>
      </c>
      <c r="I53" s="750">
        <f t="shared" si="0"/>
        <v>40404.584213122827</v>
      </c>
      <c r="J53" s="735">
        <v>0</v>
      </c>
      <c r="K53" s="735" t="s">
        <v>103</v>
      </c>
      <c r="L53" s="750">
        <v>0</v>
      </c>
      <c r="M53" s="750" t="s">
        <v>103</v>
      </c>
      <c r="N53" s="736">
        <v>0</v>
      </c>
      <c r="O53" s="693">
        <v>0</v>
      </c>
      <c r="P53" s="752">
        <v>0</v>
      </c>
      <c r="Q53" t="s">
        <v>103</v>
      </c>
      <c r="R53" t="s">
        <v>103</v>
      </c>
    </row>
    <row r="54" spans="1:18">
      <c r="A54" s="861" t="s">
        <v>236</v>
      </c>
      <c r="B54" t="s">
        <v>1009</v>
      </c>
      <c r="C54" s="730" t="s">
        <v>110</v>
      </c>
      <c r="D54" s="747">
        <v>3157149.5383713655</v>
      </c>
      <c r="E54" s="747">
        <f>VLOOKUP(A54,'[7]2020 Annual Allocation'!$A$4:$B$211,2,FALSE)</f>
        <v>215979.75865191905</v>
      </c>
      <c r="F54" s="747">
        <f>VLOOKUP(A54,'[7]2019 Alloc_Expend Sum'!$A$4:$AD$217,30,FALSE)</f>
        <v>215979.75865191905</v>
      </c>
      <c r="G54" s="694">
        <v>0</v>
      </c>
      <c r="H54" s="749" t="s">
        <v>258</v>
      </c>
      <c r="I54" s="750">
        <f t="shared" si="0"/>
        <v>215979.75865191905</v>
      </c>
      <c r="J54" s="735">
        <v>0</v>
      </c>
      <c r="K54" s="735" t="s">
        <v>103</v>
      </c>
      <c r="L54" s="750">
        <v>0</v>
      </c>
      <c r="M54" s="750" t="s">
        <v>103</v>
      </c>
      <c r="N54" s="736">
        <v>0</v>
      </c>
      <c r="O54" s="693">
        <v>0</v>
      </c>
      <c r="P54" s="752">
        <v>0</v>
      </c>
      <c r="Q54" t="s">
        <v>103</v>
      </c>
      <c r="R54" t="s">
        <v>103</v>
      </c>
    </row>
    <row r="55" spans="1:18">
      <c r="A55" s="861" t="s">
        <v>237</v>
      </c>
      <c r="B55" t="s">
        <v>1009</v>
      </c>
      <c r="C55" s="730" t="s">
        <v>110</v>
      </c>
      <c r="D55" s="747">
        <v>1158692.2261248934</v>
      </c>
      <c r="E55" s="747">
        <f>VLOOKUP(A55,'[7]2020 Annual Allocation'!$A$4:$B$211,2,FALSE)</f>
        <v>65922.167087157708</v>
      </c>
      <c r="F55" s="747">
        <f>VLOOKUP(A55,'[7]2019 Alloc_Expend Sum'!$A$4:$AD$217,30,FALSE)</f>
        <v>1224614.3932120516</v>
      </c>
      <c r="G55" s="694">
        <v>0</v>
      </c>
      <c r="H55" s="749" t="s">
        <v>258</v>
      </c>
      <c r="I55" s="750">
        <f t="shared" si="0"/>
        <v>1224614.3932120516</v>
      </c>
      <c r="J55" s="735">
        <v>0</v>
      </c>
      <c r="K55" s="735" t="s">
        <v>103</v>
      </c>
      <c r="L55" s="750">
        <v>0</v>
      </c>
      <c r="M55" s="750" t="s">
        <v>103</v>
      </c>
      <c r="N55" s="736">
        <v>0</v>
      </c>
      <c r="O55" s="693">
        <v>0</v>
      </c>
      <c r="P55" s="752">
        <v>0</v>
      </c>
      <c r="Q55" t="s">
        <v>103</v>
      </c>
      <c r="R55" t="s">
        <v>103</v>
      </c>
    </row>
    <row r="56" spans="1:18">
      <c r="A56" s="861" t="s">
        <v>238</v>
      </c>
      <c r="B56" t="s">
        <v>1009</v>
      </c>
      <c r="C56" s="730" t="s">
        <v>110</v>
      </c>
      <c r="D56" s="747">
        <v>-1272527.5612618753</v>
      </c>
      <c r="E56" s="747">
        <f>VLOOKUP(A56,'[7]2020 Annual Allocation'!$A$4:$B$211,2,FALSE)</f>
        <v>154741.82489745639</v>
      </c>
      <c r="F56" s="747">
        <f>VLOOKUP(A56,'[7]2019 Alloc_Expend Sum'!$A$4:$AD$217,30,FALSE)</f>
        <v>-1117785.7363644191</v>
      </c>
      <c r="G56" s="694">
        <v>7.2235527602517822</v>
      </c>
      <c r="H56" s="749" t="s">
        <v>258</v>
      </c>
      <c r="I56" s="750">
        <f t="shared" si="0"/>
        <v>-1117785.7363644191</v>
      </c>
      <c r="J56" s="735">
        <v>0</v>
      </c>
      <c r="K56" s="735" t="s">
        <v>103</v>
      </c>
      <c r="L56" s="750">
        <v>0</v>
      </c>
      <c r="M56" s="750" t="s">
        <v>103</v>
      </c>
      <c r="N56" s="736">
        <v>0</v>
      </c>
      <c r="O56" s="693">
        <v>0</v>
      </c>
      <c r="P56" s="752">
        <v>0</v>
      </c>
      <c r="Q56" t="s">
        <v>103</v>
      </c>
      <c r="R56" t="s">
        <v>103</v>
      </c>
    </row>
    <row r="57" spans="1:18">
      <c r="A57" s="861" t="s">
        <v>247</v>
      </c>
      <c r="B57" t="s">
        <v>1009</v>
      </c>
      <c r="C57" s="730" t="s">
        <v>110</v>
      </c>
      <c r="D57" s="747">
        <v>76195.225778023188</v>
      </c>
      <c r="E57" s="747">
        <f>VLOOKUP(A57,'[7]2020 Annual Allocation'!$A$4:$B$211,2,FALSE)</f>
        <v>3820.2505854834089</v>
      </c>
      <c r="F57" s="747">
        <f>VLOOKUP(A57,'[7]2019 Alloc_Expend Sum'!$A$4:$AD$217,30,FALSE)</f>
        <v>80015.476363506605</v>
      </c>
      <c r="G57" s="694">
        <v>0</v>
      </c>
      <c r="H57" s="749" t="s">
        <v>258</v>
      </c>
      <c r="I57" s="750">
        <f t="shared" si="0"/>
        <v>80015.476363506605</v>
      </c>
      <c r="J57" s="735">
        <v>0</v>
      </c>
      <c r="K57" s="735" t="s">
        <v>103</v>
      </c>
      <c r="L57" s="750">
        <v>0</v>
      </c>
      <c r="M57" s="750" t="s">
        <v>103</v>
      </c>
      <c r="N57" s="736">
        <v>0</v>
      </c>
      <c r="O57" s="693">
        <v>0</v>
      </c>
      <c r="P57" s="752">
        <v>0</v>
      </c>
      <c r="Q57" t="s">
        <v>103</v>
      </c>
      <c r="R57" t="s">
        <v>103</v>
      </c>
    </row>
    <row r="58" spans="1:18">
      <c r="A58" s="861" t="s">
        <v>248</v>
      </c>
      <c r="B58" t="s">
        <v>1009</v>
      </c>
      <c r="C58" s="730" t="s">
        <v>110</v>
      </c>
      <c r="D58" s="747">
        <v>44306.368665223476</v>
      </c>
      <c r="E58" s="747">
        <f>VLOOKUP(A58,'[7]2020 Annual Allocation'!$A$4:$B$211,2,FALSE)</f>
        <v>105138.38426240723</v>
      </c>
      <c r="F58" s="747">
        <f>VLOOKUP(A58,'[7]2019 Alloc_Expend Sum'!$A$4:$AD$217,30,FALSE)</f>
        <v>149444.7529276307</v>
      </c>
      <c r="G58" s="694">
        <v>53.155623624473812</v>
      </c>
      <c r="H58" s="749" t="s">
        <v>258</v>
      </c>
      <c r="I58" s="750">
        <f t="shared" si="0"/>
        <v>149444.7529276307</v>
      </c>
      <c r="J58" s="735">
        <v>0</v>
      </c>
      <c r="K58" s="735" t="s">
        <v>103</v>
      </c>
      <c r="L58" s="750">
        <v>0</v>
      </c>
      <c r="M58" s="750" t="s">
        <v>103</v>
      </c>
      <c r="N58" s="736">
        <v>0</v>
      </c>
      <c r="O58" s="693">
        <v>0</v>
      </c>
      <c r="P58" s="752">
        <v>0</v>
      </c>
      <c r="Q58" t="s">
        <v>103</v>
      </c>
      <c r="R58" t="s">
        <v>103</v>
      </c>
    </row>
    <row r="59" spans="1:18">
      <c r="A59" s="861" t="s">
        <v>259</v>
      </c>
      <c r="B59" t="s">
        <v>1009</v>
      </c>
      <c r="C59" s="730" t="s">
        <v>110</v>
      </c>
      <c r="D59" s="747">
        <v>914513.47002038592</v>
      </c>
      <c r="E59" s="747">
        <f>VLOOKUP(A59,'[7]2020 Annual Allocation'!$A$4:$B$211,2,FALSE)</f>
        <v>23517.236177476327</v>
      </c>
      <c r="F59" s="747">
        <f>VLOOKUP(A59,'[7]2019 Alloc_Expend Sum'!$A$4:$AD$217,30,FALSE)</f>
        <v>938030.70619786228</v>
      </c>
      <c r="G59" s="694">
        <v>0</v>
      </c>
      <c r="H59" s="749" t="s">
        <v>258</v>
      </c>
      <c r="I59" s="750">
        <f t="shared" si="0"/>
        <v>938030.70619786228</v>
      </c>
      <c r="J59" s="735">
        <v>0</v>
      </c>
      <c r="K59" s="735" t="s">
        <v>103</v>
      </c>
      <c r="L59" s="750">
        <v>0</v>
      </c>
      <c r="M59" s="750" t="s">
        <v>103</v>
      </c>
      <c r="N59" s="736">
        <v>0</v>
      </c>
      <c r="O59" s="693">
        <v>0</v>
      </c>
      <c r="P59" s="752">
        <v>0</v>
      </c>
      <c r="Q59" t="s">
        <v>103</v>
      </c>
      <c r="R59" t="s">
        <v>103</v>
      </c>
    </row>
    <row r="60" spans="1:18">
      <c r="A60" s="861" t="s">
        <v>260</v>
      </c>
      <c r="B60" t="s">
        <v>1009</v>
      </c>
      <c r="C60" s="730" t="s">
        <v>110</v>
      </c>
      <c r="D60" s="747">
        <v>1242046.6651622807</v>
      </c>
      <c r="E60" s="747">
        <f>VLOOKUP(A60,'[7]2020 Annual Allocation'!$A$4:$B$211,2,FALSE)</f>
        <v>185616.52289026824</v>
      </c>
      <c r="F60" s="747">
        <f>VLOOKUP(A60,'[7]2019 Alloc_Expend Sum'!$A$4:$AD$217,30,FALSE)</f>
        <v>1427663.1880525486</v>
      </c>
      <c r="G60" s="694">
        <v>0</v>
      </c>
      <c r="H60" s="749" t="s">
        <v>258</v>
      </c>
      <c r="I60" s="750">
        <f t="shared" si="0"/>
        <v>1427663.1880525486</v>
      </c>
      <c r="J60" s="735">
        <v>0</v>
      </c>
      <c r="K60" s="735" t="s">
        <v>103</v>
      </c>
      <c r="L60" s="750">
        <v>0</v>
      </c>
      <c r="M60" s="750" t="s">
        <v>103</v>
      </c>
      <c r="N60" s="736">
        <v>0</v>
      </c>
      <c r="O60" s="693">
        <v>0</v>
      </c>
      <c r="P60" s="752">
        <v>0</v>
      </c>
      <c r="Q60" t="s">
        <v>103</v>
      </c>
      <c r="R60" t="s">
        <v>103</v>
      </c>
    </row>
    <row r="61" spans="1:18">
      <c r="A61" s="861" t="s">
        <v>264</v>
      </c>
      <c r="B61" t="s">
        <v>1009</v>
      </c>
      <c r="C61" s="730" t="s">
        <v>110</v>
      </c>
      <c r="D61" s="747">
        <v>524505.52753975103</v>
      </c>
      <c r="E61" s="747">
        <f>VLOOKUP(A61,'[7]2020 Annual Allocation'!$A$4:$B$211,2,FALSE)</f>
        <v>82669.527604724775</v>
      </c>
      <c r="F61" s="747">
        <f>VLOOKUP(A61,'[7]2019 Alloc_Expend Sum'!$A$4:$AD$217,30,FALSE)</f>
        <v>607175.05514447624</v>
      </c>
      <c r="G61" s="694">
        <v>0</v>
      </c>
      <c r="H61" s="749" t="s">
        <v>258</v>
      </c>
      <c r="I61" s="750">
        <f t="shared" si="0"/>
        <v>607175.05514447624</v>
      </c>
      <c r="J61" s="735">
        <v>0</v>
      </c>
      <c r="K61" s="735" t="s">
        <v>103</v>
      </c>
      <c r="L61" s="750">
        <v>0</v>
      </c>
      <c r="M61" s="750" t="s">
        <v>103</v>
      </c>
      <c r="N61" s="736">
        <v>0</v>
      </c>
      <c r="O61" s="693">
        <v>0</v>
      </c>
      <c r="P61" s="752">
        <v>0</v>
      </c>
      <c r="Q61" t="s">
        <v>103</v>
      </c>
      <c r="R61" t="s">
        <v>103</v>
      </c>
    </row>
    <row r="62" spans="1:18">
      <c r="A62" s="861" t="s">
        <v>265</v>
      </c>
      <c r="B62" t="s">
        <v>1009</v>
      </c>
      <c r="C62" s="730" t="s">
        <v>110</v>
      </c>
      <c r="D62" s="747">
        <v>20882.610687681634</v>
      </c>
      <c r="E62" s="747">
        <f>VLOOKUP(A62,'[7]2020 Annual Allocation'!$A$4:$B$211,2,FALSE)</f>
        <v>4012.5946248855271</v>
      </c>
      <c r="F62" s="747">
        <f>VLOOKUP(A62,'[7]2019 Alloc_Expend Sum'!$A$4:$AD$217,30,FALSE)</f>
        <v>24895.205312567174</v>
      </c>
      <c r="G62" s="694">
        <v>0</v>
      </c>
      <c r="H62" s="749" t="s">
        <v>258</v>
      </c>
      <c r="I62" s="750">
        <f t="shared" si="0"/>
        <v>24895.205312567174</v>
      </c>
      <c r="J62" s="735">
        <v>0</v>
      </c>
      <c r="K62" s="735" t="s">
        <v>103</v>
      </c>
      <c r="L62" s="750">
        <v>0</v>
      </c>
      <c r="M62" s="750" t="s">
        <v>103</v>
      </c>
      <c r="N62" s="736">
        <v>0</v>
      </c>
      <c r="O62" s="693">
        <v>0</v>
      </c>
      <c r="P62" s="752">
        <v>0</v>
      </c>
      <c r="Q62" t="s">
        <v>103</v>
      </c>
      <c r="R62" t="s">
        <v>103</v>
      </c>
    </row>
    <row r="63" spans="1:18">
      <c r="A63" s="861" t="s">
        <v>266</v>
      </c>
      <c r="B63" t="s">
        <v>1009</v>
      </c>
      <c r="C63" s="730" t="s">
        <v>110</v>
      </c>
      <c r="D63" s="747">
        <v>2877515.4377836771</v>
      </c>
      <c r="E63" s="747">
        <f>VLOOKUP(A63,'[7]2020 Annual Allocation'!$A$4:$B$211,2,FALSE)</f>
        <v>120787.37601229401</v>
      </c>
      <c r="F63" s="747">
        <f>VLOOKUP(A63,'[7]2019 Alloc_Expend Sum'!$A$4:$AD$217,30,FALSE)</f>
        <v>2998302.8137959712</v>
      </c>
      <c r="G63" s="694">
        <v>0</v>
      </c>
      <c r="H63" s="749" t="s">
        <v>258</v>
      </c>
      <c r="I63" s="750">
        <f t="shared" si="0"/>
        <v>2998302.8137959712</v>
      </c>
      <c r="J63" s="735">
        <v>0</v>
      </c>
      <c r="K63" s="735" t="s">
        <v>103</v>
      </c>
      <c r="L63" s="750">
        <v>0</v>
      </c>
      <c r="M63" s="750" t="s">
        <v>103</v>
      </c>
      <c r="N63" s="736">
        <v>0</v>
      </c>
      <c r="O63" s="693">
        <v>0</v>
      </c>
      <c r="P63" s="752">
        <v>0</v>
      </c>
      <c r="Q63" t="s">
        <v>103</v>
      </c>
      <c r="R63" t="s">
        <v>103</v>
      </c>
    </row>
    <row r="64" spans="1:18">
      <c r="A64" s="861" t="s">
        <v>271</v>
      </c>
      <c r="B64" t="s">
        <v>1009</v>
      </c>
      <c r="C64" s="730" t="s">
        <v>110</v>
      </c>
      <c r="D64" s="747">
        <v>458800.45618720795</v>
      </c>
      <c r="E64" s="747">
        <f>VLOOKUP(A64,'[7]2020 Annual Allocation'!$A$4:$B$211,2,FALSE)</f>
        <v>9946.9372388606644</v>
      </c>
      <c r="F64" s="747">
        <f>VLOOKUP(A64,'[7]2019 Alloc_Expend Sum'!$A$4:$AD$217,30,FALSE)</f>
        <v>468747.39342606865</v>
      </c>
      <c r="G64" s="694">
        <v>0</v>
      </c>
      <c r="H64" s="749" t="s">
        <v>258</v>
      </c>
      <c r="I64" s="750">
        <f t="shared" si="0"/>
        <v>468747.39342606865</v>
      </c>
      <c r="J64" s="735">
        <v>0</v>
      </c>
      <c r="K64" s="735" t="s">
        <v>103</v>
      </c>
      <c r="L64" s="750">
        <v>0</v>
      </c>
      <c r="M64" s="750" t="s">
        <v>103</v>
      </c>
      <c r="N64" s="736">
        <v>0</v>
      </c>
      <c r="O64" s="693">
        <v>0</v>
      </c>
      <c r="P64" s="752">
        <v>0</v>
      </c>
      <c r="Q64" t="s">
        <v>103</v>
      </c>
      <c r="R64" t="s">
        <v>103</v>
      </c>
    </row>
    <row r="65" spans="1:18">
      <c r="A65" s="861" t="s">
        <v>272</v>
      </c>
      <c r="B65" t="s">
        <v>1009</v>
      </c>
      <c r="C65" s="730" t="s">
        <v>110</v>
      </c>
      <c r="D65" s="747">
        <v>1666712.0533655058</v>
      </c>
      <c r="E65" s="747">
        <f>VLOOKUP(A65,'[7]2020 Annual Allocation'!$A$4:$B$211,2,FALSE)</f>
        <v>325361.43535684905</v>
      </c>
      <c r="F65" s="747">
        <f>VLOOKUP(A65,'[7]2019 Alloc_Expend Sum'!$A$4:$AD$217,30,FALSE)</f>
        <v>1992073.4887223553</v>
      </c>
      <c r="G65" s="694">
        <v>0</v>
      </c>
      <c r="H65" s="749" t="s">
        <v>258</v>
      </c>
      <c r="I65" s="750">
        <f t="shared" si="0"/>
        <v>1992073.4887223553</v>
      </c>
      <c r="J65" s="735">
        <v>0</v>
      </c>
      <c r="K65" s="735" t="s">
        <v>103</v>
      </c>
      <c r="L65" s="750">
        <v>0</v>
      </c>
      <c r="M65" s="750" t="s">
        <v>103</v>
      </c>
      <c r="N65" s="736">
        <v>0</v>
      </c>
      <c r="O65" s="693">
        <v>0</v>
      </c>
      <c r="P65" s="752">
        <v>0</v>
      </c>
      <c r="Q65" t="s">
        <v>103</v>
      </c>
      <c r="R65" t="s">
        <v>103</v>
      </c>
    </row>
    <row r="66" spans="1:18">
      <c r="A66" s="861" t="s">
        <v>276</v>
      </c>
      <c r="B66" t="s">
        <v>1009</v>
      </c>
      <c r="C66" s="730" t="s">
        <v>110</v>
      </c>
      <c r="D66" s="747">
        <v>-103365.31417775956</v>
      </c>
      <c r="E66" s="747">
        <f>VLOOKUP(A66,'[7]2020 Annual Allocation'!$A$4:$B$211,2,FALSE)</f>
        <v>7154.2077556142376</v>
      </c>
      <c r="F66" s="747">
        <f>VLOOKUP(A66,'[7]2019 Alloc_Expend Sum'!$A$4:$AD$217,30,FALSE)</f>
        <v>-96211.106422145342</v>
      </c>
      <c r="G66" s="694">
        <v>13.448184580136639</v>
      </c>
      <c r="H66" s="749" t="s">
        <v>258</v>
      </c>
      <c r="I66" s="750">
        <f t="shared" si="0"/>
        <v>-96211.106422145342</v>
      </c>
      <c r="J66" s="735">
        <v>0</v>
      </c>
      <c r="K66" s="735" t="s">
        <v>103</v>
      </c>
      <c r="L66" s="750">
        <v>0</v>
      </c>
      <c r="M66" s="750" t="s">
        <v>103</v>
      </c>
      <c r="N66" s="736">
        <v>0</v>
      </c>
      <c r="O66" s="693">
        <v>0</v>
      </c>
      <c r="P66" s="752">
        <v>0</v>
      </c>
      <c r="Q66" t="s">
        <v>103</v>
      </c>
      <c r="R66" t="s">
        <v>103</v>
      </c>
    </row>
    <row r="67" spans="1:18">
      <c r="A67" s="861" t="s">
        <v>277</v>
      </c>
      <c r="B67" t="s">
        <v>1009</v>
      </c>
      <c r="C67" s="730" t="s">
        <v>110</v>
      </c>
      <c r="D67" s="747">
        <v>-3465160.7588787847</v>
      </c>
      <c r="E67" s="747">
        <f>VLOOKUP(A67,'[7]2020 Annual Allocation'!$A$4:$B$211,2,FALSE)</f>
        <v>56866.132251630232</v>
      </c>
      <c r="F67" s="747">
        <f>VLOOKUP(A67,'[7]2019 Alloc_Expend Sum'!$A$4:$AD$217,30,FALSE)</f>
        <v>-3408294.6266271542</v>
      </c>
      <c r="G67" s="694">
        <v>59.935404285024951</v>
      </c>
      <c r="H67" s="749" t="s">
        <v>258</v>
      </c>
      <c r="I67" s="750">
        <f t="shared" si="0"/>
        <v>-3408294.6266271542</v>
      </c>
      <c r="J67" s="735">
        <v>0</v>
      </c>
      <c r="K67" s="735" t="s">
        <v>103</v>
      </c>
      <c r="L67" s="750">
        <v>0</v>
      </c>
      <c r="M67" s="750" t="s">
        <v>103</v>
      </c>
      <c r="N67" s="736">
        <v>0</v>
      </c>
      <c r="O67" s="693">
        <v>0</v>
      </c>
      <c r="P67" s="752">
        <v>0</v>
      </c>
      <c r="Q67" t="s">
        <v>103</v>
      </c>
      <c r="R67" t="s">
        <v>103</v>
      </c>
    </row>
    <row r="68" spans="1:18">
      <c r="A68" s="861" t="s">
        <v>278</v>
      </c>
      <c r="B68" t="s">
        <v>1009</v>
      </c>
      <c r="C68" s="730" t="s">
        <v>110</v>
      </c>
      <c r="D68" s="747">
        <v>212742.49291285599</v>
      </c>
      <c r="E68" s="747">
        <f>VLOOKUP(A68,'[7]2020 Annual Allocation'!$A$4:$B$211,2,FALSE)</f>
        <v>13471.110971924223</v>
      </c>
      <c r="F68" s="747">
        <f>VLOOKUP(A68,'[7]2019 Alloc_Expend Sum'!$A$4:$AD$217,30,FALSE)</f>
        <v>226213.60388478014</v>
      </c>
      <c r="G68" s="694">
        <v>0</v>
      </c>
      <c r="H68" s="749" t="s">
        <v>258</v>
      </c>
      <c r="I68" s="750">
        <f t="shared" si="0"/>
        <v>226213.60388478014</v>
      </c>
      <c r="J68" s="735">
        <v>0</v>
      </c>
      <c r="K68" s="735" t="s">
        <v>103</v>
      </c>
      <c r="L68" s="750">
        <v>0</v>
      </c>
      <c r="M68" s="750" t="s">
        <v>103</v>
      </c>
      <c r="N68" s="736">
        <v>0</v>
      </c>
      <c r="O68" s="693">
        <v>0</v>
      </c>
      <c r="P68" s="752">
        <v>0</v>
      </c>
      <c r="Q68" t="s">
        <v>103</v>
      </c>
      <c r="R68" t="s">
        <v>103</v>
      </c>
    </row>
    <row r="69" spans="1:18">
      <c r="A69" s="861" t="s">
        <v>284</v>
      </c>
      <c r="B69" t="s">
        <v>1009</v>
      </c>
      <c r="C69" s="730" t="s">
        <v>110</v>
      </c>
      <c r="D69" s="747">
        <v>1671563.6866574055</v>
      </c>
      <c r="E69" s="747">
        <f>VLOOKUP(A69,'[7]2020 Annual Allocation'!$A$4:$B$211,2,FALSE)</f>
        <v>89082.447325716639</v>
      </c>
      <c r="F69" s="747">
        <f>VLOOKUP(A69,'[7]2019 Alloc_Expend Sum'!$A$4:$AD$217,30,FALSE)</f>
        <v>1760646.1339831222</v>
      </c>
      <c r="G69" s="694">
        <v>0</v>
      </c>
      <c r="H69" s="749" t="s">
        <v>258</v>
      </c>
      <c r="I69" s="750">
        <f t="shared" si="0"/>
        <v>1760646.1339831222</v>
      </c>
      <c r="J69" s="735">
        <v>0</v>
      </c>
      <c r="K69" s="735" t="s">
        <v>103</v>
      </c>
      <c r="L69" s="750">
        <v>0</v>
      </c>
      <c r="M69" s="750" t="s">
        <v>103</v>
      </c>
      <c r="N69" s="736">
        <v>0</v>
      </c>
      <c r="O69" s="693">
        <v>0</v>
      </c>
      <c r="P69" s="752">
        <v>0</v>
      </c>
      <c r="Q69" t="s">
        <v>103</v>
      </c>
      <c r="R69" t="s">
        <v>103</v>
      </c>
    </row>
    <row r="70" spans="1:18">
      <c r="A70" s="861" t="s">
        <v>285</v>
      </c>
      <c r="B70" t="s">
        <v>1009</v>
      </c>
      <c r="C70" s="730" t="s">
        <v>110</v>
      </c>
      <c r="D70" s="747">
        <v>68778.073193043107</v>
      </c>
      <c r="E70" s="747">
        <f>VLOOKUP(A70,'[7]2020 Annual Allocation'!$A$4:$B$211,2,FALSE)</f>
        <v>67328.977923879793</v>
      </c>
      <c r="F70" s="747">
        <f>VLOOKUP(A70,'[7]2019 Alloc_Expend Sum'!$A$4:$AD$217,30,FALSE)</f>
        <v>136107.05111692235</v>
      </c>
      <c r="G70" s="694">
        <v>0</v>
      </c>
      <c r="H70" s="749" t="s">
        <v>258</v>
      </c>
      <c r="I70" s="750">
        <f t="shared" si="0"/>
        <v>136107.05111692235</v>
      </c>
      <c r="J70" s="735">
        <v>0</v>
      </c>
      <c r="K70" s="735" t="s">
        <v>103</v>
      </c>
      <c r="L70" s="750">
        <v>0</v>
      </c>
      <c r="M70" s="750" t="s">
        <v>103</v>
      </c>
      <c r="N70" s="736">
        <v>0</v>
      </c>
      <c r="O70" s="693">
        <v>0</v>
      </c>
      <c r="P70" s="752">
        <v>0</v>
      </c>
      <c r="Q70" t="s">
        <v>103</v>
      </c>
      <c r="R70" t="s">
        <v>103</v>
      </c>
    </row>
    <row r="71" spans="1:18">
      <c r="A71" s="861" t="s">
        <v>289</v>
      </c>
      <c r="B71" t="s">
        <v>1009</v>
      </c>
      <c r="C71" t="s">
        <v>104</v>
      </c>
      <c r="D71" s="747">
        <v>228138.54633873564</v>
      </c>
      <c r="E71" s="747">
        <f>VLOOKUP(A71,'[7]2020 Annual Allocation'!$A$4:$B$211,2,FALSE)</f>
        <v>38290.285198556783</v>
      </c>
      <c r="F71" s="747">
        <f>VLOOKUP(A71,'[7]2019 Alloc_Expend Sum'!$A$4:$AD$217,30,FALSE)</f>
        <v>266428.8315372924</v>
      </c>
      <c r="G71" s="694">
        <v>0</v>
      </c>
      <c r="H71" s="749" t="s">
        <v>258</v>
      </c>
      <c r="I71" s="750">
        <f t="shared" si="0"/>
        <v>266428.8315372924</v>
      </c>
      <c r="J71" s="735">
        <v>0</v>
      </c>
      <c r="K71" s="735" t="s">
        <v>103</v>
      </c>
      <c r="L71" s="750">
        <v>0</v>
      </c>
      <c r="M71" s="750" t="s">
        <v>103</v>
      </c>
      <c r="N71" s="752">
        <v>0</v>
      </c>
      <c r="O71" s="693">
        <v>0</v>
      </c>
      <c r="P71" s="752">
        <v>0</v>
      </c>
      <c r="Q71" t="s">
        <v>103</v>
      </c>
      <c r="R71" t="s">
        <v>103</v>
      </c>
    </row>
    <row r="72" spans="1:18">
      <c r="A72" s="861" t="s">
        <v>295</v>
      </c>
      <c r="B72" t="s">
        <v>1009</v>
      </c>
      <c r="C72" s="730" t="s">
        <v>110</v>
      </c>
      <c r="D72" s="747">
        <v>4601413.9751143735</v>
      </c>
      <c r="E72" s="747">
        <f>VLOOKUP(A72,'[7]2020 Annual Allocation'!$A$4:$B$211,2,FALSE)</f>
        <v>202159.58182157352</v>
      </c>
      <c r="F72" s="747">
        <f>VLOOKUP(A72,'[7]2019 Alloc_Expend Sum'!$A$4:$AD$217,30,FALSE)</f>
        <v>4803573.5569359474</v>
      </c>
      <c r="G72" s="694">
        <v>0</v>
      </c>
      <c r="H72" s="749" t="s">
        <v>258</v>
      </c>
      <c r="I72" s="750">
        <f t="shared" si="0"/>
        <v>4803573.5569359474</v>
      </c>
      <c r="J72" s="735">
        <v>0</v>
      </c>
      <c r="K72" s="735" t="s">
        <v>103</v>
      </c>
      <c r="L72" s="750">
        <v>0</v>
      </c>
      <c r="M72" s="750" t="s">
        <v>103</v>
      </c>
      <c r="N72" s="736">
        <v>0</v>
      </c>
      <c r="O72" s="693">
        <v>0</v>
      </c>
      <c r="P72" s="752">
        <v>0</v>
      </c>
      <c r="Q72" t="s">
        <v>103</v>
      </c>
      <c r="R72" t="s">
        <v>103</v>
      </c>
    </row>
    <row r="73" spans="1:18">
      <c r="A73" s="861" t="s">
        <v>303</v>
      </c>
      <c r="B73" t="s">
        <v>1009</v>
      </c>
      <c r="C73" s="730" t="s">
        <v>110</v>
      </c>
      <c r="D73" s="747">
        <v>3626269.1906499621</v>
      </c>
      <c r="E73" s="747">
        <f>VLOOKUP(A73,'[7]2020 Annual Allocation'!$A$4:$B$211,2,FALSE)</f>
        <v>117758.01506305445</v>
      </c>
      <c r="F73" s="747">
        <f>VLOOKUP(A73,'[7]2019 Alloc_Expend Sum'!$A$4:$AD$217,30,FALSE)</f>
        <v>3744027.2057130155</v>
      </c>
      <c r="G73" s="694">
        <v>0</v>
      </c>
      <c r="H73" s="749" t="s">
        <v>258</v>
      </c>
      <c r="I73" s="750">
        <f t="shared" ref="I73:I136" si="1">F73</f>
        <v>3744027.2057130155</v>
      </c>
      <c r="J73" s="735">
        <v>0</v>
      </c>
      <c r="K73" s="735" t="s">
        <v>103</v>
      </c>
      <c r="L73" s="750">
        <v>0</v>
      </c>
      <c r="M73" s="750" t="s">
        <v>103</v>
      </c>
      <c r="N73" s="736">
        <v>0</v>
      </c>
      <c r="O73" s="693">
        <v>0</v>
      </c>
      <c r="P73" s="752">
        <v>0</v>
      </c>
      <c r="Q73" t="s">
        <v>103</v>
      </c>
      <c r="R73" t="s">
        <v>103</v>
      </c>
    </row>
    <row r="74" spans="1:18">
      <c r="A74" s="861" t="s">
        <v>309</v>
      </c>
      <c r="B74" t="s">
        <v>1009</v>
      </c>
      <c r="C74" s="730" t="s">
        <v>110</v>
      </c>
      <c r="D74" s="747">
        <v>-508328.16275957867</v>
      </c>
      <c r="E74" s="747">
        <f>VLOOKUP(A74,'[7]2020 Annual Allocation'!$A$4:$B$211,2,FALSE)</f>
        <v>78225.06501149504</v>
      </c>
      <c r="F74" s="747">
        <f>VLOOKUP(A74,'[7]2019 Alloc_Expend Sum'!$A$4:$AD$217,30,FALSE)</f>
        <v>-430103.09774808376</v>
      </c>
      <c r="G74" s="694">
        <v>5.4982772808802505</v>
      </c>
      <c r="H74" s="749" t="s">
        <v>258</v>
      </c>
      <c r="I74" s="750">
        <f t="shared" si="1"/>
        <v>-430103.09774808376</v>
      </c>
      <c r="J74" s="735">
        <v>0</v>
      </c>
      <c r="K74" s="735" t="s">
        <v>103</v>
      </c>
      <c r="L74" s="750">
        <v>0</v>
      </c>
      <c r="M74" s="750" t="s">
        <v>103</v>
      </c>
      <c r="N74" s="736">
        <v>0</v>
      </c>
      <c r="O74" s="693">
        <v>0</v>
      </c>
      <c r="P74" s="752">
        <v>0</v>
      </c>
      <c r="Q74" t="s">
        <v>103</v>
      </c>
      <c r="R74" t="s">
        <v>103</v>
      </c>
    </row>
    <row r="75" spans="1:18">
      <c r="A75" s="861" t="s">
        <v>313</v>
      </c>
      <c r="B75" t="s">
        <v>1009</v>
      </c>
      <c r="C75" s="730" t="s">
        <v>110</v>
      </c>
      <c r="D75" s="747">
        <v>86809.594157667045</v>
      </c>
      <c r="E75" s="747">
        <f>VLOOKUP(A75,'[7]2020 Annual Allocation'!$A$4:$B$211,2,FALSE)</f>
        <v>58904.060027425941</v>
      </c>
      <c r="F75" s="747">
        <f>VLOOKUP(A75,'[7]2019 Alloc_Expend Sum'!$A$4:$AD$217,30,FALSE)</f>
        <v>145713.65418509376</v>
      </c>
      <c r="G75" s="694">
        <v>0</v>
      </c>
      <c r="H75" s="749" t="s">
        <v>258</v>
      </c>
      <c r="I75" s="750">
        <f t="shared" si="1"/>
        <v>145713.65418509376</v>
      </c>
      <c r="J75" s="735">
        <v>0</v>
      </c>
      <c r="K75" s="735" t="s">
        <v>103</v>
      </c>
      <c r="L75" s="750">
        <v>0</v>
      </c>
      <c r="M75" s="750" t="s">
        <v>103</v>
      </c>
      <c r="N75" s="736">
        <v>0</v>
      </c>
      <c r="O75" s="693">
        <v>0</v>
      </c>
      <c r="P75" s="752">
        <v>0</v>
      </c>
      <c r="Q75" t="s">
        <v>103</v>
      </c>
      <c r="R75" t="s">
        <v>103</v>
      </c>
    </row>
    <row r="76" spans="1:18">
      <c r="A76" s="861" t="s">
        <v>314</v>
      </c>
      <c r="B76" t="s">
        <v>1009</v>
      </c>
      <c r="C76" s="730" t="s">
        <v>110</v>
      </c>
      <c r="D76" s="747">
        <v>18242070.553424023</v>
      </c>
      <c r="E76" s="747">
        <f>VLOOKUP(A76,'[7]2020 Annual Allocation'!$A$4:$B$211,2,FALSE)</f>
        <v>1185280.286574044</v>
      </c>
      <c r="F76" s="747">
        <f>VLOOKUP(A76,'[7]2019 Alloc_Expend Sum'!$A$4:$AD$217,30,FALSE)</f>
        <v>19710163.969998062</v>
      </c>
      <c r="G76" s="694">
        <v>0</v>
      </c>
      <c r="H76" s="749" t="s">
        <v>258</v>
      </c>
      <c r="I76" s="750">
        <f t="shared" si="1"/>
        <v>19710163.969998062</v>
      </c>
      <c r="J76" s="735">
        <v>0</v>
      </c>
      <c r="K76" s="735" t="s">
        <v>103</v>
      </c>
      <c r="L76" s="750">
        <v>0</v>
      </c>
      <c r="M76" s="750" t="s">
        <v>103</v>
      </c>
      <c r="N76" s="736">
        <v>0</v>
      </c>
      <c r="O76" s="693">
        <v>0</v>
      </c>
      <c r="P76" s="752">
        <v>0</v>
      </c>
      <c r="Q76" t="s">
        <v>103</v>
      </c>
      <c r="R76" t="s">
        <v>103</v>
      </c>
    </row>
    <row r="77" spans="1:18">
      <c r="A77" s="861" t="s">
        <v>324</v>
      </c>
      <c r="B77" t="s">
        <v>1009</v>
      </c>
      <c r="C77" s="730" t="s">
        <v>110</v>
      </c>
      <c r="D77" s="747">
        <v>84818.540487572289</v>
      </c>
      <c r="E77" s="747">
        <f>VLOOKUP(A77,'[7]2020 Annual Allocation'!$A$4:$B$211,2,FALSE)</f>
        <v>2149.8139040223232</v>
      </c>
      <c r="F77" s="747">
        <f>VLOOKUP(A77,'[7]2019 Alloc_Expend Sum'!$A$4:$AD$217,30,FALSE)</f>
        <v>86968.354391594607</v>
      </c>
      <c r="G77" s="694">
        <v>0</v>
      </c>
      <c r="H77" s="749" t="s">
        <v>258</v>
      </c>
      <c r="I77" s="750">
        <f t="shared" si="1"/>
        <v>86968.354391594607</v>
      </c>
      <c r="J77" s="735">
        <v>0</v>
      </c>
      <c r="K77" s="735" t="s">
        <v>103</v>
      </c>
      <c r="L77" s="750">
        <v>0</v>
      </c>
      <c r="M77" s="750" t="s">
        <v>103</v>
      </c>
      <c r="N77" s="736">
        <v>0</v>
      </c>
      <c r="O77" s="693">
        <v>0</v>
      </c>
      <c r="P77" s="752">
        <v>0</v>
      </c>
      <c r="Q77" t="s">
        <v>103</v>
      </c>
      <c r="R77" t="s">
        <v>103</v>
      </c>
    </row>
    <row r="78" spans="1:18">
      <c r="A78" s="861" t="s">
        <v>325</v>
      </c>
      <c r="B78" t="s">
        <v>1009</v>
      </c>
      <c r="C78" s="730" t="s">
        <v>110</v>
      </c>
      <c r="D78" s="747">
        <v>2900079.6965769781</v>
      </c>
      <c r="E78" s="747">
        <f>VLOOKUP(A78,'[7]2020 Annual Allocation'!$A$4:$B$211,2,FALSE)</f>
        <v>130460.92782264046</v>
      </c>
      <c r="F78" s="747">
        <f>VLOOKUP(A78,'[7]2019 Alloc_Expend Sum'!$A$4:$AD$217,30,FALSE)</f>
        <v>308325.62439961761</v>
      </c>
      <c r="G78" s="694">
        <v>0</v>
      </c>
      <c r="H78" s="749" t="s">
        <v>258</v>
      </c>
      <c r="I78" s="750">
        <f t="shared" si="1"/>
        <v>308325.62439961761</v>
      </c>
      <c r="J78" s="735">
        <v>0</v>
      </c>
      <c r="K78" s="735" t="s">
        <v>103</v>
      </c>
      <c r="L78" s="750">
        <v>0</v>
      </c>
      <c r="M78" s="750" t="s">
        <v>103</v>
      </c>
      <c r="N78" s="736">
        <v>0</v>
      </c>
      <c r="O78" s="693">
        <v>0</v>
      </c>
      <c r="P78" s="752">
        <v>0</v>
      </c>
      <c r="Q78" t="s">
        <v>103</v>
      </c>
      <c r="R78" t="s">
        <v>103</v>
      </c>
    </row>
    <row r="79" spans="1:18">
      <c r="A79" s="861" t="s">
        <v>330</v>
      </c>
      <c r="B79" t="s">
        <v>1009</v>
      </c>
      <c r="C79" s="730" t="s">
        <v>110</v>
      </c>
      <c r="D79" s="747">
        <v>-381408.45157547982</v>
      </c>
      <c r="E79" s="747">
        <f>VLOOKUP(A79,'[7]2020 Annual Allocation'!$A$4:$B$211,2,FALSE)</f>
        <v>27814.52569766892</v>
      </c>
      <c r="F79" s="747">
        <f>VLOOKUP(A79,'[7]2019 Alloc_Expend Sum'!$A$4:$AD$217,30,FALSE)</f>
        <v>-353593.92587781104</v>
      </c>
      <c r="G79" s="694">
        <v>12.712563561975283</v>
      </c>
      <c r="H79" s="749" t="s">
        <v>258</v>
      </c>
      <c r="I79" s="750">
        <f t="shared" si="1"/>
        <v>-353593.92587781104</v>
      </c>
      <c r="J79" s="735">
        <v>0</v>
      </c>
      <c r="K79" s="735" t="s">
        <v>103</v>
      </c>
      <c r="L79" s="750">
        <v>0</v>
      </c>
      <c r="M79" s="750" t="s">
        <v>103</v>
      </c>
      <c r="N79" s="736">
        <v>0</v>
      </c>
      <c r="O79" s="693">
        <v>0</v>
      </c>
      <c r="P79" s="752">
        <v>0</v>
      </c>
      <c r="Q79" t="s">
        <v>103</v>
      </c>
      <c r="R79" t="s">
        <v>103</v>
      </c>
    </row>
    <row r="80" spans="1:18">
      <c r="A80" s="861" t="s">
        <v>331</v>
      </c>
      <c r="B80" t="s">
        <v>1009</v>
      </c>
      <c r="C80" s="730" t="s">
        <v>110</v>
      </c>
      <c r="D80" s="747">
        <v>-4028933.9385379534</v>
      </c>
      <c r="E80" s="747">
        <f>VLOOKUP(A80,'[7]2020 Annual Allocation'!$A$4:$B$211,2,FALSE)</f>
        <v>130356.10020618142</v>
      </c>
      <c r="F80" s="747">
        <f>VLOOKUP(A80,'[7]2019 Alloc_Expend Sum'!$A$4:$AD$217,30,FALSE)</f>
        <v>-3898577.838331772</v>
      </c>
      <c r="G80" s="694">
        <v>29.907137695631242</v>
      </c>
      <c r="H80" s="749" t="s">
        <v>258</v>
      </c>
      <c r="I80" s="750">
        <f t="shared" si="1"/>
        <v>-3898577.838331772</v>
      </c>
      <c r="J80" s="735">
        <v>0</v>
      </c>
      <c r="K80" s="735" t="s">
        <v>103</v>
      </c>
      <c r="L80" s="750">
        <v>0</v>
      </c>
      <c r="M80" s="750" t="s">
        <v>103</v>
      </c>
      <c r="N80" s="736">
        <v>0</v>
      </c>
      <c r="O80" s="693">
        <v>0</v>
      </c>
      <c r="P80" s="752">
        <v>0</v>
      </c>
      <c r="Q80" t="s">
        <v>103</v>
      </c>
      <c r="R80" t="s">
        <v>103</v>
      </c>
    </row>
    <row r="81" spans="1:18">
      <c r="A81" s="861" t="s">
        <v>335</v>
      </c>
      <c r="B81" t="s">
        <v>1009</v>
      </c>
      <c r="C81" s="730" t="s">
        <v>110</v>
      </c>
      <c r="D81" s="747">
        <v>2960720.6253861878</v>
      </c>
      <c r="E81" s="747">
        <f>VLOOKUP(A81,'[7]2020 Annual Allocation'!$A$4:$B$211,2,FALSE)</f>
        <v>58238.079371731888</v>
      </c>
      <c r="F81" s="747">
        <f>VLOOKUP(A81,'[7]2019 Alloc_Expend Sum'!$A$4:$AD$217,30,FALSE)</f>
        <v>3018958.7047579195</v>
      </c>
      <c r="G81" s="694">
        <v>0</v>
      </c>
      <c r="H81" s="749" t="s">
        <v>258</v>
      </c>
      <c r="I81" s="750">
        <f t="shared" si="1"/>
        <v>3018958.7047579195</v>
      </c>
      <c r="J81" s="735">
        <v>0</v>
      </c>
      <c r="K81" s="735" t="s">
        <v>103</v>
      </c>
      <c r="L81" s="750">
        <v>0</v>
      </c>
      <c r="M81" s="750" t="s">
        <v>103</v>
      </c>
      <c r="N81" s="736">
        <v>0</v>
      </c>
      <c r="O81" s="693">
        <v>0</v>
      </c>
      <c r="P81" s="752">
        <v>0</v>
      </c>
      <c r="Q81" t="s">
        <v>103</v>
      </c>
      <c r="R81" t="s">
        <v>103</v>
      </c>
    </row>
    <row r="82" spans="1:18">
      <c r="A82" s="861" t="s">
        <v>336</v>
      </c>
      <c r="B82" t="s">
        <v>1009</v>
      </c>
      <c r="C82" s="730" t="s">
        <v>110</v>
      </c>
      <c r="D82" s="747">
        <v>330728.02765341278</v>
      </c>
      <c r="E82" s="747">
        <f>VLOOKUP(A82,'[7]2020 Annual Allocation'!$A$4:$B$211,2,FALSE)</f>
        <v>106840.39896644259</v>
      </c>
      <c r="F82" s="747">
        <f>VLOOKUP(A82,'[7]2019 Alloc_Expend Sum'!$A$4:$AD$217,30,FALSE)</f>
        <v>437568.42661985545</v>
      </c>
      <c r="G82" s="694">
        <v>0</v>
      </c>
      <c r="H82" s="749" t="s">
        <v>258</v>
      </c>
      <c r="I82" s="750">
        <f t="shared" si="1"/>
        <v>437568.42661985545</v>
      </c>
      <c r="J82" s="735">
        <v>0</v>
      </c>
      <c r="K82" s="735" t="s">
        <v>103</v>
      </c>
      <c r="L82" s="750">
        <v>0</v>
      </c>
      <c r="M82" s="750" t="s">
        <v>103</v>
      </c>
      <c r="N82" s="736">
        <v>0</v>
      </c>
      <c r="O82" s="693">
        <v>0</v>
      </c>
      <c r="P82" s="752">
        <v>0</v>
      </c>
      <c r="Q82" t="s">
        <v>103</v>
      </c>
      <c r="R82" t="s">
        <v>103</v>
      </c>
    </row>
    <row r="83" spans="1:18">
      <c r="A83" s="861" t="s">
        <v>341</v>
      </c>
      <c r="B83" t="s">
        <v>1009</v>
      </c>
      <c r="C83" s="730" t="s">
        <v>110</v>
      </c>
      <c r="D83" s="747">
        <v>-458217.02918240329</v>
      </c>
      <c r="E83" s="747">
        <f>VLOOKUP(A83,'[7]2020 Annual Allocation'!$A$4:$B$211,2,FALSE)</f>
        <v>140519.31694369492</v>
      </c>
      <c r="F83" s="747">
        <f>VLOOKUP(A83,'[7]2019 Alloc_Expend Sum'!$A$4:$AD$217,30,FALSE)</f>
        <v>-317697.71223870933</v>
      </c>
      <c r="G83" s="694">
        <v>2.2608828390904327</v>
      </c>
      <c r="H83" s="749" t="s">
        <v>258</v>
      </c>
      <c r="I83" s="750">
        <f t="shared" si="1"/>
        <v>-317697.71223870933</v>
      </c>
      <c r="J83" s="735">
        <v>0</v>
      </c>
      <c r="K83" s="735" t="s">
        <v>103</v>
      </c>
      <c r="L83" s="750">
        <v>0</v>
      </c>
      <c r="M83" s="750" t="s">
        <v>103</v>
      </c>
      <c r="N83" s="736">
        <v>0</v>
      </c>
      <c r="O83" s="693">
        <v>0</v>
      </c>
      <c r="P83" s="752">
        <v>0</v>
      </c>
      <c r="Q83" t="s">
        <v>103</v>
      </c>
      <c r="R83" t="s">
        <v>103</v>
      </c>
    </row>
    <row r="84" spans="1:18">
      <c r="A84" s="861" t="s">
        <v>352</v>
      </c>
      <c r="B84" t="s">
        <v>1009</v>
      </c>
      <c r="C84" s="730" t="s">
        <v>110</v>
      </c>
      <c r="D84" s="747">
        <v>1831791.5613506034</v>
      </c>
      <c r="E84" s="747">
        <f>VLOOKUP(A84,'[7]2020 Annual Allocation'!$A$4:$B$211,2,FALSE)</f>
        <v>158625.41311657228</v>
      </c>
      <c r="F84" s="747">
        <f>VLOOKUP(A84,'[7]2019 Alloc_Expend Sum'!$A$4:$AD$217,30,FALSE)</f>
        <v>1990416.9744671748</v>
      </c>
      <c r="G84" s="694">
        <v>0</v>
      </c>
      <c r="H84" s="749" t="s">
        <v>258</v>
      </c>
      <c r="I84" s="750">
        <f t="shared" si="1"/>
        <v>1990416.9744671748</v>
      </c>
      <c r="J84" s="735">
        <v>0</v>
      </c>
      <c r="K84" s="735" t="s">
        <v>103</v>
      </c>
      <c r="L84" s="750">
        <v>0</v>
      </c>
      <c r="M84" s="750" t="s">
        <v>103</v>
      </c>
      <c r="N84" s="736">
        <v>0</v>
      </c>
      <c r="O84" s="693">
        <v>0</v>
      </c>
      <c r="P84" s="752">
        <v>0</v>
      </c>
      <c r="Q84" t="s">
        <v>103</v>
      </c>
      <c r="R84" t="s">
        <v>103</v>
      </c>
    </row>
    <row r="85" spans="1:18">
      <c r="A85" s="861" t="s">
        <v>356</v>
      </c>
      <c r="B85" t="s">
        <v>1009</v>
      </c>
      <c r="C85" s="730" t="s">
        <v>110</v>
      </c>
      <c r="D85" s="747">
        <v>3183611.1786162485</v>
      </c>
      <c r="E85" s="747">
        <f>VLOOKUP(A85,'[7]2020 Annual Allocation'!$A$4:$B$211,2,FALSE)</f>
        <v>201546.45339265096</v>
      </c>
      <c r="F85" s="747">
        <f>VLOOKUP(A85,'[7]2019 Alloc_Expend Sum'!$A$4:$AD$217,30,FALSE)</f>
        <v>3359340.4421088994</v>
      </c>
      <c r="G85" s="694">
        <v>0</v>
      </c>
      <c r="H85" s="749" t="s">
        <v>258</v>
      </c>
      <c r="I85" s="750">
        <f t="shared" si="1"/>
        <v>3359340.4421088994</v>
      </c>
      <c r="J85" s="735">
        <v>0</v>
      </c>
      <c r="K85" s="735" t="s">
        <v>103</v>
      </c>
      <c r="L85" s="750">
        <v>0</v>
      </c>
      <c r="M85" s="750" t="s">
        <v>103</v>
      </c>
      <c r="N85" s="736">
        <v>0</v>
      </c>
      <c r="O85" s="693">
        <v>0</v>
      </c>
      <c r="P85" s="752">
        <v>0</v>
      </c>
      <c r="Q85" t="s">
        <v>103</v>
      </c>
      <c r="R85" t="s">
        <v>103</v>
      </c>
    </row>
    <row r="86" spans="1:18">
      <c r="A86" s="861" t="s">
        <v>362</v>
      </c>
      <c r="B86" t="s">
        <v>1009</v>
      </c>
      <c r="C86" s="730" t="s">
        <v>110</v>
      </c>
      <c r="D86" s="747">
        <v>1845654.6322776331</v>
      </c>
      <c r="E86" s="747">
        <f>VLOOKUP(A86,'[7]2020 Annual Allocation'!$A$4:$B$211,2,FALSE)</f>
        <v>38070.372503810795</v>
      </c>
      <c r="F86" s="747">
        <f>VLOOKUP(A86,'[7]2019 Alloc_Expend Sum'!$A$4:$AD$217,30,FALSE)</f>
        <v>1883725.0047814443</v>
      </c>
      <c r="G86" s="694">
        <v>0</v>
      </c>
      <c r="H86" s="749" t="s">
        <v>258</v>
      </c>
      <c r="I86" s="750">
        <f t="shared" si="1"/>
        <v>1883725.0047814443</v>
      </c>
      <c r="J86" s="735">
        <v>0</v>
      </c>
      <c r="K86" s="735" t="s">
        <v>103</v>
      </c>
      <c r="L86" s="750">
        <v>0</v>
      </c>
      <c r="M86" s="750" t="s">
        <v>103</v>
      </c>
      <c r="N86" s="736">
        <v>0</v>
      </c>
      <c r="O86" s="693">
        <v>0</v>
      </c>
      <c r="P86" s="752">
        <v>0</v>
      </c>
      <c r="Q86" t="s">
        <v>103</v>
      </c>
      <c r="R86" t="s">
        <v>103</v>
      </c>
    </row>
    <row r="87" spans="1:18">
      <c r="A87" s="861" t="s">
        <v>363</v>
      </c>
      <c r="B87" t="s">
        <v>1009</v>
      </c>
      <c r="C87" s="730" t="s">
        <v>110</v>
      </c>
      <c r="D87" s="747">
        <v>34426.965840579905</v>
      </c>
      <c r="E87" s="747">
        <f>VLOOKUP(A87,'[7]2020 Annual Allocation'!$A$4:$B$211,2,FALSE)</f>
        <v>24521.510365045142</v>
      </c>
      <c r="F87" s="747">
        <f>VLOOKUP(A87,'[7]2019 Alloc_Expend Sum'!$A$4:$AD$217,30,FALSE)</f>
        <v>58948.476205625084</v>
      </c>
      <c r="G87" s="694">
        <v>0</v>
      </c>
      <c r="H87" s="749" t="s">
        <v>258</v>
      </c>
      <c r="I87" s="750">
        <f t="shared" si="1"/>
        <v>58948.476205625084</v>
      </c>
      <c r="J87" s="735">
        <v>0</v>
      </c>
      <c r="K87" s="735" t="s">
        <v>103</v>
      </c>
      <c r="L87" s="750">
        <v>0</v>
      </c>
      <c r="M87" s="750" t="s">
        <v>103</v>
      </c>
      <c r="N87" s="736">
        <v>0</v>
      </c>
      <c r="O87" s="693">
        <v>0</v>
      </c>
      <c r="P87" s="752">
        <v>0</v>
      </c>
      <c r="Q87" t="s">
        <v>103</v>
      </c>
      <c r="R87" t="s">
        <v>103</v>
      </c>
    </row>
    <row r="88" spans="1:18">
      <c r="A88" s="861" t="s">
        <v>364</v>
      </c>
      <c r="B88" t="s">
        <v>1009</v>
      </c>
      <c r="C88" s="730" t="s">
        <v>110</v>
      </c>
      <c r="D88" s="747">
        <v>1313227.4638364646</v>
      </c>
      <c r="E88" s="747">
        <f>VLOOKUP(A88,'[7]2020 Annual Allocation'!$A$4:$B$211,2,FALSE)</f>
        <v>89381.178269993106</v>
      </c>
      <c r="F88" s="747">
        <f>VLOOKUP(A88,'[7]2019 Alloc_Expend Sum'!$A$4:$AD$217,30,FALSE)</f>
        <v>1402608.6421064581</v>
      </c>
      <c r="G88" s="694">
        <v>0</v>
      </c>
      <c r="H88" s="749" t="s">
        <v>258</v>
      </c>
      <c r="I88" s="750">
        <f t="shared" si="1"/>
        <v>1402608.6421064581</v>
      </c>
      <c r="J88" s="735">
        <v>0</v>
      </c>
      <c r="K88" s="735" t="s">
        <v>103</v>
      </c>
      <c r="L88" s="750">
        <v>0</v>
      </c>
      <c r="M88" s="750" t="s">
        <v>103</v>
      </c>
      <c r="N88" s="736">
        <v>0</v>
      </c>
      <c r="O88" s="693">
        <v>0</v>
      </c>
      <c r="P88" s="752">
        <v>0</v>
      </c>
      <c r="Q88" t="s">
        <v>103</v>
      </c>
      <c r="R88" t="s">
        <v>103</v>
      </c>
    </row>
    <row r="89" spans="1:18">
      <c r="A89" s="861" t="s">
        <v>365</v>
      </c>
      <c r="B89" t="s">
        <v>1009</v>
      </c>
      <c r="C89" s="730" t="s">
        <v>110</v>
      </c>
      <c r="D89" s="747">
        <v>10573.501411009784</v>
      </c>
      <c r="E89" s="747">
        <f>VLOOKUP(A89,'[7]2020 Annual Allocation'!$A$4:$B$211,2,FALSE)</f>
        <v>410.66176181307696</v>
      </c>
      <c r="F89" s="747">
        <f>VLOOKUP(A89,'[7]2019 Alloc_Expend Sum'!$A$4:$AD$217,30,FALSE)</f>
        <v>10984.16317282286</v>
      </c>
      <c r="G89" s="694">
        <v>0</v>
      </c>
      <c r="H89" s="749" t="s">
        <v>258</v>
      </c>
      <c r="I89" s="750">
        <f t="shared" si="1"/>
        <v>10984.16317282286</v>
      </c>
      <c r="J89" s="735">
        <v>0</v>
      </c>
      <c r="K89" s="735" t="s">
        <v>103</v>
      </c>
      <c r="L89" s="750">
        <v>0</v>
      </c>
      <c r="M89" s="750" t="s">
        <v>103</v>
      </c>
      <c r="N89" s="736">
        <v>0</v>
      </c>
      <c r="O89" s="693">
        <v>0</v>
      </c>
      <c r="P89" s="752">
        <v>0</v>
      </c>
      <c r="Q89" t="s">
        <v>103</v>
      </c>
      <c r="R89" t="s">
        <v>103</v>
      </c>
    </row>
    <row r="90" spans="1:18">
      <c r="A90" s="861" t="s">
        <v>366</v>
      </c>
      <c r="B90" t="s">
        <v>1009</v>
      </c>
      <c r="C90" s="730" t="s">
        <v>110</v>
      </c>
      <c r="D90" s="747">
        <v>848656.24690570706</v>
      </c>
      <c r="E90" s="747">
        <f>VLOOKUP(A90,'[7]2020 Annual Allocation'!$A$4:$B$211,2,FALSE)</f>
        <v>125464.62402443271</v>
      </c>
      <c r="F90" s="747">
        <f>VLOOKUP(A90,'[7]2019 Alloc_Expend Sum'!$A$4:$AD$217,30,FALSE)</f>
        <v>974120.87093013956</v>
      </c>
      <c r="G90" s="694">
        <v>0</v>
      </c>
      <c r="H90" s="749" t="s">
        <v>258</v>
      </c>
      <c r="I90" s="750">
        <f t="shared" si="1"/>
        <v>974120.87093013956</v>
      </c>
      <c r="J90" s="735">
        <v>0</v>
      </c>
      <c r="K90" s="735" t="s">
        <v>103</v>
      </c>
      <c r="L90" s="750">
        <v>0</v>
      </c>
      <c r="M90" s="750" t="s">
        <v>103</v>
      </c>
      <c r="N90" s="736">
        <v>0</v>
      </c>
      <c r="O90" s="693">
        <v>0</v>
      </c>
      <c r="P90" s="752">
        <v>0</v>
      </c>
      <c r="Q90" t="s">
        <v>103</v>
      </c>
      <c r="R90" t="s">
        <v>103</v>
      </c>
    </row>
    <row r="91" spans="1:18">
      <c r="A91" s="861" t="s">
        <v>371</v>
      </c>
      <c r="B91" t="s">
        <v>1009</v>
      </c>
      <c r="C91" s="730" t="s">
        <v>110</v>
      </c>
      <c r="D91" s="747">
        <v>8196587.6376322452</v>
      </c>
      <c r="E91" s="747">
        <f>VLOOKUP(A91,'[7]2020 Annual Allocation'!$A$4:$B$211,2,FALSE)</f>
        <v>229893.35635453986</v>
      </c>
      <c r="F91" s="747">
        <f>VLOOKUP(A91,'[7]2019 Alloc_Expend Sum'!$A$4:$AD$217,30,FALSE)</f>
        <v>8426480.9939867854</v>
      </c>
      <c r="G91" s="694">
        <v>0</v>
      </c>
      <c r="H91" s="749" t="s">
        <v>258</v>
      </c>
      <c r="I91" s="750">
        <f t="shared" si="1"/>
        <v>8426480.9939867854</v>
      </c>
      <c r="J91" s="735">
        <v>0</v>
      </c>
      <c r="K91" s="735" t="s">
        <v>103</v>
      </c>
      <c r="L91" s="750">
        <v>0</v>
      </c>
      <c r="M91" s="750" t="s">
        <v>103</v>
      </c>
      <c r="N91" s="736">
        <v>0</v>
      </c>
      <c r="O91" s="693">
        <v>0</v>
      </c>
      <c r="P91" s="752">
        <v>0</v>
      </c>
      <c r="Q91" t="s">
        <v>103</v>
      </c>
      <c r="R91" t="s">
        <v>103</v>
      </c>
    </row>
    <row r="92" spans="1:18">
      <c r="A92" s="861" t="s">
        <v>378</v>
      </c>
      <c r="B92" t="s">
        <v>1009</v>
      </c>
      <c r="C92" s="730" t="s">
        <v>110</v>
      </c>
      <c r="D92" s="747">
        <v>119478.69317319801</v>
      </c>
      <c r="E92" s="747">
        <f>VLOOKUP(A92,'[7]2020 Annual Allocation'!$A$4:$B$211,2,FALSE)</f>
        <v>71098.414567052358</v>
      </c>
      <c r="F92" s="747">
        <f>VLOOKUP(A92,'[7]2019 Alloc_Expend Sum'!$A$4:$AD$217,30,FALSE)</f>
        <v>190577.10774025015</v>
      </c>
      <c r="G92" s="694">
        <v>22.746328436980303</v>
      </c>
      <c r="H92" s="749" t="s">
        <v>258</v>
      </c>
      <c r="I92" s="750">
        <f t="shared" si="1"/>
        <v>190577.10774025015</v>
      </c>
      <c r="J92" s="735">
        <v>0</v>
      </c>
      <c r="K92" s="735" t="s">
        <v>103</v>
      </c>
      <c r="L92" s="750">
        <v>0</v>
      </c>
      <c r="M92" s="750" t="s">
        <v>103</v>
      </c>
      <c r="N92" s="736">
        <v>0</v>
      </c>
      <c r="O92" s="693">
        <v>0</v>
      </c>
      <c r="P92" s="752">
        <v>0</v>
      </c>
      <c r="Q92" t="s">
        <v>103</v>
      </c>
      <c r="R92" t="s">
        <v>103</v>
      </c>
    </row>
    <row r="93" spans="1:18">
      <c r="A93" s="861" t="s">
        <v>384</v>
      </c>
      <c r="B93" t="s">
        <v>1009</v>
      </c>
      <c r="C93" s="730" t="s">
        <v>110</v>
      </c>
      <c r="D93" s="747">
        <v>-227628.71975494298</v>
      </c>
      <c r="E93" s="747">
        <f>VLOOKUP(A93,'[7]2020 Annual Allocation'!$A$4:$B$211,2,FALSE)</f>
        <v>226359.17196080243</v>
      </c>
      <c r="F93" s="747">
        <f>VLOOKUP(A93,'[7]2019 Alloc_Expend Sum'!$A$4:$AD$217,30,FALSE)</f>
        <v>-1269.5477941393328</v>
      </c>
      <c r="G93" s="694">
        <v>5.608554683877243E-3</v>
      </c>
      <c r="H93" s="749" t="s">
        <v>258</v>
      </c>
      <c r="I93" s="750">
        <f t="shared" si="1"/>
        <v>-1269.5477941393328</v>
      </c>
      <c r="J93" s="735">
        <v>0</v>
      </c>
      <c r="K93" s="735" t="s">
        <v>103</v>
      </c>
      <c r="L93" s="750">
        <v>0</v>
      </c>
      <c r="M93" s="750" t="s">
        <v>103</v>
      </c>
      <c r="N93" s="736">
        <v>0</v>
      </c>
      <c r="O93" s="693">
        <v>0</v>
      </c>
      <c r="P93" s="752">
        <v>0</v>
      </c>
      <c r="Q93" t="s">
        <v>103</v>
      </c>
      <c r="R93" t="s">
        <v>103</v>
      </c>
    </row>
    <row r="94" spans="1:18">
      <c r="A94" s="861" t="s">
        <v>388</v>
      </c>
      <c r="B94" t="s">
        <v>1009</v>
      </c>
      <c r="C94" s="730" t="s">
        <v>110</v>
      </c>
      <c r="D94" s="747">
        <v>1196460.3067124835</v>
      </c>
      <c r="E94" s="747">
        <f>VLOOKUP(A94,'[7]2020 Annual Allocation'!$A$4:$B$211,2,FALSE)</f>
        <v>5307.9255547333105</v>
      </c>
      <c r="F94" s="747">
        <f>VLOOKUP(A94,'[7]2019 Alloc_Expend Sum'!$A$4:$AD$217,30,FALSE)</f>
        <v>1201768.232267217</v>
      </c>
      <c r="G94" s="694">
        <v>0</v>
      </c>
      <c r="H94" s="749" t="s">
        <v>258</v>
      </c>
      <c r="I94" s="750">
        <f t="shared" si="1"/>
        <v>1201768.232267217</v>
      </c>
      <c r="J94" s="735">
        <v>0</v>
      </c>
      <c r="K94" s="735" t="s">
        <v>103</v>
      </c>
      <c r="L94" s="750">
        <v>0</v>
      </c>
      <c r="M94" s="750" t="s">
        <v>103</v>
      </c>
      <c r="N94" s="736">
        <v>0</v>
      </c>
      <c r="O94" s="693">
        <v>0</v>
      </c>
      <c r="P94" s="752">
        <v>0</v>
      </c>
      <c r="Q94" t="s">
        <v>103</v>
      </c>
      <c r="R94" t="s">
        <v>103</v>
      </c>
    </row>
    <row r="95" spans="1:18">
      <c r="A95" s="861" t="s">
        <v>389</v>
      </c>
      <c r="B95" t="s">
        <v>1009</v>
      </c>
      <c r="C95" s="730" t="s">
        <v>110</v>
      </c>
      <c r="D95" s="747">
        <v>-14898.906241510253</v>
      </c>
      <c r="E95" s="747">
        <f>VLOOKUP(A95,'[7]2020 Annual Allocation'!$A$4:$B$211,2,FALSE)</f>
        <v>15476.227847450395</v>
      </c>
      <c r="F95" s="747">
        <f>VLOOKUP(A95,'[7]2019 Alloc_Expend Sum'!$A$4:$AD$217,30,FALSE)</f>
        <v>577.32160594009838</v>
      </c>
      <c r="G95" s="694">
        <v>0.67382474332797981</v>
      </c>
      <c r="H95" s="749" t="s">
        <v>258</v>
      </c>
      <c r="I95" s="750">
        <f t="shared" si="1"/>
        <v>577.32160594009838</v>
      </c>
      <c r="J95" s="735">
        <v>0</v>
      </c>
      <c r="K95" s="735" t="s">
        <v>103</v>
      </c>
      <c r="L95" s="750">
        <v>0</v>
      </c>
      <c r="M95" s="750" t="s">
        <v>103</v>
      </c>
      <c r="N95" s="736">
        <v>0</v>
      </c>
      <c r="O95" s="693">
        <v>0</v>
      </c>
      <c r="P95" s="752">
        <v>0</v>
      </c>
      <c r="Q95" t="s">
        <v>103</v>
      </c>
      <c r="R95" t="s">
        <v>103</v>
      </c>
    </row>
    <row r="96" spans="1:18">
      <c r="A96" s="861" t="s">
        <v>392</v>
      </c>
      <c r="B96" t="s">
        <v>1009</v>
      </c>
      <c r="C96" s="730" t="s">
        <v>110</v>
      </c>
      <c r="D96" s="747">
        <v>-158732.39213043777</v>
      </c>
      <c r="E96" s="747">
        <f>VLOOKUP(A96,'[7]2020 Annual Allocation'!$A$4:$B$211,2,FALSE)</f>
        <v>112500.9146646502</v>
      </c>
      <c r="F96" s="747">
        <f>VLOOKUP(A96,'[7]2019 Alloc_Expend Sum'!$A$4:$AD$217,30,FALSE)</f>
        <v>-46231.477465786869</v>
      </c>
      <c r="G96" s="694">
        <v>0.41094312525010629</v>
      </c>
      <c r="H96" s="749" t="s">
        <v>258</v>
      </c>
      <c r="I96" s="750">
        <f t="shared" si="1"/>
        <v>-46231.477465786869</v>
      </c>
      <c r="J96" s="735">
        <v>0</v>
      </c>
      <c r="K96" s="735" t="s">
        <v>103</v>
      </c>
      <c r="L96" s="750">
        <v>0</v>
      </c>
      <c r="M96" s="750" t="s">
        <v>103</v>
      </c>
      <c r="N96" s="736">
        <v>0</v>
      </c>
      <c r="O96" s="693">
        <v>0</v>
      </c>
      <c r="P96" s="752">
        <v>0</v>
      </c>
      <c r="Q96" t="s">
        <v>103</v>
      </c>
      <c r="R96" t="s">
        <v>103</v>
      </c>
    </row>
    <row r="97" spans="1:18">
      <c r="A97" s="861" t="s">
        <v>396</v>
      </c>
      <c r="B97" t="s">
        <v>1009</v>
      </c>
      <c r="C97" s="730" t="s">
        <v>110</v>
      </c>
      <c r="D97" s="747">
        <v>1214072.7469347827</v>
      </c>
      <c r="E97" s="747">
        <f>VLOOKUP(A97,'[7]2020 Annual Allocation'!$A$4:$B$211,2,FALSE)</f>
        <v>43452.325816698554</v>
      </c>
      <c r="F97" s="747">
        <f>VLOOKUP(A97,'[7]2019 Alloc_Expend Sum'!$A$4:$AD$217,30,FALSE)</f>
        <v>1257525.0727514816</v>
      </c>
      <c r="G97" s="694">
        <v>0</v>
      </c>
      <c r="H97" s="749" t="s">
        <v>258</v>
      </c>
      <c r="I97" s="750">
        <f t="shared" si="1"/>
        <v>1257525.0727514816</v>
      </c>
      <c r="J97" s="735">
        <v>0</v>
      </c>
      <c r="K97" s="735" t="s">
        <v>103</v>
      </c>
      <c r="L97" s="750">
        <v>0</v>
      </c>
      <c r="M97" s="750" t="s">
        <v>103</v>
      </c>
      <c r="N97" s="736">
        <v>0</v>
      </c>
      <c r="O97" s="693">
        <v>0</v>
      </c>
      <c r="P97" s="752">
        <v>0</v>
      </c>
      <c r="Q97" t="s">
        <v>103</v>
      </c>
      <c r="R97" t="s">
        <v>103</v>
      </c>
    </row>
    <row r="98" spans="1:18">
      <c r="A98" s="861" t="s">
        <v>397</v>
      </c>
      <c r="B98" t="s">
        <v>1009</v>
      </c>
      <c r="C98" s="730" t="s">
        <v>110</v>
      </c>
      <c r="D98" s="747">
        <v>385051.10401440068</v>
      </c>
      <c r="E98" s="747">
        <f>VLOOKUP(A98,'[7]2020 Annual Allocation'!$A$4:$B$211,2,FALSE)</f>
        <v>52330.43589008438</v>
      </c>
      <c r="F98" s="747">
        <f>VLOOKUP(A98,'[7]2019 Alloc_Expend Sum'!$A$4:$AD$217,30,FALSE)</f>
        <v>437381.53990448522</v>
      </c>
      <c r="G98" s="694">
        <v>0</v>
      </c>
      <c r="H98" s="749" t="s">
        <v>258</v>
      </c>
      <c r="I98" s="750">
        <f t="shared" si="1"/>
        <v>437381.53990448522</v>
      </c>
      <c r="J98" s="735">
        <v>0</v>
      </c>
      <c r="K98" s="735" t="s">
        <v>103</v>
      </c>
      <c r="L98" s="750">
        <v>0</v>
      </c>
      <c r="M98" s="750" t="s">
        <v>103</v>
      </c>
      <c r="N98" s="736">
        <v>0</v>
      </c>
      <c r="O98" s="693">
        <v>0</v>
      </c>
      <c r="P98" s="752">
        <v>0</v>
      </c>
      <c r="Q98" t="s">
        <v>103</v>
      </c>
      <c r="R98" t="s">
        <v>103</v>
      </c>
    </row>
    <row r="99" spans="1:18">
      <c r="A99" s="861" t="s">
        <v>398</v>
      </c>
      <c r="B99" t="s">
        <v>1009</v>
      </c>
      <c r="C99" s="730" t="s">
        <v>110</v>
      </c>
      <c r="D99" s="747">
        <v>10912.555287533149</v>
      </c>
      <c r="E99" s="747">
        <f>VLOOKUP(A99,'[7]2020 Annual Allocation'!$A$4:$B$211,2,FALSE)</f>
        <v>116600.72357649339</v>
      </c>
      <c r="F99" s="747">
        <f>VLOOKUP(A99,'[7]2019 Alloc_Expend Sum'!$A$4:$AD$217,30,FALSE)</f>
        <v>-146850.09113599843</v>
      </c>
      <c r="G99" s="694">
        <v>1.2594269283385759</v>
      </c>
      <c r="H99" s="749" t="s">
        <v>258</v>
      </c>
      <c r="I99" s="750">
        <f t="shared" si="1"/>
        <v>-146850.09113599843</v>
      </c>
      <c r="J99" s="735">
        <v>0</v>
      </c>
      <c r="K99" s="735" t="s">
        <v>103</v>
      </c>
      <c r="L99" s="750">
        <v>0</v>
      </c>
      <c r="M99" s="750" t="s">
        <v>103</v>
      </c>
      <c r="N99" s="736">
        <v>0</v>
      </c>
      <c r="O99" s="693">
        <v>0</v>
      </c>
      <c r="P99" s="752">
        <v>0</v>
      </c>
      <c r="Q99" t="s">
        <v>103</v>
      </c>
      <c r="R99" t="s">
        <v>103</v>
      </c>
    </row>
    <row r="100" spans="1:18">
      <c r="A100" s="861" t="s">
        <v>405</v>
      </c>
      <c r="B100" t="s">
        <v>1009</v>
      </c>
      <c r="C100" s="730" t="s">
        <v>110</v>
      </c>
      <c r="D100" s="747">
        <v>-68049.713460240266</v>
      </c>
      <c r="E100" s="747">
        <f>VLOOKUP(A100,'[7]2020 Annual Allocation'!$A$4:$B$211,2,FALSE)</f>
        <v>36467.828844178846</v>
      </c>
      <c r="F100" s="747">
        <f>VLOOKUP(A100,'[7]2019 Alloc_Expend Sum'!$A$4:$AD$217,30,FALSE)</f>
        <v>-31581.884616061201</v>
      </c>
      <c r="G100" s="694">
        <v>0.86602042449539574</v>
      </c>
      <c r="H100" s="749" t="s">
        <v>258</v>
      </c>
      <c r="I100" s="750">
        <f t="shared" si="1"/>
        <v>-31581.884616061201</v>
      </c>
      <c r="J100" s="735">
        <v>0</v>
      </c>
      <c r="K100" s="735" t="s">
        <v>103</v>
      </c>
      <c r="L100" s="750">
        <v>0</v>
      </c>
      <c r="M100" s="750" t="s">
        <v>103</v>
      </c>
      <c r="N100" s="736">
        <v>0</v>
      </c>
      <c r="O100" s="693">
        <v>0</v>
      </c>
      <c r="P100" s="752">
        <v>0</v>
      </c>
      <c r="Q100" t="s">
        <v>103</v>
      </c>
      <c r="R100" t="s">
        <v>103</v>
      </c>
    </row>
    <row r="101" spans="1:18">
      <c r="A101" s="861" t="s">
        <v>409</v>
      </c>
      <c r="B101" t="s">
        <v>1009</v>
      </c>
      <c r="C101" s="730" t="s">
        <v>110</v>
      </c>
      <c r="D101" s="747">
        <v>149967.18508054066</v>
      </c>
      <c r="E101" s="747">
        <f>VLOOKUP(A101,'[7]2020 Annual Allocation'!$A$4:$B$211,2,FALSE)</f>
        <v>78462.270130858175</v>
      </c>
      <c r="F101" s="747">
        <f>VLOOKUP(A101,'[7]2019 Alloc_Expend Sum'!$A$4:$AD$217,30,FALSE)</f>
        <v>228429.45521139854</v>
      </c>
      <c r="G101" s="694">
        <v>0</v>
      </c>
      <c r="H101" s="749" t="s">
        <v>258</v>
      </c>
      <c r="I101" s="750">
        <f t="shared" si="1"/>
        <v>228429.45521139854</v>
      </c>
      <c r="J101" s="735">
        <v>0</v>
      </c>
      <c r="K101" s="735" t="s">
        <v>103</v>
      </c>
      <c r="L101" s="750">
        <v>0</v>
      </c>
      <c r="M101" s="750" t="s">
        <v>103</v>
      </c>
      <c r="N101" s="736">
        <v>0</v>
      </c>
      <c r="O101" s="693">
        <v>0</v>
      </c>
      <c r="P101" s="752">
        <v>0</v>
      </c>
      <c r="Q101" t="s">
        <v>103</v>
      </c>
      <c r="R101" t="s">
        <v>103</v>
      </c>
    </row>
    <row r="102" spans="1:18">
      <c r="A102" s="861" t="s">
        <v>410</v>
      </c>
      <c r="B102" t="s">
        <v>1009</v>
      </c>
      <c r="C102" s="730" t="s">
        <v>110</v>
      </c>
      <c r="D102" s="747">
        <v>1315083.355936252</v>
      </c>
      <c r="E102" s="747">
        <f>VLOOKUP(A102,'[7]2020 Annual Allocation'!$A$4:$B$211,2,FALSE)</f>
        <v>45503.884360922064</v>
      </c>
      <c r="F102" s="747">
        <f>VLOOKUP(A102,'[7]2019 Alloc_Expend Sum'!$A$4:$AD$217,30,FALSE)</f>
        <v>1360587.2402971741</v>
      </c>
      <c r="G102" s="694">
        <v>0</v>
      </c>
      <c r="H102" s="749" t="s">
        <v>258</v>
      </c>
      <c r="I102" s="750">
        <f t="shared" si="1"/>
        <v>1360587.2402971741</v>
      </c>
      <c r="J102" s="735">
        <v>0</v>
      </c>
      <c r="K102" s="735" t="s">
        <v>103</v>
      </c>
      <c r="L102" s="750">
        <v>0</v>
      </c>
      <c r="M102" s="750" t="s">
        <v>103</v>
      </c>
      <c r="N102" s="736">
        <v>0</v>
      </c>
      <c r="O102" s="693">
        <v>0</v>
      </c>
      <c r="P102" s="752">
        <v>0</v>
      </c>
      <c r="Q102" t="s">
        <v>103</v>
      </c>
      <c r="R102" t="s">
        <v>103</v>
      </c>
    </row>
    <row r="103" spans="1:18">
      <c r="A103" s="861" t="s">
        <v>411</v>
      </c>
      <c r="B103" t="s">
        <v>1009</v>
      </c>
      <c r="C103" s="730" t="s">
        <v>110</v>
      </c>
      <c r="D103" s="747">
        <v>-292084.65154426312</v>
      </c>
      <c r="E103" s="747">
        <f>VLOOKUP(A103,'[7]2020 Annual Allocation'!$A$4:$B$211,2,FALSE)</f>
        <v>403302.936780416</v>
      </c>
      <c r="F103" s="747">
        <f>VLOOKUP(A103,'[7]2019 Alloc_Expend Sum'!$A$4:$AD$217,30,FALSE)</f>
        <v>111218.28523615428</v>
      </c>
      <c r="G103" s="694">
        <v>0.54523174804724905</v>
      </c>
      <c r="H103" s="749" t="s">
        <v>258</v>
      </c>
      <c r="I103" s="750">
        <f t="shared" si="1"/>
        <v>111218.28523615428</v>
      </c>
      <c r="J103" s="735">
        <v>0</v>
      </c>
      <c r="K103" s="735" t="s">
        <v>103</v>
      </c>
      <c r="L103" s="750">
        <v>0</v>
      </c>
      <c r="M103" s="750" t="s">
        <v>103</v>
      </c>
      <c r="N103" s="736">
        <v>0</v>
      </c>
      <c r="O103" s="693">
        <v>0</v>
      </c>
      <c r="P103" s="752">
        <v>0</v>
      </c>
      <c r="Q103" t="s">
        <v>103</v>
      </c>
      <c r="R103" t="s">
        <v>103</v>
      </c>
    </row>
    <row r="104" spans="1:18">
      <c r="A104" s="861" t="s">
        <v>417</v>
      </c>
      <c r="B104" t="s">
        <v>1009</v>
      </c>
      <c r="C104" s="730" t="s">
        <v>110</v>
      </c>
      <c r="D104" s="747">
        <v>107521.09278800437</v>
      </c>
      <c r="E104" s="747">
        <f>VLOOKUP(A104,'[7]2020 Annual Allocation'!$A$4:$B$211,2,FALSE)</f>
        <v>40535.989227462465</v>
      </c>
      <c r="F104" s="747">
        <f>VLOOKUP(A104,'[7]2019 Alloc_Expend Sum'!$A$4:$AD$217,30,FALSE)</f>
        <v>148057.08201546679</v>
      </c>
      <c r="G104" s="694">
        <v>0</v>
      </c>
      <c r="H104" s="749" t="s">
        <v>258</v>
      </c>
      <c r="I104" s="750">
        <f t="shared" si="1"/>
        <v>148057.08201546679</v>
      </c>
      <c r="J104" s="735">
        <v>0</v>
      </c>
      <c r="K104" s="735" t="s">
        <v>103</v>
      </c>
      <c r="L104" s="750">
        <v>0</v>
      </c>
      <c r="M104" s="750" t="s">
        <v>103</v>
      </c>
      <c r="N104" s="736">
        <v>0</v>
      </c>
      <c r="O104" s="693">
        <v>0</v>
      </c>
      <c r="P104" s="752">
        <v>0</v>
      </c>
      <c r="Q104" t="s">
        <v>103</v>
      </c>
      <c r="R104" t="s">
        <v>103</v>
      </c>
    </row>
    <row r="105" spans="1:18">
      <c r="A105" s="861" t="s">
        <v>418</v>
      </c>
      <c r="B105" t="s">
        <v>1009</v>
      </c>
      <c r="C105" s="730" t="s">
        <v>110</v>
      </c>
      <c r="D105" s="747">
        <v>785152.18252595607</v>
      </c>
      <c r="E105" s="747">
        <f>VLOOKUP(A105,'[7]2020 Annual Allocation'!$A$4:$B$211,2,FALSE)</f>
        <v>27272.697676054973</v>
      </c>
      <c r="F105" s="747">
        <f>VLOOKUP(A105,'[7]2019 Alloc_Expend Sum'!$A$4:$AD$217,30,FALSE)</f>
        <v>812424.88020201086</v>
      </c>
      <c r="G105" s="694">
        <v>0</v>
      </c>
      <c r="H105" s="749" t="s">
        <v>258</v>
      </c>
      <c r="I105" s="750">
        <f t="shared" si="1"/>
        <v>812424.88020201086</v>
      </c>
      <c r="J105" s="735">
        <v>0</v>
      </c>
      <c r="K105" s="735" t="s">
        <v>103</v>
      </c>
      <c r="L105" s="750">
        <v>0</v>
      </c>
      <c r="M105" s="750" t="s">
        <v>103</v>
      </c>
      <c r="N105" s="736">
        <v>0</v>
      </c>
      <c r="O105" s="693">
        <v>0</v>
      </c>
      <c r="P105" s="752">
        <v>0</v>
      </c>
      <c r="Q105" t="s">
        <v>103</v>
      </c>
      <c r="R105" t="s">
        <v>103</v>
      </c>
    </row>
    <row r="106" spans="1:18">
      <c r="A106" s="861" t="s">
        <v>419</v>
      </c>
      <c r="B106" t="s">
        <v>1009</v>
      </c>
      <c r="C106" s="730" t="s">
        <v>110</v>
      </c>
      <c r="D106" s="747">
        <v>49167.579147183773</v>
      </c>
      <c r="E106" s="747">
        <f>VLOOKUP(A106,'[7]2020 Annual Allocation'!$A$4:$B$211,2,FALSE)</f>
        <v>60262.224552306048</v>
      </c>
      <c r="F106" s="747">
        <f>VLOOKUP(A106,'[7]2019 Alloc_Expend Sum'!$A$4:$AD$217,30,FALSE)</f>
        <v>109429.80369948893</v>
      </c>
      <c r="G106" s="694">
        <v>0</v>
      </c>
      <c r="H106" s="749" t="s">
        <v>258</v>
      </c>
      <c r="I106" s="750">
        <f t="shared" si="1"/>
        <v>109429.80369948893</v>
      </c>
      <c r="J106" s="735">
        <v>0</v>
      </c>
      <c r="K106" s="735" t="s">
        <v>103</v>
      </c>
      <c r="L106" s="750">
        <v>0</v>
      </c>
      <c r="M106" s="750" t="s">
        <v>103</v>
      </c>
      <c r="N106" s="736">
        <v>0</v>
      </c>
      <c r="O106" s="693">
        <v>0</v>
      </c>
      <c r="P106" s="752">
        <v>0</v>
      </c>
      <c r="Q106" t="s">
        <v>103</v>
      </c>
      <c r="R106" t="s">
        <v>103</v>
      </c>
    </row>
    <row r="107" spans="1:18">
      <c r="A107" s="861" t="s">
        <v>423</v>
      </c>
      <c r="B107" t="s">
        <v>1009</v>
      </c>
      <c r="C107" s="730" t="s">
        <v>110</v>
      </c>
      <c r="D107" s="747">
        <v>4813281.3691635802</v>
      </c>
      <c r="E107" s="747">
        <f>VLOOKUP(A107,'[7]2020 Annual Allocation'!$A$4:$B$211,2,FALSE)</f>
        <v>201519.4732041239</v>
      </c>
      <c r="F107" s="747">
        <f>VLOOKUP(A107,'[7]2019 Alloc_Expend Sum'!$A$4:$AD$217,30,FALSE)</f>
        <v>5014800.842367704</v>
      </c>
      <c r="G107" s="694">
        <v>0</v>
      </c>
      <c r="H107" s="749" t="s">
        <v>258</v>
      </c>
      <c r="I107" s="750">
        <f t="shared" si="1"/>
        <v>5014800.842367704</v>
      </c>
      <c r="J107" s="735">
        <v>0</v>
      </c>
      <c r="K107" s="735" t="s">
        <v>103</v>
      </c>
      <c r="L107" s="750">
        <v>0</v>
      </c>
      <c r="M107" s="750" t="s">
        <v>103</v>
      </c>
      <c r="N107" s="736">
        <v>0</v>
      </c>
      <c r="O107" s="693">
        <v>0</v>
      </c>
      <c r="P107" s="752">
        <v>0</v>
      </c>
      <c r="Q107" t="s">
        <v>103</v>
      </c>
      <c r="R107" t="s">
        <v>103</v>
      </c>
    </row>
    <row r="108" spans="1:18">
      <c r="A108" s="861" t="s">
        <v>429</v>
      </c>
      <c r="B108" t="s">
        <v>1009</v>
      </c>
      <c r="C108" s="730" t="s">
        <v>110</v>
      </c>
      <c r="D108" s="747">
        <v>38442.893115241313</v>
      </c>
      <c r="E108" s="747">
        <f>VLOOKUP(A108,'[7]2020 Annual Allocation'!$A$4:$B$211,2,FALSE)</f>
        <v>83428.728452309791</v>
      </c>
      <c r="F108" s="747">
        <f>VLOOKUP(A108,'[7]2019 Alloc_Expend Sum'!$A$4:$AD$217,30,FALSE)</f>
        <v>121871.62156755087</v>
      </c>
      <c r="G108" s="694">
        <v>63.336369247774897</v>
      </c>
      <c r="H108" s="749" t="s">
        <v>258</v>
      </c>
      <c r="I108" s="750">
        <f t="shared" si="1"/>
        <v>121871.62156755087</v>
      </c>
      <c r="J108" s="735">
        <v>0</v>
      </c>
      <c r="K108" s="735" t="s">
        <v>103</v>
      </c>
      <c r="L108" s="750">
        <v>0</v>
      </c>
      <c r="M108" s="750" t="s">
        <v>103</v>
      </c>
      <c r="N108" s="736">
        <v>0</v>
      </c>
      <c r="O108" s="693">
        <v>0</v>
      </c>
      <c r="P108" s="752">
        <v>0</v>
      </c>
      <c r="Q108" t="s">
        <v>103</v>
      </c>
      <c r="R108" t="s">
        <v>103</v>
      </c>
    </row>
    <row r="109" spans="1:18">
      <c r="A109" s="861" t="s">
        <v>433</v>
      </c>
      <c r="B109" t="s">
        <v>1009</v>
      </c>
      <c r="C109" s="730" t="s">
        <v>110</v>
      </c>
      <c r="D109" s="747">
        <v>-509015.91059180407</v>
      </c>
      <c r="E109" s="747">
        <f>VLOOKUP(A109,'[7]2020 Annual Allocation'!$A$4:$B$211,2,FALSE)</f>
        <v>101777.5039102921</v>
      </c>
      <c r="F109" s="747">
        <f>VLOOKUP(A109,'[7]2019 Alloc_Expend Sum'!$A$4:$AD$217,30,FALSE)</f>
        <v>-407238.40668151231</v>
      </c>
      <c r="G109" s="694">
        <v>4.0012614874153041</v>
      </c>
      <c r="H109" s="749" t="s">
        <v>258</v>
      </c>
      <c r="I109" s="750">
        <f t="shared" si="1"/>
        <v>-407238.40668151231</v>
      </c>
      <c r="J109" s="735">
        <v>0</v>
      </c>
      <c r="K109" s="735" t="s">
        <v>103</v>
      </c>
      <c r="L109" s="750">
        <v>0</v>
      </c>
      <c r="M109" s="750" t="s">
        <v>103</v>
      </c>
      <c r="N109" s="736">
        <v>0</v>
      </c>
      <c r="O109" s="693">
        <v>0</v>
      </c>
      <c r="P109" s="752">
        <v>0</v>
      </c>
      <c r="Q109" t="s">
        <v>103</v>
      </c>
      <c r="R109" t="s">
        <v>103</v>
      </c>
    </row>
    <row r="110" spans="1:18">
      <c r="A110" s="861" t="s">
        <v>438</v>
      </c>
      <c r="B110" t="s">
        <v>1009</v>
      </c>
      <c r="C110" s="730" t="s">
        <v>110</v>
      </c>
      <c r="D110" s="747">
        <v>1383140.5972249631</v>
      </c>
      <c r="E110" s="747">
        <f>VLOOKUP(A110,'[7]2020 Annual Allocation'!$A$4:$B$211,2,FALSE)</f>
        <v>389454.26529688272</v>
      </c>
      <c r="F110" s="747">
        <f>VLOOKUP(A110,'[7]2019 Alloc_Expend Sum'!$A$4:$AD$217,30,FALSE)</f>
        <v>1422458.1225218482</v>
      </c>
      <c r="G110" s="694">
        <v>0</v>
      </c>
      <c r="H110" s="749" t="s">
        <v>258</v>
      </c>
      <c r="I110" s="750">
        <f t="shared" si="1"/>
        <v>1422458.1225218482</v>
      </c>
      <c r="J110" s="735">
        <v>0</v>
      </c>
      <c r="K110" s="735" t="s">
        <v>103</v>
      </c>
      <c r="L110" s="750">
        <v>0</v>
      </c>
      <c r="M110" s="750" t="s">
        <v>103</v>
      </c>
      <c r="N110" s="736">
        <v>0</v>
      </c>
      <c r="O110" s="693">
        <v>0</v>
      </c>
      <c r="P110" s="752">
        <v>0</v>
      </c>
      <c r="Q110" t="s">
        <v>103</v>
      </c>
      <c r="R110" t="s">
        <v>103</v>
      </c>
    </row>
    <row r="111" spans="1:18">
      <c r="A111" s="861" t="s">
        <v>444</v>
      </c>
      <c r="B111" t="s">
        <v>1009</v>
      </c>
      <c r="C111" s="730" t="s">
        <v>110</v>
      </c>
      <c r="D111" s="747">
        <v>811924.63916724792</v>
      </c>
      <c r="E111" s="747">
        <f>VLOOKUP(A111,'[7]2020 Annual Allocation'!$A$4:$B$211,2,FALSE)</f>
        <v>28084.067729161128</v>
      </c>
      <c r="F111" s="747">
        <f>VLOOKUP(A111,'[7]2019 Alloc_Expend Sum'!$A$4:$AD$217,30,FALSE)</f>
        <v>840008.70689640916</v>
      </c>
      <c r="G111" s="694">
        <v>0</v>
      </c>
      <c r="H111" s="749" t="s">
        <v>258</v>
      </c>
      <c r="I111" s="750">
        <f t="shared" si="1"/>
        <v>840008.70689640916</v>
      </c>
      <c r="J111" s="735">
        <v>0</v>
      </c>
      <c r="K111" s="735" t="s">
        <v>103</v>
      </c>
      <c r="L111" s="750">
        <v>0</v>
      </c>
      <c r="M111" s="750" t="s">
        <v>103</v>
      </c>
      <c r="N111" s="736">
        <v>0</v>
      </c>
      <c r="O111" s="693">
        <v>0</v>
      </c>
      <c r="P111" s="752">
        <v>0</v>
      </c>
      <c r="Q111" t="s">
        <v>103</v>
      </c>
      <c r="R111" t="s">
        <v>103</v>
      </c>
    </row>
    <row r="112" spans="1:18">
      <c r="A112" s="861" t="s">
        <v>448</v>
      </c>
      <c r="B112" t="s">
        <v>1009</v>
      </c>
      <c r="C112" s="730" t="s">
        <v>110</v>
      </c>
      <c r="D112" s="747">
        <v>1059975.864827862</v>
      </c>
      <c r="E112" s="747">
        <f>VLOOKUP(A112,'[7]2020 Annual Allocation'!$A$4:$B$211,2,FALSE)</f>
        <v>149341.36990125914</v>
      </c>
      <c r="F112" s="747">
        <f>VLOOKUP(A112,'[7]2019 Alloc_Expend Sum'!$A$4:$AD$217,30,FALSE)</f>
        <v>1209317.2347291212</v>
      </c>
      <c r="G112" s="694">
        <v>0</v>
      </c>
      <c r="H112" s="749" t="s">
        <v>258</v>
      </c>
      <c r="I112" s="750">
        <f t="shared" si="1"/>
        <v>1209317.2347291212</v>
      </c>
      <c r="J112" s="735">
        <v>0</v>
      </c>
      <c r="K112" s="735" t="s">
        <v>103</v>
      </c>
      <c r="L112" s="750">
        <v>0</v>
      </c>
      <c r="M112" s="750" t="s">
        <v>103</v>
      </c>
      <c r="N112" s="736">
        <v>0</v>
      </c>
      <c r="O112" s="693">
        <v>0</v>
      </c>
      <c r="P112" s="752">
        <v>0</v>
      </c>
      <c r="Q112" t="s">
        <v>103</v>
      </c>
      <c r="R112" t="s">
        <v>103</v>
      </c>
    </row>
    <row r="113" spans="1:18">
      <c r="A113" s="861" t="s">
        <v>449</v>
      </c>
      <c r="B113" t="s">
        <v>1009</v>
      </c>
      <c r="C113" s="730" t="s">
        <v>110</v>
      </c>
      <c r="D113" s="747">
        <v>-1162312.0701264893</v>
      </c>
      <c r="E113" s="747">
        <f>VLOOKUP(A113,'[7]2020 Annual Allocation'!$A$4:$B$211,2,FALSE)</f>
        <v>196342.58706161665</v>
      </c>
      <c r="F113" s="747">
        <f>VLOOKUP(A113,'[7]2019 Alloc_Expend Sum'!$A$4:$AD$217,30,FALSE)</f>
        <v>-63421.34306487249</v>
      </c>
      <c r="G113" s="694">
        <v>0.32301368752449749</v>
      </c>
      <c r="H113" s="749" t="s">
        <v>258</v>
      </c>
      <c r="I113" s="750">
        <f t="shared" si="1"/>
        <v>-63421.34306487249</v>
      </c>
      <c r="J113" s="735">
        <v>0</v>
      </c>
      <c r="K113" s="735" t="s">
        <v>103</v>
      </c>
      <c r="L113" s="750">
        <v>0</v>
      </c>
      <c r="M113" s="750" t="s">
        <v>103</v>
      </c>
      <c r="N113" s="736">
        <v>0</v>
      </c>
      <c r="O113" s="693">
        <v>0</v>
      </c>
      <c r="P113" s="752">
        <v>0</v>
      </c>
      <c r="Q113" t="s">
        <v>103</v>
      </c>
      <c r="R113" t="s">
        <v>103</v>
      </c>
    </row>
    <row r="114" spans="1:18">
      <c r="A114" s="861" t="s">
        <v>456</v>
      </c>
      <c r="B114" t="s">
        <v>1009</v>
      </c>
      <c r="C114" s="730" t="s">
        <v>110</v>
      </c>
      <c r="D114" s="747">
        <v>201889.09245056269</v>
      </c>
      <c r="E114" s="747">
        <f>VLOOKUP(A114,'[7]2020 Annual Allocation'!$A$4:$B$211,2,FALSE)</f>
        <v>8960.3832187981261</v>
      </c>
      <c r="F114" s="747">
        <f>VLOOKUP(A114,'[7]2019 Alloc_Expend Sum'!$A$4:$AD$217,30,FALSE)</f>
        <v>210849.47566936081</v>
      </c>
      <c r="G114" s="694">
        <v>0</v>
      </c>
      <c r="H114" s="749" t="s">
        <v>258</v>
      </c>
      <c r="I114" s="750">
        <f t="shared" si="1"/>
        <v>210849.47566936081</v>
      </c>
      <c r="J114" s="735">
        <v>0</v>
      </c>
      <c r="K114" s="735" t="s">
        <v>103</v>
      </c>
      <c r="L114" s="750">
        <v>0</v>
      </c>
      <c r="M114" s="750" t="s">
        <v>103</v>
      </c>
      <c r="N114" s="736">
        <v>0</v>
      </c>
      <c r="O114" s="693">
        <v>0</v>
      </c>
      <c r="P114" s="752">
        <v>0</v>
      </c>
      <c r="Q114" t="s">
        <v>103</v>
      </c>
      <c r="R114" t="s">
        <v>103</v>
      </c>
    </row>
    <row r="115" spans="1:18">
      <c r="A115" s="861" t="s">
        <v>457</v>
      </c>
      <c r="B115" t="s">
        <v>1009</v>
      </c>
      <c r="C115" s="730" t="s">
        <v>110</v>
      </c>
      <c r="D115" s="747">
        <v>-1582774.3782343245</v>
      </c>
      <c r="E115" s="747">
        <f>VLOOKUP(A115,'[7]2020 Annual Allocation'!$A$4:$B$211,2,FALSE)</f>
        <v>224363.15539062943</v>
      </c>
      <c r="F115" s="747">
        <f>VLOOKUP(A115,'[7]2019 Alloc_Expend Sum'!$A$4:$AD$217,30,FALSE)</f>
        <v>-3586.2228436955484</v>
      </c>
      <c r="G115" s="694">
        <v>1.5984009662601346E-2</v>
      </c>
      <c r="H115" s="749" t="s">
        <v>258</v>
      </c>
      <c r="I115" s="750">
        <f t="shared" si="1"/>
        <v>-3586.2228436955484</v>
      </c>
      <c r="J115" s="735">
        <v>0</v>
      </c>
      <c r="K115" s="735" t="s">
        <v>103</v>
      </c>
      <c r="L115" s="750">
        <v>0</v>
      </c>
      <c r="M115" s="750" t="s">
        <v>103</v>
      </c>
      <c r="N115" s="736">
        <v>0</v>
      </c>
      <c r="O115" s="693">
        <v>0</v>
      </c>
      <c r="P115" s="752">
        <v>0</v>
      </c>
      <c r="Q115" t="s">
        <v>103</v>
      </c>
      <c r="R115" t="s">
        <v>103</v>
      </c>
    </row>
    <row r="116" spans="1:18">
      <c r="A116" s="861" t="s">
        <v>469</v>
      </c>
      <c r="B116" t="s">
        <v>1009</v>
      </c>
      <c r="C116" s="730" t="s">
        <v>110</v>
      </c>
      <c r="D116" s="747">
        <v>35786953.083091281</v>
      </c>
      <c r="E116" s="747">
        <f>VLOOKUP(A116,'[7]2020 Annual Allocation'!$A$4:$B$211,2,FALSE)</f>
        <v>1882881.9569060539</v>
      </c>
      <c r="F116" s="747">
        <f>VLOOKUP(A116,'[7]2019 Alloc_Expend Sum'!$A$4:$AD$217,30,FALSE)</f>
        <v>37394223.049997337</v>
      </c>
      <c r="G116" s="694">
        <v>0</v>
      </c>
      <c r="H116" s="862" t="s">
        <v>258</v>
      </c>
      <c r="I116" s="863">
        <f t="shared" si="1"/>
        <v>37394223.049997337</v>
      </c>
      <c r="J116" s="735">
        <v>0</v>
      </c>
      <c r="K116" s="735" t="s">
        <v>103</v>
      </c>
      <c r="L116" s="863">
        <v>0</v>
      </c>
      <c r="M116" s="863" t="s">
        <v>103</v>
      </c>
      <c r="N116" s="736">
        <v>0</v>
      </c>
      <c r="O116" s="693">
        <v>0</v>
      </c>
      <c r="P116" s="752">
        <v>0</v>
      </c>
      <c r="Q116" t="s">
        <v>103</v>
      </c>
      <c r="R116" t="s">
        <v>103</v>
      </c>
    </row>
    <row r="117" spans="1:18" s="101" customFormat="1">
      <c r="A117" s="738" t="s">
        <v>1247</v>
      </c>
      <c r="B117" s="738"/>
      <c r="C117" s="738"/>
      <c r="D117" s="739">
        <f>SUM(D30:D116)</f>
        <v>125458992.27888462</v>
      </c>
      <c r="E117" s="739">
        <f>SUM(E30:E116)</f>
        <v>11480925.094020404</v>
      </c>
      <c r="F117" s="739">
        <f>SUM(F30:F116)</f>
        <v>133903734.31463361</v>
      </c>
      <c r="G117" s="740">
        <v>0</v>
      </c>
      <c r="H117" s="741"/>
      <c r="I117" s="742">
        <f t="shared" si="1"/>
        <v>133903734.31463361</v>
      </c>
      <c r="J117" s="742">
        <v>0</v>
      </c>
      <c r="K117" s="741"/>
      <c r="L117" s="742">
        <v>0</v>
      </c>
      <c r="M117" s="742">
        <v>0</v>
      </c>
      <c r="N117" s="743">
        <v>0</v>
      </c>
      <c r="O117" s="742">
        <v>0</v>
      </c>
      <c r="P117" s="744">
        <v>0</v>
      </c>
      <c r="Q117" s="741" t="s">
        <v>103</v>
      </c>
      <c r="R117" s="741" t="s">
        <v>103</v>
      </c>
    </row>
    <row r="118" spans="1:18">
      <c r="A118" s="857" t="s">
        <v>502</v>
      </c>
      <c r="B118" s="857"/>
      <c r="C118" s="857"/>
      <c r="D118" s="724"/>
      <c r="E118" s="724"/>
      <c r="F118" s="724"/>
      <c r="G118" s="858">
        <v>0</v>
      </c>
      <c r="H118" s="859"/>
      <c r="I118" s="860"/>
      <c r="J118" s="859"/>
      <c r="K118" s="859"/>
      <c r="L118" s="860">
        <v>0</v>
      </c>
      <c r="M118" s="860" t="s">
        <v>103</v>
      </c>
      <c r="N118" s="728"/>
      <c r="O118" s="860"/>
      <c r="P118" s="859"/>
      <c r="Q118" s="859"/>
      <c r="R118" s="859"/>
    </row>
    <row r="119" spans="1:18">
      <c r="A119" s="861" t="s">
        <v>503</v>
      </c>
      <c r="B119" t="s">
        <v>1009</v>
      </c>
      <c r="C119" s="730" t="s">
        <v>110</v>
      </c>
      <c r="D119" s="747">
        <v>7220.9584622734419</v>
      </c>
      <c r="E119" s="747">
        <f>VLOOKUP(A119,'[7]2020 Annual Allocation'!$A$4:$B$211,2,FALSE)</f>
        <v>73.610843742306173</v>
      </c>
      <c r="F119" s="747">
        <f>VLOOKUP(A119,'[7]2019 Alloc_Expend Sum'!$A$4:$AD$217,30,FALSE)</f>
        <v>7294.5693060157482</v>
      </c>
      <c r="G119" s="694">
        <v>0</v>
      </c>
      <c r="H119" s="862" t="s">
        <v>258</v>
      </c>
      <c r="I119" s="863">
        <f t="shared" si="1"/>
        <v>7294.5693060157482</v>
      </c>
      <c r="J119" s="735">
        <v>0</v>
      </c>
      <c r="K119" s="735" t="s">
        <v>103</v>
      </c>
      <c r="L119" s="863">
        <v>0</v>
      </c>
      <c r="M119" s="863" t="s">
        <v>103</v>
      </c>
      <c r="N119" s="736">
        <v>0</v>
      </c>
      <c r="O119" s="693">
        <v>0</v>
      </c>
      <c r="P119" s="752">
        <v>0</v>
      </c>
      <c r="Q119" t="s">
        <v>103</v>
      </c>
      <c r="R119" t="s">
        <v>103</v>
      </c>
    </row>
    <row r="120" spans="1:18" s="101" customFormat="1">
      <c r="A120" s="738" t="s">
        <v>1336</v>
      </c>
      <c r="B120" s="738"/>
      <c r="C120" s="738"/>
      <c r="D120" s="739">
        <f>SUM(D119)</f>
        <v>7220.9584622734419</v>
      </c>
      <c r="E120" s="739">
        <f>SUM(E119)</f>
        <v>73.610843742306173</v>
      </c>
      <c r="F120" s="739">
        <f>SUM(F119)</f>
        <v>7294.5693060157482</v>
      </c>
      <c r="G120" s="740">
        <v>0</v>
      </c>
      <c r="H120" s="741"/>
      <c r="I120" s="742">
        <f t="shared" si="1"/>
        <v>7294.5693060157482</v>
      </c>
      <c r="J120" s="742">
        <v>0</v>
      </c>
      <c r="K120" s="741"/>
      <c r="L120" s="742">
        <v>0</v>
      </c>
      <c r="M120" s="742">
        <v>0</v>
      </c>
      <c r="N120" s="743">
        <v>0</v>
      </c>
      <c r="O120" s="742">
        <v>0</v>
      </c>
      <c r="P120" s="744">
        <v>0</v>
      </c>
      <c r="Q120" s="741" t="s">
        <v>103</v>
      </c>
      <c r="R120" s="741" t="s">
        <v>103</v>
      </c>
    </row>
    <row r="121" spans="1:18">
      <c r="A121" s="857" t="s">
        <v>504</v>
      </c>
      <c r="B121" s="857"/>
      <c r="C121" s="857"/>
      <c r="D121" s="724"/>
      <c r="E121" s="724"/>
      <c r="F121" s="724"/>
      <c r="G121" s="858">
        <v>0</v>
      </c>
      <c r="H121" s="859"/>
      <c r="I121" s="860"/>
      <c r="J121" s="859"/>
      <c r="K121" s="859"/>
      <c r="L121" s="860">
        <v>0</v>
      </c>
      <c r="M121" s="860" t="s">
        <v>103</v>
      </c>
      <c r="N121" s="728"/>
      <c r="O121" s="860"/>
      <c r="P121" s="859"/>
      <c r="Q121" s="859"/>
      <c r="R121" s="859"/>
    </row>
    <row r="122" spans="1:18">
      <c r="A122" s="861" t="s">
        <v>505</v>
      </c>
      <c r="B122" t="s">
        <v>1009</v>
      </c>
      <c r="C122" s="730" t="s">
        <v>110</v>
      </c>
      <c r="D122" s="747">
        <v>334601.91201712505</v>
      </c>
      <c r="E122" s="747">
        <f>VLOOKUP(A122,'[7]2020 Annual Allocation'!$A$4:$B$211,2,FALSE)</f>
        <v>25386.286281487806</v>
      </c>
      <c r="F122" s="747">
        <f>VLOOKUP(A122,'[7]2019 Alloc_Expend Sum'!$A$4:$AD$217,30,FALSE)</f>
        <v>359988.19829861273</v>
      </c>
      <c r="G122" s="694">
        <v>0</v>
      </c>
      <c r="H122" s="749" t="s">
        <v>258</v>
      </c>
      <c r="I122" s="750">
        <f t="shared" si="1"/>
        <v>359988.19829861273</v>
      </c>
      <c r="J122" s="735">
        <v>0</v>
      </c>
      <c r="K122" s="735" t="s">
        <v>103</v>
      </c>
      <c r="L122" s="750">
        <v>0</v>
      </c>
      <c r="M122" s="750" t="s">
        <v>103</v>
      </c>
      <c r="N122" s="736">
        <v>0</v>
      </c>
      <c r="O122" s="693">
        <v>0</v>
      </c>
      <c r="P122" s="752">
        <v>0</v>
      </c>
      <c r="Q122" t="s">
        <v>103</v>
      </c>
      <c r="R122" t="s">
        <v>103</v>
      </c>
    </row>
    <row r="123" spans="1:18">
      <c r="A123" s="861" t="s">
        <v>510</v>
      </c>
      <c r="B123" t="s">
        <v>1009</v>
      </c>
      <c r="C123" s="730" t="s">
        <v>110</v>
      </c>
      <c r="D123" s="747">
        <v>251855.38748123188</v>
      </c>
      <c r="E123" s="747">
        <f>VLOOKUP(A123,'[7]2020 Annual Allocation'!$A$4:$B$211,2,FALSE)</f>
        <v>20802.066121631418</v>
      </c>
      <c r="F123" s="747">
        <f>VLOOKUP(A123,'[7]2019 Alloc_Expend Sum'!$A$4:$AD$217,30,FALSE)</f>
        <v>272657.45360286336</v>
      </c>
      <c r="G123" s="694">
        <v>0</v>
      </c>
      <c r="H123" s="862" t="s">
        <v>258</v>
      </c>
      <c r="I123" s="863">
        <f t="shared" si="1"/>
        <v>272657.45360286336</v>
      </c>
      <c r="J123" s="735">
        <v>0</v>
      </c>
      <c r="K123" s="735" t="s">
        <v>103</v>
      </c>
      <c r="L123" s="863">
        <v>0</v>
      </c>
      <c r="M123" s="863" t="s">
        <v>103</v>
      </c>
      <c r="N123" s="736">
        <v>0</v>
      </c>
      <c r="O123" s="693">
        <v>0</v>
      </c>
      <c r="P123" s="752">
        <v>0</v>
      </c>
      <c r="Q123" t="s">
        <v>103</v>
      </c>
      <c r="R123" t="s">
        <v>103</v>
      </c>
    </row>
    <row r="124" spans="1:18" s="101" customFormat="1">
      <c r="A124" s="738" t="s">
        <v>1339</v>
      </c>
      <c r="B124" s="738"/>
      <c r="C124" s="738"/>
      <c r="D124" s="739">
        <f>SUM(D122:D123)</f>
        <v>586457.29949835688</v>
      </c>
      <c r="E124" s="739">
        <f>SUM(E122:E123)</f>
        <v>46188.352403119221</v>
      </c>
      <c r="F124" s="739">
        <f>SUM(F122:F123)</f>
        <v>632645.65190147609</v>
      </c>
      <c r="G124" s="740">
        <v>0</v>
      </c>
      <c r="H124" s="741"/>
      <c r="I124" s="742">
        <f t="shared" si="1"/>
        <v>632645.65190147609</v>
      </c>
      <c r="J124" s="742">
        <v>0</v>
      </c>
      <c r="K124" s="741"/>
      <c r="L124" s="742">
        <v>0</v>
      </c>
      <c r="M124" s="742">
        <v>0</v>
      </c>
      <c r="N124" s="743">
        <v>0</v>
      </c>
      <c r="O124" s="742">
        <v>0</v>
      </c>
      <c r="P124" s="744">
        <v>0</v>
      </c>
      <c r="Q124" s="741" t="s">
        <v>103</v>
      </c>
      <c r="R124" s="741" t="s">
        <v>103</v>
      </c>
    </row>
    <row r="125" spans="1:18">
      <c r="A125" s="857" t="s">
        <v>514</v>
      </c>
      <c r="B125" s="857"/>
      <c r="C125" s="857"/>
      <c r="D125" s="724"/>
      <c r="E125" s="724"/>
      <c r="F125" s="724"/>
      <c r="G125" s="858">
        <v>0</v>
      </c>
      <c r="H125" s="859"/>
      <c r="I125" s="860"/>
      <c r="J125" s="859"/>
      <c r="K125" s="859"/>
      <c r="L125" s="860">
        <v>0</v>
      </c>
      <c r="M125" s="860" t="s">
        <v>103</v>
      </c>
      <c r="N125" s="728"/>
      <c r="O125" s="860"/>
      <c r="P125" s="859"/>
      <c r="Q125" s="859"/>
      <c r="R125" s="859"/>
    </row>
    <row r="126" spans="1:18">
      <c r="A126" s="861" t="s">
        <v>515</v>
      </c>
      <c r="B126" t="s">
        <v>1009</v>
      </c>
      <c r="C126" s="730" t="s">
        <v>110</v>
      </c>
      <c r="D126" s="747">
        <v>95960.937744839321</v>
      </c>
      <c r="E126" s="747">
        <f>VLOOKUP(A126,'[7]2020 Annual Allocation'!$A$4:$B$211,2,FALSE)</f>
        <v>31094.257307994456</v>
      </c>
      <c r="F126" s="747">
        <f>VLOOKUP(A126,'[7]2019 Alloc_Expend Sum'!$A$4:$AD$217,30,FALSE)</f>
        <v>31094.257307994456</v>
      </c>
      <c r="G126" s="694">
        <v>0</v>
      </c>
      <c r="H126" s="749" t="s">
        <v>258</v>
      </c>
      <c r="I126" s="750">
        <f t="shared" si="1"/>
        <v>31094.257307994456</v>
      </c>
      <c r="J126" s="735">
        <v>0</v>
      </c>
      <c r="K126" s="735" t="s">
        <v>103</v>
      </c>
      <c r="L126" s="750">
        <v>0</v>
      </c>
      <c r="M126" s="750" t="s">
        <v>103</v>
      </c>
      <c r="N126" s="736">
        <v>0</v>
      </c>
      <c r="O126" s="693">
        <v>0</v>
      </c>
      <c r="P126" s="752">
        <v>0</v>
      </c>
      <c r="Q126" t="s">
        <v>103</v>
      </c>
      <c r="R126" t="s">
        <v>103</v>
      </c>
    </row>
    <row r="127" spans="1:18">
      <c r="A127" s="861" t="s">
        <v>516</v>
      </c>
      <c r="B127" t="s">
        <v>1009</v>
      </c>
      <c r="C127" s="730" t="s">
        <v>110</v>
      </c>
      <c r="D127" s="747">
        <v>2817.1276032303658</v>
      </c>
      <c r="E127" s="747">
        <f>VLOOKUP(A127,'[7]2020 Annual Allocation'!$A$4:$B$211,2,FALSE)</f>
        <v>7.0691136726419757</v>
      </c>
      <c r="F127" s="747">
        <f>VLOOKUP(A127,'[7]2019 Alloc_Expend Sum'!$A$4:$AD$217,30,FALSE)</f>
        <v>2824.1967169030077</v>
      </c>
      <c r="G127" s="694">
        <v>0</v>
      </c>
      <c r="H127" s="749" t="s">
        <v>258</v>
      </c>
      <c r="I127" s="750">
        <f t="shared" si="1"/>
        <v>2824.1967169030077</v>
      </c>
      <c r="J127" s="735">
        <v>0</v>
      </c>
      <c r="K127" s="735" t="s">
        <v>103</v>
      </c>
      <c r="L127" s="750">
        <v>0</v>
      </c>
      <c r="M127" s="750" t="s">
        <v>103</v>
      </c>
      <c r="N127" s="736">
        <v>0</v>
      </c>
      <c r="O127" s="693">
        <v>0</v>
      </c>
      <c r="P127" s="752">
        <v>0</v>
      </c>
      <c r="Q127" t="s">
        <v>103</v>
      </c>
      <c r="R127" t="s">
        <v>103</v>
      </c>
    </row>
    <row r="128" spans="1:18">
      <c r="A128" s="861" t="s">
        <v>517</v>
      </c>
      <c r="B128" t="s">
        <v>1009</v>
      </c>
      <c r="C128" s="730" t="s">
        <v>110</v>
      </c>
      <c r="D128" s="747">
        <v>-1726697.0477244931</v>
      </c>
      <c r="E128" s="747">
        <f>VLOOKUP(A128,'[7]2020 Annual Allocation'!$A$4:$B$211,2,FALSE)</f>
        <v>49285.231447897982</v>
      </c>
      <c r="F128" s="747">
        <f>VLOOKUP(A128,'[7]2019 Alloc_Expend Sum'!$A$4:$AD$217,30,FALSE)</f>
        <v>-1725924.5462765952</v>
      </c>
      <c r="G128" s="694">
        <v>35.019101981922539</v>
      </c>
      <c r="H128" s="749" t="s">
        <v>258</v>
      </c>
      <c r="I128" s="750">
        <f t="shared" si="1"/>
        <v>-1725924.5462765952</v>
      </c>
      <c r="J128" s="735">
        <v>0</v>
      </c>
      <c r="K128" s="735" t="s">
        <v>103</v>
      </c>
      <c r="L128" s="750">
        <v>0</v>
      </c>
      <c r="M128" s="750" t="s">
        <v>103</v>
      </c>
      <c r="N128" s="736">
        <v>0</v>
      </c>
      <c r="O128" s="693">
        <v>0</v>
      </c>
      <c r="P128" s="752">
        <v>0</v>
      </c>
      <c r="Q128" t="s">
        <v>103</v>
      </c>
      <c r="R128" t="s">
        <v>103</v>
      </c>
    </row>
    <row r="129" spans="1:18">
      <c r="A129" s="861" t="s">
        <v>521</v>
      </c>
      <c r="B129" t="s">
        <v>1009</v>
      </c>
      <c r="C129" s="730" t="s">
        <v>110</v>
      </c>
      <c r="D129" s="747">
        <v>2344281.5948778819</v>
      </c>
      <c r="E129" s="747">
        <f>VLOOKUP(A129,'[7]2020 Annual Allocation'!$A$4:$B$211,2,FALSE)</f>
        <v>155101.16846783122</v>
      </c>
      <c r="F129" s="747">
        <f>VLOOKUP(A129,'[7]2019 Alloc_Expend Sum'!$A$4:$AD$217,30,FALSE)</f>
        <v>2499382.7633457133</v>
      </c>
      <c r="G129" s="694">
        <v>0</v>
      </c>
      <c r="H129" s="749" t="s">
        <v>258</v>
      </c>
      <c r="I129" s="750">
        <f t="shared" si="1"/>
        <v>2499382.7633457133</v>
      </c>
      <c r="J129" s="735">
        <v>0</v>
      </c>
      <c r="K129" s="735" t="s">
        <v>103</v>
      </c>
      <c r="L129" s="750">
        <v>0</v>
      </c>
      <c r="M129" s="750" t="s">
        <v>103</v>
      </c>
      <c r="N129" s="736">
        <v>0</v>
      </c>
      <c r="O129" s="693">
        <v>0</v>
      </c>
      <c r="P129" s="752">
        <v>0</v>
      </c>
      <c r="Q129" t="s">
        <v>103</v>
      </c>
      <c r="R129" t="s">
        <v>103</v>
      </c>
    </row>
    <row r="130" spans="1:18">
      <c r="A130" s="861" t="s">
        <v>525</v>
      </c>
      <c r="B130" t="s">
        <v>1009</v>
      </c>
      <c r="C130" s="730" t="s">
        <v>110</v>
      </c>
      <c r="D130" s="747">
        <v>2208013.1315685501</v>
      </c>
      <c r="E130" s="747">
        <f>VLOOKUP(A130,'[7]2020 Annual Allocation'!$A$4:$B$211,2,FALSE)</f>
        <v>208285.81879278336</v>
      </c>
      <c r="F130" s="747">
        <f>VLOOKUP(A130,'[7]2019 Alloc_Expend Sum'!$A$4:$AD$217,30,FALSE)</f>
        <v>2416298.9503613324</v>
      </c>
      <c r="G130" s="694">
        <v>0</v>
      </c>
      <c r="H130" s="749" t="s">
        <v>258</v>
      </c>
      <c r="I130" s="750">
        <f t="shared" si="1"/>
        <v>2416298.9503613324</v>
      </c>
      <c r="J130" s="735">
        <v>0</v>
      </c>
      <c r="K130" s="735" t="s">
        <v>103</v>
      </c>
      <c r="L130" s="750">
        <v>0</v>
      </c>
      <c r="M130" s="750" t="s">
        <v>103</v>
      </c>
      <c r="N130" s="736">
        <v>0</v>
      </c>
      <c r="O130" s="693">
        <v>0</v>
      </c>
      <c r="P130" s="752">
        <v>0</v>
      </c>
      <c r="Q130" t="s">
        <v>103</v>
      </c>
      <c r="R130" t="s">
        <v>103</v>
      </c>
    </row>
    <row r="131" spans="1:18">
      <c r="A131" s="861" t="s">
        <v>526</v>
      </c>
      <c r="B131" t="s">
        <v>1009</v>
      </c>
      <c r="C131" s="730" t="s">
        <v>110</v>
      </c>
      <c r="D131" s="747">
        <v>1871546.3250230849</v>
      </c>
      <c r="E131" s="747">
        <f>VLOOKUP(A131,'[7]2020 Annual Allocation'!$A$4:$B$211,2,FALSE)</f>
        <v>60305.532638717879</v>
      </c>
      <c r="F131" s="747">
        <f>VLOOKUP(A131,'[7]2019 Alloc_Expend Sum'!$A$4:$AD$217,30,FALSE)</f>
        <v>1931851.8576618033</v>
      </c>
      <c r="G131" s="694">
        <v>0</v>
      </c>
      <c r="H131" s="749" t="s">
        <v>258</v>
      </c>
      <c r="I131" s="750">
        <f t="shared" si="1"/>
        <v>1931851.8576618033</v>
      </c>
      <c r="J131" s="735">
        <v>0</v>
      </c>
      <c r="K131" s="735" t="s">
        <v>103</v>
      </c>
      <c r="L131" s="750">
        <v>0</v>
      </c>
      <c r="M131" s="750" t="s">
        <v>103</v>
      </c>
      <c r="N131" s="736">
        <v>0</v>
      </c>
      <c r="O131" s="693">
        <v>0</v>
      </c>
      <c r="P131" s="752">
        <v>0</v>
      </c>
      <c r="Q131" t="s">
        <v>103</v>
      </c>
      <c r="R131" t="s">
        <v>103</v>
      </c>
    </row>
    <row r="132" spans="1:18">
      <c r="A132" s="861" t="s">
        <v>527</v>
      </c>
      <c r="B132" t="s">
        <v>1009</v>
      </c>
      <c r="C132" s="730" t="s">
        <v>110</v>
      </c>
      <c r="D132" s="747">
        <v>991616.89337558567</v>
      </c>
      <c r="E132" s="747">
        <f>VLOOKUP(A132,'[7]2020 Annual Allocation'!$A$4:$B$211,2,FALSE)</f>
        <v>68978.464190096391</v>
      </c>
      <c r="F132" s="747">
        <f>VLOOKUP(A132,'[7]2019 Alloc_Expend Sum'!$A$4:$AD$217,30,FALSE)</f>
        <v>1060595.3575656821</v>
      </c>
      <c r="G132" s="694">
        <v>0</v>
      </c>
      <c r="H132" s="749" t="s">
        <v>258</v>
      </c>
      <c r="I132" s="750">
        <f t="shared" si="1"/>
        <v>1060595.3575656821</v>
      </c>
      <c r="J132" s="735">
        <v>0</v>
      </c>
      <c r="K132" s="735" t="s">
        <v>103</v>
      </c>
      <c r="L132" s="750">
        <v>0</v>
      </c>
      <c r="M132" s="750" t="s">
        <v>103</v>
      </c>
      <c r="N132" s="736">
        <v>0</v>
      </c>
      <c r="O132" s="693">
        <v>0</v>
      </c>
      <c r="P132" s="752">
        <v>0</v>
      </c>
      <c r="Q132" t="s">
        <v>103</v>
      </c>
      <c r="R132" t="s">
        <v>103</v>
      </c>
    </row>
    <row r="133" spans="1:18">
      <c r="A133" s="861" t="s">
        <v>530</v>
      </c>
      <c r="B133" t="s">
        <v>1009</v>
      </c>
      <c r="C133" s="730" t="s">
        <v>110</v>
      </c>
      <c r="D133" s="747">
        <v>330417.64594223496</v>
      </c>
      <c r="E133" s="747">
        <f>VLOOKUP(A133,'[7]2020 Annual Allocation'!$A$4:$B$211,2,FALSE)</f>
        <v>201874.03290565376</v>
      </c>
      <c r="F133" s="747">
        <f>VLOOKUP(A133,'[7]2019 Alloc_Expend Sum'!$A$4:$AD$217,30,FALSE)</f>
        <v>565610.45884789038</v>
      </c>
      <c r="G133" s="694">
        <v>0</v>
      </c>
      <c r="H133" s="749" t="s">
        <v>258</v>
      </c>
      <c r="I133" s="750">
        <f t="shared" si="1"/>
        <v>565610.45884789038</v>
      </c>
      <c r="J133" s="735">
        <v>0</v>
      </c>
      <c r="K133" s="735" t="s">
        <v>103</v>
      </c>
      <c r="L133" s="750">
        <v>0</v>
      </c>
      <c r="M133" s="750" t="s">
        <v>103</v>
      </c>
      <c r="N133" s="736">
        <v>0</v>
      </c>
      <c r="O133" s="693">
        <v>0</v>
      </c>
      <c r="P133" s="752">
        <v>0</v>
      </c>
      <c r="Q133" t="s">
        <v>103</v>
      </c>
      <c r="R133" t="s">
        <v>103</v>
      </c>
    </row>
    <row r="134" spans="1:18">
      <c r="A134" s="861" t="s">
        <v>540</v>
      </c>
      <c r="B134" t="s">
        <v>1009</v>
      </c>
      <c r="C134" s="730" t="s">
        <v>110</v>
      </c>
      <c r="D134" s="747">
        <v>-1495722.6218992476</v>
      </c>
      <c r="E134" s="747">
        <f>VLOOKUP(A134,'[7]2020 Annual Allocation'!$A$4:$B$211,2,FALSE)</f>
        <v>316496.87795291067</v>
      </c>
      <c r="F134" s="747">
        <f>VLOOKUP(A134,'[7]2019 Alloc_Expend Sum'!$A$4:$AD$217,30,FALSE)</f>
        <v>-1179225.7439463355</v>
      </c>
      <c r="G134" s="694">
        <v>3.725868487466673</v>
      </c>
      <c r="H134" s="749" t="s">
        <v>258</v>
      </c>
      <c r="I134" s="750">
        <f t="shared" si="1"/>
        <v>-1179225.7439463355</v>
      </c>
      <c r="J134" s="735">
        <v>0</v>
      </c>
      <c r="K134" s="735" t="s">
        <v>103</v>
      </c>
      <c r="L134" s="750">
        <v>0</v>
      </c>
      <c r="M134" s="750" t="s">
        <v>103</v>
      </c>
      <c r="N134" s="736">
        <v>0</v>
      </c>
      <c r="O134" s="693">
        <v>0</v>
      </c>
      <c r="P134" s="752">
        <v>0</v>
      </c>
      <c r="Q134" t="s">
        <v>103</v>
      </c>
      <c r="R134" t="s">
        <v>103</v>
      </c>
    </row>
    <row r="135" spans="1:18">
      <c r="A135" s="861" t="s">
        <v>552</v>
      </c>
      <c r="B135" t="s">
        <v>1009</v>
      </c>
      <c r="C135" s="730" t="s">
        <v>110</v>
      </c>
      <c r="D135" s="747">
        <v>-1964320.8481420001</v>
      </c>
      <c r="E135" s="747">
        <f>VLOOKUP(A135,'[7]2020 Annual Allocation'!$A$4:$B$211,2,FALSE)</f>
        <v>297005.7514208756</v>
      </c>
      <c r="F135" s="747">
        <f>VLOOKUP(A135,'[7]2019 Alloc_Expend Sum'!$A$4:$AD$217,30,FALSE)</f>
        <v>-1667315.0967211262</v>
      </c>
      <c r="G135" s="694">
        <v>5.6137468340080634</v>
      </c>
      <c r="H135" s="749" t="s">
        <v>258</v>
      </c>
      <c r="I135" s="750">
        <f t="shared" si="1"/>
        <v>-1667315.0967211262</v>
      </c>
      <c r="J135" s="735">
        <v>0</v>
      </c>
      <c r="K135" s="735" t="s">
        <v>103</v>
      </c>
      <c r="L135" s="750">
        <v>0</v>
      </c>
      <c r="M135" s="750" t="s">
        <v>103</v>
      </c>
      <c r="N135" s="736">
        <v>0</v>
      </c>
      <c r="O135" s="693">
        <v>0</v>
      </c>
      <c r="P135" s="752">
        <v>0</v>
      </c>
      <c r="Q135" t="s">
        <v>103</v>
      </c>
      <c r="R135" t="s">
        <v>103</v>
      </c>
    </row>
    <row r="136" spans="1:18">
      <c r="A136" s="861" t="s">
        <v>561</v>
      </c>
      <c r="B136" t="s">
        <v>1009</v>
      </c>
      <c r="C136" s="730" t="s">
        <v>110</v>
      </c>
      <c r="D136" s="747">
        <v>1896703.6131624181</v>
      </c>
      <c r="E136" s="747">
        <f>VLOOKUP(A136,'[7]2020 Annual Allocation'!$A$4:$B$211,2,FALSE)</f>
        <v>0</v>
      </c>
      <c r="F136" s="747">
        <f>VLOOKUP(A136,'[7]2019 Alloc_Expend Sum'!$A$4:$AD$217,30,FALSE)</f>
        <v>1896703.6131624179</v>
      </c>
      <c r="G136" s="694">
        <v>0</v>
      </c>
      <c r="H136" s="749" t="s">
        <v>258</v>
      </c>
      <c r="I136" s="750">
        <f t="shared" si="1"/>
        <v>1896703.6131624179</v>
      </c>
      <c r="J136" s="735">
        <v>0</v>
      </c>
      <c r="K136" s="735" t="s">
        <v>103</v>
      </c>
      <c r="L136" s="750">
        <v>0</v>
      </c>
      <c r="M136" s="750" t="s">
        <v>103</v>
      </c>
      <c r="N136" s="736">
        <v>0</v>
      </c>
      <c r="O136" s="693">
        <v>0</v>
      </c>
      <c r="P136" s="752">
        <v>0</v>
      </c>
      <c r="Q136" t="s">
        <v>103</v>
      </c>
      <c r="R136" t="s">
        <v>103</v>
      </c>
    </row>
    <row r="137" spans="1:18">
      <c r="A137" s="861" t="s">
        <v>562</v>
      </c>
      <c r="B137" t="s">
        <v>1009</v>
      </c>
      <c r="C137" s="730" t="s">
        <v>110</v>
      </c>
      <c r="D137" s="747">
        <v>920920.00936556014</v>
      </c>
      <c r="E137" s="747">
        <f>VLOOKUP(A137,'[7]2020 Annual Allocation'!$A$4:$B$211,2,FALSE)</f>
        <v>103127.42960702081</v>
      </c>
      <c r="F137" s="747">
        <f>VLOOKUP(A137,'[7]2019 Alloc_Expend Sum'!$A$4:$AD$217,30,FALSE)</f>
        <v>1024047.4389725813</v>
      </c>
      <c r="G137" s="694">
        <v>0</v>
      </c>
      <c r="H137" s="749" t="s">
        <v>258</v>
      </c>
      <c r="I137" s="750">
        <f t="shared" ref="I137:I200" si="2">F137</f>
        <v>1024047.4389725813</v>
      </c>
      <c r="J137" s="735">
        <v>0</v>
      </c>
      <c r="K137" s="735" t="s">
        <v>103</v>
      </c>
      <c r="L137" s="750">
        <v>0</v>
      </c>
      <c r="M137" s="750" t="s">
        <v>103</v>
      </c>
      <c r="N137" s="736">
        <v>0</v>
      </c>
      <c r="O137" s="693">
        <v>0</v>
      </c>
      <c r="P137" s="752">
        <v>0</v>
      </c>
      <c r="Q137" t="s">
        <v>103</v>
      </c>
      <c r="R137" t="s">
        <v>103</v>
      </c>
    </row>
    <row r="138" spans="1:18">
      <c r="A138" s="861" t="s">
        <v>567</v>
      </c>
      <c r="B138" t="s">
        <v>1009</v>
      </c>
      <c r="C138" s="730" t="s">
        <v>110</v>
      </c>
      <c r="D138" s="747">
        <v>119942.32560853496</v>
      </c>
      <c r="E138" s="747">
        <f>VLOOKUP(A138,'[7]2020 Annual Allocation'!$A$4:$B$211,2,FALSE)</f>
        <v>14421.707161486054</v>
      </c>
      <c r="F138" s="747">
        <f>VLOOKUP(A138,'[7]2019 Alloc_Expend Sum'!$A$4:$AD$217,30,FALSE)</f>
        <v>134364.03277002103</v>
      </c>
      <c r="G138" s="694">
        <v>0</v>
      </c>
      <c r="H138" s="749" t="s">
        <v>258</v>
      </c>
      <c r="I138" s="750">
        <f t="shared" si="2"/>
        <v>134364.03277002103</v>
      </c>
      <c r="J138" s="735">
        <v>0</v>
      </c>
      <c r="K138" s="735" t="s">
        <v>103</v>
      </c>
      <c r="L138" s="750">
        <v>0</v>
      </c>
      <c r="M138" s="750" t="s">
        <v>103</v>
      </c>
      <c r="N138" s="736">
        <v>0</v>
      </c>
      <c r="O138" s="693">
        <v>0</v>
      </c>
      <c r="P138" s="752">
        <v>0</v>
      </c>
      <c r="Q138" t="s">
        <v>103</v>
      </c>
      <c r="R138" t="s">
        <v>103</v>
      </c>
    </row>
    <row r="139" spans="1:18">
      <c r="A139" s="861" t="s">
        <v>571</v>
      </c>
      <c r="B139" t="s">
        <v>1009</v>
      </c>
      <c r="C139" s="730" t="s">
        <v>110</v>
      </c>
      <c r="D139" s="747">
        <v>10572663.867408544</v>
      </c>
      <c r="E139" s="747">
        <f>VLOOKUP(A139,'[7]2020 Annual Allocation'!$A$4:$B$211,2,FALSE)</f>
        <v>67874.246274820121</v>
      </c>
      <c r="F139" s="747">
        <f>VLOOKUP(A139,'[7]2019 Alloc_Expend Sum'!$A$4:$AD$217,30,FALSE)</f>
        <v>5640324.7436833652</v>
      </c>
      <c r="G139" s="694">
        <v>0</v>
      </c>
      <c r="H139" s="749" t="s">
        <v>258</v>
      </c>
      <c r="I139" s="750">
        <f t="shared" si="2"/>
        <v>5640324.7436833652</v>
      </c>
      <c r="J139" s="735">
        <v>0</v>
      </c>
      <c r="K139" s="735" t="s">
        <v>103</v>
      </c>
      <c r="L139" s="750">
        <v>0</v>
      </c>
      <c r="M139" s="750" t="s">
        <v>103</v>
      </c>
      <c r="N139" s="736">
        <v>0</v>
      </c>
      <c r="O139" s="693">
        <v>0</v>
      </c>
      <c r="P139" s="752">
        <v>0</v>
      </c>
      <c r="Q139" t="s">
        <v>103</v>
      </c>
      <c r="R139" t="s">
        <v>103</v>
      </c>
    </row>
    <row r="140" spans="1:18">
      <c r="A140" s="861" t="s">
        <v>578</v>
      </c>
      <c r="B140" t="s">
        <v>1009</v>
      </c>
      <c r="C140" s="730" t="s">
        <v>110</v>
      </c>
      <c r="D140" s="747">
        <v>126545.32081026811</v>
      </c>
      <c r="E140" s="747">
        <f>VLOOKUP(A140,'[7]2020 Annual Allocation'!$A$4:$B$211,2,FALSE)</f>
        <v>0</v>
      </c>
      <c r="F140" s="747">
        <f>VLOOKUP(A140,'[7]2019 Alloc_Expend Sum'!$A$4:$AD$217,30,FALSE)</f>
        <v>126545.32081026811</v>
      </c>
      <c r="G140" s="694">
        <v>0</v>
      </c>
      <c r="H140" s="749" t="s">
        <v>258</v>
      </c>
      <c r="I140" s="750">
        <f t="shared" si="2"/>
        <v>126545.32081026811</v>
      </c>
      <c r="J140" s="735">
        <v>0</v>
      </c>
      <c r="K140" s="735" t="s">
        <v>103</v>
      </c>
      <c r="L140" s="750">
        <v>0</v>
      </c>
      <c r="M140" s="750" t="s">
        <v>103</v>
      </c>
      <c r="N140" s="736">
        <v>0</v>
      </c>
      <c r="O140" s="693">
        <v>0</v>
      </c>
      <c r="P140" s="752">
        <v>0</v>
      </c>
      <c r="Q140" t="s">
        <v>103</v>
      </c>
      <c r="R140" t="s">
        <v>103</v>
      </c>
    </row>
    <row r="141" spans="1:18">
      <c r="A141" s="861" t="s">
        <v>579</v>
      </c>
      <c r="B141" t="s">
        <v>1009</v>
      </c>
      <c r="C141" s="730" t="s">
        <v>110</v>
      </c>
      <c r="D141" s="747">
        <v>79514.600693876739</v>
      </c>
      <c r="E141" s="747">
        <f>VLOOKUP(A141,'[7]2020 Annual Allocation'!$A$4:$B$211,2,FALSE)</f>
        <v>5258.8458450991448</v>
      </c>
      <c r="F141" s="747">
        <f>VLOOKUP(A141,'[7]2019 Alloc_Expend Sum'!$A$4:$AD$217,30,FALSE)</f>
        <v>84773.446538975884</v>
      </c>
      <c r="G141" s="694">
        <v>0</v>
      </c>
      <c r="H141" s="749" t="s">
        <v>258</v>
      </c>
      <c r="I141" s="750">
        <f t="shared" si="2"/>
        <v>84773.446538975884</v>
      </c>
      <c r="J141" s="735">
        <v>0</v>
      </c>
      <c r="K141" s="735" t="s">
        <v>103</v>
      </c>
      <c r="L141" s="750">
        <v>0</v>
      </c>
      <c r="M141" s="750" t="s">
        <v>103</v>
      </c>
      <c r="N141" s="736">
        <v>0</v>
      </c>
      <c r="O141" s="693">
        <v>0</v>
      </c>
      <c r="P141" s="752">
        <v>0</v>
      </c>
      <c r="Q141" t="s">
        <v>103</v>
      </c>
      <c r="R141" t="s">
        <v>103</v>
      </c>
    </row>
    <row r="142" spans="1:18">
      <c r="A142" s="861" t="s">
        <v>580</v>
      </c>
      <c r="B142" t="s">
        <v>1009</v>
      </c>
      <c r="C142" s="730" t="s">
        <v>110</v>
      </c>
      <c r="D142" s="747">
        <v>24587.188478485994</v>
      </c>
      <c r="E142" s="747">
        <f>VLOOKUP(A142,'[7]2020 Annual Allocation'!$A$4:$B$211,2,FALSE)</f>
        <v>11748.5937618959</v>
      </c>
      <c r="F142" s="747">
        <f>VLOOKUP(A142,'[7]2019 Alloc_Expend Sum'!$A$4:$AD$217,30,FALSE)</f>
        <v>46707.78224038193</v>
      </c>
      <c r="G142" s="694">
        <v>0</v>
      </c>
      <c r="H142" s="749" t="s">
        <v>258</v>
      </c>
      <c r="I142" s="750">
        <f t="shared" si="2"/>
        <v>46707.78224038193</v>
      </c>
      <c r="J142" s="735">
        <v>0</v>
      </c>
      <c r="K142" s="735" t="s">
        <v>103</v>
      </c>
      <c r="L142" s="750">
        <v>0</v>
      </c>
      <c r="M142" s="750" t="s">
        <v>103</v>
      </c>
      <c r="N142" s="736">
        <v>0</v>
      </c>
      <c r="O142" s="693">
        <v>0</v>
      </c>
      <c r="P142" s="752">
        <v>0</v>
      </c>
      <c r="Q142" t="s">
        <v>103</v>
      </c>
      <c r="R142" t="s">
        <v>103</v>
      </c>
    </row>
    <row r="143" spans="1:18">
      <c r="A143" s="861" t="s">
        <v>581</v>
      </c>
      <c r="B143" t="s">
        <v>1009</v>
      </c>
      <c r="C143" s="730" t="s">
        <v>110</v>
      </c>
      <c r="D143" s="747">
        <v>-1300357.5813848323</v>
      </c>
      <c r="E143" s="747">
        <f>VLOOKUP(A143,'[7]2020 Annual Allocation'!$A$4:$B$211,2,FALSE)</f>
        <v>0</v>
      </c>
      <c r="F143" s="747">
        <f>VLOOKUP(A143,'[7]2019 Alloc_Expend Sum'!$A$4:$AD$217,30,FALSE)</f>
        <v>-1300357.5813848323</v>
      </c>
      <c r="G143" s="694">
        <v>0</v>
      </c>
      <c r="H143" s="749" t="s">
        <v>258</v>
      </c>
      <c r="I143" s="750">
        <f t="shared" si="2"/>
        <v>-1300357.5813848323</v>
      </c>
      <c r="J143" s="735">
        <v>0</v>
      </c>
      <c r="K143" s="735" t="s">
        <v>103</v>
      </c>
      <c r="L143" s="750">
        <v>0</v>
      </c>
      <c r="M143" s="750" t="s">
        <v>103</v>
      </c>
      <c r="N143" s="736">
        <v>0</v>
      </c>
      <c r="O143" s="693">
        <v>0</v>
      </c>
      <c r="P143" s="752">
        <v>0</v>
      </c>
      <c r="Q143" t="s">
        <v>103</v>
      </c>
      <c r="R143" t="s">
        <v>103</v>
      </c>
    </row>
    <row r="144" spans="1:18">
      <c r="A144" s="861" t="s">
        <v>582</v>
      </c>
      <c r="B144" t="s">
        <v>1009</v>
      </c>
      <c r="C144" s="730" t="s">
        <v>110</v>
      </c>
      <c r="D144" s="747">
        <v>122944.54433206274</v>
      </c>
      <c r="E144" s="747">
        <f>VLOOKUP(A144,'[7]2020 Annual Allocation'!$A$4:$B$211,2,FALSE)</f>
        <v>33135.468545555268</v>
      </c>
      <c r="F144" s="747">
        <f>VLOOKUP(A144,'[7]2019 Alloc_Expend Sum'!$A$4:$AD$217,30,FALSE)</f>
        <v>156080.01287761808</v>
      </c>
      <c r="G144" s="694">
        <v>0</v>
      </c>
      <c r="H144" s="749" t="s">
        <v>258</v>
      </c>
      <c r="I144" s="750">
        <f t="shared" si="2"/>
        <v>156080.01287761808</v>
      </c>
      <c r="J144" s="735">
        <v>0</v>
      </c>
      <c r="K144" s="735" t="s">
        <v>103</v>
      </c>
      <c r="L144" s="750">
        <v>0</v>
      </c>
      <c r="M144" s="750" t="s">
        <v>103</v>
      </c>
      <c r="N144" s="736">
        <v>0</v>
      </c>
      <c r="O144" s="693">
        <v>0</v>
      </c>
      <c r="P144" s="752">
        <v>0</v>
      </c>
      <c r="Q144" t="s">
        <v>103</v>
      </c>
      <c r="R144" t="s">
        <v>103</v>
      </c>
    </row>
    <row r="145" spans="1:18">
      <c r="A145" s="861" t="s">
        <v>585</v>
      </c>
      <c r="B145" t="s">
        <v>1009</v>
      </c>
      <c r="C145" s="730" t="s">
        <v>110</v>
      </c>
      <c r="D145" s="747">
        <v>142009.49966718943</v>
      </c>
      <c r="E145" s="747">
        <f>VLOOKUP(A145,'[7]2020 Annual Allocation'!$A$4:$B$211,2,FALSE)</f>
        <v>47765.740168208889</v>
      </c>
      <c r="F145" s="747">
        <f>VLOOKUP(A145,'[7]2019 Alloc_Expend Sum'!$A$4:$AD$217,30,FALSE)</f>
        <v>47766.239835398439</v>
      </c>
      <c r="G145" s="694">
        <v>0</v>
      </c>
      <c r="H145" s="749" t="s">
        <v>258</v>
      </c>
      <c r="I145" s="750">
        <f t="shared" si="2"/>
        <v>47766.239835398439</v>
      </c>
      <c r="J145" s="735">
        <v>0</v>
      </c>
      <c r="K145" s="735" t="s">
        <v>103</v>
      </c>
      <c r="L145" s="750">
        <v>0</v>
      </c>
      <c r="M145" s="750" t="s">
        <v>103</v>
      </c>
      <c r="N145" s="736">
        <v>0</v>
      </c>
      <c r="O145" s="693">
        <v>0</v>
      </c>
      <c r="P145" s="752">
        <v>0</v>
      </c>
      <c r="Q145" t="s">
        <v>103</v>
      </c>
      <c r="R145" t="s">
        <v>103</v>
      </c>
    </row>
    <row r="146" spans="1:18">
      <c r="A146" s="861" t="s">
        <v>589</v>
      </c>
      <c r="B146" t="s">
        <v>1009</v>
      </c>
      <c r="C146" s="730" t="s">
        <v>110</v>
      </c>
      <c r="D146" s="747">
        <v>-644083.33080182585</v>
      </c>
      <c r="E146" s="747">
        <f>VLOOKUP(A146,'[7]2020 Annual Allocation'!$A$4:$B$211,2,FALSE)</f>
        <v>160241.35778463783</v>
      </c>
      <c r="F146" s="747">
        <f>VLOOKUP(A146,'[7]2019 Alloc_Expend Sum'!$A$4:$AD$217,30,FALSE)</f>
        <v>2652438.4769828119</v>
      </c>
      <c r="G146" s="694">
        <v>2.876875426946063</v>
      </c>
      <c r="H146" s="749" t="s">
        <v>258</v>
      </c>
      <c r="I146" s="750">
        <f t="shared" si="2"/>
        <v>2652438.4769828119</v>
      </c>
      <c r="J146" s="735">
        <v>0</v>
      </c>
      <c r="K146" s="735" t="s">
        <v>103</v>
      </c>
      <c r="L146" s="750">
        <v>0</v>
      </c>
      <c r="M146" s="750" t="s">
        <v>103</v>
      </c>
      <c r="N146" s="736">
        <v>0</v>
      </c>
      <c r="O146" s="693">
        <v>0</v>
      </c>
      <c r="P146" s="752">
        <v>0</v>
      </c>
      <c r="Q146" t="s">
        <v>103</v>
      </c>
      <c r="R146" t="s">
        <v>103</v>
      </c>
    </row>
    <row r="147" spans="1:18">
      <c r="A147" s="861" t="s">
        <v>596</v>
      </c>
      <c r="B147" t="s">
        <v>1009</v>
      </c>
      <c r="C147" s="730" t="s">
        <v>110</v>
      </c>
      <c r="D147" s="747">
        <v>272863.16226279957</v>
      </c>
      <c r="E147" s="747">
        <f>VLOOKUP(A147,'[7]2020 Annual Allocation'!$A$4:$B$211,2,FALSE)</f>
        <v>188551.18576712662</v>
      </c>
      <c r="F147" s="747">
        <f>VLOOKUP(A147,'[7]2019 Alloc_Expend Sum'!$A$4:$AD$217,30,FALSE)</f>
        <v>461414.34802992584</v>
      </c>
      <c r="G147" s="694">
        <v>0</v>
      </c>
      <c r="H147" s="749" t="s">
        <v>258</v>
      </c>
      <c r="I147" s="750">
        <f t="shared" si="2"/>
        <v>461414.34802992584</v>
      </c>
      <c r="J147" s="735">
        <v>0</v>
      </c>
      <c r="K147" s="735" t="s">
        <v>103</v>
      </c>
      <c r="L147" s="750">
        <v>0</v>
      </c>
      <c r="M147" s="750" t="s">
        <v>103</v>
      </c>
      <c r="N147" s="736">
        <v>0</v>
      </c>
      <c r="O147" s="693">
        <v>0</v>
      </c>
      <c r="P147" s="752">
        <v>0</v>
      </c>
      <c r="Q147" t="s">
        <v>103</v>
      </c>
      <c r="R147" t="s">
        <v>103</v>
      </c>
    </row>
    <row r="148" spans="1:18">
      <c r="A148" s="861" t="s">
        <v>599</v>
      </c>
      <c r="B148" t="s">
        <v>1009</v>
      </c>
      <c r="C148" s="730" t="s">
        <v>110</v>
      </c>
      <c r="D148" s="747">
        <v>-40951.020361568415</v>
      </c>
      <c r="E148" s="747">
        <f>VLOOKUP(A148,'[7]2020 Annual Allocation'!$A$4:$B$211,2,FALSE)</f>
        <v>50387.191247180454</v>
      </c>
      <c r="F148" s="747">
        <f>VLOOKUP(A148,'[7]2019 Alloc_Expend Sum'!$A$4:$AD$217,30,FALSE)</f>
        <v>9436.170885612024</v>
      </c>
      <c r="G148" s="694">
        <v>0.52055339974252179</v>
      </c>
      <c r="H148" s="749" t="s">
        <v>258</v>
      </c>
      <c r="I148" s="750">
        <f t="shared" si="2"/>
        <v>9436.170885612024</v>
      </c>
      <c r="J148" s="735">
        <v>0</v>
      </c>
      <c r="K148" s="735" t="s">
        <v>103</v>
      </c>
      <c r="L148" s="750">
        <v>0</v>
      </c>
      <c r="M148" s="750" t="s">
        <v>103</v>
      </c>
      <c r="N148" s="736">
        <v>0</v>
      </c>
      <c r="O148" s="693">
        <v>0</v>
      </c>
      <c r="P148" s="752">
        <v>0</v>
      </c>
      <c r="Q148" t="s">
        <v>103</v>
      </c>
      <c r="R148" t="s">
        <v>103</v>
      </c>
    </row>
    <row r="149" spans="1:18">
      <c r="A149" s="861" t="s">
        <v>603</v>
      </c>
      <c r="B149" t="s">
        <v>1009</v>
      </c>
      <c r="C149" s="730" t="s">
        <v>110</v>
      </c>
      <c r="D149" s="747">
        <v>104468.85607522838</v>
      </c>
      <c r="E149" s="747">
        <f>VLOOKUP(A149,'[7]2020 Annual Allocation'!$A$4:$B$211,2,FALSE)</f>
        <v>36334.273256231318</v>
      </c>
      <c r="F149" s="747">
        <f>VLOOKUP(A149,'[7]2019 Alloc_Expend Sum'!$A$4:$AD$217,30,FALSE)</f>
        <v>140803.12933145976</v>
      </c>
      <c r="G149" s="694">
        <v>0</v>
      </c>
      <c r="H149" s="749" t="s">
        <v>258</v>
      </c>
      <c r="I149" s="750">
        <f t="shared" si="2"/>
        <v>140803.12933145976</v>
      </c>
      <c r="J149" s="735">
        <v>0</v>
      </c>
      <c r="K149" s="735" t="s">
        <v>103</v>
      </c>
      <c r="L149" s="750">
        <v>0</v>
      </c>
      <c r="M149" s="750" t="s">
        <v>103</v>
      </c>
      <c r="N149" s="736">
        <v>0</v>
      </c>
      <c r="O149" s="693">
        <v>0</v>
      </c>
      <c r="P149" s="752">
        <v>0</v>
      </c>
      <c r="Q149" t="s">
        <v>103</v>
      </c>
      <c r="R149" t="s">
        <v>103</v>
      </c>
    </row>
    <row r="150" spans="1:18">
      <c r="A150" s="861" t="s">
        <v>604</v>
      </c>
      <c r="B150" t="s">
        <v>1009</v>
      </c>
      <c r="C150" s="730" t="s">
        <v>110</v>
      </c>
      <c r="D150" s="747">
        <v>2676926.1951534236</v>
      </c>
      <c r="E150" s="747">
        <f>VLOOKUP(A150,'[7]2020 Annual Allocation'!$A$4:$B$211,2,FALSE)</f>
        <v>399826.2683069373</v>
      </c>
      <c r="F150" s="747">
        <f>VLOOKUP(A150,'[7]2019 Alloc_Expend Sum'!$A$4:$AD$217,30,FALSE)</f>
        <v>-4023247.5365396421</v>
      </c>
      <c r="G150" s="694">
        <v>10.062489274594357</v>
      </c>
      <c r="H150" s="749" t="s">
        <v>258</v>
      </c>
      <c r="I150" s="750">
        <f t="shared" si="2"/>
        <v>-4023247.5365396421</v>
      </c>
      <c r="J150" s="735">
        <v>0</v>
      </c>
      <c r="K150" s="735" t="s">
        <v>103</v>
      </c>
      <c r="L150" s="750">
        <v>0</v>
      </c>
      <c r="M150" s="750" t="s">
        <v>103</v>
      </c>
      <c r="N150" s="736">
        <v>0</v>
      </c>
      <c r="O150" s="693">
        <v>0</v>
      </c>
      <c r="P150" s="752">
        <v>0</v>
      </c>
      <c r="Q150" t="s">
        <v>103</v>
      </c>
      <c r="R150" t="s">
        <v>103</v>
      </c>
    </row>
    <row r="151" spans="1:18">
      <c r="A151" s="861" t="s">
        <v>622</v>
      </c>
      <c r="B151" t="s">
        <v>1009</v>
      </c>
      <c r="C151" s="730" t="s">
        <v>110</v>
      </c>
      <c r="D151" s="747">
        <v>15807.333653142618</v>
      </c>
      <c r="E151" s="747">
        <f>VLOOKUP(A151,'[7]2020 Annual Allocation'!$A$4:$B$211,2,FALSE)</f>
        <v>55980.358730914093</v>
      </c>
      <c r="F151" s="747">
        <f>VLOOKUP(A151,'[7]2019 Alloc_Expend Sum'!$A$4:$AD$217,30,FALSE)</f>
        <v>71426.74238405659</v>
      </c>
      <c r="G151" s="694">
        <v>29.661578718580678</v>
      </c>
      <c r="H151" s="749" t="s">
        <v>258</v>
      </c>
      <c r="I151" s="750">
        <f t="shared" si="2"/>
        <v>71426.74238405659</v>
      </c>
      <c r="J151" s="735">
        <v>0</v>
      </c>
      <c r="K151" s="735" t="s">
        <v>103</v>
      </c>
      <c r="L151" s="750">
        <v>0</v>
      </c>
      <c r="M151" s="750" t="s">
        <v>103</v>
      </c>
      <c r="N151" s="736">
        <v>0</v>
      </c>
      <c r="O151" s="693">
        <v>0</v>
      </c>
      <c r="P151" s="752">
        <v>0</v>
      </c>
      <c r="Q151" t="s">
        <v>103</v>
      </c>
      <c r="R151" t="s">
        <v>103</v>
      </c>
    </row>
    <row r="152" spans="1:18">
      <c r="A152" s="861" t="s">
        <v>629</v>
      </c>
      <c r="B152" t="s">
        <v>1009</v>
      </c>
      <c r="C152" s="730" t="s">
        <v>110</v>
      </c>
      <c r="D152" s="747">
        <v>74712.012908814664</v>
      </c>
      <c r="E152" s="747">
        <f>VLOOKUP(A152,'[7]2020 Annual Allocation'!$A$4:$B$211,2,FALSE)</f>
        <v>47680.533563721081</v>
      </c>
      <c r="F152" s="747">
        <f>VLOOKUP(A152,'[7]2019 Alloc_Expend Sum'!$A$4:$AD$217,30,FALSE)</f>
        <v>122392.54647253556</v>
      </c>
      <c r="G152" s="694">
        <v>41.75178774213277</v>
      </c>
      <c r="H152" s="749" t="s">
        <v>258</v>
      </c>
      <c r="I152" s="750">
        <f t="shared" si="2"/>
        <v>122392.54647253556</v>
      </c>
      <c r="J152" s="735">
        <v>0</v>
      </c>
      <c r="K152" s="735" t="s">
        <v>103</v>
      </c>
      <c r="L152" s="750">
        <v>0</v>
      </c>
      <c r="M152" s="750" t="s">
        <v>103</v>
      </c>
      <c r="N152" s="736">
        <v>0</v>
      </c>
      <c r="O152" s="693">
        <v>0</v>
      </c>
      <c r="P152" s="752">
        <v>0</v>
      </c>
      <c r="Q152" t="s">
        <v>103</v>
      </c>
      <c r="R152" t="s">
        <v>103</v>
      </c>
    </row>
    <row r="153" spans="1:18">
      <c r="A153" s="861" t="s">
        <v>633</v>
      </c>
      <c r="B153" t="s">
        <v>1009</v>
      </c>
      <c r="C153" s="730" t="s">
        <v>110</v>
      </c>
      <c r="D153" s="747">
        <v>1343680.4715563913</v>
      </c>
      <c r="E153" s="747">
        <f>VLOOKUP(A153,'[7]2020 Annual Allocation'!$A$4:$B$211,2,FALSE)</f>
        <v>73981.601148149784</v>
      </c>
      <c r="F153" s="747">
        <f>VLOOKUP(A153,'[7]2019 Alloc_Expend Sum'!$A$4:$AD$217,30,FALSE)</f>
        <v>1417662.0727045413</v>
      </c>
      <c r="G153" s="694">
        <v>0</v>
      </c>
      <c r="H153" s="749" t="s">
        <v>258</v>
      </c>
      <c r="I153" s="750">
        <f t="shared" si="2"/>
        <v>1417662.0727045413</v>
      </c>
      <c r="J153" s="735">
        <v>0</v>
      </c>
      <c r="K153" s="735" t="s">
        <v>103</v>
      </c>
      <c r="L153" s="750">
        <v>0</v>
      </c>
      <c r="M153" s="750" t="s">
        <v>103</v>
      </c>
      <c r="N153" s="736">
        <v>0</v>
      </c>
      <c r="O153" s="693">
        <v>0</v>
      </c>
      <c r="P153" s="752">
        <v>0</v>
      </c>
      <c r="Q153" t="s">
        <v>103</v>
      </c>
      <c r="R153" t="s">
        <v>103</v>
      </c>
    </row>
    <row r="154" spans="1:18">
      <c r="A154" s="861" t="s">
        <v>634</v>
      </c>
      <c r="B154" t="s">
        <v>1009</v>
      </c>
      <c r="C154" s="730" t="s">
        <v>110</v>
      </c>
      <c r="D154" s="747">
        <v>46954.113092148611</v>
      </c>
      <c r="E154" s="747">
        <f>VLOOKUP(A154,'[7]2020 Annual Allocation'!$A$4:$B$211,2,FALSE)</f>
        <v>7571.9519942720408</v>
      </c>
      <c r="F154" s="747">
        <f>VLOOKUP(A154,'[7]2019 Alloc_Expend Sum'!$A$4:$AD$217,30,FALSE)</f>
        <v>44154.065086420604</v>
      </c>
      <c r="G154" s="694">
        <v>0</v>
      </c>
      <c r="H154" s="749" t="s">
        <v>258</v>
      </c>
      <c r="I154" s="750">
        <f t="shared" si="2"/>
        <v>44154.065086420604</v>
      </c>
      <c r="J154" s="752">
        <v>120000</v>
      </c>
      <c r="K154" t="s">
        <v>580</v>
      </c>
      <c r="L154" s="750">
        <v>90668</v>
      </c>
      <c r="M154" s="757">
        <v>2024</v>
      </c>
      <c r="N154" s="736">
        <v>395357</v>
      </c>
      <c r="O154" s="693">
        <v>0</v>
      </c>
      <c r="P154" s="752">
        <v>0</v>
      </c>
      <c r="Q154" t="s">
        <v>103</v>
      </c>
      <c r="R154" t="s">
        <v>103</v>
      </c>
    </row>
    <row r="155" spans="1:18">
      <c r="A155" s="861" t="s">
        <v>638</v>
      </c>
      <c r="B155" t="s">
        <v>1009</v>
      </c>
      <c r="C155" s="730" t="s">
        <v>110</v>
      </c>
      <c r="D155" s="747">
        <v>2641363.2994545139</v>
      </c>
      <c r="E155" s="747">
        <f>VLOOKUP(A155,'[7]2020 Annual Allocation'!$A$4:$B$211,2,FALSE)</f>
        <v>120268.51329327638</v>
      </c>
      <c r="F155" s="747">
        <f>VLOOKUP(A155,'[7]2019 Alloc_Expend Sum'!$A$4:$AD$217,30,FALSE)</f>
        <v>-638368.18725220964</v>
      </c>
      <c r="G155" s="694">
        <v>5.3078579735623759</v>
      </c>
      <c r="H155" s="749" t="s">
        <v>258</v>
      </c>
      <c r="I155" s="750">
        <f t="shared" si="2"/>
        <v>-638368.18725220964</v>
      </c>
      <c r="J155" s="735">
        <v>0</v>
      </c>
      <c r="K155" s="735" t="s">
        <v>103</v>
      </c>
      <c r="L155" s="750">
        <v>0</v>
      </c>
      <c r="M155" s="750" t="s">
        <v>103</v>
      </c>
      <c r="N155" s="736">
        <v>0</v>
      </c>
      <c r="O155" s="693">
        <v>0</v>
      </c>
      <c r="P155" s="752">
        <v>0</v>
      </c>
      <c r="Q155" t="s">
        <v>103</v>
      </c>
      <c r="R155" t="s">
        <v>103</v>
      </c>
    </row>
    <row r="156" spans="1:18">
      <c r="A156" s="861" t="s">
        <v>643</v>
      </c>
      <c r="B156" t="s">
        <v>1009</v>
      </c>
      <c r="C156" s="730" t="s">
        <v>110</v>
      </c>
      <c r="D156" s="747">
        <v>91571.054668511642</v>
      </c>
      <c r="E156" s="747">
        <f>VLOOKUP(A156,'[7]2020 Annual Allocation'!$A$4:$B$211,2,FALSE)</f>
        <v>50584.559192953006</v>
      </c>
      <c r="F156" s="747">
        <f>VLOOKUP(A156,'[7]2019 Alloc_Expend Sum'!$A$4:$AD$217,30,FALSE)</f>
        <v>-321883.38613853528</v>
      </c>
      <c r="G156" s="694">
        <v>6.3632735220785959</v>
      </c>
      <c r="H156" s="749" t="s">
        <v>258</v>
      </c>
      <c r="I156" s="750">
        <f t="shared" si="2"/>
        <v>-321883.38613853528</v>
      </c>
      <c r="J156" s="735">
        <v>0</v>
      </c>
      <c r="K156" s="735" t="s">
        <v>103</v>
      </c>
      <c r="L156" s="750">
        <v>0</v>
      </c>
      <c r="M156" s="750" t="s">
        <v>103</v>
      </c>
      <c r="N156" s="736">
        <v>0</v>
      </c>
      <c r="O156" s="693">
        <v>0</v>
      </c>
      <c r="P156" s="752">
        <v>0</v>
      </c>
      <c r="Q156" t="s">
        <v>103</v>
      </c>
      <c r="R156" t="s">
        <v>103</v>
      </c>
    </row>
    <row r="157" spans="1:18">
      <c r="A157" s="861" t="s">
        <v>647</v>
      </c>
      <c r="B157" t="s">
        <v>1009</v>
      </c>
      <c r="C157" s="730" t="s">
        <v>110</v>
      </c>
      <c r="D157" s="747">
        <v>953421.42052954866</v>
      </c>
      <c r="E157" s="747">
        <f>VLOOKUP(A157,'[7]2020 Annual Allocation'!$A$4:$B$211,2,FALSE)</f>
        <v>235966.8280765863</v>
      </c>
      <c r="F157" s="747">
        <f>VLOOKUP(A157,'[7]2019 Alloc_Expend Sum'!$A$4:$AD$217,30,FALSE)</f>
        <v>1189388.2486061363</v>
      </c>
      <c r="G157" s="694">
        <v>0</v>
      </c>
      <c r="H157" s="862" t="s">
        <v>258</v>
      </c>
      <c r="I157" s="863">
        <f t="shared" si="2"/>
        <v>1189388.2486061363</v>
      </c>
      <c r="J157" s="735">
        <v>0</v>
      </c>
      <c r="K157" s="735" t="s">
        <v>103</v>
      </c>
      <c r="L157" s="863">
        <v>0</v>
      </c>
      <c r="M157" s="863" t="s">
        <v>103</v>
      </c>
      <c r="N157" s="736">
        <v>0</v>
      </c>
      <c r="O157" s="693">
        <v>0</v>
      </c>
      <c r="P157" s="752">
        <v>0</v>
      </c>
      <c r="Q157" t="s">
        <v>103</v>
      </c>
      <c r="R157" t="s">
        <v>103</v>
      </c>
    </row>
    <row r="158" spans="1:18" s="101" customFormat="1">
      <c r="A158" s="738" t="s">
        <v>1343</v>
      </c>
      <c r="B158" s="738"/>
      <c r="C158" s="738"/>
      <c r="D158" s="739">
        <f>SUM(D126:D157)</f>
        <v>22900120.094702903</v>
      </c>
      <c r="E158" s="739">
        <f>SUM(E126:E157)</f>
        <v>3099140.8579645059</v>
      </c>
      <c r="F158" s="739">
        <f>SUM(F126:F157)</f>
        <v>12917764.194922568</v>
      </c>
      <c r="G158" s="740">
        <v>0</v>
      </c>
      <c r="H158" s="741"/>
      <c r="I158" s="742">
        <f t="shared" si="2"/>
        <v>12917764.194922568</v>
      </c>
      <c r="J158" s="742">
        <v>120000</v>
      </c>
      <c r="K158" s="741"/>
      <c r="L158" s="742">
        <f>SUM(L30:L157)</f>
        <v>90668</v>
      </c>
      <c r="M158" s="742">
        <v>0</v>
      </c>
      <c r="N158" s="743">
        <v>395357</v>
      </c>
      <c r="O158" s="742">
        <v>0</v>
      </c>
      <c r="P158" s="744">
        <v>0</v>
      </c>
      <c r="Q158" s="741" t="s">
        <v>103</v>
      </c>
      <c r="R158" s="741" t="s">
        <v>103</v>
      </c>
    </row>
    <row r="159" spans="1:18">
      <c r="A159" s="857" t="s">
        <v>658</v>
      </c>
      <c r="B159" s="857"/>
      <c r="C159" s="857"/>
      <c r="D159" s="724"/>
      <c r="E159" s="724"/>
      <c r="F159" s="724"/>
      <c r="G159" s="858">
        <v>0</v>
      </c>
      <c r="H159" s="859"/>
      <c r="I159" s="860"/>
      <c r="J159" s="859"/>
      <c r="K159" s="859"/>
      <c r="L159" s="860">
        <v>0</v>
      </c>
      <c r="M159" s="860"/>
      <c r="N159" s="728"/>
      <c r="O159" s="860"/>
      <c r="P159" s="859"/>
      <c r="Q159" s="859"/>
      <c r="R159" s="859"/>
    </row>
    <row r="160" spans="1:18">
      <c r="A160" s="861" t="s">
        <v>659</v>
      </c>
      <c r="B160" t="s">
        <v>1009</v>
      </c>
      <c r="C160" s="730" t="s">
        <v>110</v>
      </c>
      <c r="D160" s="747">
        <v>95436.273145382656</v>
      </c>
      <c r="E160" s="747">
        <f>VLOOKUP(A160,'[7]2020 Annual Allocation'!$A$4:$B$211,2,FALSE)</f>
        <v>194.44740906113293</v>
      </c>
      <c r="F160" s="747">
        <f>VLOOKUP(A160,'[7]2019 Alloc_Expend Sum'!$A$4:$AD$217,30,FALSE)</f>
        <v>95630.720554443891</v>
      </c>
      <c r="G160" s="694">
        <v>0</v>
      </c>
      <c r="H160" s="749" t="s">
        <v>258</v>
      </c>
      <c r="I160" s="750">
        <f t="shared" si="2"/>
        <v>95630.720554443891</v>
      </c>
      <c r="J160" s="735">
        <v>0</v>
      </c>
      <c r="K160" s="735" t="s">
        <v>103</v>
      </c>
      <c r="L160" s="750">
        <v>0</v>
      </c>
      <c r="M160" s="750" t="s">
        <v>103</v>
      </c>
      <c r="N160" s="736">
        <v>0</v>
      </c>
      <c r="O160" s="693">
        <v>0</v>
      </c>
      <c r="P160" s="752">
        <v>0</v>
      </c>
      <c r="Q160" t="s">
        <v>103</v>
      </c>
      <c r="R160" t="s">
        <v>103</v>
      </c>
    </row>
    <row r="161" spans="1:18">
      <c r="A161" s="861" t="s">
        <v>664</v>
      </c>
      <c r="B161" t="s">
        <v>1009</v>
      </c>
      <c r="C161" s="730" t="s">
        <v>110</v>
      </c>
      <c r="D161" s="747">
        <v>671712.86338095157</v>
      </c>
      <c r="E161" s="747">
        <f>VLOOKUP(A161,'[7]2020 Annual Allocation'!$A$4:$B$211,2,FALSE)</f>
        <v>13278.594706539443</v>
      </c>
      <c r="F161" s="747">
        <f>VLOOKUP(A161,'[7]2019 Alloc_Expend Sum'!$A$4:$AD$217,30,FALSE)</f>
        <v>684991.45808749099</v>
      </c>
      <c r="G161" s="694">
        <v>0</v>
      </c>
      <c r="H161" s="749" t="s">
        <v>258</v>
      </c>
      <c r="I161" s="750">
        <f t="shared" si="2"/>
        <v>684991.45808749099</v>
      </c>
      <c r="J161" s="735">
        <v>0</v>
      </c>
      <c r="K161" s="735" t="s">
        <v>103</v>
      </c>
      <c r="L161" s="750">
        <v>0</v>
      </c>
      <c r="M161" s="750" t="s">
        <v>103</v>
      </c>
      <c r="N161" s="736">
        <v>0</v>
      </c>
      <c r="O161" s="693">
        <v>0</v>
      </c>
      <c r="P161" s="752">
        <v>0</v>
      </c>
      <c r="Q161" t="s">
        <v>103</v>
      </c>
      <c r="R161" t="s">
        <v>103</v>
      </c>
    </row>
    <row r="162" spans="1:18">
      <c r="A162" s="861" t="s">
        <v>665</v>
      </c>
      <c r="B162" t="s">
        <v>1009</v>
      </c>
      <c r="C162" s="730" t="s">
        <v>110</v>
      </c>
      <c r="D162" s="747">
        <v>235599.88587105236</v>
      </c>
      <c r="E162" s="747">
        <f>VLOOKUP(A162,'[7]2020 Annual Allocation'!$A$4:$B$211,2,FALSE)</f>
        <v>8921.9800832735855</v>
      </c>
      <c r="F162" s="747">
        <f>VLOOKUP(A162,'[7]2019 Alloc_Expend Sum'!$A$4:$AD$217,30,FALSE)</f>
        <v>244521.86595432597</v>
      </c>
      <c r="G162" s="694">
        <v>0</v>
      </c>
      <c r="H162" s="749" t="s">
        <v>258</v>
      </c>
      <c r="I162" s="750">
        <f t="shared" si="2"/>
        <v>244521.86595432597</v>
      </c>
      <c r="J162" s="735">
        <v>0</v>
      </c>
      <c r="K162" s="735" t="s">
        <v>103</v>
      </c>
      <c r="L162" s="750">
        <v>0</v>
      </c>
      <c r="M162" s="750" t="s">
        <v>103</v>
      </c>
      <c r="N162" s="736">
        <v>0</v>
      </c>
      <c r="O162" s="693">
        <v>0</v>
      </c>
      <c r="P162" s="752">
        <v>0</v>
      </c>
      <c r="Q162" t="s">
        <v>103</v>
      </c>
      <c r="R162" t="s">
        <v>103</v>
      </c>
    </row>
    <row r="163" spans="1:18">
      <c r="A163" s="861" t="s">
        <v>666</v>
      </c>
      <c r="B163" t="s">
        <v>1009</v>
      </c>
      <c r="C163" s="730" t="s">
        <v>110</v>
      </c>
      <c r="D163" s="747">
        <v>-27891.71824809596</v>
      </c>
      <c r="E163" s="747">
        <f>VLOOKUP(A163,'[7]2020 Annual Allocation'!$A$4:$B$211,2,FALSE)</f>
        <v>5118.2879491516887</v>
      </c>
      <c r="F163" s="747">
        <f>VLOOKUP(A163,'[7]2019 Alloc_Expend Sum'!$A$4:$AD$217,30,FALSE)</f>
        <v>-22773.430298944259</v>
      </c>
      <c r="G163" s="694">
        <v>4.4494234254090284</v>
      </c>
      <c r="H163" s="749" t="s">
        <v>258</v>
      </c>
      <c r="I163" s="750">
        <f t="shared" si="2"/>
        <v>-22773.430298944259</v>
      </c>
      <c r="J163" s="735">
        <v>0</v>
      </c>
      <c r="K163" s="735" t="s">
        <v>103</v>
      </c>
      <c r="L163" s="750">
        <v>0</v>
      </c>
      <c r="M163" s="750" t="s">
        <v>103</v>
      </c>
      <c r="N163" s="736">
        <v>0</v>
      </c>
      <c r="O163" s="693">
        <v>0</v>
      </c>
      <c r="P163" s="752">
        <v>0</v>
      </c>
      <c r="Q163" t="s">
        <v>103</v>
      </c>
      <c r="R163" t="s">
        <v>103</v>
      </c>
    </row>
    <row r="164" spans="1:18">
      <c r="A164" s="861" t="s">
        <v>670</v>
      </c>
      <c r="B164" t="s">
        <v>1009</v>
      </c>
      <c r="C164" s="730" t="s">
        <v>110</v>
      </c>
      <c r="D164" s="747">
        <v>-172863.29092743003</v>
      </c>
      <c r="E164" s="747">
        <f>VLOOKUP(A164,'[7]2020 Annual Allocation'!$A$4:$B$211,2,FALSE)</f>
        <v>63445.246086521314</v>
      </c>
      <c r="F164" s="747">
        <f>VLOOKUP(A164,'[7]2019 Alloc_Expend Sum'!$A$4:$AD$217,30,FALSE)</f>
        <v>23772.995159091668</v>
      </c>
      <c r="G164" s="694">
        <v>1.8354691393166416</v>
      </c>
      <c r="H164" s="749" t="s">
        <v>258</v>
      </c>
      <c r="I164" s="750">
        <f t="shared" si="2"/>
        <v>23772.995159091668</v>
      </c>
      <c r="J164" s="735">
        <v>0</v>
      </c>
      <c r="K164" s="735" t="s">
        <v>103</v>
      </c>
      <c r="L164" s="750">
        <v>0</v>
      </c>
      <c r="M164" s="750" t="s">
        <v>103</v>
      </c>
      <c r="N164" s="736">
        <v>0</v>
      </c>
      <c r="O164" s="693">
        <v>0</v>
      </c>
      <c r="P164" s="752">
        <v>0</v>
      </c>
      <c r="Q164" t="s">
        <v>103</v>
      </c>
      <c r="R164" t="s">
        <v>103</v>
      </c>
    </row>
    <row r="165" spans="1:18">
      <c r="A165" s="861" t="s">
        <v>678</v>
      </c>
      <c r="B165" t="s">
        <v>1009</v>
      </c>
      <c r="C165" s="730" t="s">
        <v>110</v>
      </c>
      <c r="D165" s="747">
        <v>462597.80667535833</v>
      </c>
      <c r="E165" s="747">
        <f>VLOOKUP(A165,'[7]2020 Annual Allocation'!$A$4:$B$211,2,FALSE)</f>
        <v>72018.710626214568</v>
      </c>
      <c r="F165" s="747">
        <f>VLOOKUP(A165,'[7]2019 Alloc_Expend Sum'!$A$4:$AD$217,30,FALSE)</f>
        <v>-65383.482698427106</v>
      </c>
      <c r="G165" s="694">
        <v>0.9078679988839975</v>
      </c>
      <c r="H165" s="749" t="s">
        <v>258</v>
      </c>
      <c r="I165" s="750">
        <f t="shared" si="2"/>
        <v>-65383.482698427106</v>
      </c>
      <c r="J165" s="735">
        <v>0</v>
      </c>
      <c r="K165" s="735" t="s">
        <v>103</v>
      </c>
      <c r="L165" s="750">
        <v>0</v>
      </c>
      <c r="M165" s="750" t="s">
        <v>103</v>
      </c>
      <c r="N165" s="736">
        <v>0</v>
      </c>
      <c r="O165" s="693">
        <v>0</v>
      </c>
      <c r="P165" s="752">
        <v>0</v>
      </c>
      <c r="Q165" t="s">
        <v>103</v>
      </c>
      <c r="R165" t="s">
        <v>103</v>
      </c>
    </row>
    <row r="166" spans="1:18">
      <c r="A166" s="861" t="s">
        <v>679</v>
      </c>
      <c r="B166" t="s">
        <v>1009</v>
      </c>
      <c r="C166" s="730" t="s">
        <v>110</v>
      </c>
      <c r="D166" s="747">
        <v>915345.54135474004</v>
      </c>
      <c r="E166" s="747">
        <f>VLOOKUP(A166,'[7]2020 Annual Allocation'!$A$4:$B$211,2,FALSE)</f>
        <v>34531.9432840109</v>
      </c>
      <c r="F166" s="747">
        <f>VLOOKUP(A166,'[7]2019 Alloc_Expend Sum'!$A$4:$AD$217,30,FALSE)</f>
        <v>949877.4846387509</v>
      </c>
      <c r="G166" s="694">
        <v>0</v>
      </c>
      <c r="H166" s="749" t="s">
        <v>258</v>
      </c>
      <c r="I166" s="750">
        <f t="shared" si="2"/>
        <v>949877.4846387509</v>
      </c>
      <c r="J166" s="735">
        <v>0</v>
      </c>
      <c r="K166" s="735" t="s">
        <v>103</v>
      </c>
      <c r="L166" s="750">
        <v>0</v>
      </c>
      <c r="M166" s="750" t="s">
        <v>103</v>
      </c>
      <c r="N166" s="736">
        <v>0</v>
      </c>
      <c r="O166" s="693">
        <v>0</v>
      </c>
      <c r="P166" s="752">
        <v>0</v>
      </c>
      <c r="Q166" t="s">
        <v>103</v>
      </c>
      <c r="R166" t="s">
        <v>103</v>
      </c>
    </row>
    <row r="167" spans="1:18">
      <c r="A167" s="861" t="s">
        <v>684</v>
      </c>
      <c r="B167" t="s">
        <v>1009</v>
      </c>
      <c r="C167" s="730" t="s">
        <v>110</v>
      </c>
      <c r="D167" s="758">
        <v>399940.22593095235</v>
      </c>
      <c r="E167" s="758">
        <f>VLOOKUP(A167,'[7]2020 Annual Allocation'!$A$4:$B$211,2,FALSE)</f>
        <v>27581.470539557151</v>
      </c>
      <c r="F167" s="758">
        <f>VLOOKUP(A167,'[7]2019 Alloc_Expend Sum'!$A$4:$AD$217,30,FALSE)</f>
        <v>427521.69647050952</v>
      </c>
      <c r="G167" s="694">
        <v>0</v>
      </c>
      <c r="H167" s="749" t="s">
        <v>258</v>
      </c>
      <c r="I167" s="750">
        <f t="shared" si="2"/>
        <v>427521.69647050952</v>
      </c>
      <c r="J167" s="735">
        <v>0</v>
      </c>
      <c r="K167" s="735" t="s">
        <v>103</v>
      </c>
      <c r="L167" s="750">
        <v>0</v>
      </c>
      <c r="M167" s="750" t="s">
        <v>103</v>
      </c>
      <c r="N167" s="736">
        <v>0</v>
      </c>
      <c r="O167" s="693">
        <v>0</v>
      </c>
      <c r="P167" s="752">
        <v>0</v>
      </c>
      <c r="Q167" t="s">
        <v>103</v>
      </c>
      <c r="R167" t="s">
        <v>103</v>
      </c>
    </row>
    <row r="168" spans="1:18">
      <c r="A168" s="861" t="s">
        <v>685</v>
      </c>
      <c r="B168" t="s">
        <v>1009</v>
      </c>
      <c r="C168" s="730" t="s">
        <v>110</v>
      </c>
      <c r="D168" s="747">
        <v>805504.86659153807</v>
      </c>
      <c r="E168" s="747">
        <f>VLOOKUP(A168,'[7]2020 Annual Allocation'!$A$4:$B$211,2,FALSE)</f>
        <v>35256.889996595899</v>
      </c>
      <c r="F168" s="747">
        <f>VLOOKUP(A168,'[7]2019 Alloc_Expend Sum'!$A$4:$AD$217,30,FALSE)</f>
        <v>840761.75658813375</v>
      </c>
      <c r="G168" s="694">
        <v>0</v>
      </c>
      <c r="H168" s="749" t="s">
        <v>258</v>
      </c>
      <c r="I168" s="750">
        <f t="shared" si="2"/>
        <v>840761.75658813375</v>
      </c>
      <c r="J168" s="735">
        <v>0</v>
      </c>
      <c r="K168" s="735" t="s">
        <v>103</v>
      </c>
      <c r="L168" s="750">
        <v>0</v>
      </c>
      <c r="M168" s="750" t="s">
        <v>103</v>
      </c>
      <c r="N168" s="736">
        <v>0</v>
      </c>
      <c r="O168" s="693">
        <v>0</v>
      </c>
      <c r="P168" s="752">
        <v>0</v>
      </c>
      <c r="Q168" t="s">
        <v>103</v>
      </c>
      <c r="R168" t="s">
        <v>103</v>
      </c>
    </row>
    <row r="169" spans="1:18">
      <c r="A169" s="861" t="s">
        <v>688</v>
      </c>
      <c r="B169" t="s">
        <v>1009</v>
      </c>
      <c r="C169" s="730" t="s">
        <v>110</v>
      </c>
      <c r="D169" s="747">
        <v>20923.092462398941</v>
      </c>
      <c r="E169" s="747">
        <f>VLOOKUP(A169,'[7]2020 Annual Allocation'!$A$4:$B$211,2,FALSE)</f>
        <v>5653.7524510790554</v>
      </c>
      <c r="F169" s="747">
        <f>VLOOKUP(A169,'[7]2019 Alloc_Expend Sum'!$A$4:$AD$217,30,FALSE)</f>
        <v>26576.844913478097</v>
      </c>
      <c r="G169" s="694">
        <v>0</v>
      </c>
      <c r="H169" s="749" t="s">
        <v>258</v>
      </c>
      <c r="I169" s="750">
        <f t="shared" si="2"/>
        <v>26576.844913478097</v>
      </c>
      <c r="J169" s="735">
        <v>0</v>
      </c>
      <c r="K169" s="735" t="s">
        <v>103</v>
      </c>
      <c r="L169" s="750">
        <v>0</v>
      </c>
      <c r="M169" s="750" t="s">
        <v>103</v>
      </c>
      <c r="N169" s="736">
        <v>0</v>
      </c>
      <c r="O169" s="693">
        <v>0</v>
      </c>
      <c r="P169" s="752">
        <v>0</v>
      </c>
      <c r="Q169" t="s">
        <v>103</v>
      </c>
      <c r="R169" t="s">
        <v>103</v>
      </c>
    </row>
    <row r="170" spans="1:18">
      <c r="A170" s="861" t="s">
        <v>692</v>
      </c>
      <c r="B170" t="s">
        <v>1009</v>
      </c>
      <c r="C170" s="730" t="s">
        <v>110</v>
      </c>
      <c r="D170" s="758">
        <v>137594.16850431403</v>
      </c>
      <c r="E170" s="758">
        <f>VLOOKUP(A170,'[7]2020 Annual Allocation'!$A$4:$B$211,2,FALSE)</f>
        <v>0</v>
      </c>
      <c r="F170" s="758">
        <f>VLOOKUP(A170,'[7]2019 Alloc_Expend Sum'!$A$4:$AD$217,30,FALSE)</f>
        <v>137594.16850431403</v>
      </c>
      <c r="G170" s="694">
        <v>0</v>
      </c>
      <c r="H170" s="749" t="s">
        <v>258</v>
      </c>
      <c r="I170" s="750">
        <f t="shared" si="2"/>
        <v>137594.16850431403</v>
      </c>
      <c r="J170" s="735">
        <v>0</v>
      </c>
      <c r="K170" s="735" t="s">
        <v>103</v>
      </c>
      <c r="L170" s="750">
        <v>0</v>
      </c>
      <c r="M170" s="750" t="s">
        <v>103</v>
      </c>
      <c r="N170" s="736">
        <v>0</v>
      </c>
      <c r="O170" s="693">
        <v>0</v>
      </c>
      <c r="P170" s="752">
        <v>0</v>
      </c>
      <c r="Q170" t="s">
        <v>103</v>
      </c>
      <c r="R170" t="s">
        <v>103</v>
      </c>
    </row>
    <row r="171" spans="1:18">
      <c r="A171" s="861" t="s">
        <v>693</v>
      </c>
      <c r="B171" t="s">
        <v>1009</v>
      </c>
      <c r="C171" s="730" t="s">
        <v>110</v>
      </c>
      <c r="D171" s="747">
        <v>-78872.725588515503</v>
      </c>
      <c r="E171" s="747">
        <f>VLOOKUP(A171,'[7]2020 Annual Allocation'!$A$4:$B$211,2,FALSE)</f>
        <v>0</v>
      </c>
      <c r="F171" s="747">
        <f>VLOOKUP(A171,'[7]2019 Alloc_Expend Sum'!$A$4:$AD$217,30,FALSE)</f>
        <v>-78872.725588515401</v>
      </c>
      <c r="G171" s="694">
        <v>0</v>
      </c>
      <c r="H171" s="749" t="s">
        <v>258</v>
      </c>
      <c r="I171" s="750">
        <f t="shared" si="2"/>
        <v>-78872.725588515401</v>
      </c>
      <c r="J171" s="735">
        <v>0</v>
      </c>
      <c r="K171" s="735" t="s">
        <v>103</v>
      </c>
      <c r="L171" s="750">
        <v>0</v>
      </c>
      <c r="M171" s="750" t="s">
        <v>103</v>
      </c>
      <c r="N171" s="736">
        <v>0</v>
      </c>
      <c r="O171" s="693">
        <v>0</v>
      </c>
      <c r="P171" s="752">
        <v>0</v>
      </c>
      <c r="Q171" t="s">
        <v>103</v>
      </c>
      <c r="R171" t="s">
        <v>103</v>
      </c>
    </row>
    <row r="172" spans="1:18">
      <c r="A172" s="861" t="s">
        <v>697</v>
      </c>
      <c r="B172" t="s">
        <v>1009</v>
      </c>
      <c r="C172" s="730" t="s">
        <v>110</v>
      </c>
      <c r="D172" s="758">
        <v>789961.21637524909</v>
      </c>
      <c r="E172" s="758">
        <f>VLOOKUP(A172,'[7]2020 Annual Allocation'!$A$4:$B$211,2,FALSE)</f>
        <v>24384.031520159529</v>
      </c>
      <c r="F172" s="758">
        <f>VLOOKUP(A172,'[7]2019 Alloc_Expend Sum'!$A$4:$AD$217,30,FALSE)</f>
        <v>814345.24789540865</v>
      </c>
      <c r="G172" s="694">
        <v>0</v>
      </c>
      <c r="H172" s="749" t="s">
        <v>258</v>
      </c>
      <c r="I172" s="750">
        <f t="shared" si="2"/>
        <v>814345.24789540865</v>
      </c>
      <c r="J172" s="735">
        <v>0</v>
      </c>
      <c r="K172" s="735" t="s">
        <v>103</v>
      </c>
      <c r="L172" s="750">
        <v>0</v>
      </c>
      <c r="M172" s="750" t="s">
        <v>103</v>
      </c>
      <c r="N172" s="736">
        <v>0</v>
      </c>
      <c r="O172" s="693">
        <v>0</v>
      </c>
      <c r="P172" s="752">
        <v>0</v>
      </c>
      <c r="Q172" t="s">
        <v>103</v>
      </c>
      <c r="R172" t="s">
        <v>103</v>
      </c>
    </row>
    <row r="173" spans="1:18">
      <c r="A173" s="861" t="s">
        <v>698</v>
      </c>
      <c r="B173" t="s">
        <v>1009</v>
      </c>
      <c r="C173" s="730" t="s">
        <v>110</v>
      </c>
      <c r="D173" s="747">
        <v>1184293.724765396</v>
      </c>
      <c r="E173" s="747">
        <f>VLOOKUP(A173,'[7]2020 Annual Allocation'!$A$4:$B$211,2,FALSE)</f>
        <v>100488.31863179906</v>
      </c>
      <c r="F173" s="747">
        <f>VLOOKUP(A173,'[7]2019 Alloc_Expend Sum'!$A$4:$AD$217,30,FALSE)</f>
        <v>1284782.0433971947</v>
      </c>
      <c r="G173" s="694">
        <v>0</v>
      </c>
      <c r="H173" s="749" t="s">
        <v>258</v>
      </c>
      <c r="I173" s="750">
        <f t="shared" si="2"/>
        <v>1284782.0433971947</v>
      </c>
      <c r="J173" s="735">
        <v>0</v>
      </c>
      <c r="K173" s="735" t="s">
        <v>103</v>
      </c>
      <c r="L173" s="750">
        <v>0</v>
      </c>
      <c r="M173" s="750" t="s">
        <v>103</v>
      </c>
      <c r="N173" s="736">
        <v>0</v>
      </c>
      <c r="O173" s="693">
        <v>0</v>
      </c>
      <c r="P173" s="752">
        <v>0</v>
      </c>
      <c r="Q173" t="s">
        <v>103</v>
      </c>
      <c r="R173" t="s">
        <v>103</v>
      </c>
    </row>
    <row r="174" spans="1:18">
      <c r="A174" s="861" t="s">
        <v>704</v>
      </c>
      <c r="B174" t="s">
        <v>1009</v>
      </c>
      <c r="C174" s="730" t="s">
        <v>110</v>
      </c>
      <c r="D174" s="747">
        <v>67511.880566255117</v>
      </c>
      <c r="E174" s="747">
        <f>VLOOKUP(A174,'[7]2020 Annual Allocation'!$A$4:$B$211,2,FALSE)</f>
        <v>0</v>
      </c>
      <c r="F174" s="747">
        <f>VLOOKUP(A174,'[7]2019 Alloc_Expend Sum'!$A$4:$AD$217,30,FALSE)</f>
        <v>67511.880566255189</v>
      </c>
      <c r="G174" s="694">
        <v>0</v>
      </c>
      <c r="H174" s="749" t="s">
        <v>258</v>
      </c>
      <c r="I174" s="750">
        <f t="shared" si="2"/>
        <v>67511.880566255189</v>
      </c>
      <c r="J174" s="735">
        <v>0</v>
      </c>
      <c r="K174" s="735" t="s">
        <v>103</v>
      </c>
      <c r="L174" s="750">
        <v>0</v>
      </c>
      <c r="M174" s="750" t="s">
        <v>103</v>
      </c>
      <c r="N174" s="736">
        <v>0</v>
      </c>
      <c r="O174" s="693">
        <v>0</v>
      </c>
      <c r="P174" s="752">
        <v>0</v>
      </c>
      <c r="Q174" t="s">
        <v>103</v>
      </c>
      <c r="R174" t="s">
        <v>103</v>
      </c>
    </row>
    <row r="175" spans="1:18">
      <c r="A175" s="861" t="s">
        <v>708</v>
      </c>
      <c r="B175" t="s">
        <v>1009</v>
      </c>
      <c r="C175" s="730" t="s">
        <v>110</v>
      </c>
      <c r="D175" s="747">
        <v>1100000.1338711618</v>
      </c>
      <c r="E175" s="747">
        <f>VLOOKUP(A175,'[7]2020 Annual Allocation'!$A$4:$B$211,2,FALSE)</f>
        <v>31068.936055662089</v>
      </c>
      <c r="F175" s="747">
        <f>VLOOKUP(A175,'[7]2019 Alloc_Expend Sum'!$A$4:$AD$217,30,FALSE)</f>
        <v>1131069.0699268237</v>
      </c>
      <c r="G175" s="694">
        <v>0</v>
      </c>
      <c r="H175" s="749" t="s">
        <v>258</v>
      </c>
      <c r="I175" s="750">
        <f t="shared" si="2"/>
        <v>1131069.0699268237</v>
      </c>
      <c r="J175" s="735">
        <v>0</v>
      </c>
      <c r="K175" s="735" t="s">
        <v>103</v>
      </c>
      <c r="L175" s="750">
        <v>0</v>
      </c>
      <c r="M175" s="750" t="s">
        <v>103</v>
      </c>
      <c r="N175" s="736">
        <v>0</v>
      </c>
      <c r="O175" s="693">
        <v>0</v>
      </c>
      <c r="P175" s="752">
        <v>0</v>
      </c>
      <c r="Q175" t="s">
        <v>103</v>
      </c>
      <c r="R175" t="s">
        <v>103</v>
      </c>
    </row>
    <row r="176" spans="1:18">
      <c r="A176" s="861" t="s">
        <v>709</v>
      </c>
      <c r="B176" t="s">
        <v>1009</v>
      </c>
      <c r="C176" s="730" t="s">
        <v>110</v>
      </c>
      <c r="D176" s="747">
        <v>885418.25592432451</v>
      </c>
      <c r="E176" s="747">
        <f>VLOOKUP(A176,'[7]2020 Annual Allocation'!$A$4:$B$211,2,FALSE)</f>
        <v>43509.188442817482</v>
      </c>
      <c r="F176" s="747">
        <f>VLOOKUP(A176,'[7]2019 Alloc_Expend Sum'!$A$4:$AD$217,30,FALSE)</f>
        <v>928927.44436714193</v>
      </c>
      <c r="G176" s="694">
        <v>0</v>
      </c>
      <c r="H176" s="749" t="s">
        <v>258</v>
      </c>
      <c r="I176" s="750">
        <f t="shared" si="2"/>
        <v>928927.44436714193</v>
      </c>
      <c r="J176" s="735">
        <v>0</v>
      </c>
      <c r="K176" s="735" t="s">
        <v>103</v>
      </c>
      <c r="L176" s="750">
        <v>0</v>
      </c>
      <c r="M176" s="750" t="s">
        <v>103</v>
      </c>
      <c r="N176" s="736">
        <v>0</v>
      </c>
      <c r="O176" s="693">
        <v>0</v>
      </c>
      <c r="P176" s="752">
        <v>0</v>
      </c>
      <c r="Q176" t="s">
        <v>103</v>
      </c>
      <c r="R176" t="s">
        <v>103</v>
      </c>
    </row>
    <row r="177" spans="1:18">
      <c r="A177" s="861" t="s">
        <v>710</v>
      </c>
      <c r="B177" t="s">
        <v>1009</v>
      </c>
      <c r="C177" s="730" t="s">
        <v>110</v>
      </c>
      <c r="D177" s="747">
        <v>-896651.59287315223</v>
      </c>
      <c r="E177" s="747">
        <f>VLOOKUP(A177,'[7]2020 Annual Allocation'!$A$4:$B$211,2,FALSE)</f>
        <v>118004.45829042395</v>
      </c>
      <c r="F177" s="747">
        <f>VLOOKUP(A177,'[7]2019 Alloc_Expend Sum'!$A$4:$AD$217,30,FALSE)</f>
        <v>-778647.13458272838</v>
      </c>
      <c r="G177" s="694">
        <v>6.5984552267201542</v>
      </c>
      <c r="H177" s="749" t="s">
        <v>258</v>
      </c>
      <c r="I177" s="750">
        <f t="shared" si="2"/>
        <v>-778647.13458272838</v>
      </c>
      <c r="J177" s="735">
        <v>0</v>
      </c>
      <c r="K177" s="735" t="s">
        <v>103</v>
      </c>
      <c r="L177" s="750">
        <v>0</v>
      </c>
      <c r="M177" s="750" t="s">
        <v>103</v>
      </c>
      <c r="N177" s="736">
        <v>0</v>
      </c>
      <c r="O177" s="693">
        <v>0</v>
      </c>
      <c r="P177" s="752">
        <v>0</v>
      </c>
      <c r="Q177" t="s">
        <v>103</v>
      </c>
      <c r="R177" t="s">
        <v>103</v>
      </c>
    </row>
    <row r="178" spans="1:18">
      <c r="A178" s="861" t="s">
        <v>715</v>
      </c>
      <c r="B178" t="s">
        <v>1009</v>
      </c>
      <c r="C178" s="730" t="s">
        <v>110</v>
      </c>
      <c r="D178" s="747">
        <v>-22932.275600306035</v>
      </c>
      <c r="E178" s="747">
        <f>VLOOKUP(A178,'[7]2020 Annual Allocation'!$A$4:$B$211,2,FALSE)</f>
        <v>11204.652892718637</v>
      </c>
      <c r="F178" s="747">
        <f>VLOOKUP(A178,'[7]2019 Alloc_Expend Sum'!$A$4:$AD$217,30,FALSE)</f>
        <v>-11727.622707587354</v>
      </c>
      <c r="G178" s="694">
        <v>1.0466743432283003</v>
      </c>
      <c r="H178" s="749" t="s">
        <v>258</v>
      </c>
      <c r="I178" s="750">
        <f t="shared" si="2"/>
        <v>-11727.622707587354</v>
      </c>
      <c r="J178" s="735">
        <v>0</v>
      </c>
      <c r="K178" s="735" t="s">
        <v>103</v>
      </c>
      <c r="L178" s="750">
        <v>0</v>
      </c>
      <c r="M178" s="750" t="s">
        <v>103</v>
      </c>
      <c r="N178" s="736">
        <v>0</v>
      </c>
      <c r="O178" s="693">
        <v>0</v>
      </c>
      <c r="P178" s="752">
        <v>0</v>
      </c>
      <c r="Q178" t="s">
        <v>103</v>
      </c>
      <c r="R178" t="s">
        <v>103</v>
      </c>
    </row>
    <row r="179" spans="1:18">
      <c r="A179" s="861" t="s">
        <v>719</v>
      </c>
      <c r="B179" t="s">
        <v>1009</v>
      </c>
      <c r="C179" s="730" t="s">
        <v>110</v>
      </c>
      <c r="D179" s="747">
        <v>-135068.34975389866</v>
      </c>
      <c r="E179" s="747">
        <f>VLOOKUP(A179,'[7]2020 Annual Allocation'!$A$4:$B$211,2,FALSE)</f>
        <v>26593.305035774545</v>
      </c>
      <c r="F179" s="747">
        <f>VLOOKUP(A179,'[7]2019 Alloc_Expend Sum'!$A$4:$AD$217,30,FALSE)</f>
        <v>-108475.04471812403</v>
      </c>
      <c r="G179" s="694">
        <v>4.0790358540316207</v>
      </c>
      <c r="H179" s="749" t="s">
        <v>258</v>
      </c>
      <c r="I179" s="750">
        <f t="shared" si="2"/>
        <v>-108475.04471812403</v>
      </c>
      <c r="J179" s="735">
        <v>0</v>
      </c>
      <c r="K179" s="735" t="s">
        <v>103</v>
      </c>
      <c r="L179" s="750">
        <v>0</v>
      </c>
      <c r="M179" s="750" t="s">
        <v>103</v>
      </c>
      <c r="N179" s="736">
        <v>0</v>
      </c>
      <c r="O179" s="693">
        <v>0</v>
      </c>
      <c r="P179" s="752">
        <v>0</v>
      </c>
      <c r="Q179" t="s">
        <v>103</v>
      </c>
      <c r="R179" t="s">
        <v>103</v>
      </c>
    </row>
    <row r="180" spans="1:18">
      <c r="A180" s="861" t="s">
        <v>720</v>
      </c>
      <c r="B180" t="s">
        <v>1009</v>
      </c>
      <c r="C180" s="730" t="s">
        <v>110</v>
      </c>
      <c r="D180" s="747">
        <v>6389.6685385113233</v>
      </c>
      <c r="E180" s="747">
        <f>VLOOKUP(A180,'[7]2020 Annual Allocation'!$A$4:$B$211,2,FALSE)</f>
        <v>0</v>
      </c>
      <c r="F180" s="747">
        <f>VLOOKUP(A180,'[7]2019 Alloc_Expend Sum'!$A$4:$AD$217,30,FALSE)</f>
        <v>6389.6685385113233</v>
      </c>
      <c r="G180" s="694">
        <v>0</v>
      </c>
      <c r="H180" s="749" t="s">
        <v>258</v>
      </c>
      <c r="I180" s="750">
        <f t="shared" si="2"/>
        <v>6389.6685385113233</v>
      </c>
      <c r="J180" s="735">
        <v>0</v>
      </c>
      <c r="K180" s="735" t="s">
        <v>103</v>
      </c>
      <c r="L180" s="750">
        <v>0</v>
      </c>
      <c r="M180" s="750" t="s">
        <v>103</v>
      </c>
      <c r="N180" s="736">
        <v>0</v>
      </c>
      <c r="O180" s="693">
        <v>0</v>
      </c>
      <c r="P180" s="752">
        <v>0</v>
      </c>
      <c r="Q180" t="s">
        <v>103</v>
      </c>
      <c r="R180" t="s">
        <v>103</v>
      </c>
    </row>
    <row r="181" spans="1:18">
      <c r="A181" s="861" t="s">
        <v>721</v>
      </c>
      <c r="B181" t="s">
        <v>1009</v>
      </c>
      <c r="C181" s="730" t="s">
        <v>110</v>
      </c>
      <c r="D181" s="747">
        <v>218282.4296498386</v>
      </c>
      <c r="E181" s="747">
        <f>VLOOKUP(A181,'[7]2020 Annual Allocation'!$A$4:$B$211,2,FALSE)</f>
        <v>6047.5268267199135</v>
      </c>
      <c r="F181" s="747">
        <f>VLOOKUP(A181,'[7]2019 Alloc_Expend Sum'!$A$4:$AD$217,30,FALSE)</f>
        <v>224329.95647655841</v>
      </c>
      <c r="G181" s="694">
        <v>0</v>
      </c>
      <c r="H181" s="749" t="s">
        <v>258</v>
      </c>
      <c r="I181" s="750">
        <f t="shared" si="2"/>
        <v>224329.95647655841</v>
      </c>
      <c r="J181" s="735">
        <v>0</v>
      </c>
      <c r="K181" s="735" t="s">
        <v>103</v>
      </c>
      <c r="L181" s="750">
        <v>0</v>
      </c>
      <c r="M181" s="750" t="s">
        <v>103</v>
      </c>
      <c r="N181" s="736">
        <v>0</v>
      </c>
      <c r="O181" s="693">
        <v>0</v>
      </c>
      <c r="P181" s="752">
        <v>0</v>
      </c>
      <c r="Q181" t="s">
        <v>103</v>
      </c>
      <c r="R181" t="s">
        <v>103</v>
      </c>
    </row>
    <row r="182" spans="1:18">
      <c r="A182" s="861" t="s">
        <v>724</v>
      </c>
      <c r="B182" t="s">
        <v>1009</v>
      </c>
      <c r="C182" s="730" t="s">
        <v>110</v>
      </c>
      <c r="D182" s="747">
        <v>385940.18608848727</v>
      </c>
      <c r="E182" s="747">
        <f>VLOOKUP(A182,'[7]2020 Annual Allocation'!$A$4:$B$211,2,FALSE)</f>
        <v>0</v>
      </c>
      <c r="F182" s="747">
        <f>VLOOKUP(A182,'[7]2019 Alloc_Expend Sum'!$A$4:$AD$217,30,FALSE)</f>
        <v>385940.18608848727</v>
      </c>
      <c r="G182" s="694">
        <v>0</v>
      </c>
      <c r="H182" s="749" t="s">
        <v>258</v>
      </c>
      <c r="I182" s="750">
        <f t="shared" si="2"/>
        <v>385940.18608848727</v>
      </c>
      <c r="J182" s="735">
        <v>0</v>
      </c>
      <c r="K182" s="735" t="s">
        <v>103</v>
      </c>
      <c r="L182" s="750">
        <v>0</v>
      </c>
      <c r="M182" s="750" t="s">
        <v>103</v>
      </c>
      <c r="N182" s="736">
        <v>0</v>
      </c>
      <c r="O182" s="693">
        <v>0</v>
      </c>
      <c r="P182" s="752">
        <v>0</v>
      </c>
      <c r="Q182" t="s">
        <v>103</v>
      </c>
      <c r="R182" t="s">
        <v>103</v>
      </c>
    </row>
    <row r="183" spans="1:18">
      <c r="A183" s="861" t="s">
        <v>728</v>
      </c>
      <c r="B183" t="s">
        <v>1009</v>
      </c>
      <c r="C183" s="730" t="s">
        <v>110</v>
      </c>
      <c r="D183" s="758">
        <v>338773.63649612624</v>
      </c>
      <c r="E183" s="758">
        <f>VLOOKUP(A183,'[7]2020 Annual Allocation'!$A$4:$B$211,2,FALSE)</f>
        <v>13177.188845765006</v>
      </c>
      <c r="F183" s="758">
        <f>VLOOKUP(A183,'[7]2019 Alloc_Expend Sum'!$A$4:$AD$217,30,FALSE)</f>
        <v>351950.82534189126</v>
      </c>
      <c r="G183" s="694">
        <v>0</v>
      </c>
      <c r="H183" s="749" t="s">
        <v>258</v>
      </c>
      <c r="I183" s="750">
        <f t="shared" si="2"/>
        <v>351950.82534189126</v>
      </c>
      <c r="J183" s="735">
        <v>0</v>
      </c>
      <c r="K183" s="735" t="s">
        <v>103</v>
      </c>
      <c r="L183" s="750">
        <v>0</v>
      </c>
      <c r="M183" s="750" t="s">
        <v>103</v>
      </c>
      <c r="N183" s="736">
        <v>0</v>
      </c>
      <c r="O183" s="693">
        <v>0</v>
      </c>
      <c r="P183" s="752">
        <v>0</v>
      </c>
      <c r="Q183" t="s">
        <v>103</v>
      </c>
      <c r="R183" t="s">
        <v>103</v>
      </c>
    </row>
    <row r="184" spans="1:18">
      <c r="A184" s="861" t="s">
        <v>729</v>
      </c>
      <c r="B184" t="s">
        <v>1009</v>
      </c>
      <c r="C184" s="730" t="s">
        <v>110</v>
      </c>
      <c r="D184" s="747">
        <v>10978395.440233752</v>
      </c>
      <c r="E184" s="747">
        <f>VLOOKUP(A184,'[7]2020 Annual Allocation'!$A$4:$B$211,2,FALSE)</f>
        <v>390097.68794355006</v>
      </c>
      <c r="F184" s="747">
        <f>VLOOKUP(A184,'[7]2019 Alloc_Expend Sum'!$A$4:$AD$217,30,FALSE)</f>
        <v>11368493.128177306</v>
      </c>
      <c r="G184" s="694">
        <v>0</v>
      </c>
      <c r="H184" s="862" t="s">
        <v>258</v>
      </c>
      <c r="I184" s="863">
        <f t="shared" si="2"/>
        <v>11368493.128177306</v>
      </c>
      <c r="J184" s="735">
        <v>0</v>
      </c>
      <c r="K184" s="735" t="s">
        <v>103</v>
      </c>
      <c r="L184" s="863">
        <v>0</v>
      </c>
      <c r="M184" s="863" t="s">
        <v>103</v>
      </c>
      <c r="N184" s="736">
        <v>0</v>
      </c>
      <c r="O184" s="693">
        <v>0</v>
      </c>
      <c r="P184" s="752">
        <v>0</v>
      </c>
      <c r="Q184" t="s">
        <v>103</v>
      </c>
      <c r="R184" t="s">
        <v>103</v>
      </c>
    </row>
    <row r="185" spans="1:18" s="101" customFormat="1">
      <c r="A185" s="738" t="s">
        <v>1377</v>
      </c>
      <c r="B185" s="738"/>
      <c r="C185" s="738"/>
      <c r="D185" s="739">
        <f>SUM(D160:D184)</f>
        <v>18365341.343434393</v>
      </c>
      <c r="E185" s="739">
        <f>SUM(E160:E184)</f>
        <v>1030576.617617395</v>
      </c>
      <c r="F185" s="739">
        <f>SUM(F160:F184)</f>
        <v>18929109.001051791</v>
      </c>
      <c r="G185" s="740">
        <v>0</v>
      </c>
      <c r="H185" s="741"/>
      <c r="I185" s="742">
        <f t="shared" si="2"/>
        <v>18929109.001051791</v>
      </c>
      <c r="J185" s="742">
        <v>0</v>
      </c>
      <c r="K185" s="741"/>
      <c r="L185" s="742">
        <v>0</v>
      </c>
      <c r="M185" s="742">
        <v>0</v>
      </c>
      <c r="N185" s="743">
        <v>0</v>
      </c>
      <c r="O185" s="742">
        <v>0</v>
      </c>
      <c r="P185" s="744">
        <v>0</v>
      </c>
      <c r="Q185" s="741" t="s">
        <v>103</v>
      </c>
      <c r="R185" s="741" t="s">
        <v>103</v>
      </c>
    </row>
    <row r="186" spans="1:18">
      <c r="A186" s="857" t="s">
        <v>746</v>
      </c>
      <c r="B186" s="857"/>
      <c r="C186" s="857"/>
      <c r="D186" s="724"/>
      <c r="E186" s="724"/>
      <c r="F186" s="724"/>
      <c r="G186" s="858">
        <v>0</v>
      </c>
      <c r="H186" s="859"/>
      <c r="I186" s="860"/>
      <c r="J186" s="859"/>
      <c r="K186" s="859"/>
      <c r="L186" s="860">
        <v>0</v>
      </c>
      <c r="M186" s="860"/>
      <c r="N186" s="728"/>
      <c r="O186" s="860"/>
      <c r="P186" s="859"/>
      <c r="Q186" s="859"/>
      <c r="R186" s="859"/>
    </row>
    <row r="187" spans="1:18">
      <c r="A187" s="861" t="s">
        <v>747</v>
      </c>
      <c r="B187" t="s">
        <v>1009</v>
      </c>
      <c r="C187" s="730" t="s">
        <v>110</v>
      </c>
      <c r="D187" s="747">
        <v>-27975.645739282561</v>
      </c>
      <c r="E187" s="747">
        <f>VLOOKUP(A187,'[7]2020 Annual Allocation'!$A$4:$B$211,2,FALSE)</f>
        <v>963.07738680490729</v>
      </c>
      <c r="F187" s="747">
        <f>VLOOKUP(A187,'[7]2019 Alloc_Expend Sum'!$A$4:$AD$217,30,FALSE)</f>
        <v>-27012.56835247769</v>
      </c>
      <c r="G187" s="694">
        <v>28.048180470828235</v>
      </c>
      <c r="H187" s="749" t="s">
        <v>258</v>
      </c>
      <c r="I187" s="750">
        <f t="shared" si="2"/>
        <v>-27012.56835247769</v>
      </c>
      <c r="J187" s="735">
        <v>0</v>
      </c>
      <c r="K187" s="735" t="s">
        <v>103</v>
      </c>
      <c r="L187" s="750">
        <v>0</v>
      </c>
      <c r="M187" s="750" t="s">
        <v>103</v>
      </c>
      <c r="N187" s="736">
        <v>0</v>
      </c>
      <c r="O187" s="693">
        <v>0</v>
      </c>
      <c r="P187" s="752">
        <v>0</v>
      </c>
      <c r="Q187" t="s">
        <v>103</v>
      </c>
      <c r="R187" t="s">
        <v>103</v>
      </c>
    </row>
    <row r="188" spans="1:18">
      <c r="A188" s="861" t="s">
        <v>752</v>
      </c>
      <c r="B188" t="s">
        <v>1009</v>
      </c>
      <c r="C188" s="730" t="s">
        <v>110</v>
      </c>
      <c r="D188" s="747">
        <v>661110.65875741642</v>
      </c>
      <c r="E188" s="747">
        <f>VLOOKUP(A188,'[7]2020 Annual Allocation'!$A$4:$B$211,2,FALSE)</f>
        <v>87907.176862449793</v>
      </c>
      <c r="F188" s="747">
        <f>VLOOKUP(A188,'[7]2019 Alloc_Expend Sum'!$A$4:$AD$217,30,FALSE)</f>
        <v>749017.83561986638</v>
      </c>
      <c r="G188" s="694">
        <v>16.033475553914577</v>
      </c>
      <c r="H188" s="749" t="s">
        <v>258</v>
      </c>
      <c r="I188" s="750">
        <f t="shared" si="2"/>
        <v>749017.83561986638</v>
      </c>
      <c r="J188" s="735">
        <v>0</v>
      </c>
      <c r="K188" s="735" t="s">
        <v>103</v>
      </c>
      <c r="L188" s="750">
        <v>0</v>
      </c>
      <c r="M188" s="750" t="s">
        <v>103</v>
      </c>
      <c r="N188" s="736">
        <v>0</v>
      </c>
      <c r="O188" s="693">
        <v>0</v>
      </c>
      <c r="P188" s="752">
        <v>0</v>
      </c>
      <c r="Q188" t="s">
        <v>103</v>
      </c>
      <c r="R188" t="s">
        <v>103</v>
      </c>
    </row>
    <row r="189" spans="1:18">
      <c r="A189" s="861" t="s">
        <v>759</v>
      </c>
      <c r="B189" t="s">
        <v>1009</v>
      </c>
      <c r="C189" s="730" t="s">
        <v>110</v>
      </c>
      <c r="D189" s="747">
        <v>5429.755788652672</v>
      </c>
      <c r="E189" s="747">
        <f>VLOOKUP(A189,'[7]2020 Annual Allocation'!$A$4:$B$211,2,FALSE)</f>
        <v>226.60883221079811</v>
      </c>
      <c r="F189" s="747">
        <f>VLOOKUP(A189,'[7]2019 Alloc_Expend Sum'!$A$4:$AD$217,30,FALSE)</f>
        <v>5656.36462086347</v>
      </c>
      <c r="G189" s="694">
        <v>0</v>
      </c>
      <c r="H189" s="749" t="s">
        <v>258</v>
      </c>
      <c r="I189" s="750">
        <f t="shared" si="2"/>
        <v>5656.36462086347</v>
      </c>
      <c r="J189" s="735">
        <v>0</v>
      </c>
      <c r="K189" s="735" t="s">
        <v>103</v>
      </c>
      <c r="L189" s="750">
        <v>0</v>
      </c>
      <c r="M189" s="750" t="s">
        <v>103</v>
      </c>
      <c r="N189" s="736">
        <v>0</v>
      </c>
      <c r="O189" s="693">
        <v>0</v>
      </c>
      <c r="P189" s="752">
        <v>0</v>
      </c>
      <c r="Q189" t="s">
        <v>103</v>
      </c>
      <c r="R189" t="s">
        <v>103</v>
      </c>
    </row>
    <row r="190" spans="1:18">
      <c r="A190" s="861" t="s">
        <v>760</v>
      </c>
      <c r="B190" t="s">
        <v>1009</v>
      </c>
      <c r="C190" s="730" t="s">
        <v>110</v>
      </c>
      <c r="D190" s="747">
        <v>-205731.66698511841</v>
      </c>
      <c r="E190" s="747">
        <f>VLOOKUP(A190,'[7]2020 Annual Allocation'!$A$4:$B$211,2,FALSE)</f>
        <v>41461.358867862946</v>
      </c>
      <c r="F190" s="747">
        <f>VLOOKUP(A190,'[7]2019 Alloc_Expend Sum'!$A$4:$AD$217,30,FALSE)</f>
        <v>-164270.30811725534</v>
      </c>
      <c r="G190" s="694">
        <v>3.9620097508329053</v>
      </c>
      <c r="H190" s="749" t="s">
        <v>258</v>
      </c>
      <c r="I190" s="750">
        <f t="shared" si="2"/>
        <v>-164270.30811725534</v>
      </c>
      <c r="J190" s="735">
        <v>0</v>
      </c>
      <c r="K190" s="735" t="s">
        <v>103</v>
      </c>
      <c r="L190" s="750">
        <v>0</v>
      </c>
      <c r="M190" s="750" t="s">
        <v>103</v>
      </c>
      <c r="N190" s="736">
        <v>0</v>
      </c>
      <c r="O190" s="693">
        <v>0</v>
      </c>
      <c r="P190" s="752">
        <v>0</v>
      </c>
      <c r="Q190" t="s">
        <v>103</v>
      </c>
      <c r="R190" t="s">
        <v>103</v>
      </c>
    </row>
    <row r="191" spans="1:18">
      <c r="A191" s="861" t="s">
        <v>764</v>
      </c>
      <c r="B191" t="s">
        <v>1009</v>
      </c>
      <c r="C191" s="730" t="s">
        <v>110</v>
      </c>
      <c r="D191" s="747">
        <v>1078525.2885266899</v>
      </c>
      <c r="E191" s="747">
        <f>VLOOKUP(A191,'[7]2020 Annual Allocation'!$A$4:$B$211,2,FALSE)</f>
        <v>50575.208176056753</v>
      </c>
      <c r="F191" s="747">
        <f>VLOOKUP(A191,'[7]2019 Alloc_Expend Sum'!$A$4:$AD$217,30,FALSE)</f>
        <v>1129100.5067027463</v>
      </c>
      <c r="G191" s="694">
        <v>0</v>
      </c>
      <c r="H191" s="749" t="s">
        <v>258</v>
      </c>
      <c r="I191" s="750">
        <f t="shared" si="2"/>
        <v>1129100.5067027463</v>
      </c>
      <c r="J191" s="735">
        <v>0</v>
      </c>
      <c r="K191" s="735" t="s">
        <v>103</v>
      </c>
      <c r="L191" s="750">
        <v>0</v>
      </c>
      <c r="M191" s="750" t="s">
        <v>103</v>
      </c>
      <c r="N191" s="736">
        <v>0</v>
      </c>
      <c r="O191" s="693">
        <v>0</v>
      </c>
      <c r="P191" s="752">
        <v>0</v>
      </c>
      <c r="Q191" t="s">
        <v>103</v>
      </c>
      <c r="R191" t="s">
        <v>103</v>
      </c>
    </row>
    <row r="192" spans="1:18">
      <c r="A192" s="861" t="s">
        <v>772</v>
      </c>
      <c r="B192" t="s">
        <v>1009</v>
      </c>
      <c r="C192" s="730" t="s">
        <v>110</v>
      </c>
      <c r="D192" s="747">
        <v>-893908.684918902</v>
      </c>
      <c r="E192" s="747">
        <f>VLOOKUP(A192,'[7]2020 Annual Allocation'!$A$4:$B$211,2,FALSE)</f>
        <v>0</v>
      </c>
      <c r="F192" s="747">
        <f>VLOOKUP(A192,'[7]2019 Alloc_Expend Sum'!$A$4:$AD$217,30,FALSE)</f>
        <v>-893908.68491890188</v>
      </c>
      <c r="G192" s="694">
        <v>0</v>
      </c>
      <c r="H192" s="749" t="s">
        <v>258</v>
      </c>
      <c r="I192" s="750">
        <f t="shared" si="2"/>
        <v>-893908.68491890188</v>
      </c>
      <c r="J192" s="735">
        <v>0</v>
      </c>
      <c r="K192" s="735" t="s">
        <v>103</v>
      </c>
      <c r="L192" s="750">
        <v>0</v>
      </c>
      <c r="M192" s="750" t="s">
        <v>103</v>
      </c>
      <c r="N192" s="736">
        <v>0</v>
      </c>
      <c r="O192" s="693">
        <v>0</v>
      </c>
      <c r="P192" s="752">
        <v>0</v>
      </c>
      <c r="Q192" t="s">
        <v>103</v>
      </c>
      <c r="R192" t="s">
        <v>103</v>
      </c>
    </row>
    <row r="193" spans="1:18">
      <c r="A193" s="861" t="s">
        <v>777</v>
      </c>
      <c r="B193" t="s">
        <v>1009</v>
      </c>
      <c r="C193" s="730" t="s">
        <v>110</v>
      </c>
      <c r="D193" s="747">
        <v>20870.170040266061</v>
      </c>
      <c r="E193" s="747">
        <f>VLOOKUP(A193,'[7]2020 Annual Allocation'!$A$4:$B$211,2,FALSE)</f>
        <v>434.46693936692645</v>
      </c>
      <c r="F193" s="747">
        <f>VLOOKUP(A193,'[7]2019 Alloc_Expend Sum'!$A$4:$AD$217,30,FALSE)</f>
        <v>21304.636979632989</v>
      </c>
      <c r="G193" s="694">
        <v>0</v>
      </c>
      <c r="H193" s="749" t="s">
        <v>258</v>
      </c>
      <c r="I193" s="750">
        <f t="shared" si="2"/>
        <v>21304.636979632989</v>
      </c>
      <c r="J193" s="735">
        <v>0</v>
      </c>
      <c r="K193" s="735" t="s">
        <v>103</v>
      </c>
      <c r="L193" s="750">
        <v>0</v>
      </c>
      <c r="M193" s="750" t="s">
        <v>103</v>
      </c>
      <c r="N193" s="736">
        <v>0</v>
      </c>
      <c r="O193" s="693">
        <v>0</v>
      </c>
      <c r="P193" s="752">
        <v>0</v>
      </c>
      <c r="Q193" t="s">
        <v>103</v>
      </c>
      <c r="R193" t="s">
        <v>103</v>
      </c>
    </row>
    <row r="194" spans="1:18">
      <c r="A194" s="861" t="s">
        <v>778</v>
      </c>
      <c r="B194" t="s">
        <v>1009</v>
      </c>
      <c r="C194" s="730" t="s">
        <v>110</v>
      </c>
      <c r="D194" s="747">
        <v>-273868.53147746017</v>
      </c>
      <c r="E194" s="747">
        <f>VLOOKUP(A194,'[7]2020 Annual Allocation'!$A$4:$B$211,2,FALSE)</f>
        <v>65264.773877909465</v>
      </c>
      <c r="F194" s="747">
        <f>VLOOKUP(A194,'[7]2019 Alloc_Expend Sum'!$A$4:$AD$217,30,FALSE)</f>
        <v>-208603.75759955024</v>
      </c>
      <c r="G194" s="694">
        <v>3.1962687557882972</v>
      </c>
      <c r="H194" s="749" t="s">
        <v>258</v>
      </c>
      <c r="I194" s="750">
        <f t="shared" si="2"/>
        <v>-208603.75759955024</v>
      </c>
      <c r="J194" s="735">
        <v>0</v>
      </c>
      <c r="K194" s="735" t="s">
        <v>103</v>
      </c>
      <c r="L194" s="750">
        <v>0</v>
      </c>
      <c r="M194" s="750" t="s">
        <v>103</v>
      </c>
      <c r="N194" s="736">
        <v>0</v>
      </c>
      <c r="O194" s="693">
        <v>0</v>
      </c>
      <c r="P194" s="752">
        <v>0</v>
      </c>
      <c r="Q194" t="s">
        <v>103</v>
      </c>
      <c r="R194" t="s">
        <v>103</v>
      </c>
    </row>
    <row r="195" spans="1:18">
      <c r="A195" s="861" t="s">
        <v>794</v>
      </c>
      <c r="B195" t="s">
        <v>1009</v>
      </c>
      <c r="C195" s="730" t="s">
        <v>110</v>
      </c>
      <c r="D195" s="747">
        <v>944415.45760443062</v>
      </c>
      <c r="E195" s="747">
        <f>VLOOKUP(A195,'[7]2020 Annual Allocation'!$A$4:$B$211,2,FALSE)</f>
        <v>9337.5366173027014</v>
      </c>
      <c r="F195" s="747">
        <f>VLOOKUP(A195,'[7]2019 Alloc_Expend Sum'!$A$4:$AD$217,30,FALSE)</f>
        <v>953752.9942217333</v>
      </c>
      <c r="G195" s="694">
        <v>0</v>
      </c>
      <c r="H195" s="749" t="s">
        <v>258</v>
      </c>
      <c r="I195" s="750">
        <f t="shared" si="2"/>
        <v>953752.9942217333</v>
      </c>
      <c r="J195" s="735">
        <v>0</v>
      </c>
      <c r="K195" s="735" t="s">
        <v>103</v>
      </c>
      <c r="L195" s="750">
        <v>0</v>
      </c>
      <c r="M195" s="750" t="s">
        <v>103</v>
      </c>
      <c r="N195" s="736">
        <v>0</v>
      </c>
      <c r="O195" s="693">
        <v>0</v>
      </c>
      <c r="P195" s="752">
        <v>0</v>
      </c>
      <c r="Q195" t="s">
        <v>103</v>
      </c>
      <c r="R195" t="s">
        <v>103</v>
      </c>
    </row>
    <row r="196" spans="1:18">
      <c r="A196" s="861" t="s">
        <v>795</v>
      </c>
      <c r="B196" t="s">
        <v>1009</v>
      </c>
      <c r="C196" s="730" t="s">
        <v>110</v>
      </c>
      <c r="D196" s="747">
        <v>1682283.9378498392</v>
      </c>
      <c r="E196" s="747">
        <f>VLOOKUP(A196,'[7]2020 Annual Allocation'!$A$4:$B$211,2,FALSE)</f>
        <v>83726.199560546753</v>
      </c>
      <c r="F196" s="747">
        <f>VLOOKUP(A196,'[7]2019 Alloc_Expend Sum'!$A$4:$AD$217,30,FALSE)</f>
        <v>1766010.137410386</v>
      </c>
      <c r="G196" s="694">
        <v>0</v>
      </c>
      <c r="H196" s="749" t="s">
        <v>258</v>
      </c>
      <c r="I196" s="750">
        <f t="shared" si="2"/>
        <v>1766010.137410386</v>
      </c>
      <c r="J196" s="735">
        <v>0</v>
      </c>
      <c r="K196" s="735" t="s">
        <v>103</v>
      </c>
      <c r="L196" s="750">
        <v>0</v>
      </c>
      <c r="M196" s="750" t="s">
        <v>103</v>
      </c>
      <c r="N196" s="736">
        <v>0</v>
      </c>
      <c r="O196" s="693">
        <v>0</v>
      </c>
      <c r="P196" s="752">
        <v>0</v>
      </c>
      <c r="Q196" t="s">
        <v>103</v>
      </c>
      <c r="R196" t="s">
        <v>103</v>
      </c>
    </row>
    <row r="197" spans="1:18">
      <c r="A197" s="861" t="s">
        <v>802</v>
      </c>
      <c r="B197" t="s">
        <v>1009</v>
      </c>
      <c r="C197" s="730" t="s">
        <v>110</v>
      </c>
      <c r="D197" s="747">
        <v>-60833.787172421755</v>
      </c>
      <c r="E197" s="747">
        <f>VLOOKUP(A197,'[7]2020 Annual Allocation'!$A$4:$B$211,2,FALSE)</f>
        <v>47416.682260896356</v>
      </c>
      <c r="F197" s="747">
        <f>VLOOKUP(A197,'[7]2019 Alloc_Expend Sum'!$A$4:$AD$217,30,FALSE)</f>
        <v>-13417.104911525457</v>
      </c>
      <c r="G197" s="694">
        <v>0.28296169769326712</v>
      </c>
      <c r="H197" s="749" t="s">
        <v>258</v>
      </c>
      <c r="I197" s="750">
        <f t="shared" si="2"/>
        <v>-13417.104911525457</v>
      </c>
      <c r="J197" s="735">
        <v>0</v>
      </c>
      <c r="K197" s="735" t="s">
        <v>103</v>
      </c>
      <c r="L197" s="750">
        <v>0</v>
      </c>
      <c r="M197" s="750" t="s">
        <v>103</v>
      </c>
      <c r="N197" s="736">
        <v>0</v>
      </c>
      <c r="O197" s="693">
        <v>0</v>
      </c>
      <c r="P197" s="752">
        <v>0</v>
      </c>
      <c r="Q197" t="s">
        <v>103</v>
      </c>
      <c r="R197" t="s">
        <v>103</v>
      </c>
    </row>
    <row r="198" spans="1:18">
      <c r="A198" s="861" t="s">
        <v>806</v>
      </c>
      <c r="B198" t="s">
        <v>1009</v>
      </c>
      <c r="C198" s="730" t="s">
        <v>110</v>
      </c>
      <c r="D198" s="747">
        <v>298048.01983687334</v>
      </c>
      <c r="E198" s="747">
        <f>VLOOKUP(A198,'[7]2020 Annual Allocation'!$A$4:$B$211,2,FALSE)</f>
        <v>21044.753633740162</v>
      </c>
      <c r="F198" s="747">
        <f>VLOOKUP(A198,'[7]2019 Alloc_Expend Sum'!$A$4:$AD$217,30,FALSE)</f>
        <v>319092.77347061347</v>
      </c>
      <c r="G198" s="694">
        <v>0</v>
      </c>
      <c r="H198" s="749" t="s">
        <v>258</v>
      </c>
      <c r="I198" s="750">
        <f t="shared" si="2"/>
        <v>319092.77347061347</v>
      </c>
      <c r="J198" s="735">
        <v>0</v>
      </c>
      <c r="K198" s="735" t="s">
        <v>103</v>
      </c>
      <c r="L198" s="750">
        <v>0</v>
      </c>
      <c r="M198" s="750" t="s">
        <v>103</v>
      </c>
      <c r="N198" s="736">
        <v>0</v>
      </c>
      <c r="O198" s="693">
        <v>0</v>
      </c>
      <c r="P198" s="752">
        <v>0</v>
      </c>
      <c r="Q198" t="s">
        <v>103</v>
      </c>
      <c r="R198" t="s">
        <v>103</v>
      </c>
    </row>
    <row r="199" spans="1:18">
      <c r="A199" s="861" t="s">
        <v>809</v>
      </c>
      <c r="B199" t="s">
        <v>1009</v>
      </c>
      <c r="C199" s="730" t="s">
        <v>110</v>
      </c>
      <c r="D199" s="747">
        <v>188922.71844728792</v>
      </c>
      <c r="E199" s="747">
        <f>VLOOKUP(A199,'[7]2020 Annual Allocation'!$A$4:$B$211,2,FALSE)</f>
        <v>56126.668754495404</v>
      </c>
      <c r="F199" s="747">
        <f>VLOOKUP(A199,'[7]2019 Alloc_Expend Sum'!$A$4:$AD$217,30,FALSE)</f>
        <v>22056.217201783045</v>
      </c>
      <c r="G199" s="694">
        <v>1.6901516038859652</v>
      </c>
      <c r="H199" s="749" t="s">
        <v>258</v>
      </c>
      <c r="I199" s="750">
        <f t="shared" si="2"/>
        <v>22056.217201783045</v>
      </c>
      <c r="J199" s="735">
        <v>0</v>
      </c>
      <c r="K199" s="735" t="s">
        <v>103</v>
      </c>
      <c r="L199" s="750">
        <v>0</v>
      </c>
      <c r="M199" s="750" t="s">
        <v>103</v>
      </c>
      <c r="N199" s="736">
        <v>0</v>
      </c>
      <c r="O199" s="693">
        <v>0</v>
      </c>
      <c r="P199" s="752">
        <v>0</v>
      </c>
      <c r="Q199" t="s">
        <v>103</v>
      </c>
      <c r="R199" t="s">
        <v>103</v>
      </c>
    </row>
    <row r="200" spans="1:18">
      <c r="A200" s="861" t="s">
        <v>818</v>
      </c>
      <c r="B200" t="s">
        <v>1009</v>
      </c>
      <c r="C200" s="730" t="s">
        <v>110</v>
      </c>
      <c r="D200" s="747">
        <v>1905378.6267357913</v>
      </c>
      <c r="E200" s="747">
        <f>VLOOKUP(A200,'[7]2020 Annual Allocation'!$A$4:$B$211,2,FALSE)</f>
        <v>182291.90333796019</v>
      </c>
      <c r="F200" s="747">
        <f>VLOOKUP(A200,'[7]2019 Alloc_Expend Sum'!$A$4:$AD$217,30,FALSE)</f>
        <v>2087670.5300737517</v>
      </c>
      <c r="G200" s="694">
        <v>0</v>
      </c>
      <c r="H200" s="749" t="s">
        <v>258</v>
      </c>
      <c r="I200" s="750">
        <f t="shared" si="2"/>
        <v>2087670.5300737517</v>
      </c>
      <c r="J200" s="735">
        <v>0</v>
      </c>
      <c r="K200" s="735" t="s">
        <v>103</v>
      </c>
      <c r="L200" s="750">
        <v>0</v>
      </c>
      <c r="M200" s="750" t="s">
        <v>103</v>
      </c>
      <c r="N200" s="736">
        <v>0</v>
      </c>
      <c r="O200" s="693">
        <v>0</v>
      </c>
      <c r="P200" s="752">
        <v>0</v>
      </c>
      <c r="Q200" t="s">
        <v>103</v>
      </c>
      <c r="R200" t="s">
        <v>103</v>
      </c>
    </row>
    <row r="201" spans="1:18">
      <c r="A201" s="861" t="s">
        <v>826</v>
      </c>
      <c r="B201" t="s">
        <v>1009</v>
      </c>
      <c r="C201" s="730" t="s">
        <v>110</v>
      </c>
      <c r="D201" s="747">
        <v>-371435.58040601201</v>
      </c>
      <c r="E201" s="747">
        <f>VLOOKUP(A201,'[7]2020 Annual Allocation'!$A$4:$B$211,2,FALSE)</f>
        <v>85087.608243913623</v>
      </c>
      <c r="F201" s="747">
        <f>VLOOKUP(A201,'[7]2019 Alloc_Expend Sum'!$A$4:$AD$217,30,FALSE)</f>
        <v>-286347.97216209839</v>
      </c>
      <c r="G201" s="694">
        <v>3.3653310754869064</v>
      </c>
      <c r="H201" s="749" t="s">
        <v>258</v>
      </c>
      <c r="I201" s="750">
        <f t="shared" ref="I201:I248" si="3">F201</f>
        <v>-286347.97216209839</v>
      </c>
      <c r="J201" s="735">
        <v>0</v>
      </c>
      <c r="K201" s="735" t="s">
        <v>103</v>
      </c>
      <c r="L201" s="750">
        <v>0</v>
      </c>
      <c r="M201" s="750" t="s">
        <v>103</v>
      </c>
      <c r="N201" s="736">
        <v>0</v>
      </c>
      <c r="O201" s="693">
        <v>0</v>
      </c>
      <c r="P201" s="752">
        <v>0</v>
      </c>
      <c r="Q201" t="s">
        <v>103</v>
      </c>
      <c r="R201" t="s">
        <v>103</v>
      </c>
    </row>
    <row r="202" spans="1:18">
      <c r="A202" s="861" t="s">
        <v>833</v>
      </c>
      <c r="B202" t="s">
        <v>1009</v>
      </c>
      <c r="C202" s="730" t="s">
        <v>110</v>
      </c>
      <c r="D202" s="747">
        <v>-687364.21456174843</v>
      </c>
      <c r="E202" s="747">
        <f>VLOOKUP(A202,'[7]2020 Annual Allocation'!$A$4:$B$211,2,FALSE)</f>
        <v>94567.755261262733</v>
      </c>
      <c r="F202" s="747">
        <f>VLOOKUP(A202,'[7]2019 Alloc_Expend Sum'!$A$4:$AD$217,30,FALSE)</f>
        <v>-592796.45930048509</v>
      </c>
      <c r="G202" s="694">
        <v>6.2684839844486513</v>
      </c>
      <c r="H202" s="749" t="s">
        <v>258</v>
      </c>
      <c r="I202" s="750">
        <f t="shared" si="3"/>
        <v>-592796.45930048509</v>
      </c>
      <c r="J202" s="735">
        <v>0</v>
      </c>
      <c r="K202" s="735" t="s">
        <v>103</v>
      </c>
      <c r="L202" s="750">
        <v>0</v>
      </c>
      <c r="M202" s="750" t="s">
        <v>103</v>
      </c>
      <c r="N202" s="736">
        <v>0</v>
      </c>
      <c r="O202" s="693">
        <v>0</v>
      </c>
      <c r="P202" s="752">
        <v>0</v>
      </c>
      <c r="Q202" t="s">
        <v>103</v>
      </c>
      <c r="R202" t="s">
        <v>103</v>
      </c>
    </row>
    <row r="203" spans="1:18">
      <c r="A203" s="861" t="s">
        <v>838</v>
      </c>
      <c r="B203" t="s">
        <v>1009</v>
      </c>
      <c r="C203" s="730" t="s">
        <v>110</v>
      </c>
      <c r="D203" s="747">
        <v>-452945.73467760585</v>
      </c>
      <c r="E203" s="747">
        <f>VLOOKUP(A203,'[7]2020 Annual Allocation'!$A$4:$B$211,2,FALSE)</f>
        <v>84795.035188218695</v>
      </c>
      <c r="F203" s="747">
        <f>VLOOKUP(A203,'[7]2019 Alloc_Expend Sum'!$A$4:$AD$217,30,FALSE)</f>
        <v>-368150.69948938757</v>
      </c>
      <c r="G203" s="694">
        <v>4.341653950283848</v>
      </c>
      <c r="H203" s="749" t="s">
        <v>258</v>
      </c>
      <c r="I203" s="750">
        <f t="shared" si="3"/>
        <v>-368150.69948938757</v>
      </c>
      <c r="J203" s="735">
        <v>0</v>
      </c>
      <c r="K203" s="735" t="s">
        <v>103</v>
      </c>
      <c r="L203" s="750">
        <v>0</v>
      </c>
      <c r="M203" s="750" t="s">
        <v>103</v>
      </c>
      <c r="N203" s="736">
        <v>0</v>
      </c>
      <c r="O203" s="693">
        <v>0</v>
      </c>
      <c r="P203" s="752">
        <v>0</v>
      </c>
      <c r="Q203" t="s">
        <v>103</v>
      </c>
      <c r="R203" t="s">
        <v>103</v>
      </c>
    </row>
    <row r="204" spans="1:18">
      <c r="A204" s="861" t="s">
        <v>841</v>
      </c>
      <c r="B204" t="s">
        <v>1009</v>
      </c>
      <c r="C204" s="730" t="s">
        <v>110</v>
      </c>
      <c r="D204" s="747">
        <v>2845982.7373393197</v>
      </c>
      <c r="E204" s="747">
        <f>VLOOKUP(A204,'[7]2020 Annual Allocation'!$A$4:$B$211,2,FALSE)</f>
        <v>323502.25658685016</v>
      </c>
      <c r="F204" s="747">
        <f>VLOOKUP(A204,'[7]2019 Alloc_Expend Sum'!$A$4:$AD$217,30,FALSE)</f>
        <v>569484.99392617214</v>
      </c>
      <c r="G204" s="694">
        <v>0</v>
      </c>
      <c r="H204" s="749" t="s">
        <v>258</v>
      </c>
      <c r="I204" s="750">
        <f t="shared" si="3"/>
        <v>569484.99392617214</v>
      </c>
      <c r="J204" s="735">
        <v>0</v>
      </c>
      <c r="K204" s="735" t="s">
        <v>103</v>
      </c>
      <c r="L204" s="750">
        <v>0</v>
      </c>
      <c r="M204" s="750" t="s">
        <v>103</v>
      </c>
      <c r="N204" s="736">
        <v>0</v>
      </c>
      <c r="O204" s="693">
        <v>0</v>
      </c>
      <c r="P204" s="752">
        <v>0</v>
      </c>
      <c r="Q204" t="s">
        <v>103</v>
      </c>
      <c r="R204" t="s">
        <v>103</v>
      </c>
    </row>
    <row r="205" spans="1:18">
      <c r="A205" s="861" t="s">
        <v>853</v>
      </c>
      <c r="B205" t="s">
        <v>1009</v>
      </c>
      <c r="C205" s="730" t="s">
        <v>110</v>
      </c>
      <c r="D205" s="747">
        <v>-226580.6641008484</v>
      </c>
      <c r="E205" s="747">
        <f>VLOOKUP(A205,'[7]2020 Annual Allocation'!$A$4:$B$211,2,FALSE)</f>
        <v>41018.146364717591</v>
      </c>
      <c r="F205" s="747">
        <f>VLOOKUP(A205,'[7]2019 Alloc_Expend Sum'!$A$4:$AD$217,30,FALSE)</f>
        <v>-185562.51773613101</v>
      </c>
      <c r="G205" s="694">
        <v>4.5239128088865943</v>
      </c>
      <c r="H205" s="749" t="s">
        <v>258</v>
      </c>
      <c r="I205" s="750">
        <f t="shared" si="3"/>
        <v>-185562.51773613101</v>
      </c>
      <c r="J205" s="735">
        <v>0</v>
      </c>
      <c r="K205" s="735" t="s">
        <v>103</v>
      </c>
      <c r="L205" s="750">
        <v>0</v>
      </c>
      <c r="M205" s="750" t="s">
        <v>103</v>
      </c>
      <c r="N205" s="736">
        <v>0</v>
      </c>
      <c r="O205" s="693">
        <v>0</v>
      </c>
      <c r="P205" s="752">
        <v>0</v>
      </c>
      <c r="Q205" t="s">
        <v>103</v>
      </c>
      <c r="R205" t="s">
        <v>103</v>
      </c>
    </row>
    <row r="206" spans="1:18">
      <c r="A206" s="861" t="s">
        <v>861</v>
      </c>
      <c r="B206" t="s">
        <v>1009</v>
      </c>
      <c r="C206" s="730" t="s">
        <v>110</v>
      </c>
      <c r="D206" s="747">
        <v>3054001.5585876917</v>
      </c>
      <c r="E206" s="747">
        <f>VLOOKUP(A206,'[7]2020 Annual Allocation'!$A$4:$B$211,2,FALSE)</f>
        <v>101865.19045751038</v>
      </c>
      <c r="F206" s="747">
        <f>VLOOKUP(A206,'[7]2019 Alloc_Expend Sum'!$A$4:$AD$217,30,FALSE)</f>
        <v>3155866.749045202</v>
      </c>
      <c r="G206" s="694">
        <v>0</v>
      </c>
      <c r="H206" s="749" t="s">
        <v>258</v>
      </c>
      <c r="I206" s="750">
        <f t="shared" si="3"/>
        <v>3155866.749045202</v>
      </c>
      <c r="J206" s="735">
        <v>0</v>
      </c>
      <c r="K206" s="735" t="s">
        <v>103</v>
      </c>
      <c r="L206" s="750">
        <v>0</v>
      </c>
      <c r="M206" s="750" t="s">
        <v>103</v>
      </c>
      <c r="N206" s="736">
        <v>0</v>
      </c>
      <c r="O206" s="693">
        <v>0</v>
      </c>
      <c r="P206" s="752">
        <v>0</v>
      </c>
      <c r="Q206" t="s">
        <v>103</v>
      </c>
      <c r="R206" t="s">
        <v>103</v>
      </c>
    </row>
    <row r="207" spans="1:18">
      <c r="A207" s="861" t="s">
        <v>862</v>
      </c>
      <c r="B207" t="s">
        <v>1009</v>
      </c>
      <c r="C207" s="730" t="s">
        <v>110</v>
      </c>
      <c r="D207" s="747">
        <v>600125.43878146308</v>
      </c>
      <c r="E207" s="747">
        <f>VLOOKUP(A207,'[7]2020 Annual Allocation'!$A$4:$B$211,2,FALSE)</f>
        <v>17471.226263384684</v>
      </c>
      <c r="F207" s="747">
        <f>VLOOKUP(A207,'[7]2019 Alloc_Expend Sum'!$A$4:$AD$217,30,FALSE)</f>
        <v>-382403.33495515177</v>
      </c>
      <c r="G207" s="694">
        <v>21.887607039728714</v>
      </c>
      <c r="H207" s="749" t="s">
        <v>258</v>
      </c>
      <c r="I207" s="750">
        <f t="shared" si="3"/>
        <v>-382403.33495515177</v>
      </c>
      <c r="J207" s="735">
        <v>0</v>
      </c>
      <c r="K207" s="735" t="s">
        <v>103</v>
      </c>
      <c r="L207" s="750">
        <v>0</v>
      </c>
      <c r="M207" s="750" t="s">
        <v>103</v>
      </c>
      <c r="N207" s="736">
        <v>0</v>
      </c>
      <c r="O207" s="693">
        <v>0</v>
      </c>
      <c r="P207" s="752">
        <v>0</v>
      </c>
      <c r="Q207" t="s">
        <v>103</v>
      </c>
      <c r="R207" t="s">
        <v>103</v>
      </c>
    </row>
    <row r="208" spans="1:18">
      <c r="A208" s="861" t="s">
        <v>869</v>
      </c>
      <c r="B208" t="s">
        <v>1009</v>
      </c>
      <c r="C208" s="730" t="s">
        <v>110</v>
      </c>
      <c r="D208" s="747">
        <v>-151336.04135641031</v>
      </c>
      <c r="E208" s="747">
        <f>VLOOKUP(A208,'[7]2020 Annual Allocation'!$A$4:$B$211,2,FALSE)</f>
        <v>51867.489462479614</v>
      </c>
      <c r="F208" s="747">
        <f>VLOOKUP(A208,'[7]2019 Alloc_Expend Sum'!$A$4:$AD$217,30,FALSE)</f>
        <v>-99468.551893931217</v>
      </c>
      <c r="G208" s="694">
        <v>1.9177437143142566</v>
      </c>
      <c r="H208" s="749" t="s">
        <v>258</v>
      </c>
      <c r="I208" s="750">
        <f t="shared" si="3"/>
        <v>-99468.551893931217</v>
      </c>
      <c r="J208" s="735">
        <v>0</v>
      </c>
      <c r="K208" s="735" t="s">
        <v>103</v>
      </c>
      <c r="L208" s="750">
        <v>0</v>
      </c>
      <c r="M208" s="750" t="s">
        <v>103</v>
      </c>
      <c r="N208" s="736">
        <v>0</v>
      </c>
      <c r="O208" s="693">
        <v>0</v>
      </c>
      <c r="P208" s="752">
        <v>0</v>
      </c>
      <c r="Q208" t="s">
        <v>103</v>
      </c>
      <c r="R208" t="s">
        <v>103</v>
      </c>
    </row>
    <row r="209" spans="1:18">
      <c r="A209" s="861" t="s">
        <v>870</v>
      </c>
      <c r="B209" t="s">
        <v>1009</v>
      </c>
      <c r="C209" s="730" t="s">
        <v>110</v>
      </c>
      <c r="D209" s="747">
        <v>1872407.0614767158</v>
      </c>
      <c r="E209" s="747">
        <f>VLOOKUP(A209,'[7]2020 Annual Allocation'!$A$4:$B$211,2,FALSE)</f>
        <v>0</v>
      </c>
      <c r="F209" s="747">
        <f>VLOOKUP(A209,'[7]2019 Alloc_Expend Sum'!$A$4:$AD$217,30,FALSE)</f>
        <v>1872407.0614767158</v>
      </c>
      <c r="G209" s="694">
        <v>0</v>
      </c>
      <c r="H209" s="749" t="s">
        <v>258</v>
      </c>
      <c r="I209" s="750">
        <f t="shared" si="3"/>
        <v>1872407.0614767158</v>
      </c>
      <c r="J209" s="735">
        <v>0</v>
      </c>
      <c r="K209" s="735" t="s">
        <v>103</v>
      </c>
      <c r="L209" s="750">
        <v>0</v>
      </c>
      <c r="M209" s="750" t="s">
        <v>103</v>
      </c>
      <c r="N209" s="736">
        <v>0</v>
      </c>
      <c r="O209" s="693">
        <v>0</v>
      </c>
      <c r="P209" s="752">
        <v>0</v>
      </c>
      <c r="Q209" t="s">
        <v>103</v>
      </c>
      <c r="R209" t="s">
        <v>103</v>
      </c>
    </row>
    <row r="210" spans="1:18">
      <c r="A210" s="861" t="s">
        <v>871</v>
      </c>
      <c r="B210" t="s">
        <v>1009</v>
      </c>
      <c r="C210" s="730" t="s">
        <v>110</v>
      </c>
      <c r="D210" s="747">
        <v>10442386.910828426</v>
      </c>
      <c r="E210" s="747">
        <f>VLOOKUP(A210,'[7]2020 Annual Allocation'!$A$4:$B$211,2,FALSE)</f>
        <v>850527.78854898165</v>
      </c>
      <c r="F210" s="747">
        <f>VLOOKUP(A210,'[7]2019 Alloc_Expend Sum'!$A$4:$AD$217,30,FALSE)</f>
        <v>10790029.069377406</v>
      </c>
      <c r="G210" s="694">
        <v>0</v>
      </c>
      <c r="H210" s="862" t="s">
        <v>258</v>
      </c>
      <c r="I210" s="863">
        <f t="shared" si="3"/>
        <v>10790029.069377406</v>
      </c>
      <c r="J210" s="735">
        <v>0</v>
      </c>
      <c r="K210" s="735" t="s">
        <v>103</v>
      </c>
      <c r="L210" s="863">
        <v>0</v>
      </c>
      <c r="M210" s="863" t="s">
        <v>103</v>
      </c>
      <c r="N210" s="736">
        <v>0</v>
      </c>
      <c r="O210" s="693">
        <v>0</v>
      </c>
      <c r="P210" s="752">
        <v>0</v>
      </c>
      <c r="Q210" t="s">
        <v>103</v>
      </c>
      <c r="R210" t="s">
        <v>103</v>
      </c>
    </row>
    <row r="211" spans="1:18" s="101" customFormat="1">
      <c r="A211" s="738" t="s">
        <v>1404</v>
      </c>
      <c r="B211" s="738"/>
      <c r="C211" s="738"/>
      <c r="D211" s="739">
        <f>SUM(D187:D210)</f>
        <v>22247907.789205052</v>
      </c>
      <c r="E211" s="739">
        <f>SUM(E187:E210)</f>
        <v>2297478.9114849223</v>
      </c>
      <c r="F211" s="739">
        <f>SUM(F187:F210)</f>
        <v>20219507.910689972</v>
      </c>
      <c r="G211" s="740">
        <v>0</v>
      </c>
      <c r="H211" s="741"/>
      <c r="I211" s="742">
        <f t="shared" si="3"/>
        <v>20219507.910689972</v>
      </c>
      <c r="J211" s="742">
        <v>0</v>
      </c>
      <c r="K211" s="741"/>
      <c r="L211" s="742">
        <v>0</v>
      </c>
      <c r="M211" s="742">
        <v>0</v>
      </c>
      <c r="N211" s="743">
        <v>0</v>
      </c>
      <c r="O211" s="742">
        <v>0</v>
      </c>
      <c r="P211" s="744">
        <v>0</v>
      </c>
      <c r="Q211" s="741" t="s">
        <v>103</v>
      </c>
      <c r="R211" s="741" t="s">
        <v>103</v>
      </c>
    </row>
    <row r="212" spans="1:18">
      <c r="A212" s="857" t="s">
        <v>880</v>
      </c>
      <c r="B212" s="857"/>
      <c r="C212" s="857"/>
      <c r="D212" s="724"/>
      <c r="E212" s="724"/>
      <c r="F212" s="724"/>
      <c r="G212" s="858">
        <v>0</v>
      </c>
      <c r="H212" s="859"/>
      <c r="I212" s="860"/>
      <c r="J212" s="859"/>
      <c r="K212" s="859"/>
      <c r="L212" s="860"/>
      <c r="M212" s="860"/>
      <c r="N212" s="728"/>
      <c r="O212" s="860"/>
      <c r="P212" s="859"/>
      <c r="Q212" s="859"/>
      <c r="R212" s="859"/>
    </row>
    <row r="213" spans="1:18">
      <c r="A213" s="861" t="s">
        <v>881</v>
      </c>
      <c r="B213" t="s">
        <v>1009</v>
      </c>
      <c r="C213" s="730" t="s">
        <v>110</v>
      </c>
      <c r="D213" s="747">
        <v>1643.7612371211562</v>
      </c>
      <c r="E213" s="747">
        <f>VLOOKUP(A213,'[7]2020 Annual Allocation'!$A$4:$B$211,2,FALSE)</f>
        <v>73.248448576394892</v>
      </c>
      <c r="F213" s="747">
        <f>VLOOKUP(A213,'[7]2019 Alloc_Expend Sum'!$A$4:$AD$217,30,FALSE)</f>
        <v>1717.009685697551</v>
      </c>
      <c r="G213" s="694">
        <v>0</v>
      </c>
      <c r="H213" s="862" t="s">
        <v>258</v>
      </c>
      <c r="I213" s="863">
        <f t="shared" si="3"/>
        <v>1717.009685697551</v>
      </c>
      <c r="J213" s="735">
        <v>0</v>
      </c>
      <c r="K213" s="735" t="s">
        <v>103</v>
      </c>
      <c r="L213" s="863">
        <v>0</v>
      </c>
      <c r="M213" s="863" t="s">
        <v>103</v>
      </c>
      <c r="N213" s="736">
        <v>0</v>
      </c>
      <c r="O213" s="693">
        <v>0</v>
      </c>
      <c r="P213" s="752">
        <v>0</v>
      </c>
      <c r="Q213" t="s">
        <v>103</v>
      </c>
      <c r="R213" t="s">
        <v>103</v>
      </c>
    </row>
    <row r="214" spans="1:18" s="101" customFormat="1">
      <c r="A214" s="738" t="s">
        <v>1430</v>
      </c>
      <c r="B214" s="738"/>
      <c r="C214" s="738"/>
      <c r="D214" s="739">
        <f>SUM(D213)</f>
        <v>1643.7612371211562</v>
      </c>
      <c r="E214" s="739">
        <f>SUM(E213)</f>
        <v>73.248448576394892</v>
      </c>
      <c r="F214" s="739">
        <f>SUM(F213)</f>
        <v>1717.009685697551</v>
      </c>
      <c r="G214" s="740">
        <v>0</v>
      </c>
      <c r="H214" s="741"/>
      <c r="I214" s="742">
        <f t="shared" si="3"/>
        <v>1717.009685697551</v>
      </c>
      <c r="J214" s="742">
        <v>0</v>
      </c>
      <c r="K214" s="741"/>
      <c r="L214" s="742">
        <v>0</v>
      </c>
      <c r="M214" s="742">
        <v>0</v>
      </c>
      <c r="N214" s="743">
        <v>0</v>
      </c>
      <c r="O214" s="742">
        <v>0</v>
      </c>
      <c r="P214" s="744">
        <v>0</v>
      </c>
      <c r="Q214" s="741" t="s">
        <v>103</v>
      </c>
      <c r="R214" s="741" t="s">
        <v>103</v>
      </c>
    </row>
    <row r="215" spans="1:18">
      <c r="A215" s="857" t="s">
        <v>882</v>
      </c>
      <c r="B215" s="857"/>
      <c r="C215" s="857"/>
      <c r="D215" s="724"/>
      <c r="E215" s="724"/>
      <c r="F215" s="724"/>
      <c r="G215" s="858">
        <v>0</v>
      </c>
      <c r="H215" s="859"/>
      <c r="I215" s="860"/>
      <c r="J215" s="859"/>
      <c r="K215" s="859"/>
      <c r="L215" s="860"/>
      <c r="M215" s="860"/>
      <c r="N215" s="728"/>
      <c r="O215" s="860"/>
      <c r="P215" s="859"/>
      <c r="Q215" s="859"/>
      <c r="R215" s="859"/>
    </row>
    <row r="216" spans="1:18">
      <c r="A216" s="861" t="s">
        <v>883</v>
      </c>
      <c r="B216" t="s">
        <v>1009</v>
      </c>
      <c r="C216" s="730" t="s">
        <v>110</v>
      </c>
      <c r="D216" s="747">
        <v>198352.57813174918</v>
      </c>
      <c r="E216" s="747">
        <f>VLOOKUP(A216,'[7]2020 Annual Allocation'!$A$4:$B$211,2,FALSE)</f>
        <v>2860.5061740366364</v>
      </c>
      <c r="F216" s="747">
        <f>VLOOKUP(A216,'[7]2019 Alloc_Expend Sum'!$A$4:$AD$217,30,FALSE)</f>
        <v>201213.08430578595</v>
      </c>
      <c r="G216" s="694">
        <v>0</v>
      </c>
      <c r="H216" s="749" t="s">
        <v>258</v>
      </c>
      <c r="I216" s="750">
        <f t="shared" si="3"/>
        <v>201213.08430578595</v>
      </c>
      <c r="J216" s="735">
        <v>0</v>
      </c>
      <c r="K216" s="735" t="s">
        <v>103</v>
      </c>
      <c r="L216" s="750">
        <v>0</v>
      </c>
      <c r="M216" s="750" t="s">
        <v>103</v>
      </c>
      <c r="N216" s="736">
        <v>0</v>
      </c>
      <c r="O216" s="693">
        <v>0</v>
      </c>
      <c r="P216" s="752">
        <v>0</v>
      </c>
      <c r="Q216" t="s">
        <v>103</v>
      </c>
      <c r="R216" t="s">
        <v>103</v>
      </c>
    </row>
    <row r="217" spans="1:18">
      <c r="A217" s="861" t="s">
        <v>884</v>
      </c>
      <c r="B217" t="s">
        <v>1009</v>
      </c>
      <c r="C217" s="730" t="s">
        <v>110</v>
      </c>
      <c r="D217" s="747">
        <v>1365452.165524984</v>
      </c>
      <c r="E217" s="747">
        <f>VLOOKUP(A217,'[7]2020 Annual Allocation'!$A$4:$B$211,2,FALSE)</f>
        <v>42113.690044594361</v>
      </c>
      <c r="F217" s="747">
        <f>VLOOKUP(A217,'[7]2019 Alloc_Expend Sum'!$A$4:$AD$217,30,FALSE)</f>
        <v>1407565.8555695785</v>
      </c>
      <c r="G217" s="694">
        <v>0</v>
      </c>
      <c r="H217" s="749" t="s">
        <v>258</v>
      </c>
      <c r="I217" s="750">
        <f t="shared" si="3"/>
        <v>1407565.8555695785</v>
      </c>
      <c r="J217" s="735">
        <v>0</v>
      </c>
      <c r="K217" s="735" t="s">
        <v>103</v>
      </c>
      <c r="L217" s="750">
        <v>0</v>
      </c>
      <c r="M217" s="750" t="s">
        <v>103</v>
      </c>
      <c r="N217" s="736">
        <v>0</v>
      </c>
      <c r="O217" s="693">
        <v>0</v>
      </c>
      <c r="P217" s="752">
        <v>0</v>
      </c>
      <c r="Q217" t="s">
        <v>103</v>
      </c>
      <c r="R217" t="s">
        <v>103</v>
      </c>
    </row>
    <row r="218" spans="1:18">
      <c r="A218" s="861" t="s">
        <v>885</v>
      </c>
      <c r="B218" t="s">
        <v>1009</v>
      </c>
      <c r="C218" s="730" t="s">
        <v>110</v>
      </c>
      <c r="D218" s="747">
        <v>1952120.8603493059</v>
      </c>
      <c r="E218" s="747">
        <f>VLOOKUP(A218,'[7]2020 Annual Allocation'!$A$4:$B$211,2,FALSE)</f>
        <v>260165.64554735654</v>
      </c>
      <c r="F218" s="747">
        <f>VLOOKUP(A218,'[7]2019 Alloc_Expend Sum'!$A$4:$AD$217,30,FALSE)</f>
        <v>2212286.5058966614</v>
      </c>
      <c r="G218" s="694">
        <v>0</v>
      </c>
      <c r="H218" s="749" t="s">
        <v>258</v>
      </c>
      <c r="I218" s="750">
        <f t="shared" si="3"/>
        <v>2212286.5058966614</v>
      </c>
      <c r="J218" s="735">
        <v>0</v>
      </c>
      <c r="K218" s="735" t="s">
        <v>103</v>
      </c>
      <c r="L218" s="750">
        <v>0</v>
      </c>
      <c r="M218" s="750" t="s">
        <v>103</v>
      </c>
      <c r="N218" s="736">
        <v>0</v>
      </c>
      <c r="O218" s="693">
        <v>0</v>
      </c>
      <c r="P218" s="752">
        <v>0</v>
      </c>
      <c r="Q218" t="s">
        <v>103</v>
      </c>
      <c r="R218" t="s">
        <v>103</v>
      </c>
    </row>
    <row r="219" spans="1:18">
      <c r="A219" s="861" t="s">
        <v>889</v>
      </c>
      <c r="B219" t="s">
        <v>1009</v>
      </c>
      <c r="C219" s="730" t="s">
        <v>110</v>
      </c>
      <c r="D219" s="747">
        <v>-175876.82693663012</v>
      </c>
      <c r="E219" s="747">
        <f>VLOOKUP(A219,'[7]2020 Annual Allocation'!$A$4:$B$211,2,FALSE)</f>
        <v>148924.58519441501</v>
      </c>
      <c r="F219" s="747">
        <f>VLOOKUP(A219,'[7]2019 Alloc_Expend Sum'!$A$4:$AD$217,30,FALSE)</f>
        <v>-26952.241742215992</v>
      </c>
      <c r="G219" s="694">
        <v>0.18097912918159842</v>
      </c>
      <c r="H219" s="862" t="s">
        <v>258</v>
      </c>
      <c r="I219" s="863">
        <f t="shared" si="3"/>
        <v>-26952.241742215992</v>
      </c>
      <c r="J219" s="735">
        <v>0</v>
      </c>
      <c r="K219" s="735" t="s">
        <v>103</v>
      </c>
      <c r="L219" s="863">
        <v>0</v>
      </c>
      <c r="M219" s="863" t="s">
        <v>103</v>
      </c>
      <c r="N219" s="736">
        <v>0</v>
      </c>
      <c r="O219" s="693">
        <v>0</v>
      </c>
      <c r="P219" s="752">
        <v>0</v>
      </c>
      <c r="Q219" t="s">
        <v>103</v>
      </c>
      <c r="R219" t="s">
        <v>103</v>
      </c>
    </row>
    <row r="220" spans="1:18" s="101" customFormat="1">
      <c r="A220" s="738" t="s">
        <v>1433</v>
      </c>
      <c r="B220" s="738"/>
      <c r="C220" s="738"/>
      <c r="D220" s="739">
        <f>SUM(D216:D219)</f>
        <v>3340048.7770694089</v>
      </c>
      <c r="E220" s="739">
        <f>SUM(E216:E219)</f>
        <v>454064.42696040258</v>
      </c>
      <c r="F220" s="739">
        <f>SUM(F216:F219)</f>
        <v>3794113.2040298097</v>
      </c>
      <c r="G220" s="740">
        <v>0</v>
      </c>
      <c r="H220" s="741"/>
      <c r="I220" s="742">
        <f t="shared" si="3"/>
        <v>3794113.2040298097</v>
      </c>
      <c r="J220" s="742">
        <v>0</v>
      </c>
      <c r="K220" s="741"/>
      <c r="L220" s="742">
        <v>0</v>
      </c>
      <c r="M220" s="742">
        <v>0</v>
      </c>
      <c r="N220" s="743">
        <v>0</v>
      </c>
      <c r="O220" s="742">
        <v>0</v>
      </c>
      <c r="P220" s="744">
        <v>0</v>
      </c>
      <c r="Q220" s="741" t="s">
        <v>103</v>
      </c>
      <c r="R220" s="741" t="s">
        <v>103</v>
      </c>
    </row>
    <row r="221" spans="1:18">
      <c r="A221" s="857" t="s">
        <v>897</v>
      </c>
      <c r="B221" s="857"/>
      <c r="C221" s="857"/>
      <c r="D221" s="724"/>
      <c r="E221" s="724"/>
      <c r="F221" s="724"/>
      <c r="G221" s="858">
        <v>0</v>
      </c>
      <c r="H221" s="859"/>
      <c r="I221" s="860"/>
      <c r="J221" s="859"/>
      <c r="K221" s="859"/>
      <c r="L221" s="860"/>
      <c r="M221" s="860"/>
      <c r="N221" s="728"/>
      <c r="O221" s="860"/>
      <c r="P221" s="859"/>
      <c r="Q221" s="859"/>
      <c r="R221" s="859"/>
    </row>
    <row r="222" spans="1:18">
      <c r="A222" s="861" t="s">
        <v>898</v>
      </c>
      <c r="B222" t="s">
        <v>1009</v>
      </c>
      <c r="C222" s="730" t="s">
        <v>110</v>
      </c>
      <c r="D222" s="747">
        <v>91071.97704989159</v>
      </c>
      <c r="E222" s="747">
        <f>VLOOKUP(A222,'[7]2020 Annual Allocation'!$A$4:$B$211,2,FALSE)</f>
        <v>16287.509181893867</v>
      </c>
      <c r="F222" s="747">
        <f>VLOOKUP(A222,'[7]2019 Alloc_Expend Sum'!$A$4:$AD$217,30,FALSE)</f>
        <v>107359.48623178547</v>
      </c>
      <c r="G222" s="694">
        <v>0</v>
      </c>
      <c r="H222" s="749" t="s">
        <v>258</v>
      </c>
      <c r="I222" s="750">
        <f t="shared" si="3"/>
        <v>107359.48623178547</v>
      </c>
      <c r="J222" s="735">
        <v>0</v>
      </c>
      <c r="K222" s="735" t="s">
        <v>103</v>
      </c>
      <c r="L222" s="750">
        <v>0</v>
      </c>
      <c r="M222" s="750" t="s">
        <v>103</v>
      </c>
      <c r="N222" s="736">
        <v>0</v>
      </c>
      <c r="O222" s="693">
        <v>0</v>
      </c>
      <c r="P222" s="752">
        <v>0</v>
      </c>
      <c r="Q222" t="s">
        <v>103</v>
      </c>
      <c r="R222" t="s">
        <v>103</v>
      </c>
    </row>
    <row r="223" spans="1:18">
      <c r="A223" s="861" t="s">
        <v>902</v>
      </c>
      <c r="B223" t="s">
        <v>1009</v>
      </c>
      <c r="C223" s="730" t="s">
        <v>110</v>
      </c>
      <c r="D223" s="747">
        <v>750924.91823031066</v>
      </c>
      <c r="E223" s="747">
        <f>VLOOKUP(A223,'[7]2020 Annual Allocation'!$A$4:$B$211,2,FALSE)</f>
        <v>8716.4562854792766</v>
      </c>
      <c r="F223" s="747">
        <f>VLOOKUP(A223,'[7]2019 Alloc_Expend Sum'!$A$4:$AD$217,30,FALSE)</f>
        <v>759641.37451578979</v>
      </c>
      <c r="G223" s="694">
        <v>0</v>
      </c>
      <c r="H223" s="749" t="s">
        <v>258</v>
      </c>
      <c r="I223" s="750">
        <f t="shared" si="3"/>
        <v>759641.37451578979</v>
      </c>
      <c r="J223" s="735">
        <v>0</v>
      </c>
      <c r="K223" s="735" t="s">
        <v>103</v>
      </c>
      <c r="L223" s="750">
        <v>0</v>
      </c>
      <c r="M223" s="750" t="s">
        <v>103</v>
      </c>
      <c r="N223" s="736">
        <v>0</v>
      </c>
      <c r="O223" s="693">
        <v>0</v>
      </c>
      <c r="P223" s="752">
        <v>0</v>
      </c>
      <c r="Q223" t="s">
        <v>103</v>
      </c>
      <c r="R223" t="s">
        <v>103</v>
      </c>
    </row>
    <row r="224" spans="1:18">
      <c r="A224" s="861" t="s">
        <v>905</v>
      </c>
      <c r="B224" t="s">
        <v>1009</v>
      </c>
      <c r="C224" s="730" t="s">
        <v>110</v>
      </c>
      <c r="D224" s="747">
        <v>536387.74844107556</v>
      </c>
      <c r="E224" s="747">
        <f>VLOOKUP(A224,'[7]2020 Annual Allocation'!$A$4:$B$211,2,FALSE)</f>
        <v>15322.155715846486</v>
      </c>
      <c r="F224" s="747">
        <f>VLOOKUP(A224,'[7]2019 Alloc_Expend Sum'!$A$4:$AD$217,30,FALSE)</f>
        <v>551709.9041569219</v>
      </c>
      <c r="G224" s="694">
        <v>0</v>
      </c>
      <c r="H224" s="749" t="s">
        <v>258</v>
      </c>
      <c r="I224" s="750">
        <f t="shared" si="3"/>
        <v>551709.9041569219</v>
      </c>
      <c r="J224" s="735">
        <v>0</v>
      </c>
      <c r="K224" s="735" t="s">
        <v>103</v>
      </c>
      <c r="L224" s="750">
        <v>0</v>
      </c>
      <c r="M224" s="750" t="s">
        <v>103</v>
      </c>
      <c r="N224" s="736">
        <v>0</v>
      </c>
      <c r="O224" s="693">
        <v>0</v>
      </c>
      <c r="P224" s="752">
        <v>0</v>
      </c>
      <c r="Q224" t="s">
        <v>103</v>
      </c>
      <c r="R224" t="s">
        <v>103</v>
      </c>
    </row>
    <row r="225" spans="1:18">
      <c r="A225" s="861" t="s">
        <v>908</v>
      </c>
      <c r="B225" t="s">
        <v>1009</v>
      </c>
      <c r="C225" s="730" t="s">
        <v>110</v>
      </c>
      <c r="D225" s="747">
        <v>969258.75038538128</v>
      </c>
      <c r="E225" s="747">
        <f>VLOOKUP(A225,'[7]2020 Annual Allocation'!$A$4:$B$211,2,FALSE)</f>
        <v>33980.093857886524</v>
      </c>
      <c r="F225" s="747">
        <f>VLOOKUP(A225,'[7]2019 Alloc_Expend Sum'!$A$4:$AD$217,30,FALSE)</f>
        <v>1003238.8442432687</v>
      </c>
      <c r="G225" s="694">
        <v>0</v>
      </c>
      <c r="H225" s="749" t="s">
        <v>258</v>
      </c>
      <c r="I225" s="750">
        <f t="shared" si="3"/>
        <v>1003238.8442432687</v>
      </c>
      <c r="J225" s="735">
        <v>0</v>
      </c>
      <c r="K225" s="735" t="s">
        <v>103</v>
      </c>
      <c r="L225" s="750">
        <v>0</v>
      </c>
      <c r="M225" s="750" t="s">
        <v>103</v>
      </c>
      <c r="N225" s="736">
        <v>0</v>
      </c>
      <c r="O225" s="693">
        <v>0</v>
      </c>
      <c r="P225" s="752">
        <v>0</v>
      </c>
      <c r="Q225" t="s">
        <v>103</v>
      </c>
      <c r="R225" t="s">
        <v>103</v>
      </c>
    </row>
    <row r="226" spans="1:18">
      <c r="A226" s="861" t="s">
        <v>911</v>
      </c>
      <c r="B226" t="s">
        <v>1009</v>
      </c>
      <c r="C226" s="730" t="s">
        <v>110</v>
      </c>
      <c r="D226" s="747">
        <v>519979.24486862519</v>
      </c>
      <c r="E226" s="747">
        <f>VLOOKUP(A226,'[7]2020 Annual Allocation'!$A$4:$B$211,2,FALSE)</f>
        <v>40207.07766860316</v>
      </c>
      <c r="F226" s="747">
        <f>VLOOKUP(A226,'[7]2019 Alloc_Expend Sum'!$A$4:$AD$217,30,FALSE)</f>
        <v>560186.32253722812</v>
      </c>
      <c r="G226" s="694">
        <v>0</v>
      </c>
      <c r="H226" s="749" t="s">
        <v>258</v>
      </c>
      <c r="I226" s="750">
        <f t="shared" si="3"/>
        <v>560186.32253722812</v>
      </c>
      <c r="J226" s="735">
        <v>0</v>
      </c>
      <c r="K226" s="735" t="s">
        <v>103</v>
      </c>
      <c r="L226" s="750">
        <v>0</v>
      </c>
      <c r="M226" s="750" t="s">
        <v>103</v>
      </c>
      <c r="N226" s="736">
        <v>0</v>
      </c>
      <c r="O226" s="693">
        <v>0</v>
      </c>
      <c r="P226" s="752">
        <v>0</v>
      </c>
      <c r="Q226" t="s">
        <v>103</v>
      </c>
      <c r="R226" t="s">
        <v>103</v>
      </c>
    </row>
    <row r="227" spans="1:18">
      <c r="A227" s="861" t="s">
        <v>912</v>
      </c>
      <c r="B227" t="s">
        <v>1009</v>
      </c>
      <c r="C227" s="730" t="s">
        <v>110</v>
      </c>
      <c r="D227" s="747">
        <v>125761.7860056205</v>
      </c>
      <c r="E227" s="747">
        <f>VLOOKUP(A227,'[7]2020 Annual Allocation'!$A$4:$B$211,2,FALSE)</f>
        <v>96425.814209919947</v>
      </c>
      <c r="F227" s="747">
        <f>VLOOKUP(A227,'[7]2019 Alloc_Expend Sum'!$A$4:$AD$217,30,FALSE)</f>
        <v>222187.60021553986</v>
      </c>
      <c r="G227" s="694">
        <v>3.4966655480331945</v>
      </c>
      <c r="H227" s="749" t="s">
        <v>258</v>
      </c>
      <c r="I227" s="750">
        <f t="shared" si="3"/>
        <v>222187.60021553986</v>
      </c>
      <c r="J227" s="735">
        <v>0</v>
      </c>
      <c r="K227" s="735" t="s">
        <v>103</v>
      </c>
      <c r="L227" s="750">
        <v>0</v>
      </c>
      <c r="M227" s="750" t="s">
        <v>103</v>
      </c>
      <c r="N227" s="736">
        <v>0</v>
      </c>
      <c r="O227" s="693">
        <v>0</v>
      </c>
      <c r="P227" s="752">
        <v>0</v>
      </c>
      <c r="Q227" t="s">
        <v>103</v>
      </c>
      <c r="R227" t="s">
        <v>103</v>
      </c>
    </row>
    <row r="228" spans="1:18">
      <c r="A228" s="861" t="s">
        <v>920</v>
      </c>
      <c r="B228" t="s">
        <v>1009</v>
      </c>
      <c r="C228" s="730" t="s">
        <v>110</v>
      </c>
      <c r="D228" s="747">
        <v>144246.95521084711</v>
      </c>
      <c r="E228" s="747">
        <f>VLOOKUP(A228,'[7]2020 Annual Allocation'!$A$4:$B$211,2,FALSE)</f>
        <v>9439.4044508199986</v>
      </c>
      <c r="F228" s="747">
        <f>VLOOKUP(A228,'[7]2019 Alloc_Expend Sum'!$A$4:$AD$217,30,FALSE)</f>
        <v>153686.35966166708</v>
      </c>
      <c r="G228" s="694">
        <v>0</v>
      </c>
      <c r="H228" s="749" t="s">
        <v>258</v>
      </c>
      <c r="I228" s="750">
        <f t="shared" si="3"/>
        <v>153686.35966166708</v>
      </c>
      <c r="J228" s="735">
        <v>0</v>
      </c>
      <c r="K228" s="735" t="s">
        <v>103</v>
      </c>
      <c r="L228" s="750">
        <v>0</v>
      </c>
      <c r="M228" s="750" t="s">
        <v>103</v>
      </c>
      <c r="N228" s="736">
        <v>0</v>
      </c>
      <c r="O228" s="693">
        <v>0</v>
      </c>
      <c r="P228" s="752">
        <v>0</v>
      </c>
      <c r="Q228" t="s">
        <v>103</v>
      </c>
      <c r="R228" t="s">
        <v>103</v>
      </c>
    </row>
    <row r="229" spans="1:18">
      <c r="A229" s="861" t="s">
        <v>921</v>
      </c>
      <c r="B229" t="s">
        <v>1009</v>
      </c>
      <c r="C229" s="730" t="s">
        <v>110</v>
      </c>
      <c r="D229" s="747">
        <v>14398303.626337737</v>
      </c>
      <c r="E229" s="747">
        <f>VLOOKUP(A229,'[7]2020 Annual Allocation'!$A$4:$B$211,2,FALSE)</f>
        <v>447227.68724168278</v>
      </c>
      <c r="F229" s="747">
        <f>VLOOKUP(A229,'[7]2019 Alloc_Expend Sum'!$A$4:$AD$217,30,FALSE)</f>
        <v>14845531.31357942</v>
      </c>
      <c r="G229" s="694">
        <v>0</v>
      </c>
      <c r="H229" s="862" t="s">
        <v>258</v>
      </c>
      <c r="I229" s="863">
        <f t="shared" si="3"/>
        <v>14845531.31357942</v>
      </c>
      <c r="J229" s="735">
        <v>0</v>
      </c>
      <c r="K229" s="735" t="s">
        <v>103</v>
      </c>
      <c r="L229" s="863">
        <v>0</v>
      </c>
      <c r="M229" s="863" t="s">
        <v>103</v>
      </c>
      <c r="N229" s="736">
        <v>0</v>
      </c>
      <c r="O229" s="693">
        <v>0</v>
      </c>
      <c r="P229" s="752">
        <v>0</v>
      </c>
      <c r="Q229" t="s">
        <v>103</v>
      </c>
      <c r="R229" t="s">
        <v>103</v>
      </c>
    </row>
    <row r="230" spans="1:18" s="101" customFormat="1">
      <c r="A230" s="738" t="s">
        <v>1439</v>
      </c>
      <c r="B230" s="738"/>
      <c r="C230" s="738"/>
      <c r="D230" s="739">
        <f>SUM(D222:D229)</f>
        <v>17535935.006529488</v>
      </c>
      <c r="E230" s="739">
        <f>SUM(E222:E229)</f>
        <v>667606.19861213211</v>
      </c>
      <c r="F230" s="739">
        <f>SUM(F222:F229)</f>
        <v>18203541.205141619</v>
      </c>
      <c r="G230" s="740">
        <v>0</v>
      </c>
      <c r="H230" s="741"/>
      <c r="I230" s="742">
        <f t="shared" si="3"/>
        <v>18203541.205141619</v>
      </c>
      <c r="J230" s="742">
        <v>0</v>
      </c>
      <c r="K230" s="742"/>
      <c r="L230" s="742">
        <v>0</v>
      </c>
      <c r="M230" s="742">
        <v>0</v>
      </c>
      <c r="N230" s="743">
        <v>0</v>
      </c>
      <c r="O230" s="742">
        <v>0</v>
      </c>
      <c r="P230" s="744">
        <v>0</v>
      </c>
      <c r="Q230" s="741" t="s">
        <v>103</v>
      </c>
      <c r="R230" s="741" t="s">
        <v>103</v>
      </c>
    </row>
    <row r="231" spans="1:18">
      <c r="A231" s="857" t="s">
        <v>926</v>
      </c>
      <c r="B231" s="857"/>
      <c r="C231" s="857"/>
      <c r="D231" s="724"/>
      <c r="E231" s="724"/>
      <c r="F231" s="724"/>
      <c r="G231" s="858">
        <v>0</v>
      </c>
      <c r="H231" s="859"/>
      <c r="I231" s="860"/>
      <c r="J231" s="859"/>
      <c r="K231" s="859"/>
      <c r="L231" s="860"/>
      <c r="M231" s="860"/>
      <c r="N231" s="728"/>
      <c r="O231" s="860"/>
      <c r="P231" s="859"/>
      <c r="Q231" s="859"/>
      <c r="R231" s="859"/>
    </row>
    <row r="232" spans="1:18">
      <c r="A232" s="861" t="s">
        <v>1642</v>
      </c>
      <c r="B232" t="s">
        <v>1009</v>
      </c>
      <c r="C232" s="730" t="s">
        <v>110</v>
      </c>
      <c r="D232" s="747">
        <v>1615.9983331035191</v>
      </c>
      <c r="E232" s="747">
        <f>VLOOKUP(A232,'[7]2020 Annual Allocation'!$A$4:$B$211,2,FALSE)</f>
        <v>0</v>
      </c>
      <c r="F232" s="747">
        <f>VLOOKUP(A232,'[7]2019 Alloc_Expend Sum'!$A$4:$AD$217,30,FALSE)</f>
        <v>1615.9983331035191</v>
      </c>
      <c r="G232" s="694">
        <v>0</v>
      </c>
      <c r="H232" s="862" t="s">
        <v>258</v>
      </c>
      <c r="I232" s="863">
        <f t="shared" si="3"/>
        <v>1615.9983331035191</v>
      </c>
      <c r="J232" s="735">
        <v>0</v>
      </c>
      <c r="K232" s="735" t="s">
        <v>103</v>
      </c>
      <c r="L232" s="863">
        <v>0</v>
      </c>
      <c r="M232" s="863" t="s">
        <v>103</v>
      </c>
      <c r="N232" s="736">
        <v>0</v>
      </c>
      <c r="O232" s="693">
        <v>0</v>
      </c>
      <c r="P232" s="752">
        <v>0</v>
      </c>
      <c r="Q232" t="s">
        <v>103</v>
      </c>
      <c r="R232" t="s">
        <v>103</v>
      </c>
    </row>
    <row r="233" spans="1:18" s="101" customFormat="1">
      <c r="A233" s="738" t="s">
        <v>1852</v>
      </c>
      <c r="B233" s="738"/>
      <c r="C233" s="738"/>
      <c r="D233" s="739">
        <f>SUM(D232)</f>
        <v>1615.9983331035191</v>
      </c>
      <c r="E233" s="739">
        <f>SUM(E232)</f>
        <v>0</v>
      </c>
      <c r="F233" s="739">
        <f>SUM(F232)</f>
        <v>1615.9983331035191</v>
      </c>
      <c r="G233" s="740">
        <v>0</v>
      </c>
      <c r="H233" s="741"/>
      <c r="I233" s="742">
        <f t="shared" si="3"/>
        <v>1615.9983331035191</v>
      </c>
      <c r="J233" s="742">
        <v>0</v>
      </c>
      <c r="K233" s="742"/>
      <c r="L233" s="742">
        <v>0</v>
      </c>
      <c r="M233" s="742">
        <v>0</v>
      </c>
      <c r="N233" s="743">
        <v>0</v>
      </c>
      <c r="O233" s="742">
        <v>0</v>
      </c>
      <c r="P233" s="744">
        <v>0</v>
      </c>
      <c r="Q233" s="741" t="s">
        <v>103</v>
      </c>
      <c r="R233" s="741" t="s">
        <v>103</v>
      </c>
    </row>
    <row r="234" spans="1:18">
      <c r="A234" s="857" t="s">
        <v>928</v>
      </c>
      <c r="B234" s="857"/>
      <c r="C234" s="857"/>
      <c r="D234" s="724"/>
      <c r="E234" s="724"/>
      <c r="F234" s="724"/>
      <c r="G234" s="858">
        <v>0</v>
      </c>
      <c r="H234" s="859"/>
      <c r="I234" s="860"/>
      <c r="J234" s="859"/>
      <c r="K234" s="859"/>
      <c r="L234" s="860"/>
      <c r="M234" s="860"/>
      <c r="N234" s="728"/>
      <c r="O234" s="860"/>
      <c r="P234" s="859"/>
      <c r="Q234" s="859"/>
      <c r="R234" s="859"/>
    </row>
    <row r="235" spans="1:18">
      <c r="A235" s="861" t="s">
        <v>929</v>
      </c>
      <c r="B235" t="s">
        <v>1009</v>
      </c>
      <c r="C235" s="730" t="s">
        <v>110</v>
      </c>
      <c r="D235" s="747">
        <v>253804.17674246806</v>
      </c>
      <c r="E235" s="747">
        <f>VLOOKUP(A235,'[7]2020 Annual Allocation'!$A$4:$B$211,2,FALSE)</f>
        <v>51295.255324273938</v>
      </c>
      <c r="F235" s="747">
        <f>VLOOKUP(A235,'[7]2019 Alloc_Expend Sum'!$A$4:$AD$217,30,FALSE)</f>
        <v>306024.64206674264</v>
      </c>
      <c r="G235" s="694">
        <v>16.65712921034784</v>
      </c>
      <c r="H235" s="749" t="s">
        <v>258</v>
      </c>
      <c r="I235" s="750">
        <f t="shared" si="3"/>
        <v>306024.64206674264</v>
      </c>
      <c r="J235" s="735">
        <v>0</v>
      </c>
      <c r="K235" s="735" t="s">
        <v>103</v>
      </c>
      <c r="L235" s="750">
        <v>0</v>
      </c>
      <c r="M235" s="750" t="s">
        <v>103</v>
      </c>
      <c r="N235" s="736">
        <v>0</v>
      </c>
      <c r="O235" s="693">
        <v>0</v>
      </c>
      <c r="P235" s="752">
        <v>0</v>
      </c>
      <c r="Q235" t="s">
        <v>103</v>
      </c>
      <c r="R235" t="s">
        <v>103</v>
      </c>
    </row>
    <row r="236" spans="1:18">
      <c r="A236" s="861" t="s">
        <v>939</v>
      </c>
      <c r="B236" t="s">
        <v>1009</v>
      </c>
      <c r="C236" s="730" t="s">
        <v>110</v>
      </c>
      <c r="D236" s="747">
        <v>624769.96643201541</v>
      </c>
      <c r="E236" s="747">
        <f>VLOOKUP(A236,'[7]2020 Annual Allocation'!$A$4:$B$211,2,FALSE)</f>
        <v>14884.55742750822</v>
      </c>
      <c r="F236" s="747">
        <f>VLOOKUP(A236,'[7]2019 Alloc_Expend Sum'!$A$4:$AD$217,30,FALSE)</f>
        <v>639654.52385952347</v>
      </c>
      <c r="G236" s="694">
        <v>0</v>
      </c>
      <c r="H236" s="749" t="s">
        <v>258</v>
      </c>
      <c r="I236" s="750">
        <f t="shared" si="3"/>
        <v>639654.52385952347</v>
      </c>
      <c r="J236" s="735">
        <v>0</v>
      </c>
      <c r="K236" s="735" t="s">
        <v>103</v>
      </c>
      <c r="L236" s="750">
        <v>0</v>
      </c>
      <c r="M236" s="750" t="s">
        <v>103</v>
      </c>
      <c r="N236" s="736">
        <v>0</v>
      </c>
      <c r="O236" s="693">
        <v>0</v>
      </c>
      <c r="P236" s="752">
        <v>0</v>
      </c>
      <c r="Q236" t="s">
        <v>103</v>
      </c>
      <c r="R236" t="s">
        <v>103</v>
      </c>
    </row>
    <row r="237" spans="1:18">
      <c r="A237" s="861" t="s">
        <v>940</v>
      </c>
      <c r="B237" t="s">
        <v>1009</v>
      </c>
      <c r="C237" s="730" t="s">
        <v>110</v>
      </c>
      <c r="D237" s="747">
        <v>593631.88503489387</v>
      </c>
      <c r="E237" s="747">
        <f>VLOOKUP(A237,'[7]2020 Annual Allocation'!$A$4:$B$211,2,FALSE)</f>
        <v>20542.477583267209</v>
      </c>
      <c r="F237" s="747">
        <f>VLOOKUP(A237,'[7]2019 Alloc_Expend Sum'!$A$4:$AD$217,30,FALSE)</f>
        <v>614174.36261816125</v>
      </c>
      <c r="G237" s="694">
        <v>0</v>
      </c>
      <c r="H237" s="749" t="s">
        <v>258</v>
      </c>
      <c r="I237" s="750">
        <f t="shared" si="3"/>
        <v>614174.36261816125</v>
      </c>
      <c r="J237" s="735">
        <v>0</v>
      </c>
      <c r="K237" s="735" t="s">
        <v>103</v>
      </c>
      <c r="L237" s="750">
        <v>0</v>
      </c>
      <c r="M237" s="750" t="s">
        <v>103</v>
      </c>
      <c r="N237" s="736">
        <v>0</v>
      </c>
      <c r="O237" s="693">
        <v>0</v>
      </c>
      <c r="P237" s="752">
        <v>0</v>
      </c>
      <c r="Q237" t="s">
        <v>103</v>
      </c>
      <c r="R237" t="s">
        <v>103</v>
      </c>
    </row>
    <row r="238" spans="1:18">
      <c r="A238" s="861" t="s">
        <v>941</v>
      </c>
      <c r="B238" t="s">
        <v>1009</v>
      </c>
      <c r="C238" s="730" t="s">
        <v>110</v>
      </c>
      <c r="D238" s="747">
        <v>-171424.59547972257</v>
      </c>
      <c r="E238" s="747">
        <f>VLOOKUP(A238,'[7]2020 Annual Allocation'!$A$4:$B$211,2,FALSE)</f>
        <v>22339.906459093727</v>
      </c>
      <c r="F238" s="747">
        <f>VLOOKUP(A238,'[7]2019 Alloc_Expend Sum'!$A$4:$AD$217,30,FALSE)</f>
        <v>-149084.68902062887</v>
      </c>
      <c r="G238" s="694">
        <v>6.673469707387345</v>
      </c>
      <c r="H238" s="749" t="s">
        <v>258</v>
      </c>
      <c r="I238" s="750">
        <f t="shared" si="3"/>
        <v>-149084.68902062887</v>
      </c>
      <c r="J238" s="735">
        <v>0</v>
      </c>
      <c r="K238" s="735" t="s">
        <v>103</v>
      </c>
      <c r="L238" s="750">
        <v>0</v>
      </c>
      <c r="M238" s="750" t="s">
        <v>103</v>
      </c>
      <c r="N238" s="736">
        <v>0</v>
      </c>
      <c r="O238" s="693">
        <v>0</v>
      </c>
      <c r="P238" s="752">
        <v>0</v>
      </c>
      <c r="Q238" t="s">
        <v>103</v>
      </c>
      <c r="R238" t="s">
        <v>103</v>
      </c>
    </row>
    <row r="239" spans="1:18">
      <c r="A239" s="861" t="s">
        <v>945</v>
      </c>
      <c r="B239" t="s">
        <v>1009</v>
      </c>
      <c r="C239" s="730" t="s">
        <v>110</v>
      </c>
      <c r="D239" s="747">
        <v>3075645.0940542282</v>
      </c>
      <c r="E239" s="747">
        <f>VLOOKUP(A239,'[7]2020 Annual Allocation'!$A$4:$B$211,2,FALSE)</f>
        <v>155599.67878701584</v>
      </c>
      <c r="F239" s="747">
        <f>VLOOKUP(A239,'[7]2019 Alloc_Expend Sum'!$A$4:$AD$217,30,FALSE)</f>
        <v>3231245.2228412428</v>
      </c>
      <c r="G239" s="694">
        <v>0</v>
      </c>
      <c r="H239" s="749" t="s">
        <v>258</v>
      </c>
      <c r="I239" s="750">
        <f t="shared" si="3"/>
        <v>3231245.2228412428</v>
      </c>
      <c r="J239" s="735">
        <v>0</v>
      </c>
      <c r="K239" s="735" t="s">
        <v>103</v>
      </c>
      <c r="L239" s="750">
        <v>0</v>
      </c>
      <c r="M239" s="750" t="s">
        <v>103</v>
      </c>
      <c r="N239" s="736">
        <v>0</v>
      </c>
      <c r="O239" s="693">
        <v>0</v>
      </c>
      <c r="P239" s="752">
        <v>0</v>
      </c>
      <c r="Q239" t="s">
        <v>103</v>
      </c>
      <c r="R239" t="s">
        <v>103</v>
      </c>
    </row>
    <row r="240" spans="1:18">
      <c r="A240" s="861" t="s">
        <v>953</v>
      </c>
      <c r="B240" t="s">
        <v>1009</v>
      </c>
      <c r="C240" s="730" t="s">
        <v>110</v>
      </c>
      <c r="D240" s="747">
        <v>-140744.49256764472</v>
      </c>
      <c r="E240" s="747">
        <f>VLOOKUP(A240,'[7]2020 Annual Allocation'!$A$4:$B$211,2,FALSE)</f>
        <v>27617.112895312312</v>
      </c>
      <c r="F240" s="747">
        <f>VLOOKUP(A240,'[7]2019 Alloc_Expend Sum'!$A$4:$AD$217,30,FALSE)</f>
        <v>-113127.37967233261</v>
      </c>
      <c r="G240" s="694">
        <v>4.0962782786586898</v>
      </c>
      <c r="H240" s="749" t="s">
        <v>258</v>
      </c>
      <c r="I240" s="750">
        <f t="shared" si="3"/>
        <v>-113127.37967233261</v>
      </c>
      <c r="J240" s="735">
        <v>0</v>
      </c>
      <c r="K240" s="735" t="s">
        <v>103</v>
      </c>
      <c r="L240" s="750">
        <v>0</v>
      </c>
      <c r="M240" s="750" t="s">
        <v>103</v>
      </c>
      <c r="N240" s="736">
        <v>0</v>
      </c>
      <c r="O240" s="693">
        <v>0</v>
      </c>
      <c r="P240" s="752">
        <v>0</v>
      </c>
      <c r="Q240" t="s">
        <v>103</v>
      </c>
      <c r="R240" t="s">
        <v>103</v>
      </c>
    </row>
    <row r="241" spans="1:18">
      <c r="A241" s="861" t="s">
        <v>958</v>
      </c>
      <c r="B241" t="s">
        <v>1009</v>
      </c>
      <c r="C241" s="730" t="s">
        <v>110</v>
      </c>
      <c r="D241" s="747">
        <v>1013275.91462959</v>
      </c>
      <c r="E241" s="747">
        <f>VLOOKUP(A241,'[7]2020 Annual Allocation'!$A$4:$B$211,2,FALSE)</f>
        <v>45349.247221209109</v>
      </c>
      <c r="F241" s="747">
        <f>VLOOKUP(A241,'[7]2019 Alloc_Expend Sum'!$A$4:$AD$217,30,FALSE)</f>
        <v>1058625.1618507989</v>
      </c>
      <c r="G241" s="694">
        <v>0</v>
      </c>
      <c r="H241" s="749" t="s">
        <v>258</v>
      </c>
      <c r="I241" s="750">
        <f t="shared" si="3"/>
        <v>1058625.1618507989</v>
      </c>
      <c r="J241" s="735">
        <v>0</v>
      </c>
      <c r="K241" s="735" t="s">
        <v>103</v>
      </c>
      <c r="L241" s="750">
        <v>0</v>
      </c>
      <c r="M241" s="750" t="s">
        <v>103</v>
      </c>
      <c r="N241" s="736">
        <v>0</v>
      </c>
      <c r="O241" s="693">
        <v>0</v>
      </c>
      <c r="P241" s="752">
        <v>0</v>
      </c>
      <c r="Q241" t="s">
        <v>103</v>
      </c>
      <c r="R241" t="s">
        <v>103</v>
      </c>
    </row>
    <row r="242" spans="1:18">
      <c r="A242" s="861" t="s">
        <v>961</v>
      </c>
      <c r="B242" t="s">
        <v>1009</v>
      </c>
      <c r="C242" s="730" t="s">
        <v>110</v>
      </c>
      <c r="D242" s="747">
        <v>865274.84210024402</v>
      </c>
      <c r="E242" s="747">
        <f>VLOOKUP(A242,'[7]2020 Annual Allocation'!$A$4:$B$211,2,FALSE)</f>
        <v>125166.67507648552</v>
      </c>
      <c r="F242" s="747">
        <f>VLOOKUP(A242,'[7]2019 Alloc_Expend Sum'!$A$4:$AD$217,30,FALSE)</f>
        <v>990441.51717672951</v>
      </c>
      <c r="G242" s="694">
        <v>0</v>
      </c>
      <c r="H242" s="749" t="s">
        <v>258</v>
      </c>
      <c r="I242" s="750">
        <f t="shared" si="3"/>
        <v>990441.51717672951</v>
      </c>
      <c r="J242" s="735">
        <v>0</v>
      </c>
      <c r="K242" s="735" t="s">
        <v>103</v>
      </c>
      <c r="L242" s="750">
        <v>0</v>
      </c>
      <c r="M242" s="750" t="s">
        <v>103</v>
      </c>
      <c r="N242" s="736">
        <v>0</v>
      </c>
      <c r="O242" s="693">
        <v>0</v>
      </c>
      <c r="P242" s="752">
        <v>0</v>
      </c>
      <c r="Q242" t="s">
        <v>103</v>
      </c>
      <c r="R242" t="s">
        <v>103</v>
      </c>
    </row>
    <row r="243" spans="1:18">
      <c r="A243" s="861" t="s">
        <v>968</v>
      </c>
      <c r="B243" t="s">
        <v>1009</v>
      </c>
      <c r="C243" s="730" t="s">
        <v>110</v>
      </c>
      <c r="D243" s="747">
        <v>1797609.098332902</v>
      </c>
      <c r="E243" s="747">
        <f>VLOOKUP(A243,'[7]2020 Annual Allocation'!$A$4:$B$211,2,FALSE)</f>
        <v>124944.99923428836</v>
      </c>
      <c r="F243" s="747">
        <f>VLOOKUP(A243,'[7]2019 Alloc_Expend Sum'!$A$4:$AD$217,30,FALSE)</f>
        <v>1922554.09756719</v>
      </c>
      <c r="G243" s="694">
        <v>0</v>
      </c>
      <c r="H243" s="749" t="s">
        <v>258</v>
      </c>
      <c r="I243" s="750">
        <f t="shared" si="3"/>
        <v>1922554.09756719</v>
      </c>
      <c r="J243" s="735">
        <v>0</v>
      </c>
      <c r="K243" s="735" t="s">
        <v>103</v>
      </c>
      <c r="L243" s="750">
        <v>0</v>
      </c>
      <c r="M243" s="750" t="s">
        <v>103</v>
      </c>
      <c r="N243" s="736">
        <v>0</v>
      </c>
      <c r="O243" s="693">
        <v>0</v>
      </c>
      <c r="P243" s="752">
        <v>0</v>
      </c>
      <c r="Q243" t="s">
        <v>103</v>
      </c>
      <c r="R243" t="s">
        <v>103</v>
      </c>
    </row>
    <row r="244" spans="1:18">
      <c r="A244" s="861" t="s">
        <v>1563</v>
      </c>
      <c r="B244" t="s">
        <v>1009</v>
      </c>
      <c r="C244" s="730" t="s">
        <v>110</v>
      </c>
      <c r="D244" s="747">
        <v>861094.71879224968</v>
      </c>
      <c r="E244" s="747">
        <f>VLOOKUP(A244,'[7]2020 Annual Allocation'!$A$4:$B$211,2,FALSE)</f>
        <v>159027.08823159614</v>
      </c>
      <c r="F244" s="747">
        <f>VLOOKUP(A244,'[7]2019 Alloc_Expend Sum'!$A$4:$AD$217,30,FALSE)</f>
        <v>1020121.8070238465</v>
      </c>
      <c r="G244" s="694">
        <v>0</v>
      </c>
      <c r="H244" s="749" t="s">
        <v>258</v>
      </c>
      <c r="I244" s="750">
        <f t="shared" si="3"/>
        <v>1020121.8070238465</v>
      </c>
      <c r="J244" s="735">
        <v>0</v>
      </c>
      <c r="K244" s="735" t="s">
        <v>103</v>
      </c>
      <c r="L244" s="750">
        <v>0</v>
      </c>
      <c r="M244" s="750" t="s">
        <v>103</v>
      </c>
      <c r="N244" s="736">
        <v>0</v>
      </c>
      <c r="O244" s="693">
        <v>0</v>
      </c>
      <c r="P244" s="752">
        <v>0</v>
      </c>
      <c r="Q244" t="s">
        <v>103</v>
      </c>
      <c r="R244" t="s">
        <v>103</v>
      </c>
    </row>
    <row r="245" spans="1:18">
      <c r="A245" s="861" t="s">
        <v>973</v>
      </c>
      <c r="B245" t="s">
        <v>1009</v>
      </c>
      <c r="C245" s="730" t="s">
        <v>110</v>
      </c>
      <c r="D245" s="747">
        <v>2789565.3959204801</v>
      </c>
      <c r="E245" s="747">
        <f>VLOOKUP(A245,'[7]2020 Annual Allocation'!$A$4:$B$211,2,FALSE)</f>
        <v>213517.35179825342</v>
      </c>
      <c r="F245" s="747">
        <f>VLOOKUP(A245,'[7]2019 Alloc_Expend Sum'!$A$4:$AD$217,30,FALSE)</f>
        <v>3003082.7477187333</v>
      </c>
      <c r="G245" s="694">
        <v>0</v>
      </c>
      <c r="H245" s="862" t="s">
        <v>258</v>
      </c>
      <c r="I245" s="863">
        <f t="shared" si="3"/>
        <v>3003082.7477187333</v>
      </c>
      <c r="J245" s="735">
        <v>0</v>
      </c>
      <c r="K245" s="735" t="s">
        <v>103</v>
      </c>
      <c r="L245" s="863">
        <v>0</v>
      </c>
      <c r="M245" s="863" t="s">
        <v>103</v>
      </c>
      <c r="N245" s="736">
        <v>0</v>
      </c>
      <c r="O245" s="693">
        <v>0</v>
      </c>
      <c r="P245" s="752">
        <v>0</v>
      </c>
      <c r="Q245" t="s">
        <v>103</v>
      </c>
      <c r="R245" t="s">
        <v>103</v>
      </c>
    </row>
    <row r="246" spans="1:18" s="101" customFormat="1">
      <c r="A246" s="738" t="s">
        <v>1452</v>
      </c>
      <c r="B246" s="738"/>
      <c r="C246" s="738"/>
      <c r="D246" s="739">
        <f>SUM(D235:D245)</f>
        <v>11562502.003991704</v>
      </c>
      <c r="E246" s="739">
        <f>SUM(E235:E245)</f>
        <v>960284.35003830376</v>
      </c>
      <c r="F246" s="739">
        <f>SUM(F235:F245)</f>
        <v>12523712.014030006</v>
      </c>
      <c r="G246" s="740">
        <v>0</v>
      </c>
      <c r="H246" s="741"/>
      <c r="I246" s="742">
        <f t="shared" si="3"/>
        <v>12523712.014030006</v>
      </c>
      <c r="J246" s="743">
        <v>0</v>
      </c>
      <c r="K246" s="743"/>
      <c r="L246" s="742">
        <v>0</v>
      </c>
      <c r="M246" s="742">
        <v>0</v>
      </c>
      <c r="N246" s="743">
        <v>0</v>
      </c>
      <c r="O246" s="742">
        <v>0</v>
      </c>
      <c r="P246" s="744">
        <v>0</v>
      </c>
      <c r="Q246" s="741" t="s">
        <v>103</v>
      </c>
      <c r="R246" s="741" t="s">
        <v>103</v>
      </c>
    </row>
    <row r="247" spans="1:18">
      <c r="A247" s="864"/>
      <c r="I247" s="693">
        <f t="shared" si="3"/>
        <v>0</v>
      </c>
      <c r="J247"/>
      <c r="L247" s="693"/>
      <c r="M247" s="693"/>
      <c r="N247" s="752"/>
      <c r="O247" s="693">
        <v>0</v>
      </c>
      <c r="P247"/>
    </row>
    <row r="248" spans="1:18" s="101" customFormat="1">
      <c r="A248" s="738" t="s">
        <v>1465</v>
      </c>
      <c r="B248" s="738"/>
      <c r="C248" s="738"/>
      <c r="D248" s="760">
        <f>SUM(D246,D233,D230,D220,D214,D211,D185,D158,D124,D120,D117,D28,D24,D16,D12,D9)</f>
        <v>236986493.83641577</v>
      </c>
      <c r="E248" s="760">
        <f>SUM(E246,E233,E230,E220,E214,E211,E185,E158,E124,E120,E117,E28,E24,E16,E12,E9)</f>
        <v>20501809.357410032</v>
      </c>
      <c r="F248" s="760">
        <f>SUM(F246,F233,F230,F220,F214,F211,F185,F158,F124,F120,F117,F28,F24,F16,F12,F9)</f>
        <v>236578861.28780958</v>
      </c>
      <c r="G248" s="740">
        <v>0</v>
      </c>
      <c r="H248" s="741"/>
      <c r="I248" s="742">
        <f t="shared" si="3"/>
        <v>236578861.28780958</v>
      </c>
      <c r="J248" s="743">
        <v>120000</v>
      </c>
      <c r="K248" s="743"/>
      <c r="L248" s="742">
        <v>90668</v>
      </c>
      <c r="M248" s="742"/>
      <c r="N248" s="743">
        <v>395357</v>
      </c>
      <c r="O248" s="742">
        <v>0</v>
      </c>
      <c r="P248" s="744">
        <v>0</v>
      </c>
      <c r="Q248" s="741" t="s">
        <v>103</v>
      </c>
      <c r="R248" s="741" t="s">
        <v>103</v>
      </c>
    </row>
  </sheetData>
  <autoFilter ref="A5:R248" xr:uid="{00000000-0009-0000-0000-000013000000}"/>
  <mergeCells count="3">
    <mergeCell ref="A3:R3"/>
    <mergeCell ref="D4:F4"/>
    <mergeCell ref="I4:J4"/>
  </mergeCells>
  <dataValidations count="1">
    <dataValidation type="list" allowBlank="1" showInputMessage="1" showErrorMessage="1" sqref="C8:C11 B9:B10 B14:C14 C15 C18:C23 C26:C27 C30:C35 C37:C70 C72:C116 C119 C122:C123 C126:C157 C160:C184 C187:C210 C213 C216:C219 C222:C229 C232 C235:C245" xr:uid="{E4CD3E7B-E8F7-4234-8398-4C903FAB121A}">
      <formula1>Yes_No_Unsure</formula1>
    </dataValidation>
  </dataValidations>
  <pageMargins left="0.7" right="0.7" top="0.75" bottom="0.75" header="0.3" footer="0.3"/>
  <pageSetup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2:I61"/>
  <sheetViews>
    <sheetView workbookViewId="0">
      <pane ySplit="5" topLeftCell="A24" activePane="bottomLeft" state="frozen"/>
      <selection pane="bottomLeft" activeCell="H72" sqref="H72"/>
    </sheetView>
  </sheetViews>
  <sheetFormatPr defaultRowHeight="14.45"/>
  <cols>
    <col min="3" max="3" width="18.42578125" bestFit="1" customWidth="1"/>
    <col min="4" max="4" width="16.5703125" bestFit="1" customWidth="1"/>
    <col min="5" max="5" width="24.140625" style="549" bestFit="1" customWidth="1"/>
    <col min="6" max="6" width="24.42578125" style="103" bestFit="1" customWidth="1"/>
    <col min="7" max="7" width="11.5703125" customWidth="1"/>
    <col min="8" max="8" width="32.5703125" customWidth="1"/>
  </cols>
  <sheetData>
    <row r="2" spans="1:9" ht="15" thickBot="1">
      <c r="A2" s="842"/>
      <c r="B2" t="s">
        <v>1868</v>
      </c>
    </row>
    <row r="3" spans="1:9">
      <c r="B3" s="1200" t="s">
        <v>1869</v>
      </c>
      <c r="C3" s="1201"/>
      <c r="D3" s="1201"/>
      <c r="E3" s="1201"/>
      <c r="F3" s="1201"/>
      <c r="G3" s="1201"/>
      <c r="H3" s="1202"/>
    </row>
    <row r="4" spans="1:9" ht="70.5" customHeight="1">
      <c r="B4" s="83" t="s">
        <v>1201</v>
      </c>
      <c r="C4" s="83" t="s">
        <v>1870</v>
      </c>
      <c r="D4" s="21" t="s">
        <v>1871</v>
      </c>
      <c r="E4" s="837" t="s">
        <v>1872</v>
      </c>
      <c r="F4" s="104" t="s">
        <v>1873</v>
      </c>
      <c r="G4" s="80" t="s">
        <v>1874</v>
      </c>
      <c r="H4" s="80" t="s">
        <v>1875</v>
      </c>
      <c r="I4" s="842"/>
    </row>
    <row r="5" spans="1:9">
      <c r="B5" s="83" t="s">
        <v>1876</v>
      </c>
      <c r="C5" s="83" t="s">
        <v>1877</v>
      </c>
      <c r="D5" s="21" t="s">
        <v>1878</v>
      </c>
      <c r="E5" s="837" t="s">
        <v>1878</v>
      </c>
      <c r="F5" s="104" t="s">
        <v>1879</v>
      </c>
      <c r="G5" s="80" t="s">
        <v>1880</v>
      </c>
      <c r="H5" s="80" t="s">
        <v>1881</v>
      </c>
    </row>
    <row r="6" spans="1:9">
      <c r="B6" s="1">
        <v>2006</v>
      </c>
      <c r="C6" s="1"/>
      <c r="D6" s="1" t="s">
        <v>295</v>
      </c>
      <c r="E6" s="840" t="s">
        <v>1882</v>
      </c>
      <c r="F6" s="110">
        <v>240000</v>
      </c>
      <c r="G6" s="81" t="s">
        <v>258</v>
      </c>
      <c r="H6" s="1" t="s">
        <v>1883</v>
      </c>
    </row>
    <row r="7" spans="1:9">
      <c r="B7" s="1">
        <v>2007</v>
      </c>
      <c r="C7" s="107">
        <v>39309</v>
      </c>
      <c r="D7" s="1" t="s">
        <v>389</v>
      </c>
      <c r="E7" s="839" t="s">
        <v>469</v>
      </c>
      <c r="F7" s="110">
        <v>700000</v>
      </c>
      <c r="G7" s="81" t="s">
        <v>258</v>
      </c>
      <c r="H7" s="1" t="s">
        <v>1883</v>
      </c>
    </row>
    <row r="8" spans="1:9">
      <c r="B8" s="1">
        <v>2008</v>
      </c>
      <c r="C8" s="107">
        <v>39345</v>
      </c>
      <c r="D8" s="1" t="s">
        <v>562</v>
      </c>
      <c r="E8" s="838" t="s">
        <v>747</v>
      </c>
      <c r="F8" s="110">
        <v>52556.9</v>
      </c>
      <c r="G8" s="81" t="s">
        <v>103</v>
      </c>
      <c r="H8" s="1" t="s">
        <v>1884</v>
      </c>
    </row>
    <row r="9" spans="1:9">
      <c r="B9" s="1">
        <v>2008</v>
      </c>
      <c r="C9" s="107">
        <v>39345</v>
      </c>
      <c r="D9" s="1" t="s">
        <v>562</v>
      </c>
      <c r="E9" s="838" t="s">
        <v>109</v>
      </c>
      <c r="F9" s="110">
        <v>7593.41</v>
      </c>
      <c r="G9" s="81" t="s">
        <v>103</v>
      </c>
      <c r="H9" s="1" t="s">
        <v>1884</v>
      </c>
    </row>
    <row r="10" spans="1:9">
      <c r="B10" s="1">
        <v>2008</v>
      </c>
      <c r="C10" s="107">
        <v>39345</v>
      </c>
      <c r="D10" s="1" t="s">
        <v>562</v>
      </c>
      <c r="E10" s="840" t="s">
        <v>113</v>
      </c>
      <c r="F10" s="110">
        <v>48055.360000000001</v>
      </c>
      <c r="G10" s="81" t="s">
        <v>103</v>
      </c>
      <c r="H10" s="1" t="s">
        <v>1884</v>
      </c>
    </row>
    <row r="11" spans="1:9">
      <c r="B11" s="1">
        <v>2008</v>
      </c>
      <c r="C11" s="107">
        <v>39345</v>
      </c>
      <c r="D11" s="1" t="s">
        <v>562</v>
      </c>
      <c r="E11" s="840" t="s">
        <v>271</v>
      </c>
      <c r="F11" s="110">
        <v>28345.599999999999</v>
      </c>
      <c r="G11" s="81" t="s">
        <v>103</v>
      </c>
      <c r="H11" s="1" t="s">
        <v>1884</v>
      </c>
    </row>
    <row r="12" spans="1:9">
      <c r="B12" s="1">
        <v>2008</v>
      </c>
      <c r="C12" s="107">
        <v>39345</v>
      </c>
      <c r="D12" s="1" t="s">
        <v>562</v>
      </c>
      <c r="E12" s="840" t="s">
        <v>578</v>
      </c>
      <c r="F12" s="110">
        <v>12021.69</v>
      </c>
      <c r="G12" s="81" t="s">
        <v>103</v>
      </c>
      <c r="H12" s="1" t="s">
        <v>1884</v>
      </c>
    </row>
    <row r="13" spans="1:9">
      <c r="B13" s="1">
        <v>2008</v>
      </c>
      <c r="C13" s="107">
        <v>39345</v>
      </c>
      <c r="D13" s="1" t="s">
        <v>562</v>
      </c>
      <c r="E13" s="839" t="s">
        <v>579</v>
      </c>
      <c r="F13" s="110">
        <v>29775.32</v>
      </c>
      <c r="G13" s="81" t="s">
        <v>103</v>
      </c>
      <c r="H13" s="1" t="s">
        <v>1884</v>
      </c>
    </row>
    <row r="14" spans="1:9">
      <c r="B14" s="1">
        <v>2008</v>
      </c>
      <c r="C14" s="107">
        <v>39345</v>
      </c>
      <c r="D14" s="1" t="s">
        <v>562</v>
      </c>
      <c r="E14" s="840" t="s">
        <v>580</v>
      </c>
      <c r="F14" s="110">
        <v>37423.54</v>
      </c>
      <c r="G14" s="81" t="s">
        <v>103</v>
      </c>
      <c r="H14" s="1" t="s">
        <v>1884</v>
      </c>
    </row>
    <row r="15" spans="1:9">
      <c r="B15" s="1">
        <v>2008</v>
      </c>
      <c r="C15" s="107">
        <v>39345</v>
      </c>
      <c r="D15" s="1" t="s">
        <v>562</v>
      </c>
      <c r="E15" s="840" t="s">
        <v>132</v>
      </c>
      <c r="F15" s="110">
        <v>5673.09</v>
      </c>
      <c r="G15" s="81" t="s">
        <v>103</v>
      </c>
      <c r="H15" s="1" t="s">
        <v>1884</v>
      </c>
    </row>
    <row r="16" spans="1:9">
      <c r="B16" s="1">
        <v>2008</v>
      </c>
      <c r="C16" s="107">
        <v>39345</v>
      </c>
      <c r="D16" s="1" t="s">
        <v>562</v>
      </c>
      <c r="E16" s="838" t="s">
        <v>708</v>
      </c>
      <c r="F16" s="110">
        <v>54402</v>
      </c>
      <c r="G16" s="81" t="s">
        <v>103</v>
      </c>
      <c r="H16" s="1" t="s">
        <v>1884</v>
      </c>
    </row>
    <row r="17" spans="2:9">
      <c r="B17" s="1">
        <v>2008</v>
      </c>
      <c r="C17" s="107">
        <v>39345</v>
      </c>
      <c r="D17" s="1" t="s">
        <v>562</v>
      </c>
      <c r="E17" s="840" t="s">
        <v>102</v>
      </c>
      <c r="F17" s="110">
        <v>53631.74</v>
      </c>
      <c r="G17" s="81" t="s">
        <v>103</v>
      </c>
      <c r="H17" s="1" t="s">
        <v>1884</v>
      </c>
    </row>
    <row r="18" spans="2:9">
      <c r="B18" s="1">
        <v>2008</v>
      </c>
      <c r="C18" s="107">
        <v>39345</v>
      </c>
      <c r="D18" s="1" t="s">
        <v>562</v>
      </c>
      <c r="E18" s="840" t="s">
        <v>107</v>
      </c>
      <c r="F18" s="110">
        <v>13790.69</v>
      </c>
      <c r="G18" s="81" t="s">
        <v>103</v>
      </c>
      <c r="H18" s="1" t="s">
        <v>1884</v>
      </c>
    </row>
    <row r="19" spans="2:9">
      <c r="B19" s="1">
        <v>2008</v>
      </c>
      <c r="C19" s="107">
        <v>39573</v>
      </c>
      <c r="D19" s="1" t="s">
        <v>141</v>
      </c>
      <c r="E19" s="839" t="s">
        <v>142</v>
      </c>
      <c r="F19" s="110">
        <v>641718</v>
      </c>
      <c r="G19" s="81" t="s">
        <v>258</v>
      </c>
      <c r="H19" s="1" t="s">
        <v>1883</v>
      </c>
    </row>
    <row r="20" spans="2:9">
      <c r="B20" s="1">
        <v>2008</v>
      </c>
      <c r="C20" s="107">
        <v>39345</v>
      </c>
      <c r="D20" s="1" t="s">
        <v>562</v>
      </c>
      <c r="E20" s="840" t="s">
        <v>503</v>
      </c>
      <c r="F20" s="110">
        <v>556.88</v>
      </c>
      <c r="G20" s="81" t="s">
        <v>103</v>
      </c>
      <c r="H20" s="1" t="s">
        <v>1884</v>
      </c>
    </row>
    <row r="21" spans="2:9">
      <c r="B21" s="1">
        <v>2008</v>
      </c>
      <c r="C21" s="107">
        <v>39345</v>
      </c>
      <c r="D21" s="1" t="s">
        <v>562</v>
      </c>
      <c r="E21" s="840" t="s">
        <v>927</v>
      </c>
      <c r="F21" s="110">
        <v>125.25</v>
      </c>
      <c r="G21" s="81" t="s">
        <v>103</v>
      </c>
      <c r="H21" s="1" t="s">
        <v>1884</v>
      </c>
    </row>
    <row r="22" spans="2:9">
      <c r="B22" s="1">
        <v>2008</v>
      </c>
      <c r="C22" s="107">
        <v>39345</v>
      </c>
      <c r="D22" s="1" t="s">
        <v>562</v>
      </c>
      <c r="E22" s="840" t="s">
        <v>920</v>
      </c>
      <c r="F22" s="110">
        <v>56533.53</v>
      </c>
      <c r="G22" s="81" t="s">
        <v>103</v>
      </c>
      <c r="H22" s="1" t="s">
        <v>1884</v>
      </c>
    </row>
    <row r="23" spans="2:9">
      <c r="B23" s="1">
        <v>2009</v>
      </c>
      <c r="C23" s="107">
        <v>40018</v>
      </c>
      <c r="D23" s="1" t="s">
        <v>638</v>
      </c>
      <c r="E23" s="840" t="s">
        <v>540</v>
      </c>
      <c r="F23" s="110">
        <v>500000</v>
      </c>
      <c r="G23" s="81" t="s">
        <v>258</v>
      </c>
      <c r="H23" s="1" t="s">
        <v>1883</v>
      </c>
    </row>
    <row r="24" spans="2:9">
      <c r="B24" s="1">
        <v>2010</v>
      </c>
      <c r="C24" s="107">
        <v>40570</v>
      </c>
      <c r="D24" s="1" t="s">
        <v>571</v>
      </c>
      <c r="E24" s="839" t="s">
        <v>515</v>
      </c>
      <c r="F24" s="110">
        <v>643334</v>
      </c>
      <c r="G24" s="81" t="s">
        <v>258</v>
      </c>
      <c r="H24" s="1" t="s">
        <v>1883</v>
      </c>
    </row>
    <row r="25" spans="2:9">
      <c r="B25" s="1">
        <v>2010</v>
      </c>
      <c r="C25" s="107">
        <v>40484</v>
      </c>
      <c r="D25" s="1" t="s">
        <v>688</v>
      </c>
      <c r="E25" s="839" t="s">
        <v>1494</v>
      </c>
      <c r="F25" s="110">
        <v>225000</v>
      </c>
      <c r="G25" s="81" t="s">
        <v>258</v>
      </c>
      <c r="H25" s="1" t="s">
        <v>1883</v>
      </c>
    </row>
    <row r="26" spans="2:9">
      <c r="B26" s="1">
        <v>2010</v>
      </c>
      <c r="C26" s="107">
        <v>40498</v>
      </c>
      <c r="D26" s="1" t="s">
        <v>688</v>
      </c>
      <c r="E26" s="839" t="s">
        <v>1885</v>
      </c>
      <c r="F26" s="110">
        <v>1117793</v>
      </c>
      <c r="G26" s="81" t="s">
        <v>258</v>
      </c>
      <c r="H26" s="1" t="s">
        <v>1883</v>
      </c>
    </row>
    <row r="27" spans="2:9">
      <c r="B27" s="1">
        <v>2010</v>
      </c>
      <c r="C27" s="107">
        <v>40577</v>
      </c>
      <c r="D27" s="1" t="s">
        <v>1886</v>
      </c>
      <c r="E27" s="839" t="s">
        <v>1887</v>
      </c>
      <c r="F27" s="110">
        <v>795547</v>
      </c>
      <c r="G27" s="81" t="s">
        <v>258</v>
      </c>
      <c r="H27" s="1" t="s">
        <v>1883</v>
      </c>
      <c r="I27" s="100"/>
    </row>
    <row r="28" spans="2:9">
      <c r="B28" s="1">
        <v>2010</v>
      </c>
      <c r="C28" s="107">
        <v>40498</v>
      </c>
      <c r="D28" s="1" t="s">
        <v>688</v>
      </c>
      <c r="E28" s="839" t="s">
        <v>920</v>
      </c>
      <c r="F28" s="110">
        <v>600000</v>
      </c>
      <c r="G28" s="81" t="s">
        <v>258</v>
      </c>
      <c r="H28" s="1" t="s">
        <v>1883</v>
      </c>
    </row>
    <row r="29" spans="2:9">
      <c r="B29" s="1">
        <v>2011</v>
      </c>
      <c r="C29" s="107">
        <v>40807</v>
      </c>
      <c r="D29" s="1" t="s">
        <v>1888</v>
      </c>
      <c r="E29" s="839" t="s">
        <v>580</v>
      </c>
      <c r="F29" s="110">
        <v>80000</v>
      </c>
      <c r="G29" s="81" t="s">
        <v>258</v>
      </c>
      <c r="H29" s="1" t="s">
        <v>1883</v>
      </c>
    </row>
    <row r="30" spans="2:9">
      <c r="B30" s="1">
        <v>2011</v>
      </c>
      <c r="C30" s="107">
        <v>40844</v>
      </c>
      <c r="D30" s="1" t="s">
        <v>589</v>
      </c>
      <c r="E30" s="839" t="s">
        <v>585</v>
      </c>
      <c r="F30" s="110">
        <v>188255</v>
      </c>
      <c r="G30" s="81" t="s">
        <v>258</v>
      </c>
      <c r="H30" s="1" t="s">
        <v>1883</v>
      </c>
    </row>
    <row r="31" spans="2:9">
      <c r="B31" s="1">
        <v>2011</v>
      </c>
      <c r="C31" s="107">
        <v>40592</v>
      </c>
      <c r="D31" s="1" t="s">
        <v>1888</v>
      </c>
      <c r="E31" s="839" t="s">
        <v>629</v>
      </c>
      <c r="F31" s="110">
        <v>50000</v>
      </c>
      <c r="G31" s="81" t="s">
        <v>258</v>
      </c>
      <c r="H31" s="1" t="s">
        <v>1883</v>
      </c>
    </row>
    <row r="32" spans="2:9">
      <c r="B32" s="1">
        <v>2011</v>
      </c>
      <c r="C32" s="107">
        <v>40795</v>
      </c>
      <c r="D32" s="1" t="s">
        <v>1889</v>
      </c>
      <c r="E32" s="839" t="s">
        <v>469</v>
      </c>
      <c r="F32" s="110">
        <v>500000</v>
      </c>
      <c r="G32" s="81" t="s">
        <v>258</v>
      </c>
      <c r="H32" s="1" t="s">
        <v>1883</v>
      </c>
    </row>
    <row r="33" spans="2:9">
      <c r="B33" s="1">
        <v>2012</v>
      </c>
      <c r="C33" s="107">
        <v>41115</v>
      </c>
      <c r="D33" s="1" t="s">
        <v>1886</v>
      </c>
      <c r="E33" s="838" t="s">
        <v>515</v>
      </c>
      <c r="F33" s="110">
        <v>97720.45</v>
      </c>
      <c r="G33" s="81" t="s">
        <v>258</v>
      </c>
      <c r="H33" s="1" t="s">
        <v>1883</v>
      </c>
    </row>
    <row r="34" spans="2:9">
      <c r="B34" s="1">
        <v>2012</v>
      </c>
      <c r="C34" s="107">
        <v>41218</v>
      </c>
      <c r="D34" s="1" t="s">
        <v>589</v>
      </c>
      <c r="E34" s="840" t="s">
        <v>540</v>
      </c>
      <c r="F34" s="110">
        <v>1847982</v>
      </c>
      <c r="G34" s="81" t="s">
        <v>258</v>
      </c>
      <c r="H34" s="1" t="s">
        <v>1883</v>
      </c>
    </row>
    <row r="35" spans="2:9">
      <c r="B35" s="1">
        <v>2013</v>
      </c>
      <c r="C35" s="107">
        <v>41446</v>
      </c>
      <c r="D35" s="1" t="s">
        <v>571</v>
      </c>
      <c r="E35" s="840" t="s">
        <v>515</v>
      </c>
      <c r="F35" s="110">
        <v>64897.323966868244</v>
      </c>
      <c r="G35" s="81" t="s">
        <v>258</v>
      </c>
      <c r="H35" s="1" t="s">
        <v>1883</v>
      </c>
    </row>
    <row r="36" spans="2:9">
      <c r="B36" s="1">
        <v>2013</v>
      </c>
      <c r="C36" s="107">
        <v>41312</v>
      </c>
      <c r="D36" s="1" t="s">
        <v>571</v>
      </c>
      <c r="E36" s="839" t="s">
        <v>1494</v>
      </c>
      <c r="F36" s="110">
        <v>117344</v>
      </c>
      <c r="G36" s="81" t="s">
        <v>258</v>
      </c>
      <c r="H36" s="1" t="s">
        <v>1883</v>
      </c>
    </row>
    <row r="37" spans="2:9">
      <c r="B37" s="1">
        <v>2013</v>
      </c>
      <c r="C37" s="107">
        <v>41520</v>
      </c>
      <c r="D37" s="1" t="s">
        <v>589</v>
      </c>
      <c r="E37" s="840" t="s">
        <v>585</v>
      </c>
      <c r="F37" s="110">
        <v>169968</v>
      </c>
      <c r="G37" s="81" t="s">
        <v>258</v>
      </c>
      <c r="H37" s="1" t="s">
        <v>1883</v>
      </c>
    </row>
    <row r="38" spans="2:9">
      <c r="B38" s="1">
        <v>2013</v>
      </c>
      <c r="C38" s="107">
        <v>41390</v>
      </c>
      <c r="D38" s="1" t="s">
        <v>571</v>
      </c>
      <c r="E38" s="839" t="s">
        <v>1887</v>
      </c>
      <c r="F38" s="110">
        <v>173649</v>
      </c>
      <c r="G38" s="81" t="s">
        <v>258</v>
      </c>
      <c r="H38" s="1" t="s">
        <v>1883</v>
      </c>
    </row>
    <row r="39" spans="2:9">
      <c r="B39" s="1">
        <v>2013</v>
      </c>
      <c r="C39" s="107">
        <v>41500</v>
      </c>
      <c r="D39" s="1" t="s">
        <v>505</v>
      </c>
      <c r="E39" s="838" t="s">
        <v>510</v>
      </c>
      <c r="F39" s="110">
        <v>360040</v>
      </c>
      <c r="G39" s="81" t="s">
        <v>258</v>
      </c>
      <c r="H39" s="1" t="s">
        <v>1883</v>
      </c>
    </row>
    <row r="40" spans="2:9">
      <c r="B40" s="1">
        <v>2014</v>
      </c>
      <c r="C40" s="107">
        <v>41843</v>
      </c>
      <c r="D40" s="1" t="s">
        <v>589</v>
      </c>
      <c r="E40" s="840" t="s">
        <v>585</v>
      </c>
      <c r="F40" s="110">
        <v>99143</v>
      </c>
      <c r="G40" s="81" t="s">
        <v>258</v>
      </c>
      <c r="H40" s="1" t="s">
        <v>1883</v>
      </c>
    </row>
    <row r="41" spans="2:9">
      <c r="B41" s="1">
        <v>2015</v>
      </c>
      <c r="C41" s="107">
        <v>42227</v>
      </c>
      <c r="D41" s="1" t="s">
        <v>571</v>
      </c>
      <c r="E41" s="840" t="s">
        <v>515</v>
      </c>
      <c r="F41" s="110">
        <v>137053</v>
      </c>
      <c r="G41" s="81" t="s">
        <v>258</v>
      </c>
      <c r="H41" s="1" t="s">
        <v>1883</v>
      </c>
      <c r="I41" s="851"/>
    </row>
    <row r="42" spans="2:9">
      <c r="B42" s="79">
        <v>2015</v>
      </c>
      <c r="C42" s="102">
        <v>42360</v>
      </c>
      <c r="D42" s="109" t="s">
        <v>248</v>
      </c>
      <c r="E42" s="109" t="s">
        <v>162</v>
      </c>
      <c r="F42" s="548">
        <v>200000</v>
      </c>
      <c r="G42" s="81" t="s">
        <v>258</v>
      </c>
      <c r="H42" s="1" t="s">
        <v>1883</v>
      </c>
    </row>
    <row r="43" spans="2:9">
      <c r="B43" s="1">
        <v>2015</v>
      </c>
      <c r="C43" s="107">
        <v>42360</v>
      </c>
      <c r="D43" s="1" t="s">
        <v>289</v>
      </c>
      <c r="E43" s="840" t="s">
        <v>1890</v>
      </c>
      <c r="F43" s="110">
        <v>3100000</v>
      </c>
      <c r="G43" s="81" t="s">
        <v>258</v>
      </c>
      <c r="H43" s="1" t="s">
        <v>1883</v>
      </c>
    </row>
    <row r="44" spans="2:9">
      <c r="B44" s="1">
        <v>2015</v>
      </c>
      <c r="C44" s="107">
        <v>42215</v>
      </c>
      <c r="D44" s="1" t="s">
        <v>589</v>
      </c>
      <c r="E44" s="840" t="s">
        <v>585</v>
      </c>
      <c r="F44" s="110">
        <v>100957</v>
      </c>
      <c r="G44" s="81" t="s">
        <v>258</v>
      </c>
      <c r="H44" s="1" t="s">
        <v>1883</v>
      </c>
    </row>
    <row r="45" spans="2:9">
      <c r="B45" s="1">
        <v>2015</v>
      </c>
      <c r="C45" s="107">
        <v>42292</v>
      </c>
      <c r="D45" s="1" t="s">
        <v>571</v>
      </c>
      <c r="E45" s="840" t="s">
        <v>1887</v>
      </c>
      <c r="F45" s="110">
        <v>144290</v>
      </c>
      <c r="G45" s="81" t="s">
        <v>258</v>
      </c>
      <c r="H45" s="1" t="s">
        <v>1883</v>
      </c>
    </row>
    <row r="46" spans="2:9">
      <c r="B46" s="1">
        <v>2017</v>
      </c>
      <c r="C46" s="107">
        <v>43012</v>
      </c>
      <c r="D46" s="1" t="s">
        <v>589</v>
      </c>
      <c r="E46" s="840" t="s">
        <v>585</v>
      </c>
      <c r="F46" s="110">
        <v>131762</v>
      </c>
      <c r="G46" s="81" t="s">
        <v>258</v>
      </c>
      <c r="H46" s="1" t="s">
        <v>1883</v>
      </c>
    </row>
    <row r="47" spans="2:9">
      <c r="B47" s="13">
        <v>2018</v>
      </c>
      <c r="C47" s="107">
        <v>43200</v>
      </c>
      <c r="D47" s="13" t="s">
        <v>571</v>
      </c>
      <c r="E47" s="840" t="s">
        <v>1890</v>
      </c>
      <c r="F47" s="110">
        <v>2095572</v>
      </c>
      <c r="G47" s="81" t="s">
        <v>258</v>
      </c>
      <c r="H47" s="1" t="s">
        <v>1883</v>
      </c>
    </row>
    <row r="48" spans="2:9">
      <c r="B48" s="13">
        <v>2018</v>
      </c>
      <c r="C48" s="107">
        <v>43437</v>
      </c>
      <c r="D48" s="13" t="s">
        <v>571</v>
      </c>
      <c r="E48" s="840" t="s">
        <v>530</v>
      </c>
      <c r="F48" s="110">
        <v>4373354</v>
      </c>
      <c r="G48" s="81" t="s">
        <v>258</v>
      </c>
      <c r="H48" s="1" t="s">
        <v>1883</v>
      </c>
    </row>
    <row r="49" spans="2:8">
      <c r="B49" s="13">
        <v>2018</v>
      </c>
      <c r="C49" s="107">
        <v>43214</v>
      </c>
      <c r="D49" s="13" t="s">
        <v>1886</v>
      </c>
      <c r="E49" s="840" t="s">
        <v>1755</v>
      </c>
      <c r="F49" s="110">
        <v>265605</v>
      </c>
      <c r="G49" s="81" t="s">
        <v>258</v>
      </c>
      <c r="H49" s="1" t="s">
        <v>1883</v>
      </c>
    </row>
    <row r="50" spans="2:8">
      <c r="B50" s="13">
        <v>2018</v>
      </c>
      <c r="C50" s="107">
        <v>43348</v>
      </c>
      <c r="D50" s="13" t="s">
        <v>1886</v>
      </c>
      <c r="E50" s="840" t="s">
        <v>580</v>
      </c>
      <c r="F50" s="110">
        <v>593583</v>
      </c>
      <c r="G50" s="81" t="s">
        <v>258</v>
      </c>
      <c r="H50" s="1" t="s">
        <v>1883</v>
      </c>
    </row>
    <row r="51" spans="2:8">
      <c r="B51" s="13">
        <v>2018</v>
      </c>
      <c r="C51" s="107">
        <v>43465</v>
      </c>
      <c r="D51" s="13" t="s">
        <v>1891</v>
      </c>
      <c r="E51" s="840" t="s">
        <v>1892</v>
      </c>
      <c r="F51" s="110">
        <v>1125491</v>
      </c>
      <c r="G51" s="81" t="s">
        <v>258</v>
      </c>
      <c r="H51" s="1" t="s">
        <v>1883</v>
      </c>
    </row>
    <row r="52" spans="2:8">
      <c r="B52" s="13">
        <v>2018</v>
      </c>
      <c r="C52" s="107">
        <v>43262</v>
      </c>
      <c r="D52" s="13" t="s">
        <v>1886</v>
      </c>
      <c r="E52" s="840" t="s">
        <v>1893</v>
      </c>
      <c r="F52" s="110">
        <v>1142180</v>
      </c>
      <c r="G52" s="81" t="s">
        <v>258</v>
      </c>
      <c r="H52" s="1" t="s">
        <v>1883</v>
      </c>
    </row>
    <row r="53" spans="2:8">
      <c r="B53" s="13">
        <v>2018</v>
      </c>
      <c r="C53" s="107">
        <v>43348</v>
      </c>
      <c r="D53" s="13" t="s">
        <v>1894</v>
      </c>
      <c r="E53" s="840" t="s">
        <v>1888</v>
      </c>
      <c r="F53" s="110">
        <v>18960</v>
      </c>
      <c r="G53" s="81" t="s">
        <v>258</v>
      </c>
      <c r="H53" s="1" t="s">
        <v>1883</v>
      </c>
    </row>
    <row r="54" spans="2:8">
      <c r="B54" s="13">
        <v>2019</v>
      </c>
      <c r="C54" s="107">
        <v>43783</v>
      </c>
      <c r="D54" s="13" t="s">
        <v>643</v>
      </c>
      <c r="E54" s="840" t="s">
        <v>515</v>
      </c>
      <c r="F54" s="110">
        <v>95961</v>
      </c>
      <c r="G54" s="81" t="s">
        <v>258</v>
      </c>
      <c r="H54" s="1" t="s">
        <v>1883</v>
      </c>
    </row>
    <row r="55" spans="2:8">
      <c r="B55" s="13">
        <v>2019</v>
      </c>
      <c r="C55" s="107">
        <v>43719</v>
      </c>
      <c r="D55" s="13" t="s">
        <v>1895</v>
      </c>
      <c r="E55" s="840" t="s">
        <v>236</v>
      </c>
      <c r="F55" s="110">
        <v>3157150</v>
      </c>
      <c r="G55" s="81" t="s">
        <v>258</v>
      </c>
      <c r="H55" s="1" t="s">
        <v>1883</v>
      </c>
    </row>
    <row r="56" spans="2:8">
      <c r="B56" s="13">
        <v>2019</v>
      </c>
      <c r="C56" s="107">
        <v>43585</v>
      </c>
      <c r="D56" s="13" t="s">
        <v>589</v>
      </c>
      <c r="E56" s="840" t="s">
        <v>1896</v>
      </c>
      <c r="F56" s="110">
        <v>2722215</v>
      </c>
      <c r="G56" s="81" t="s">
        <v>258</v>
      </c>
      <c r="H56" s="1" t="s">
        <v>1883</v>
      </c>
    </row>
    <row r="57" spans="2:8">
      <c r="B57" s="13">
        <v>2019</v>
      </c>
      <c r="C57" s="107">
        <v>43699</v>
      </c>
      <c r="D57" s="13" t="s">
        <v>589</v>
      </c>
      <c r="E57" s="840" t="s">
        <v>585</v>
      </c>
      <c r="F57" s="110">
        <v>142009</v>
      </c>
      <c r="G57" s="81" t="s">
        <v>258</v>
      </c>
      <c r="H57" s="1" t="s">
        <v>1883</v>
      </c>
    </row>
    <row r="58" spans="2:8">
      <c r="B58" s="13">
        <v>2019</v>
      </c>
      <c r="C58" s="107">
        <v>43613</v>
      </c>
      <c r="D58" s="13" t="s">
        <v>1894</v>
      </c>
      <c r="E58" s="840" t="s">
        <v>1888</v>
      </c>
      <c r="F58" s="110">
        <v>10372</v>
      </c>
      <c r="G58" s="81" t="s">
        <v>258</v>
      </c>
      <c r="H58" s="1" t="s">
        <v>1883</v>
      </c>
    </row>
    <row r="59" spans="2:8">
      <c r="B59" s="9"/>
      <c r="C59" s="834"/>
      <c r="D59" s="9"/>
      <c r="E59" s="841"/>
      <c r="F59" s="835"/>
      <c r="G59" s="836"/>
      <c r="H59" s="9"/>
    </row>
    <row r="60" spans="2:8">
      <c r="B60" s="105"/>
      <c r="F60" s="103">
        <f>SUM(F7:F58)</f>
        <v>28929389.773966871</v>
      </c>
    </row>
    <row r="61" spans="2:8">
      <c r="B61" s="106" t="s">
        <v>1897</v>
      </c>
    </row>
  </sheetData>
  <autoFilter ref="B5:H61" xr:uid="{00000000-0009-0000-0000-000014000000}"/>
  <sortState xmlns:xlrd2="http://schemas.microsoft.com/office/spreadsheetml/2017/richdata2" ref="B6:I58">
    <sortCondition ref="B6:B58"/>
    <sortCondition ref="E6:E58"/>
    <sortCondition ref="C6:C58"/>
  </sortState>
  <mergeCells count="1">
    <mergeCell ref="B3:H3"/>
  </mergeCells>
  <pageMargins left="0.7" right="0.7" top="0.75" bottom="0.75" header="0.3" footer="0.3"/>
  <pageSetup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15374-2080-43BD-B6F8-57B44F2F9152}">
  <dimension ref="A1:F214"/>
  <sheetViews>
    <sheetView workbookViewId="0">
      <pane ySplit="4" topLeftCell="A209" activePane="bottomLeft" state="frozen"/>
      <selection pane="bottomLeft" activeCell="I6" sqref="I6"/>
    </sheetView>
  </sheetViews>
  <sheetFormatPr defaultColWidth="8.85546875" defaultRowHeight="14.45"/>
  <cols>
    <col min="1" max="1" width="33.85546875" bestFit="1" customWidth="1"/>
    <col min="2" max="2" width="15" customWidth="1"/>
    <col min="3" max="3" width="19.5703125" style="141" customWidth="1"/>
    <col min="4" max="4" width="19.5703125" customWidth="1"/>
    <col min="5" max="5" width="19" style="693" customWidth="1"/>
    <col min="6" max="6" width="13.42578125" customWidth="1"/>
  </cols>
  <sheetData>
    <row r="1" spans="1:6">
      <c r="A1" s="919"/>
    </row>
    <row r="2" spans="1:6" ht="15" thickBot="1"/>
    <row r="3" spans="1:6">
      <c r="A3" s="1203" t="s">
        <v>1898</v>
      </c>
      <c r="B3" s="1204"/>
      <c r="C3" s="1204"/>
      <c r="D3" s="1204"/>
      <c r="E3" s="1205"/>
      <c r="F3" s="1206"/>
    </row>
    <row r="4" spans="1:6" ht="43.5">
      <c r="A4" s="134" t="s">
        <v>3</v>
      </c>
      <c r="B4" s="134" t="s">
        <v>1653</v>
      </c>
      <c r="C4" s="134" t="s">
        <v>1899</v>
      </c>
      <c r="D4" s="134" t="s">
        <v>1900</v>
      </c>
      <c r="E4" s="140" t="s">
        <v>1901</v>
      </c>
      <c r="F4" s="134" t="s">
        <v>1902</v>
      </c>
    </row>
    <row r="5" spans="1:6">
      <c r="B5" s="920" t="s">
        <v>86</v>
      </c>
      <c r="C5" s="921" t="s">
        <v>1903</v>
      </c>
      <c r="D5" s="921" t="s">
        <v>96</v>
      </c>
      <c r="E5" s="922" t="s">
        <v>99</v>
      </c>
      <c r="F5" s="920" t="s">
        <v>87</v>
      </c>
    </row>
    <row r="6" spans="1:6">
      <c r="A6" s="550" t="s">
        <v>747</v>
      </c>
      <c r="B6" t="s">
        <v>841</v>
      </c>
      <c r="C6" s="141" t="s">
        <v>104</v>
      </c>
      <c r="D6" s="685">
        <v>0.15416666666666667</v>
      </c>
      <c r="E6" s="693">
        <v>862992.11</v>
      </c>
      <c r="F6">
        <v>160</v>
      </c>
    </row>
    <row r="7" spans="1:6">
      <c r="A7" s="91" t="s">
        <v>144</v>
      </c>
      <c r="B7" t="s">
        <v>1657</v>
      </c>
      <c r="C7" s="141" t="s">
        <v>110</v>
      </c>
      <c r="D7" s="685">
        <v>0</v>
      </c>
      <c r="E7" s="693">
        <v>383110</v>
      </c>
      <c r="F7">
        <v>172</v>
      </c>
    </row>
    <row r="8" spans="1:6">
      <c r="A8" s="91" t="s">
        <v>145</v>
      </c>
      <c r="B8" t="s">
        <v>1657</v>
      </c>
      <c r="C8" s="141" t="s">
        <v>104</v>
      </c>
      <c r="D8" s="685">
        <v>0.61357323232323224</v>
      </c>
      <c r="E8" s="693">
        <v>10095933.52</v>
      </c>
      <c r="F8">
        <v>40</v>
      </c>
    </row>
    <row r="9" spans="1:6">
      <c r="A9" s="91" t="s">
        <v>515</v>
      </c>
      <c r="B9" t="s">
        <v>596</v>
      </c>
      <c r="C9" s="141" t="s">
        <v>110</v>
      </c>
      <c r="D9" s="685">
        <v>0</v>
      </c>
      <c r="E9" s="693">
        <v>0</v>
      </c>
      <c r="F9">
        <v>185</v>
      </c>
    </row>
    <row r="10" spans="1:6">
      <c r="A10" s="923" t="s">
        <v>516</v>
      </c>
      <c r="B10" t="s">
        <v>596</v>
      </c>
      <c r="C10" s="141" t="s">
        <v>104</v>
      </c>
      <c r="D10" s="685">
        <v>0</v>
      </c>
      <c r="E10" s="693">
        <v>0</v>
      </c>
      <c r="F10">
        <v>186</v>
      </c>
    </row>
    <row r="11" spans="1:6">
      <c r="A11" s="91" t="s">
        <v>752</v>
      </c>
      <c r="B11" t="s">
        <v>841</v>
      </c>
      <c r="C11" s="141" t="s">
        <v>110</v>
      </c>
      <c r="D11" s="685">
        <v>1.0138257575757577</v>
      </c>
      <c r="E11" s="693">
        <v>5425555.9800000004</v>
      </c>
      <c r="F11">
        <v>82</v>
      </c>
    </row>
    <row r="12" spans="1:6">
      <c r="A12" s="91" t="s">
        <v>157</v>
      </c>
      <c r="B12" t="s">
        <v>1657</v>
      </c>
      <c r="C12" s="141" t="s">
        <v>110</v>
      </c>
      <c r="D12" s="685">
        <v>2.9214015151515151</v>
      </c>
      <c r="E12" s="693">
        <v>11246018.610000001</v>
      </c>
      <c r="F12">
        <v>32</v>
      </c>
    </row>
    <row r="13" spans="1:6">
      <c r="A13" s="91" t="s">
        <v>160</v>
      </c>
      <c r="B13" t="s">
        <v>1657</v>
      </c>
      <c r="C13" s="141" t="s">
        <v>104</v>
      </c>
      <c r="D13" s="685">
        <v>0</v>
      </c>
      <c r="E13" s="693">
        <v>1334807.75</v>
      </c>
      <c r="F13">
        <v>151</v>
      </c>
    </row>
    <row r="14" spans="1:6">
      <c r="A14" s="91" t="s">
        <v>161</v>
      </c>
      <c r="B14" t="s">
        <v>1657</v>
      </c>
      <c r="C14" s="141" t="s">
        <v>110</v>
      </c>
      <c r="D14" s="685">
        <v>0</v>
      </c>
      <c r="E14" s="693">
        <v>600299.66</v>
      </c>
      <c r="F14">
        <v>166</v>
      </c>
    </row>
    <row r="15" spans="1:6">
      <c r="A15" s="91" t="s">
        <v>162</v>
      </c>
      <c r="B15" t="s">
        <v>1657</v>
      </c>
      <c r="C15" s="141" t="s">
        <v>104</v>
      </c>
      <c r="D15" s="685">
        <v>0</v>
      </c>
      <c r="E15" s="693">
        <v>36873</v>
      </c>
      <c r="F15">
        <v>183</v>
      </c>
    </row>
    <row r="16" spans="1:6">
      <c r="A16" s="91" t="s">
        <v>163</v>
      </c>
      <c r="B16" t="s">
        <v>1657</v>
      </c>
      <c r="C16" s="141" t="s">
        <v>104</v>
      </c>
      <c r="D16" s="685">
        <v>0</v>
      </c>
      <c r="E16" s="693">
        <v>8384595.3399999999</v>
      </c>
      <c r="F16">
        <v>51</v>
      </c>
    </row>
    <row r="17" spans="1:6">
      <c r="A17" s="91" t="s">
        <v>759</v>
      </c>
      <c r="B17" t="s">
        <v>841</v>
      </c>
      <c r="C17" s="141" t="s">
        <v>110</v>
      </c>
      <c r="D17" s="685">
        <v>0</v>
      </c>
      <c r="E17" s="693">
        <v>0</v>
      </c>
      <c r="F17">
        <v>187</v>
      </c>
    </row>
    <row r="18" spans="1:6">
      <c r="A18" s="91" t="s">
        <v>760</v>
      </c>
      <c r="B18" t="s">
        <v>841</v>
      </c>
      <c r="C18" s="141" t="s">
        <v>104</v>
      </c>
      <c r="D18" s="685">
        <v>0</v>
      </c>
      <c r="E18" s="693">
        <v>3619506.21</v>
      </c>
      <c r="F18">
        <v>108</v>
      </c>
    </row>
    <row r="19" spans="1:6">
      <c r="A19" s="91" t="s">
        <v>659</v>
      </c>
      <c r="B19" t="s">
        <v>1660</v>
      </c>
      <c r="C19" s="141" t="s">
        <v>104</v>
      </c>
      <c r="D19" s="685">
        <v>0.30429292929292928</v>
      </c>
      <c r="E19" s="693">
        <v>1531122.74</v>
      </c>
      <c r="F19">
        <v>144</v>
      </c>
    </row>
    <row r="20" spans="1:6">
      <c r="A20" s="91" t="s">
        <v>168</v>
      </c>
      <c r="B20" t="s">
        <v>1657</v>
      </c>
      <c r="C20" s="141" t="s">
        <v>104</v>
      </c>
      <c r="D20" s="685">
        <v>1.2633838383838385</v>
      </c>
      <c r="E20" s="693">
        <v>5228325.76</v>
      </c>
      <c r="F20">
        <v>85</v>
      </c>
    </row>
    <row r="21" spans="1:6">
      <c r="A21" s="91" t="s">
        <v>174</v>
      </c>
      <c r="B21" t="s">
        <v>1657</v>
      </c>
      <c r="C21" s="141" t="s">
        <v>104</v>
      </c>
      <c r="D21" s="685">
        <v>0.98333333329999995</v>
      </c>
      <c r="E21" s="693">
        <v>4377399.66</v>
      </c>
      <c r="F21">
        <v>97</v>
      </c>
    </row>
    <row r="22" spans="1:6">
      <c r="A22" s="91" t="s">
        <v>179</v>
      </c>
      <c r="B22" t="s">
        <v>1657</v>
      </c>
      <c r="C22" s="141" t="s">
        <v>104</v>
      </c>
      <c r="D22" s="685">
        <v>0.98844696969696966</v>
      </c>
      <c r="E22" s="693">
        <v>10528556.15</v>
      </c>
      <c r="F22">
        <v>38</v>
      </c>
    </row>
    <row r="23" spans="1:6">
      <c r="A23" s="91" t="s">
        <v>184</v>
      </c>
      <c r="B23" t="s">
        <v>1657</v>
      </c>
      <c r="C23" s="141" t="s">
        <v>110</v>
      </c>
      <c r="D23" s="685">
        <v>0.76862373737373735</v>
      </c>
      <c r="E23" s="693">
        <v>7879947.0099999998</v>
      </c>
      <c r="F23">
        <v>60</v>
      </c>
    </row>
    <row r="24" spans="1:6">
      <c r="A24" s="91" t="s">
        <v>109</v>
      </c>
      <c r="B24" t="s">
        <v>1904</v>
      </c>
      <c r="C24" s="141" t="s">
        <v>110</v>
      </c>
      <c r="D24" s="685">
        <v>0</v>
      </c>
      <c r="E24" s="693">
        <v>41129</v>
      </c>
      <c r="F24">
        <v>182</v>
      </c>
    </row>
    <row r="25" spans="1:6">
      <c r="A25" s="91" t="s">
        <v>664</v>
      </c>
      <c r="B25" t="s">
        <v>1660</v>
      </c>
      <c r="C25" s="141" t="s">
        <v>104</v>
      </c>
      <c r="D25" s="685">
        <v>0</v>
      </c>
      <c r="E25" s="693">
        <v>783566.49</v>
      </c>
      <c r="F25">
        <v>162</v>
      </c>
    </row>
    <row r="26" spans="1:6">
      <c r="A26" s="91" t="s">
        <v>188</v>
      </c>
      <c r="B26" t="s">
        <v>1657</v>
      </c>
      <c r="C26" s="141" t="s">
        <v>110</v>
      </c>
      <c r="D26" s="685">
        <v>0</v>
      </c>
      <c r="E26" s="693">
        <v>3362</v>
      </c>
      <c r="F26">
        <v>184</v>
      </c>
    </row>
    <row r="27" spans="1:6">
      <c r="A27" s="91" t="s">
        <v>517</v>
      </c>
      <c r="B27" t="s">
        <v>596</v>
      </c>
      <c r="C27" s="141" t="s">
        <v>110</v>
      </c>
      <c r="D27" s="685">
        <v>0.94696970000000003</v>
      </c>
      <c r="E27" s="693">
        <v>5728072.8600000003</v>
      </c>
      <c r="F27">
        <v>77</v>
      </c>
    </row>
    <row r="28" spans="1:6">
      <c r="A28" s="91" t="s">
        <v>521</v>
      </c>
      <c r="B28" t="s">
        <v>596</v>
      </c>
      <c r="C28" s="141" t="s">
        <v>104</v>
      </c>
      <c r="D28" s="685">
        <v>0.9531565656565657</v>
      </c>
      <c r="E28" s="693">
        <v>8848555.3600000013</v>
      </c>
      <c r="F28">
        <v>48</v>
      </c>
    </row>
    <row r="29" spans="1:6">
      <c r="A29" s="91" t="s">
        <v>189</v>
      </c>
      <c r="B29" t="s">
        <v>1657</v>
      </c>
      <c r="C29" s="141" t="s">
        <v>110</v>
      </c>
      <c r="D29" s="685">
        <v>0</v>
      </c>
      <c r="E29" s="693">
        <v>0</v>
      </c>
      <c r="F29">
        <v>188</v>
      </c>
    </row>
    <row r="30" spans="1:6">
      <c r="A30" s="91" t="s">
        <v>113</v>
      </c>
      <c r="B30" t="s">
        <v>1905</v>
      </c>
      <c r="C30" s="141" t="s">
        <v>104</v>
      </c>
      <c r="D30" s="685">
        <v>0</v>
      </c>
      <c r="E30" s="693">
        <v>850841.12</v>
      </c>
      <c r="F30">
        <v>161</v>
      </c>
    </row>
    <row r="31" spans="1:6">
      <c r="A31" s="91" t="s">
        <v>665</v>
      </c>
      <c r="B31" t="s">
        <v>1660</v>
      </c>
      <c r="C31" s="141" t="s">
        <v>110</v>
      </c>
      <c r="D31" s="685">
        <v>0</v>
      </c>
      <c r="E31" s="693">
        <v>422218.38</v>
      </c>
      <c r="F31">
        <v>171</v>
      </c>
    </row>
    <row r="32" spans="1:6">
      <c r="A32" s="91" t="s">
        <v>929</v>
      </c>
      <c r="B32" t="s">
        <v>1563</v>
      </c>
      <c r="C32" s="141" t="s">
        <v>110</v>
      </c>
      <c r="D32" s="685">
        <v>0</v>
      </c>
      <c r="E32" s="693">
        <v>4602271.6499999994</v>
      </c>
      <c r="F32">
        <v>93</v>
      </c>
    </row>
    <row r="33" spans="1:6">
      <c r="A33" s="91" t="s">
        <v>666</v>
      </c>
      <c r="B33" t="s">
        <v>1660</v>
      </c>
      <c r="C33" s="141" t="s">
        <v>104</v>
      </c>
      <c r="D33" s="685">
        <v>0.23857323232323233</v>
      </c>
      <c r="E33" s="693">
        <v>478820.53</v>
      </c>
      <c r="F33">
        <v>170</v>
      </c>
    </row>
    <row r="34" spans="1:6">
      <c r="A34" s="91" t="s">
        <v>883</v>
      </c>
      <c r="B34" t="s">
        <v>885</v>
      </c>
      <c r="C34" s="141" t="s">
        <v>110</v>
      </c>
      <c r="D34" s="685">
        <v>0</v>
      </c>
      <c r="E34" s="693">
        <v>1363058.31</v>
      </c>
      <c r="F34">
        <v>150</v>
      </c>
    </row>
    <row r="35" spans="1:6">
      <c r="A35" s="91" t="s">
        <v>190</v>
      </c>
      <c r="B35" t="s">
        <v>1657</v>
      </c>
      <c r="C35" s="141" t="s">
        <v>104</v>
      </c>
      <c r="D35" s="685">
        <v>2.0472853535353535</v>
      </c>
      <c r="E35" s="693">
        <v>11102276.41</v>
      </c>
      <c r="F35">
        <v>33</v>
      </c>
    </row>
    <row r="36" spans="1:6">
      <c r="A36" s="91" t="s">
        <v>670</v>
      </c>
      <c r="B36" t="s">
        <v>1660</v>
      </c>
      <c r="C36" s="141" t="s">
        <v>110</v>
      </c>
      <c r="D36" s="685">
        <v>1.0852272727272727</v>
      </c>
      <c r="E36" s="693">
        <v>4255904.59</v>
      </c>
      <c r="F36">
        <v>98</v>
      </c>
    </row>
    <row r="37" spans="1:6">
      <c r="A37" s="91" t="s">
        <v>201</v>
      </c>
      <c r="B37" t="s">
        <v>1657</v>
      </c>
      <c r="C37" s="141" t="s">
        <v>110</v>
      </c>
      <c r="D37" s="685">
        <v>0</v>
      </c>
      <c r="E37" s="693">
        <v>10343549.440000001</v>
      </c>
      <c r="F37">
        <v>39</v>
      </c>
    </row>
    <row r="38" spans="1:6">
      <c r="A38" s="91" t="s">
        <v>764</v>
      </c>
      <c r="B38" t="s">
        <v>841</v>
      </c>
      <c r="C38" s="141" t="s">
        <v>104</v>
      </c>
      <c r="D38" s="685">
        <v>0.4321338383838384</v>
      </c>
      <c r="E38" s="693">
        <v>3721459.9700000007</v>
      </c>
      <c r="F38">
        <v>106</v>
      </c>
    </row>
    <row r="39" spans="1:6">
      <c r="A39" s="91" t="s">
        <v>772</v>
      </c>
      <c r="B39" t="s">
        <v>841</v>
      </c>
      <c r="C39" s="141" t="s">
        <v>110</v>
      </c>
      <c r="D39" s="685">
        <v>0.14204545454545456</v>
      </c>
      <c r="E39" s="693">
        <v>2379888.94</v>
      </c>
      <c r="F39">
        <v>124</v>
      </c>
    </row>
    <row r="40" spans="1:6">
      <c r="A40" s="91" t="s">
        <v>206</v>
      </c>
      <c r="B40" t="s">
        <v>1657</v>
      </c>
      <c r="C40" s="141" t="s">
        <v>110</v>
      </c>
      <c r="D40" s="685">
        <v>0</v>
      </c>
      <c r="E40" s="693">
        <v>3725926.96</v>
      </c>
      <c r="F40">
        <v>105</v>
      </c>
    </row>
    <row r="41" spans="1:6">
      <c r="A41" s="91" t="s">
        <v>777</v>
      </c>
      <c r="B41" t="s">
        <v>841</v>
      </c>
      <c r="C41" s="141" t="s">
        <v>104</v>
      </c>
      <c r="D41" s="685">
        <v>0</v>
      </c>
      <c r="E41" s="693">
        <v>0</v>
      </c>
      <c r="F41">
        <v>189</v>
      </c>
    </row>
    <row r="42" spans="1:6">
      <c r="A42" s="91" t="s">
        <v>207</v>
      </c>
      <c r="B42" t="s">
        <v>1657</v>
      </c>
      <c r="C42" s="141" t="s">
        <v>104</v>
      </c>
      <c r="D42" s="685">
        <v>0</v>
      </c>
      <c r="E42" s="693">
        <v>2035183.66</v>
      </c>
      <c r="F42">
        <v>133</v>
      </c>
    </row>
    <row r="43" spans="1:6">
      <c r="A43" s="91" t="s">
        <v>208</v>
      </c>
      <c r="B43" t="s">
        <v>1657</v>
      </c>
      <c r="C43" s="141" t="s">
        <v>104</v>
      </c>
      <c r="D43" s="685">
        <v>1.9886363636363635</v>
      </c>
      <c r="E43" s="693">
        <v>7436218.3500000006</v>
      </c>
      <c r="F43">
        <v>65</v>
      </c>
    </row>
    <row r="44" spans="1:6">
      <c r="A44" s="91" t="s">
        <v>678</v>
      </c>
      <c r="B44" t="s">
        <v>1660</v>
      </c>
      <c r="C44" s="141" t="s">
        <v>104</v>
      </c>
      <c r="D44" s="685">
        <v>0</v>
      </c>
      <c r="E44" s="693">
        <v>7709072.04</v>
      </c>
      <c r="F44">
        <v>62</v>
      </c>
    </row>
    <row r="45" spans="1:6">
      <c r="A45" s="91" t="s">
        <v>525</v>
      </c>
      <c r="B45" t="s">
        <v>596</v>
      </c>
      <c r="C45" s="141" t="s">
        <v>104</v>
      </c>
      <c r="D45" s="685">
        <v>0</v>
      </c>
      <c r="E45" s="693">
        <v>13351143.16</v>
      </c>
      <c r="F45">
        <v>21</v>
      </c>
    </row>
    <row r="46" spans="1:6">
      <c r="A46" s="91" t="s">
        <v>211</v>
      </c>
      <c r="B46" t="s">
        <v>1657</v>
      </c>
      <c r="C46" s="141" t="s">
        <v>104</v>
      </c>
      <c r="D46" s="685">
        <v>0</v>
      </c>
      <c r="E46" s="693">
        <v>2588676</v>
      </c>
      <c r="F46">
        <v>121</v>
      </c>
    </row>
    <row r="47" spans="1:6">
      <c r="A47" s="91" t="s">
        <v>212</v>
      </c>
      <c r="B47" t="s">
        <v>1657</v>
      </c>
      <c r="C47" s="141" t="s">
        <v>104</v>
      </c>
      <c r="D47" s="685">
        <v>0</v>
      </c>
      <c r="E47" s="693">
        <v>2768399.6100000003</v>
      </c>
      <c r="F47">
        <v>119</v>
      </c>
    </row>
    <row r="48" spans="1:6">
      <c r="A48" s="91" t="s">
        <v>218</v>
      </c>
      <c r="B48" t="s">
        <v>1657</v>
      </c>
      <c r="C48" s="141" t="s">
        <v>110</v>
      </c>
      <c r="D48" s="685">
        <v>0.27651515151515149</v>
      </c>
      <c r="E48" s="693">
        <v>8185052.1699999999</v>
      </c>
      <c r="F48">
        <v>54</v>
      </c>
    </row>
    <row r="49" spans="1:6">
      <c r="A49" s="91" t="s">
        <v>526</v>
      </c>
      <c r="B49" t="s">
        <v>596</v>
      </c>
      <c r="C49" s="141" t="s">
        <v>110</v>
      </c>
      <c r="D49" s="685">
        <v>0</v>
      </c>
      <c r="E49" s="693">
        <v>2780172.43</v>
      </c>
      <c r="F49">
        <v>118</v>
      </c>
    </row>
    <row r="50" spans="1:6">
      <c r="A50" s="91" t="s">
        <v>126</v>
      </c>
      <c r="B50" t="s">
        <v>1905</v>
      </c>
      <c r="C50" s="141" t="s">
        <v>104</v>
      </c>
      <c r="D50" s="685">
        <v>0.47007575757575759</v>
      </c>
      <c r="E50" s="693">
        <v>5586625.3399999999</v>
      </c>
      <c r="F50">
        <v>80</v>
      </c>
    </row>
    <row r="51" spans="1:6">
      <c r="A51" s="91" t="s">
        <v>679</v>
      </c>
      <c r="B51" t="s">
        <v>1660</v>
      </c>
      <c r="C51" s="141" t="s">
        <v>110</v>
      </c>
      <c r="D51" s="685">
        <v>0.41912878787878788</v>
      </c>
      <c r="E51" s="693">
        <v>1518315.54</v>
      </c>
      <c r="F51">
        <v>145</v>
      </c>
    </row>
    <row r="52" spans="1:6">
      <c r="A52" s="91" t="s">
        <v>226</v>
      </c>
      <c r="B52" t="s">
        <v>1657</v>
      </c>
      <c r="C52" s="141" t="s">
        <v>110</v>
      </c>
      <c r="D52" s="685">
        <v>0</v>
      </c>
      <c r="E52" s="693">
        <v>1856597.71</v>
      </c>
      <c r="F52">
        <v>135</v>
      </c>
    </row>
    <row r="53" spans="1:6">
      <c r="A53" s="91" t="s">
        <v>227</v>
      </c>
      <c r="B53" t="s">
        <v>1657</v>
      </c>
      <c r="C53" s="141" t="s">
        <v>104</v>
      </c>
      <c r="D53" s="685">
        <v>1.6232323232323234</v>
      </c>
      <c r="E53" s="693">
        <v>16707380.790000001</v>
      </c>
      <c r="F53">
        <v>13</v>
      </c>
    </row>
    <row r="54" spans="1:6">
      <c r="A54" s="91" t="s">
        <v>235</v>
      </c>
      <c r="B54" t="s">
        <v>1657</v>
      </c>
      <c r="C54" s="141" t="s">
        <v>104</v>
      </c>
      <c r="D54" s="685">
        <v>0</v>
      </c>
      <c r="E54" s="693">
        <v>2622274.1</v>
      </c>
      <c r="F54">
        <v>120</v>
      </c>
    </row>
    <row r="55" spans="1:6">
      <c r="A55" s="91" t="s">
        <v>684</v>
      </c>
      <c r="B55" t="s">
        <v>1660</v>
      </c>
      <c r="C55" s="141" t="s">
        <v>104</v>
      </c>
      <c r="D55" s="685">
        <v>0</v>
      </c>
      <c r="E55" s="693">
        <v>0</v>
      </c>
      <c r="F55">
        <v>190</v>
      </c>
    </row>
    <row r="56" spans="1:6">
      <c r="A56" s="91" t="s">
        <v>236</v>
      </c>
      <c r="B56" t="s">
        <v>1657</v>
      </c>
      <c r="C56" s="141" t="s">
        <v>104</v>
      </c>
      <c r="D56" s="685">
        <v>0</v>
      </c>
      <c r="E56" s="693">
        <v>11692135.699999999</v>
      </c>
      <c r="F56">
        <v>27</v>
      </c>
    </row>
    <row r="57" spans="1:6">
      <c r="A57" s="91" t="s">
        <v>237</v>
      </c>
      <c r="B57" t="s">
        <v>1657</v>
      </c>
      <c r="C57" s="141" t="s">
        <v>110</v>
      </c>
      <c r="D57" s="685">
        <v>0</v>
      </c>
      <c r="E57" s="693">
        <v>4176847.91</v>
      </c>
      <c r="F57">
        <v>101</v>
      </c>
    </row>
    <row r="58" spans="1:6">
      <c r="A58" s="91" t="s">
        <v>693</v>
      </c>
      <c r="B58" t="s">
        <v>1660</v>
      </c>
      <c r="C58" s="141" t="s">
        <v>104</v>
      </c>
      <c r="D58" s="685">
        <v>0.70833333333333337</v>
      </c>
      <c r="E58" s="693">
        <v>1845270.8199999998</v>
      </c>
      <c r="F58">
        <v>136</v>
      </c>
    </row>
    <row r="59" spans="1:6">
      <c r="A59" s="91" t="s">
        <v>898</v>
      </c>
      <c r="B59" t="s">
        <v>911</v>
      </c>
      <c r="C59" s="141" t="s">
        <v>110</v>
      </c>
      <c r="D59" s="685">
        <v>0.92973484848484844</v>
      </c>
      <c r="E59" s="693">
        <v>1562860.04</v>
      </c>
      <c r="F59">
        <v>142</v>
      </c>
    </row>
    <row r="60" spans="1:6">
      <c r="A60" s="91" t="s">
        <v>902</v>
      </c>
      <c r="B60" t="s">
        <v>911</v>
      </c>
      <c r="C60" s="141" t="s">
        <v>104</v>
      </c>
      <c r="D60" s="685">
        <v>0</v>
      </c>
      <c r="E60" s="693">
        <v>301553</v>
      </c>
      <c r="F60">
        <v>175</v>
      </c>
    </row>
    <row r="61" spans="1:6">
      <c r="A61" s="91" t="s">
        <v>939</v>
      </c>
      <c r="B61" t="s">
        <v>1563</v>
      </c>
      <c r="C61" s="141" t="s">
        <v>110</v>
      </c>
      <c r="D61" s="685">
        <v>0</v>
      </c>
      <c r="E61" s="693">
        <v>657574.14</v>
      </c>
      <c r="F61">
        <v>164</v>
      </c>
    </row>
    <row r="62" spans="1:6">
      <c r="A62" s="91" t="s">
        <v>778</v>
      </c>
      <c r="B62" t="s">
        <v>841</v>
      </c>
      <c r="C62" s="141" t="s">
        <v>104</v>
      </c>
      <c r="D62" s="685">
        <v>0.93238636363636362</v>
      </c>
      <c r="E62" s="693">
        <v>8082108.8700000001</v>
      </c>
      <c r="F62">
        <v>56</v>
      </c>
    </row>
    <row r="63" spans="1:6">
      <c r="A63" s="91" t="s">
        <v>527</v>
      </c>
      <c r="B63" t="s">
        <v>596</v>
      </c>
      <c r="C63" s="141" t="s">
        <v>110</v>
      </c>
      <c r="D63" s="685">
        <v>0.35252525252525252</v>
      </c>
      <c r="E63" s="693">
        <v>4209751.8</v>
      </c>
      <c r="F63">
        <v>100</v>
      </c>
    </row>
    <row r="64" spans="1:6">
      <c r="A64" s="91" t="s">
        <v>530</v>
      </c>
      <c r="B64" t="s">
        <v>596</v>
      </c>
      <c r="C64" s="141" t="s">
        <v>104</v>
      </c>
      <c r="D64" s="685">
        <v>1.6587121212121212</v>
      </c>
      <c r="E64" s="693">
        <v>11578638.27</v>
      </c>
      <c r="F64">
        <v>30</v>
      </c>
    </row>
    <row r="65" spans="1:6">
      <c r="A65" s="91" t="s">
        <v>540</v>
      </c>
      <c r="B65" t="s">
        <v>596</v>
      </c>
      <c r="C65" s="141" t="s">
        <v>104</v>
      </c>
      <c r="D65" s="685">
        <v>1.9292297979797981</v>
      </c>
      <c r="E65" s="693">
        <v>21491031.850000001</v>
      </c>
      <c r="F65">
        <v>10</v>
      </c>
    </row>
    <row r="66" spans="1:6">
      <c r="A66" s="91" t="s">
        <v>238</v>
      </c>
      <c r="B66" t="s">
        <v>1657</v>
      </c>
      <c r="C66" s="141" t="s">
        <v>104</v>
      </c>
      <c r="D66" s="685">
        <v>2.1979797979797979</v>
      </c>
      <c r="E66" s="693">
        <v>13533602.09</v>
      </c>
      <c r="F66">
        <v>20</v>
      </c>
    </row>
    <row r="67" spans="1:6">
      <c r="A67" s="91" t="s">
        <v>247</v>
      </c>
      <c r="B67" t="s">
        <v>1657</v>
      </c>
      <c r="C67" s="141" t="s">
        <v>104</v>
      </c>
      <c r="D67" s="685">
        <v>0</v>
      </c>
      <c r="E67" s="693">
        <v>0</v>
      </c>
      <c r="F67">
        <v>191</v>
      </c>
    </row>
    <row r="68" spans="1:6">
      <c r="A68" s="91" t="s">
        <v>248</v>
      </c>
      <c r="B68" t="s">
        <v>1657</v>
      </c>
      <c r="C68" s="141" t="s">
        <v>110</v>
      </c>
      <c r="D68" s="685">
        <v>2.56</v>
      </c>
      <c r="E68" s="693">
        <v>7962730.8000000007</v>
      </c>
      <c r="F68">
        <v>59</v>
      </c>
    </row>
    <row r="69" spans="1:6">
      <c r="A69" s="91" t="s">
        <v>884</v>
      </c>
      <c r="B69" t="s">
        <v>885</v>
      </c>
      <c r="C69" s="141" t="s">
        <v>110</v>
      </c>
      <c r="D69" s="685">
        <v>0</v>
      </c>
      <c r="E69" s="693">
        <v>0</v>
      </c>
      <c r="F69">
        <v>192</v>
      </c>
    </row>
    <row r="70" spans="1:6">
      <c r="A70" s="91" t="s">
        <v>794</v>
      </c>
      <c r="B70" t="s">
        <v>841</v>
      </c>
      <c r="C70" s="141" t="s">
        <v>104</v>
      </c>
      <c r="D70" s="685">
        <v>0</v>
      </c>
      <c r="E70" s="693">
        <v>0</v>
      </c>
      <c r="F70">
        <v>193</v>
      </c>
    </row>
    <row r="71" spans="1:6">
      <c r="A71" s="91" t="s">
        <v>141</v>
      </c>
      <c r="B71" t="s">
        <v>1906</v>
      </c>
      <c r="C71" s="141" t="s">
        <v>104</v>
      </c>
      <c r="D71" s="685">
        <v>0</v>
      </c>
      <c r="E71" s="693">
        <v>5109865.59</v>
      </c>
      <c r="F71">
        <v>86</v>
      </c>
    </row>
    <row r="72" spans="1:6">
      <c r="A72" s="91" t="s">
        <v>259</v>
      </c>
      <c r="B72" t="s">
        <v>1657</v>
      </c>
      <c r="C72" s="141" t="s">
        <v>104</v>
      </c>
      <c r="D72" s="685">
        <v>0</v>
      </c>
      <c r="E72" s="693">
        <v>483745.95</v>
      </c>
      <c r="F72">
        <v>169</v>
      </c>
    </row>
    <row r="73" spans="1:6">
      <c r="A73" s="91" t="s">
        <v>260</v>
      </c>
      <c r="B73" t="s">
        <v>1657</v>
      </c>
      <c r="C73" s="141" t="s">
        <v>104</v>
      </c>
      <c r="D73" s="685">
        <v>2.3106060606060606</v>
      </c>
      <c r="E73" s="693">
        <v>11525266.5</v>
      </c>
      <c r="F73">
        <v>31</v>
      </c>
    </row>
    <row r="74" spans="1:6">
      <c r="A74" s="91" t="s">
        <v>685</v>
      </c>
      <c r="B74" t="s">
        <v>1660</v>
      </c>
      <c r="C74" s="141" t="s">
        <v>104</v>
      </c>
      <c r="D74" s="685">
        <v>0</v>
      </c>
      <c r="E74" s="693">
        <v>3602031.23</v>
      </c>
      <c r="F74">
        <v>109</v>
      </c>
    </row>
    <row r="75" spans="1:6">
      <c r="A75" s="91" t="s">
        <v>264</v>
      </c>
      <c r="B75" t="s">
        <v>1657</v>
      </c>
      <c r="C75" s="141" t="s">
        <v>110</v>
      </c>
      <c r="D75" s="685">
        <v>0</v>
      </c>
      <c r="E75" s="693">
        <v>4598295.04</v>
      </c>
      <c r="F75">
        <v>94</v>
      </c>
    </row>
    <row r="76" spans="1:6">
      <c r="A76" s="91" t="s">
        <v>795</v>
      </c>
      <c r="B76" t="s">
        <v>841</v>
      </c>
      <c r="C76" s="141" t="s">
        <v>104</v>
      </c>
      <c r="D76" s="685">
        <v>2.8868055555555556</v>
      </c>
      <c r="E76" s="693">
        <v>5355505</v>
      </c>
      <c r="F76">
        <v>84</v>
      </c>
    </row>
    <row r="77" spans="1:6">
      <c r="A77" s="91" t="s">
        <v>265</v>
      </c>
      <c r="B77" t="s">
        <v>1657</v>
      </c>
      <c r="C77" s="141" t="s">
        <v>110</v>
      </c>
      <c r="D77" s="685">
        <v>0</v>
      </c>
      <c r="E77" s="693">
        <v>236603.89</v>
      </c>
      <c r="F77">
        <v>179</v>
      </c>
    </row>
    <row r="78" spans="1:6">
      <c r="A78" s="91" t="s">
        <v>802</v>
      </c>
      <c r="B78" t="s">
        <v>841</v>
      </c>
      <c r="C78" s="141" t="s">
        <v>104</v>
      </c>
      <c r="D78" s="685">
        <v>0.45833333333333331</v>
      </c>
      <c r="E78" s="693">
        <v>3580249.65</v>
      </c>
      <c r="F78">
        <v>110</v>
      </c>
    </row>
    <row r="79" spans="1:6">
      <c r="A79" s="91" t="s">
        <v>552</v>
      </c>
      <c r="B79" t="s">
        <v>596</v>
      </c>
      <c r="C79" s="141" t="s">
        <v>104</v>
      </c>
      <c r="D79" s="685">
        <v>3.5852272727272725</v>
      </c>
      <c r="E79" s="693">
        <v>23974804.419999998</v>
      </c>
      <c r="F79">
        <v>9</v>
      </c>
    </row>
    <row r="80" spans="1:6">
      <c r="A80" s="91" t="s">
        <v>266</v>
      </c>
      <c r="B80" t="s">
        <v>1657</v>
      </c>
      <c r="C80" s="141" t="s">
        <v>104</v>
      </c>
      <c r="D80" s="685">
        <v>0.6</v>
      </c>
      <c r="E80" s="693">
        <v>5643431.2599999998</v>
      </c>
      <c r="F80">
        <v>79</v>
      </c>
    </row>
    <row r="81" spans="1:6">
      <c r="A81" s="91" t="s">
        <v>688</v>
      </c>
      <c r="B81" t="s">
        <v>1660</v>
      </c>
      <c r="C81" s="141" t="s">
        <v>110</v>
      </c>
      <c r="D81" s="685">
        <v>0.90340909090909094</v>
      </c>
      <c r="E81" s="693">
        <v>2215213.23</v>
      </c>
      <c r="F81">
        <v>128</v>
      </c>
    </row>
    <row r="82" spans="1:6">
      <c r="A82" s="91" t="s">
        <v>271</v>
      </c>
      <c r="B82" t="s">
        <v>1657</v>
      </c>
      <c r="C82" s="141" t="s">
        <v>104</v>
      </c>
      <c r="D82" s="685">
        <v>0</v>
      </c>
      <c r="E82" s="693">
        <v>282830.08000000002</v>
      </c>
      <c r="F82">
        <v>177</v>
      </c>
    </row>
    <row r="83" spans="1:6">
      <c r="A83" s="91" t="s">
        <v>272</v>
      </c>
      <c r="B83" t="s">
        <v>1657</v>
      </c>
      <c r="C83" s="141" t="s">
        <v>104</v>
      </c>
      <c r="D83" s="685">
        <v>1.7803030303030303</v>
      </c>
      <c r="E83" s="693">
        <v>21358233.59</v>
      </c>
      <c r="F83">
        <v>11</v>
      </c>
    </row>
    <row r="84" spans="1:6">
      <c r="A84" s="91" t="s">
        <v>561</v>
      </c>
      <c r="B84" t="s">
        <v>596</v>
      </c>
      <c r="C84" s="141" t="s">
        <v>110</v>
      </c>
      <c r="D84" s="685">
        <v>0</v>
      </c>
      <c r="E84" s="693">
        <v>5451379.2200000007</v>
      </c>
      <c r="F84">
        <v>81</v>
      </c>
    </row>
    <row r="85" spans="1:6">
      <c r="A85" s="91" t="s">
        <v>276</v>
      </c>
      <c r="B85" t="s">
        <v>1657</v>
      </c>
      <c r="C85" s="141" t="s">
        <v>104</v>
      </c>
      <c r="D85" s="685">
        <v>0</v>
      </c>
      <c r="E85" s="693">
        <v>591927.11</v>
      </c>
      <c r="F85">
        <v>167</v>
      </c>
    </row>
    <row r="86" spans="1:6">
      <c r="A86" s="91" t="s">
        <v>692</v>
      </c>
      <c r="B86" t="s">
        <v>1660</v>
      </c>
      <c r="C86" s="141" t="s">
        <v>104</v>
      </c>
      <c r="D86" s="685">
        <v>0</v>
      </c>
      <c r="E86" s="693">
        <v>0</v>
      </c>
      <c r="F86">
        <v>194</v>
      </c>
    </row>
    <row r="87" spans="1:6">
      <c r="A87" s="91" t="s">
        <v>277</v>
      </c>
      <c r="B87" t="s">
        <v>1657</v>
      </c>
      <c r="C87" s="141" t="s">
        <v>110</v>
      </c>
      <c r="D87" s="685">
        <v>0</v>
      </c>
      <c r="E87" s="693">
        <v>8673872.0800000001</v>
      </c>
      <c r="F87">
        <v>49</v>
      </c>
    </row>
    <row r="88" spans="1:6">
      <c r="A88" s="91" t="s">
        <v>562</v>
      </c>
      <c r="B88" t="s">
        <v>596</v>
      </c>
      <c r="C88" s="141" t="s">
        <v>104</v>
      </c>
      <c r="D88" s="685">
        <v>1.8600378787878789</v>
      </c>
      <c r="E88" s="693">
        <v>7488042.2899999991</v>
      </c>
      <c r="F88">
        <v>64</v>
      </c>
    </row>
    <row r="89" spans="1:6">
      <c r="A89" s="91" t="s">
        <v>278</v>
      </c>
      <c r="B89" t="s">
        <v>1657</v>
      </c>
      <c r="C89" s="141" t="s">
        <v>110</v>
      </c>
      <c r="D89" s="685">
        <v>0.31856060606060604</v>
      </c>
      <c r="E89" s="693">
        <v>636722.51</v>
      </c>
      <c r="F89">
        <v>165</v>
      </c>
    </row>
    <row r="90" spans="1:6">
      <c r="A90" s="91" t="s">
        <v>284</v>
      </c>
      <c r="B90" t="s">
        <v>1657</v>
      </c>
      <c r="C90" s="141" t="s">
        <v>104</v>
      </c>
      <c r="D90" s="685">
        <v>0</v>
      </c>
      <c r="E90" s="693">
        <v>5419546.2599999998</v>
      </c>
      <c r="F90">
        <v>83</v>
      </c>
    </row>
    <row r="91" spans="1:6">
      <c r="A91" s="91" t="s">
        <v>567</v>
      </c>
      <c r="B91" t="s">
        <v>596</v>
      </c>
      <c r="C91" s="141" t="s">
        <v>110</v>
      </c>
      <c r="D91" s="685">
        <v>0.40479797979797982</v>
      </c>
      <c r="E91" s="693">
        <v>927297.66</v>
      </c>
      <c r="F91">
        <v>159</v>
      </c>
    </row>
    <row r="92" spans="1:6">
      <c r="A92" s="91" t="s">
        <v>285</v>
      </c>
      <c r="B92" t="s">
        <v>1657</v>
      </c>
      <c r="C92" s="141" t="s">
        <v>104</v>
      </c>
      <c r="D92" s="685">
        <v>0.5467803</v>
      </c>
      <c r="E92" s="693">
        <v>4746284.88</v>
      </c>
      <c r="F92">
        <v>90</v>
      </c>
    </row>
    <row r="93" spans="1:6">
      <c r="A93" s="91" t="s">
        <v>289</v>
      </c>
      <c r="B93" t="s">
        <v>1657</v>
      </c>
      <c r="C93" s="141" t="s">
        <v>110</v>
      </c>
      <c r="D93" s="685">
        <v>0</v>
      </c>
      <c r="E93" s="693">
        <v>5987703.4800000004</v>
      </c>
      <c r="F93">
        <v>74</v>
      </c>
    </row>
    <row r="94" spans="1:6">
      <c r="A94" s="91" t="s">
        <v>571</v>
      </c>
      <c r="B94" t="s">
        <v>596</v>
      </c>
      <c r="C94" s="141" t="s">
        <v>110</v>
      </c>
      <c r="D94" s="685">
        <v>0.95025252525252524</v>
      </c>
      <c r="E94" s="693">
        <v>9718755.8199999984</v>
      </c>
      <c r="F94">
        <v>43</v>
      </c>
    </row>
    <row r="95" spans="1:6">
      <c r="A95" s="91" t="s">
        <v>578</v>
      </c>
      <c r="B95" t="s">
        <v>596</v>
      </c>
      <c r="C95" s="141" t="s">
        <v>110</v>
      </c>
      <c r="D95" s="685">
        <v>0</v>
      </c>
      <c r="E95" s="693">
        <v>0</v>
      </c>
      <c r="F95">
        <v>195</v>
      </c>
    </row>
    <row r="96" spans="1:6">
      <c r="A96" s="91" t="s">
        <v>579</v>
      </c>
      <c r="B96" t="s">
        <v>596</v>
      </c>
      <c r="C96" s="141" t="s">
        <v>110</v>
      </c>
      <c r="D96" s="685">
        <v>0</v>
      </c>
      <c r="E96" s="693">
        <v>0</v>
      </c>
      <c r="F96">
        <v>196</v>
      </c>
    </row>
    <row r="97" spans="1:6">
      <c r="A97" s="91" t="s">
        <v>580</v>
      </c>
      <c r="B97" t="s">
        <v>596</v>
      </c>
      <c r="C97" s="141" t="s">
        <v>110</v>
      </c>
      <c r="D97" s="685">
        <v>0</v>
      </c>
      <c r="E97" s="693">
        <v>0</v>
      </c>
      <c r="F97">
        <v>197</v>
      </c>
    </row>
    <row r="98" spans="1:6">
      <c r="A98" s="91" t="s">
        <v>581</v>
      </c>
      <c r="B98" t="s">
        <v>596</v>
      </c>
      <c r="C98" s="141" t="s">
        <v>110</v>
      </c>
      <c r="D98" s="685">
        <v>0</v>
      </c>
      <c r="E98" s="693">
        <v>3079764.14</v>
      </c>
      <c r="F98">
        <v>114</v>
      </c>
    </row>
    <row r="99" spans="1:6">
      <c r="A99" s="91" t="s">
        <v>295</v>
      </c>
      <c r="B99" t="s">
        <v>1657</v>
      </c>
      <c r="C99" s="141" t="s">
        <v>104</v>
      </c>
      <c r="D99" s="685">
        <v>3.7954545454545459</v>
      </c>
      <c r="E99" s="693">
        <v>9935172.8599999994</v>
      </c>
      <c r="F99">
        <v>41</v>
      </c>
    </row>
    <row r="100" spans="1:6">
      <c r="A100" s="91" t="s">
        <v>303</v>
      </c>
      <c r="B100" t="s">
        <v>1657</v>
      </c>
      <c r="C100" s="141" t="s">
        <v>104</v>
      </c>
      <c r="D100" s="685">
        <v>1.2462121212121211</v>
      </c>
      <c r="E100" s="693">
        <v>6315625.1200000001</v>
      </c>
      <c r="F100">
        <v>70</v>
      </c>
    </row>
    <row r="101" spans="1:6">
      <c r="A101" s="91" t="s">
        <v>309</v>
      </c>
      <c r="B101" t="s">
        <v>1657</v>
      </c>
      <c r="C101" s="141" t="s">
        <v>104</v>
      </c>
      <c r="D101" s="685">
        <v>3.3920454545454546</v>
      </c>
      <c r="E101" s="693">
        <v>6067239.1399999997</v>
      </c>
      <c r="F101">
        <v>71</v>
      </c>
    </row>
    <row r="102" spans="1:6">
      <c r="A102" s="91" t="s">
        <v>905</v>
      </c>
      <c r="B102" t="s">
        <v>911</v>
      </c>
      <c r="C102" s="141" t="s">
        <v>104</v>
      </c>
      <c r="D102" s="685">
        <v>0</v>
      </c>
      <c r="E102" s="693">
        <v>1319066.99</v>
      </c>
      <c r="F102">
        <v>152</v>
      </c>
    </row>
    <row r="103" spans="1:6">
      <c r="A103" s="91" t="s">
        <v>806</v>
      </c>
      <c r="B103" t="s">
        <v>841</v>
      </c>
      <c r="C103" s="141" t="s">
        <v>104</v>
      </c>
      <c r="D103" s="685">
        <v>0.43636363636363634</v>
      </c>
      <c r="E103" s="693">
        <v>1684243.3299</v>
      </c>
      <c r="F103">
        <v>139</v>
      </c>
    </row>
    <row r="104" spans="1:6">
      <c r="A104" s="91" t="s">
        <v>313</v>
      </c>
      <c r="B104" t="s">
        <v>1657</v>
      </c>
      <c r="C104" s="141" t="s">
        <v>110</v>
      </c>
      <c r="D104" s="685">
        <v>0</v>
      </c>
      <c r="E104" s="693">
        <v>4629923.17</v>
      </c>
      <c r="F104">
        <v>92</v>
      </c>
    </row>
    <row r="105" spans="1:6">
      <c r="A105" s="91" t="s">
        <v>314</v>
      </c>
      <c r="B105" t="s">
        <v>1657</v>
      </c>
      <c r="C105" s="141" t="s">
        <v>104</v>
      </c>
      <c r="D105" s="685">
        <v>10.020075757575757</v>
      </c>
      <c r="E105" s="693">
        <v>67102193.669999994</v>
      </c>
      <c r="F105">
        <v>2</v>
      </c>
    </row>
    <row r="106" spans="1:6">
      <c r="A106" s="91" t="s">
        <v>582</v>
      </c>
      <c r="B106" t="s">
        <v>596</v>
      </c>
      <c r="C106" s="141" t="s">
        <v>110</v>
      </c>
      <c r="D106" s="685">
        <v>0.54078282828282831</v>
      </c>
      <c r="E106" s="693">
        <v>2104376.4700000002</v>
      </c>
      <c r="F106">
        <v>131</v>
      </c>
    </row>
    <row r="107" spans="1:6">
      <c r="A107" s="91" t="s">
        <v>324</v>
      </c>
      <c r="B107" t="s">
        <v>1657</v>
      </c>
      <c r="C107" s="141" t="s">
        <v>104</v>
      </c>
      <c r="D107" s="685">
        <v>0</v>
      </c>
      <c r="E107" s="693">
        <v>0</v>
      </c>
      <c r="F107">
        <v>198</v>
      </c>
    </row>
    <row r="108" spans="1:6">
      <c r="A108" s="91" t="s">
        <v>325</v>
      </c>
      <c r="B108" t="s">
        <v>1657</v>
      </c>
      <c r="C108" s="141" t="s">
        <v>104</v>
      </c>
      <c r="D108" s="685">
        <v>1.462058080808081</v>
      </c>
      <c r="E108" s="693">
        <v>5996593.790000001</v>
      </c>
      <c r="F108">
        <v>73</v>
      </c>
    </row>
    <row r="109" spans="1:6">
      <c r="A109" s="91" t="s">
        <v>330</v>
      </c>
      <c r="B109" t="s">
        <v>1657</v>
      </c>
      <c r="C109" s="141" t="s">
        <v>110</v>
      </c>
      <c r="D109" s="685">
        <v>0</v>
      </c>
      <c r="E109" s="693">
        <v>2889240.25</v>
      </c>
      <c r="F109">
        <v>116</v>
      </c>
    </row>
    <row r="110" spans="1:6">
      <c r="A110" s="91" t="s">
        <v>505</v>
      </c>
      <c r="B110" t="s">
        <v>1659</v>
      </c>
      <c r="C110" s="141" t="s">
        <v>110</v>
      </c>
      <c r="D110" s="685">
        <v>0.2178030303030303</v>
      </c>
      <c r="E110" s="693">
        <v>1589761.9100000006</v>
      </c>
      <c r="F110">
        <v>140</v>
      </c>
    </row>
    <row r="111" spans="1:6">
      <c r="A111" s="551" t="s">
        <v>331</v>
      </c>
      <c r="B111" t="s">
        <v>1657</v>
      </c>
      <c r="C111" s="141" t="s">
        <v>110</v>
      </c>
      <c r="D111" s="685">
        <v>3.8365530303030302</v>
      </c>
      <c r="E111" s="693">
        <v>12238264.909899998</v>
      </c>
      <c r="F111">
        <v>25</v>
      </c>
    </row>
    <row r="112" spans="1:6">
      <c r="A112" s="91" t="s">
        <v>335</v>
      </c>
      <c r="B112" t="s">
        <v>1657</v>
      </c>
      <c r="C112" s="141" t="s">
        <v>104</v>
      </c>
      <c r="D112" s="685">
        <v>0</v>
      </c>
      <c r="E112" s="693">
        <v>972029.37</v>
      </c>
      <c r="F112">
        <v>158</v>
      </c>
    </row>
    <row r="113" spans="1:6">
      <c r="A113" s="91" t="s">
        <v>132</v>
      </c>
      <c r="B113" t="s">
        <v>1905</v>
      </c>
      <c r="C113" s="141" t="s">
        <v>104</v>
      </c>
      <c r="D113" s="685">
        <v>0</v>
      </c>
      <c r="E113" s="693">
        <v>331760.76</v>
      </c>
      <c r="F113">
        <v>173</v>
      </c>
    </row>
    <row r="114" spans="1:6">
      <c r="A114" s="91" t="s">
        <v>697</v>
      </c>
      <c r="B114" t="s">
        <v>1660</v>
      </c>
      <c r="C114" s="141" t="s">
        <v>110</v>
      </c>
      <c r="D114" s="685">
        <v>0</v>
      </c>
      <c r="E114" s="693">
        <v>0</v>
      </c>
      <c r="F114">
        <v>199</v>
      </c>
    </row>
    <row r="115" spans="1:6">
      <c r="A115" s="91" t="s">
        <v>585</v>
      </c>
      <c r="B115" t="s">
        <v>596</v>
      </c>
      <c r="C115" s="141" t="s">
        <v>110</v>
      </c>
      <c r="D115" s="685">
        <v>0.19318181818181818</v>
      </c>
      <c r="E115" s="693">
        <v>2209649.0899</v>
      </c>
      <c r="F115">
        <v>129</v>
      </c>
    </row>
    <row r="116" spans="1:6">
      <c r="A116" s="91" t="s">
        <v>336</v>
      </c>
      <c r="B116" t="s">
        <v>1657</v>
      </c>
      <c r="C116" s="141" t="s">
        <v>104</v>
      </c>
      <c r="D116" s="685">
        <v>1.4901515151515152</v>
      </c>
      <c r="E116" s="693">
        <v>7102216.0899</v>
      </c>
      <c r="F116">
        <v>69</v>
      </c>
    </row>
    <row r="117" spans="1:6">
      <c r="A117" s="91" t="s">
        <v>809</v>
      </c>
      <c r="B117" t="s">
        <v>841</v>
      </c>
      <c r="C117" s="141" t="s">
        <v>104</v>
      </c>
      <c r="D117" s="685">
        <v>1.1712121212121214</v>
      </c>
      <c r="E117" s="693">
        <v>4244934.6400000006</v>
      </c>
      <c r="F117">
        <v>99</v>
      </c>
    </row>
    <row r="118" spans="1:6">
      <c r="A118" s="91" t="s">
        <v>341</v>
      </c>
      <c r="B118" t="s">
        <v>1657</v>
      </c>
      <c r="C118" s="141" t="s">
        <v>104</v>
      </c>
      <c r="D118" s="685">
        <v>0.83333333333333337</v>
      </c>
      <c r="E118" s="693">
        <v>10569825.470000001</v>
      </c>
      <c r="F118">
        <v>37</v>
      </c>
    </row>
    <row r="119" spans="1:6">
      <c r="A119" s="91" t="s">
        <v>352</v>
      </c>
      <c r="B119" t="s">
        <v>1657</v>
      </c>
      <c r="C119" s="141" t="s">
        <v>104</v>
      </c>
      <c r="D119" s="685">
        <v>0</v>
      </c>
      <c r="E119" s="693">
        <v>9775844</v>
      </c>
      <c r="F119">
        <v>42</v>
      </c>
    </row>
    <row r="120" spans="1:6">
      <c r="A120" s="91" t="s">
        <v>940</v>
      </c>
      <c r="B120" t="s">
        <v>1563</v>
      </c>
      <c r="C120" s="141" t="s">
        <v>110</v>
      </c>
      <c r="D120" s="685">
        <v>0</v>
      </c>
      <c r="E120" s="693">
        <v>982833.67</v>
      </c>
      <c r="F120">
        <v>157</v>
      </c>
    </row>
    <row r="121" spans="1:6">
      <c r="A121" s="91" t="s">
        <v>698</v>
      </c>
      <c r="B121" t="s">
        <v>1660</v>
      </c>
      <c r="C121" s="141" t="s">
        <v>104</v>
      </c>
      <c r="D121" s="685">
        <v>1.3375631313131313</v>
      </c>
      <c r="E121" s="693">
        <v>5938151.7600000007</v>
      </c>
      <c r="F121">
        <v>75</v>
      </c>
    </row>
    <row r="122" spans="1:6">
      <c r="A122" s="91" t="s">
        <v>704</v>
      </c>
      <c r="B122" t="s">
        <v>1660</v>
      </c>
      <c r="C122" s="141" t="s">
        <v>110</v>
      </c>
      <c r="D122" s="685">
        <v>0.64053030303030301</v>
      </c>
      <c r="E122" s="693">
        <v>1440536.7500000009</v>
      </c>
      <c r="F122">
        <v>147</v>
      </c>
    </row>
    <row r="123" spans="1:6">
      <c r="A123" s="91" t="s">
        <v>589</v>
      </c>
      <c r="B123" t="s">
        <v>596</v>
      </c>
      <c r="C123" s="141" t="s">
        <v>110</v>
      </c>
      <c r="D123" s="685">
        <v>0.41193181818181818</v>
      </c>
      <c r="E123" s="693">
        <v>14991596.490000002</v>
      </c>
      <c r="F123">
        <v>18</v>
      </c>
    </row>
    <row r="124" spans="1:6">
      <c r="A124" s="91" t="s">
        <v>708</v>
      </c>
      <c r="B124" t="s">
        <v>1660</v>
      </c>
      <c r="C124" s="141" t="s">
        <v>110</v>
      </c>
      <c r="D124" s="685">
        <v>0</v>
      </c>
      <c r="E124" s="693">
        <v>1305972.7</v>
      </c>
      <c r="F124">
        <v>153</v>
      </c>
    </row>
    <row r="125" spans="1:6">
      <c r="A125" s="91" t="s">
        <v>356</v>
      </c>
      <c r="B125" t="s">
        <v>1657</v>
      </c>
      <c r="C125" s="141" t="s">
        <v>104</v>
      </c>
      <c r="D125" s="685">
        <v>0</v>
      </c>
      <c r="E125" s="693">
        <v>10953684.699899999</v>
      </c>
      <c r="F125">
        <v>34</v>
      </c>
    </row>
    <row r="126" spans="1:6">
      <c r="A126" s="91" t="s">
        <v>941</v>
      </c>
      <c r="B126" t="s">
        <v>1563</v>
      </c>
      <c r="C126" s="141" t="s">
        <v>110</v>
      </c>
      <c r="D126" s="685">
        <v>0.45795454545454545</v>
      </c>
      <c r="E126" s="693">
        <v>1739485.15</v>
      </c>
      <c r="F126">
        <v>138</v>
      </c>
    </row>
    <row r="127" spans="1:6">
      <c r="A127" s="91" t="s">
        <v>818</v>
      </c>
      <c r="B127" t="s">
        <v>841</v>
      </c>
      <c r="C127" s="141" t="s">
        <v>104</v>
      </c>
      <c r="D127" s="685">
        <v>1.0874368686868687</v>
      </c>
      <c r="E127" s="693">
        <v>12800656.9</v>
      </c>
      <c r="F127">
        <v>23</v>
      </c>
    </row>
    <row r="128" spans="1:6">
      <c r="A128" s="91" t="s">
        <v>596</v>
      </c>
      <c r="B128" t="s">
        <v>596</v>
      </c>
      <c r="C128" s="141" t="s">
        <v>104</v>
      </c>
      <c r="D128" s="685">
        <v>1.6577651515151515</v>
      </c>
      <c r="E128" s="693">
        <v>15285099.000000002</v>
      </c>
      <c r="F128">
        <v>17</v>
      </c>
    </row>
    <row r="129" spans="1:6">
      <c r="A129" s="91" t="s">
        <v>945</v>
      </c>
      <c r="B129" t="s">
        <v>1563</v>
      </c>
      <c r="C129" s="141" t="s">
        <v>104</v>
      </c>
      <c r="D129" s="685">
        <v>2.6371001683501682</v>
      </c>
      <c r="E129" s="693">
        <v>11834897.580000002</v>
      </c>
      <c r="F129">
        <v>26</v>
      </c>
    </row>
    <row r="130" spans="1:6">
      <c r="A130" s="91" t="s">
        <v>709</v>
      </c>
      <c r="B130" t="s">
        <v>1660</v>
      </c>
      <c r="C130" s="141" t="s">
        <v>110</v>
      </c>
      <c r="D130" s="685">
        <v>0</v>
      </c>
      <c r="E130" s="693">
        <v>3897388.59</v>
      </c>
      <c r="F130">
        <v>104</v>
      </c>
    </row>
    <row r="131" spans="1:6">
      <c r="A131" s="91" t="s">
        <v>710</v>
      </c>
      <c r="B131" t="s">
        <v>1660</v>
      </c>
      <c r="C131" s="141" t="s">
        <v>110</v>
      </c>
      <c r="D131" s="685">
        <v>1.0105429292929293</v>
      </c>
      <c r="E131" s="693">
        <v>9077195.1900000013</v>
      </c>
      <c r="F131">
        <v>47</v>
      </c>
    </row>
    <row r="132" spans="1:6">
      <c r="A132" s="91" t="s">
        <v>362</v>
      </c>
      <c r="B132" t="s">
        <v>1657</v>
      </c>
      <c r="C132" s="141" t="s">
        <v>110</v>
      </c>
      <c r="D132" s="685">
        <v>0</v>
      </c>
      <c r="E132" s="693">
        <v>3498462.81</v>
      </c>
      <c r="F132">
        <v>112</v>
      </c>
    </row>
    <row r="133" spans="1:6">
      <c r="A133" s="91" t="s">
        <v>363</v>
      </c>
      <c r="B133" t="s">
        <v>1657</v>
      </c>
      <c r="C133" s="141" t="s">
        <v>110</v>
      </c>
      <c r="D133" s="685">
        <v>0</v>
      </c>
      <c r="E133" s="693">
        <v>721396</v>
      </c>
      <c r="F133">
        <v>163</v>
      </c>
    </row>
    <row r="134" spans="1:6">
      <c r="A134" s="91" t="s">
        <v>364</v>
      </c>
      <c r="B134" t="s">
        <v>1657</v>
      </c>
      <c r="C134" s="141" t="s">
        <v>104</v>
      </c>
      <c r="D134" s="685">
        <v>0</v>
      </c>
      <c r="E134" s="693">
        <v>5658280.5</v>
      </c>
      <c r="F134">
        <v>78</v>
      </c>
    </row>
    <row r="135" spans="1:6">
      <c r="A135" s="91" t="s">
        <v>365</v>
      </c>
      <c r="B135" t="s">
        <v>1657</v>
      </c>
      <c r="C135" s="141" t="s">
        <v>104</v>
      </c>
      <c r="D135" s="685">
        <v>0</v>
      </c>
      <c r="E135" s="693">
        <v>0</v>
      </c>
      <c r="F135">
        <v>200</v>
      </c>
    </row>
    <row r="136" spans="1:6">
      <c r="A136" s="91" t="s">
        <v>715</v>
      </c>
      <c r="B136" t="s">
        <v>1660</v>
      </c>
      <c r="C136" s="141" t="s">
        <v>104</v>
      </c>
      <c r="D136" s="685">
        <v>1.0075757575757576</v>
      </c>
      <c r="E136" s="693">
        <v>2070892.63</v>
      </c>
      <c r="F136">
        <v>132</v>
      </c>
    </row>
    <row r="137" spans="1:6">
      <c r="A137" s="91" t="s">
        <v>366</v>
      </c>
      <c r="B137" t="s">
        <v>1657</v>
      </c>
      <c r="C137" s="141" t="s">
        <v>104</v>
      </c>
      <c r="D137" s="685">
        <v>1.4204545454545454</v>
      </c>
      <c r="E137" s="693">
        <v>8195601.5099999998</v>
      </c>
      <c r="F137">
        <v>52</v>
      </c>
    </row>
    <row r="138" spans="1:6">
      <c r="A138" s="91" t="s">
        <v>599</v>
      </c>
      <c r="B138" t="s">
        <v>596</v>
      </c>
      <c r="C138" s="141" t="s">
        <v>104</v>
      </c>
      <c r="D138" s="685">
        <v>0</v>
      </c>
      <c r="E138" s="693">
        <v>3032308.02</v>
      </c>
      <c r="F138">
        <v>115</v>
      </c>
    </row>
    <row r="139" spans="1:6">
      <c r="A139" s="91" t="s">
        <v>371</v>
      </c>
      <c r="B139" t="s">
        <v>1657</v>
      </c>
      <c r="C139" s="141" t="s">
        <v>104</v>
      </c>
      <c r="D139" s="685">
        <v>0.33857323232323233</v>
      </c>
      <c r="E139" s="693">
        <v>9673038.9399999995</v>
      </c>
      <c r="F139">
        <v>44</v>
      </c>
    </row>
    <row r="140" spans="1:6">
      <c r="A140" s="91" t="s">
        <v>953</v>
      </c>
      <c r="B140" t="s">
        <v>1563</v>
      </c>
      <c r="C140" s="141" t="s">
        <v>110</v>
      </c>
      <c r="D140" s="685">
        <v>0.15284090909090908</v>
      </c>
      <c r="E140" s="693">
        <v>2316497.9699999997</v>
      </c>
      <c r="F140">
        <v>126</v>
      </c>
    </row>
    <row r="141" spans="1:6">
      <c r="A141" s="91" t="s">
        <v>908</v>
      </c>
      <c r="B141" t="s">
        <v>911</v>
      </c>
      <c r="C141" s="141" t="s">
        <v>104</v>
      </c>
      <c r="D141" s="685">
        <v>0</v>
      </c>
      <c r="E141" s="693">
        <v>5043061.3099999996</v>
      </c>
      <c r="F141">
        <v>88</v>
      </c>
    </row>
    <row r="142" spans="1:6">
      <c r="A142" s="91" t="s">
        <v>826</v>
      </c>
      <c r="B142" t="s">
        <v>841</v>
      </c>
      <c r="C142" s="141" t="s">
        <v>104</v>
      </c>
      <c r="D142" s="685">
        <v>0</v>
      </c>
      <c r="E142" s="693">
        <v>8123607.4000000004</v>
      </c>
      <c r="F142">
        <v>55</v>
      </c>
    </row>
    <row r="143" spans="1:6">
      <c r="A143" s="91" t="s">
        <v>719</v>
      </c>
      <c r="B143" t="s">
        <v>1660</v>
      </c>
      <c r="C143" s="141" t="s">
        <v>110</v>
      </c>
      <c r="D143" s="685">
        <v>0</v>
      </c>
      <c r="E143" s="693">
        <v>2158120.52</v>
      </c>
      <c r="F143">
        <v>130</v>
      </c>
    </row>
    <row r="144" spans="1:6">
      <c r="A144" s="91" t="s">
        <v>378</v>
      </c>
      <c r="B144" t="s">
        <v>1657</v>
      </c>
      <c r="C144" s="141" t="s">
        <v>110</v>
      </c>
      <c r="D144" s="685">
        <v>0</v>
      </c>
      <c r="E144" s="693">
        <v>5895531.8300000001</v>
      </c>
      <c r="F144">
        <v>76</v>
      </c>
    </row>
    <row r="145" spans="1:6">
      <c r="A145" s="91" t="s">
        <v>603</v>
      </c>
      <c r="B145" t="s">
        <v>596</v>
      </c>
      <c r="C145" s="141" t="s">
        <v>110</v>
      </c>
      <c r="D145" s="685">
        <v>0</v>
      </c>
      <c r="E145" s="693">
        <v>0</v>
      </c>
      <c r="F145">
        <v>201</v>
      </c>
    </row>
    <row r="146" spans="1:6">
      <c r="A146" s="91" t="s">
        <v>833</v>
      </c>
      <c r="B146" t="s">
        <v>841</v>
      </c>
      <c r="C146" s="141" t="s">
        <v>104</v>
      </c>
      <c r="D146" s="685">
        <v>0.72733585858585859</v>
      </c>
      <c r="E146" s="693">
        <v>8505960.1999999993</v>
      </c>
      <c r="F146">
        <v>50</v>
      </c>
    </row>
    <row r="147" spans="1:6">
      <c r="A147" s="91" t="s">
        <v>384</v>
      </c>
      <c r="B147" t="s">
        <v>1657</v>
      </c>
      <c r="C147" s="141" t="s">
        <v>110</v>
      </c>
      <c r="D147" s="685">
        <v>0</v>
      </c>
      <c r="E147" s="693">
        <v>15796160.880000001</v>
      </c>
      <c r="F147">
        <v>15</v>
      </c>
    </row>
    <row r="148" spans="1:6">
      <c r="A148" s="91" t="s">
        <v>838</v>
      </c>
      <c r="B148" t="s">
        <v>841</v>
      </c>
      <c r="C148" s="141" t="s">
        <v>104</v>
      </c>
      <c r="D148" s="685">
        <v>0.87651515151515147</v>
      </c>
      <c r="E148" s="693">
        <v>7167196.3499999996</v>
      </c>
      <c r="F148">
        <v>68</v>
      </c>
    </row>
    <row r="149" spans="1:6">
      <c r="A149" s="91" t="s">
        <v>133</v>
      </c>
      <c r="B149" t="s">
        <v>1905</v>
      </c>
      <c r="C149" s="141" t="s">
        <v>110</v>
      </c>
      <c r="D149" s="685">
        <v>0</v>
      </c>
      <c r="E149" s="693">
        <v>3670289.9</v>
      </c>
      <c r="F149">
        <v>107</v>
      </c>
    </row>
    <row r="150" spans="1:6">
      <c r="A150" s="91" t="s">
        <v>720</v>
      </c>
      <c r="B150" t="s">
        <v>1660</v>
      </c>
      <c r="C150" s="141" t="s">
        <v>104</v>
      </c>
      <c r="D150" s="685">
        <v>0</v>
      </c>
      <c r="E150" s="693">
        <v>0</v>
      </c>
      <c r="F150">
        <v>202</v>
      </c>
    </row>
    <row r="151" spans="1:6">
      <c r="A151" s="91" t="s">
        <v>388</v>
      </c>
      <c r="B151" t="s">
        <v>1657</v>
      </c>
      <c r="C151" s="141" t="s">
        <v>110</v>
      </c>
      <c r="D151" s="685">
        <v>0</v>
      </c>
      <c r="E151" s="693">
        <v>284774.28000000003</v>
      </c>
      <c r="F151">
        <v>176</v>
      </c>
    </row>
    <row r="152" spans="1:6">
      <c r="A152" s="91" t="s">
        <v>389</v>
      </c>
      <c r="B152" t="s">
        <v>1657</v>
      </c>
      <c r="C152" s="141" t="s">
        <v>110</v>
      </c>
      <c r="D152" s="685">
        <v>0.96325757575757576</v>
      </c>
      <c r="E152" s="693">
        <v>1781874.9200000092</v>
      </c>
      <c r="F152">
        <v>137</v>
      </c>
    </row>
    <row r="153" spans="1:6">
      <c r="A153" s="91" t="s">
        <v>392</v>
      </c>
      <c r="B153" t="s">
        <v>1657</v>
      </c>
      <c r="C153" s="141" t="s">
        <v>104</v>
      </c>
      <c r="D153" s="685">
        <v>0</v>
      </c>
      <c r="E153" s="693">
        <v>7991792.5599999996</v>
      </c>
      <c r="F153">
        <v>57</v>
      </c>
    </row>
    <row r="154" spans="1:6">
      <c r="A154" s="91" t="s">
        <v>841</v>
      </c>
      <c r="B154" t="s">
        <v>841</v>
      </c>
      <c r="C154" s="141" t="s">
        <v>104</v>
      </c>
      <c r="D154" s="685">
        <v>1.9449021464646465</v>
      </c>
      <c r="E154" s="693">
        <v>27680764.739999998</v>
      </c>
      <c r="F154">
        <v>6</v>
      </c>
    </row>
    <row r="155" spans="1:6">
      <c r="A155" s="91" t="s">
        <v>396</v>
      </c>
      <c r="B155" t="s">
        <v>1657</v>
      </c>
      <c r="C155" s="141" t="s">
        <v>110</v>
      </c>
      <c r="D155" s="685">
        <v>0</v>
      </c>
      <c r="E155" s="693">
        <v>1979251.43</v>
      </c>
      <c r="F155">
        <v>134</v>
      </c>
    </row>
    <row r="156" spans="1:6">
      <c r="A156" s="91" t="s">
        <v>397</v>
      </c>
      <c r="B156" t="s">
        <v>1657</v>
      </c>
      <c r="C156" s="141" t="s">
        <v>104</v>
      </c>
      <c r="D156" s="685">
        <v>0</v>
      </c>
      <c r="E156" s="693">
        <v>3295797.4</v>
      </c>
      <c r="F156">
        <v>113</v>
      </c>
    </row>
    <row r="157" spans="1:6">
      <c r="A157" s="91" t="s">
        <v>398</v>
      </c>
      <c r="B157" t="s">
        <v>1657</v>
      </c>
      <c r="C157" s="141" t="s">
        <v>104</v>
      </c>
      <c r="D157" s="685">
        <v>1.3628787878787878</v>
      </c>
      <c r="E157" s="693">
        <v>7968220.4000000069</v>
      </c>
      <c r="F157">
        <v>58</v>
      </c>
    </row>
    <row r="158" spans="1:6">
      <c r="A158" s="91" t="s">
        <v>721</v>
      </c>
      <c r="B158" t="s">
        <v>1660</v>
      </c>
      <c r="C158" s="141" t="s">
        <v>104</v>
      </c>
      <c r="D158" s="685">
        <v>0.34223484848484848</v>
      </c>
      <c r="E158" s="693">
        <v>1385441.7200000002</v>
      </c>
      <c r="F158">
        <v>149</v>
      </c>
    </row>
    <row r="159" spans="1:6">
      <c r="A159" s="91" t="s">
        <v>405</v>
      </c>
      <c r="B159" t="s">
        <v>1657</v>
      </c>
      <c r="C159" s="141" t="s">
        <v>110</v>
      </c>
      <c r="D159" s="685">
        <v>0</v>
      </c>
      <c r="E159" s="693">
        <v>2575228.38</v>
      </c>
      <c r="F159">
        <v>122</v>
      </c>
    </row>
    <row r="160" spans="1:6">
      <c r="A160" s="91" t="s">
        <v>604</v>
      </c>
      <c r="B160" t="s">
        <v>596</v>
      </c>
      <c r="C160" s="141" t="s">
        <v>104</v>
      </c>
      <c r="D160" s="685">
        <v>2.7677398989898991</v>
      </c>
      <c r="E160" s="693">
        <v>34582633.590000004</v>
      </c>
      <c r="F160">
        <v>4</v>
      </c>
    </row>
    <row r="161" spans="1:6">
      <c r="A161" s="91" t="s">
        <v>885</v>
      </c>
      <c r="B161" t="s">
        <v>885</v>
      </c>
      <c r="C161" s="141" t="s">
        <v>110</v>
      </c>
      <c r="D161" s="685">
        <v>1.9994318181818183</v>
      </c>
      <c r="E161" s="693">
        <v>15308949.210000001</v>
      </c>
      <c r="F161">
        <v>16</v>
      </c>
    </row>
    <row r="162" spans="1:6">
      <c r="A162" s="91" t="s">
        <v>409</v>
      </c>
      <c r="B162" t="s">
        <v>1657</v>
      </c>
      <c r="C162" s="141" t="s">
        <v>110</v>
      </c>
      <c r="D162" s="685">
        <v>0</v>
      </c>
      <c r="E162" s="693">
        <v>8188215.870000001</v>
      </c>
      <c r="F162">
        <v>53</v>
      </c>
    </row>
    <row r="163" spans="1:6">
      <c r="A163" s="91" t="s">
        <v>410</v>
      </c>
      <c r="B163" t="s">
        <v>1657</v>
      </c>
      <c r="C163" s="141" t="s">
        <v>104</v>
      </c>
      <c r="D163" s="685">
        <v>0</v>
      </c>
      <c r="E163" s="693">
        <v>2262399.41</v>
      </c>
      <c r="F163">
        <v>127</v>
      </c>
    </row>
    <row r="164" spans="1:6">
      <c r="A164" s="91" t="s">
        <v>411</v>
      </c>
      <c r="B164" t="s">
        <v>1657</v>
      </c>
      <c r="C164" s="141" t="s">
        <v>104</v>
      </c>
      <c r="D164" s="685">
        <v>3.352651515151515</v>
      </c>
      <c r="E164" s="693">
        <v>26665856.929999996</v>
      </c>
      <c r="F164">
        <v>7</v>
      </c>
    </row>
    <row r="165" spans="1:6">
      <c r="A165" s="91" t="s">
        <v>958</v>
      </c>
      <c r="B165" t="s">
        <v>1563</v>
      </c>
      <c r="C165" s="141" t="s">
        <v>110</v>
      </c>
      <c r="D165" s="685">
        <v>0.42929292929292928</v>
      </c>
      <c r="E165" s="693">
        <v>2481869.41</v>
      </c>
      <c r="F165">
        <v>123</v>
      </c>
    </row>
    <row r="166" spans="1:6">
      <c r="A166" s="91" t="s">
        <v>622</v>
      </c>
      <c r="B166" t="s">
        <v>596</v>
      </c>
      <c r="C166" s="141" t="s">
        <v>110</v>
      </c>
      <c r="D166" s="685">
        <v>0.5</v>
      </c>
      <c r="E166" s="693">
        <v>4115756.81</v>
      </c>
      <c r="F166">
        <v>102</v>
      </c>
    </row>
    <row r="167" spans="1:6">
      <c r="A167" s="91" t="s">
        <v>417</v>
      </c>
      <c r="B167" t="s">
        <v>1657</v>
      </c>
      <c r="C167" s="141" t="s">
        <v>110</v>
      </c>
      <c r="D167" s="685">
        <v>0</v>
      </c>
      <c r="E167" s="693">
        <v>1503455.23</v>
      </c>
      <c r="F167">
        <v>146</v>
      </c>
    </row>
    <row r="168" spans="1:6">
      <c r="A168" s="91" t="s">
        <v>418</v>
      </c>
      <c r="B168" t="s">
        <v>1657</v>
      </c>
      <c r="C168" s="141" t="s">
        <v>104</v>
      </c>
      <c r="D168" s="685">
        <v>0</v>
      </c>
      <c r="E168" s="693">
        <v>1398123.66</v>
      </c>
      <c r="F168">
        <v>148</v>
      </c>
    </row>
    <row r="169" spans="1:6">
      <c r="A169" s="91" t="s">
        <v>961</v>
      </c>
      <c r="B169" t="s">
        <v>1563</v>
      </c>
      <c r="C169" s="141" t="s">
        <v>110</v>
      </c>
      <c r="D169" s="685">
        <v>1.2534090909090909</v>
      </c>
      <c r="E169" s="693">
        <v>9230252.629999999</v>
      </c>
      <c r="F169">
        <v>45</v>
      </c>
    </row>
    <row r="170" spans="1:6">
      <c r="A170" s="91" t="s">
        <v>419</v>
      </c>
      <c r="B170" t="s">
        <v>1657</v>
      </c>
      <c r="C170" s="141" t="s">
        <v>104</v>
      </c>
      <c r="D170" s="685">
        <v>0</v>
      </c>
      <c r="E170" s="693">
        <v>3934014</v>
      </c>
      <c r="F170">
        <v>103</v>
      </c>
    </row>
    <row r="171" spans="1:6">
      <c r="A171" s="91" t="s">
        <v>423</v>
      </c>
      <c r="B171" t="s">
        <v>1657</v>
      </c>
      <c r="C171" s="141" t="s">
        <v>104</v>
      </c>
      <c r="D171" s="685">
        <v>0.30700757575757576</v>
      </c>
      <c r="E171" s="693">
        <v>9208613.3200000022</v>
      </c>
      <c r="F171">
        <v>46</v>
      </c>
    </row>
    <row r="172" spans="1:6">
      <c r="A172" s="91" t="s">
        <v>429</v>
      </c>
      <c r="B172" t="s">
        <v>1657</v>
      </c>
      <c r="C172" s="141" t="s">
        <v>110</v>
      </c>
      <c r="D172" s="685">
        <v>0.53977272727272729</v>
      </c>
      <c r="E172" s="693">
        <v>6009530.5</v>
      </c>
      <c r="F172">
        <v>72</v>
      </c>
    </row>
    <row r="173" spans="1:6">
      <c r="A173" s="91" t="s">
        <v>629</v>
      </c>
      <c r="B173" t="s">
        <v>596</v>
      </c>
      <c r="C173" s="141" t="s">
        <v>104</v>
      </c>
      <c r="D173" s="685">
        <v>0</v>
      </c>
      <c r="E173" s="693">
        <v>3509647</v>
      </c>
      <c r="F173">
        <v>111</v>
      </c>
    </row>
    <row r="174" spans="1:6">
      <c r="A174" s="91" t="s">
        <v>134</v>
      </c>
      <c r="B174" t="s">
        <v>1905</v>
      </c>
      <c r="C174" s="141" t="s">
        <v>110</v>
      </c>
      <c r="D174" s="685">
        <v>0</v>
      </c>
      <c r="E174" s="693">
        <v>1009802.42</v>
      </c>
      <c r="F174">
        <v>156</v>
      </c>
    </row>
    <row r="175" spans="1:6">
      <c r="A175" s="91" t="s">
        <v>724</v>
      </c>
      <c r="B175" t="s">
        <v>1660</v>
      </c>
      <c r="C175" s="141" t="s">
        <v>110</v>
      </c>
      <c r="D175" s="685">
        <v>0.86635101010101001</v>
      </c>
      <c r="E175" s="693">
        <v>1572177.81</v>
      </c>
      <c r="F175">
        <v>141</v>
      </c>
    </row>
    <row r="176" spans="1:6">
      <c r="A176" s="91" t="s">
        <v>433</v>
      </c>
      <c r="B176" t="s">
        <v>1657</v>
      </c>
      <c r="C176" s="141" t="s">
        <v>110</v>
      </c>
      <c r="D176" s="685">
        <v>2.2727272727272729</v>
      </c>
      <c r="E176" s="693">
        <v>7241714.589999998</v>
      </c>
      <c r="F176">
        <v>67</v>
      </c>
    </row>
    <row r="177" spans="1:6">
      <c r="A177" s="91" t="s">
        <v>968</v>
      </c>
      <c r="B177" t="s">
        <v>1563</v>
      </c>
      <c r="C177" s="141" t="s">
        <v>110</v>
      </c>
      <c r="D177" s="685">
        <v>0.6886363636363636</v>
      </c>
      <c r="E177" s="693">
        <v>7671781.3199999994</v>
      </c>
      <c r="F177">
        <v>63</v>
      </c>
    </row>
    <row r="178" spans="1:6">
      <c r="A178" s="91" t="s">
        <v>438</v>
      </c>
      <c r="B178" t="s">
        <v>1657</v>
      </c>
      <c r="C178" s="141" t="s">
        <v>104</v>
      </c>
      <c r="D178" s="685">
        <v>0</v>
      </c>
      <c r="E178" s="693">
        <v>26526075.869999997</v>
      </c>
      <c r="F178">
        <v>8</v>
      </c>
    </row>
    <row r="179" spans="1:6">
      <c r="A179" s="91" t="s">
        <v>911</v>
      </c>
      <c r="B179" t="s">
        <v>911</v>
      </c>
      <c r="C179" s="141" t="s">
        <v>104</v>
      </c>
      <c r="D179" s="685">
        <v>0</v>
      </c>
      <c r="E179" s="693">
        <v>7395322.71</v>
      </c>
      <c r="F179">
        <v>66</v>
      </c>
    </row>
    <row r="180" spans="1:6">
      <c r="A180" s="91" t="s">
        <v>633</v>
      </c>
      <c r="B180" t="s">
        <v>596</v>
      </c>
      <c r="C180" s="141" t="s">
        <v>110</v>
      </c>
      <c r="D180" s="685">
        <v>0</v>
      </c>
      <c r="E180" s="693">
        <v>4952175.8499999996</v>
      </c>
      <c r="F180">
        <v>89</v>
      </c>
    </row>
    <row r="181" spans="1:6">
      <c r="A181" s="91" t="s">
        <v>853</v>
      </c>
      <c r="B181" t="s">
        <v>841</v>
      </c>
      <c r="C181" s="141" t="s">
        <v>110</v>
      </c>
      <c r="D181" s="685">
        <v>0</v>
      </c>
      <c r="E181" s="693">
        <v>2812277.79</v>
      </c>
      <c r="F181">
        <v>117</v>
      </c>
    </row>
    <row r="182" spans="1:6">
      <c r="A182" s="91" t="s">
        <v>102</v>
      </c>
      <c r="B182" t="s">
        <v>1469</v>
      </c>
      <c r="C182" s="141" t="s">
        <v>104</v>
      </c>
      <c r="D182" s="685">
        <v>0</v>
      </c>
      <c r="E182" s="693">
        <v>278609</v>
      </c>
      <c r="F182">
        <v>178</v>
      </c>
    </row>
    <row r="183" spans="1:6">
      <c r="A183" s="91" t="s">
        <v>107</v>
      </c>
      <c r="B183" t="s">
        <v>1907</v>
      </c>
      <c r="C183" s="141" t="s">
        <v>104</v>
      </c>
      <c r="D183" s="685">
        <v>0</v>
      </c>
      <c r="E183" s="693">
        <v>0</v>
      </c>
      <c r="F183">
        <v>203</v>
      </c>
    </row>
    <row r="184" spans="1:6">
      <c r="A184" s="91" t="s">
        <v>111</v>
      </c>
      <c r="B184" t="s">
        <v>1904</v>
      </c>
      <c r="C184" s="141" t="s">
        <v>104</v>
      </c>
      <c r="D184" s="685">
        <v>0</v>
      </c>
      <c r="E184" s="693">
        <v>1025102.43</v>
      </c>
      <c r="F184">
        <v>154</v>
      </c>
    </row>
    <row r="185" spans="1:6">
      <c r="A185" s="91" t="s">
        <v>135</v>
      </c>
      <c r="B185" t="s">
        <v>1905</v>
      </c>
      <c r="C185" s="141" t="s">
        <v>104</v>
      </c>
      <c r="D185" s="685">
        <v>1.1083964646464646</v>
      </c>
      <c r="E185" s="693">
        <v>2366264.5699999998</v>
      </c>
      <c r="F185">
        <v>125</v>
      </c>
    </row>
    <row r="186" spans="1:6">
      <c r="A186" s="91" t="s">
        <v>142</v>
      </c>
      <c r="B186" t="s">
        <v>1906</v>
      </c>
      <c r="C186" s="141" t="s">
        <v>104</v>
      </c>
      <c r="D186" s="685">
        <v>0</v>
      </c>
      <c r="E186" s="693">
        <v>169819</v>
      </c>
      <c r="F186">
        <v>180</v>
      </c>
    </row>
    <row r="187" spans="1:6">
      <c r="A187" s="91" t="s">
        <v>469</v>
      </c>
      <c r="B187" t="s">
        <v>1657</v>
      </c>
      <c r="C187" s="141" t="s">
        <v>104</v>
      </c>
      <c r="D187" s="685">
        <v>12.16</v>
      </c>
      <c r="E187" s="693">
        <v>85194062.279999986</v>
      </c>
      <c r="F187">
        <v>1</v>
      </c>
    </row>
    <row r="188" spans="1:6">
      <c r="A188" s="91" t="s">
        <v>503</v>
      </c>
      <c r="B188" t="s">
        <v>1908</v>
      </c>
      <c r="C188" s="141" t="s">
        <v>104</v>
      </c>
      <c r="D188" s="685">
        <v>0</v>
      </c>
      <c r="E188" s="693">
        <v>0</v>
      </c>
      <c r="F188">
        <v>204</v>
      </c>
    </row>
    <row r="189" spans="1:6">
      <c r="A189" s="91" t="s">
        <v>510</v>
      </c>
      <c r="B189" t="s">
        <v>1659</v>
      </c>
      <c r="C189" s="141" t="s">
        <v>110</v>
      </c>
      <c r="D189" s="685">
        <v>0</v>
      </c>
      <c r="E189" s="693">
        <v>1023208.55</v>
      </c>
      <c r="F189">
        <v>155</v>
      </c>
    </row>
    <row r="190" spans="1:6">
      <c r="A190" s="91" t="s">
        <v>647</v>
      </c>
      <c r="B190" t="s">
        <v>596</v>
      </c>
      <c r="C190" s="141" t="s">
        <v>104</v>
      </c>
      <c r="D190" s="685">
        <v>1.3422979797979797</v>
      </c>
      <c r="E190" s="693">
        <v>17107092.710000001</v>
      </c>
      <c r="F190">
        <v>12</v>
      </c>
    </row>
    <row r="191" spans="1:6">
      <c r="A191" s="91" t="s">
        <v>729</v>
      </c>
      <c r="B191" t="s">
        <v>1660</v>
      </c>
      <c r="C191" s="141" t="s">
        <v>104</v>
      </c>
      <c r="D191" s="685">
        <v>7.2653409090909093</v>
      </c>
      <c r="E191" s="693">
        <v>28273092.440000001</v>
      </c>
      <c r="F191">
        <v>5</v>
      </c>
    </row>
    <row r="192" spans="1:6">
      <c r="A192" s="91" t="s">
        <v>871</v>
      </c>
      <c r="B192" t="s">
        <v>841</v>
      </c>
      <c r="C192" s="141" t="s">
        <v>104</v>
      </c>
      <c r="D192" s="685">
        <v>2.3827651515151516</v>
      </c>
      <c r="E192" s="693">
        <v>42663738.040000007</v>
      </c>
      <c r="F192">
        <v>3</v>
      </c>
    </row>
    <row r="193" spans="1:6">
      <c r="A193" s="91" t="s">
        <v>881</v>
      </c>
      <c r="B193" t="s">
        <v>1909</v>
      </c>
      <c r="C193" s="141" t="s">
        <v>104</v>
      </c>
      <c r="D193" s="685">
        <v>0</v>
      </c>
      <c r="E193" s="693">
        <v>0</v>
      </c>
      <c r="F193">
        <v>205</v>
      </c>
    </row>
    <row r="194" spans="1:6">
      <c r="A194" s="91" t="s">
        <v>889</v>
      </c>
      <c r="B194" t="s">
        <v>885</v>
      </c>
      <c r="C194" s="141" t="s">
        <v>110</v>
      </c>
      <c r="D194" s="685">
        <v>1.7045454545454546</v>
      </c>
      <c r="E194" s="693">
        <v>11685824.359999999</v>
      </c>
      <c r="F194">
        <v>28</v>
      </c>
    </row>
    <row r="195" spans="1:6">
      <c r="A195" s="91" t="s">
        <v>921</v>
      </c>
      <c r="B195" t="s">
        <v>911</v>
      </c>
      <c r="C195" s="141" t="s">
        <v>104</v>
      </c>
      <c r="D195" s="685">
        <v>1.1174242424242424</v>
      </c>
      <c r="E195" s="693">
        <v>4398396.53</v>
      </c>
      <c r="F195">
        <v>96</v>
      </c>
    </row>
    <row r="196" spans="1:6">
      <c r="A196" s="91" t="s">
        <v>927</v>
      </c>
      <c r="B196" t="s">
        <v>1910</v>
      </c>
      <c r="C196" s="141" t="s">
        <v>110</v>
      </c>
      <c r="D196" s="685">
        <v>0</v>
      </c>
      <c r="E196" s="693">
        <v>0</v>
      </c>
      <c r="F196">
        <v>206</v>
      </c>
    </row>
    <row r="197" spans="1:6">
      <c r="A197" s="91" t="s">
        <v>973</v>
      </c>
      <c r="B197" t="s">
        <v>1563</v>
      </c>
      <c r="C197" s="141" t="s">
        <v>104</v>
      </c>
      <c r="D197" s="685">
        <v>3.0500631313131317</v>
      </c>
      <c r="E197" s="693">
        <v>11669814.720000001</v>
      </c>
      <c r="F197">
        <v>29</v>
      </c>
    </row>
    <row r="198" spans="1:6">
      <c r="A198" s="91" t="s">
        <v>861</v>
      </c>
      <c r="B198" t="s">
        <v>841</v>
      </c>
      <c r="C198" s="141" t="s">
        <v>104</v>
      </c>
      <c r="D198" s="685">
        <v>0</v>
      </c>
      <c r="E198" s="693">
        <v>5046701.72</v>
      </c>
      <c r="F198">
        <v>87</v>
      </c>
    </row>
    <row r="199" spans="1:6">
      <c r="A199" s="91" t="s">
        <v>1563</v>
      </c>
      <c r="B199" t="s">
        <v>1563</v>
      </c>
      <c r="C199" s="141" t="s">
        <v>104</v>
      </c>
      <c r="D199" s="685"/>
      <c r="E199" s="693">
        <v>12259431.25</v>
      </c>
      <c r="F199">
        <v>24</v>
      </c>
    </row>
    <row r="200" spans="1:6">
      <c r="A200" s="91" t="s">
        <v>862</v>
      </c>
      <c r="B200" t="s">
        <v>841</v>
      </c>
      <c r="C200" s="141" t="s">
        <v>104</v>
      </c>
      <c r="D200" s="685">
        <v>1.5540404040404041</v>
      </c>
      <c r="E200" s="693">
        <v>4659362.95</v>
      </c>
      <c r="F200">
        <v>91</v>
      </c>
    </row>
    <row r="201" spans="1:6">
      <c r="A201" s="91" t="s">
        <v>634</v>
      </c>
      <c r="B201" t="s">
        <v>596</v>
      </c>
      <c r="C201" s="141" t="s">
        <v>110</v>
      </c>
      <c r="D201" s="685">
        <v>0.18257575757575759</v>
      </c>
      <c r="E201" s="693">
        <v>585457.1</v>
      </c>
      <c r="F201">
        <v>168</v>
      </c>
    </row>
    <row r="202" spans="1:6">
      <c r="A202" s="91" t="s">
        <v>912</v>
      </c>
      <c r="B202" t="s">
        <v>911</v>
      </c>
      <c r="C202" s="141" t="s">
        <v>104</v>
      </c>
      <c r="D202" s="685">
        <v>1.7149621212121211</v>
      </c>
      <c r="E202" s="693">
        <v>13299701.950000001</v>
      </c>
      <c r="F202">
        <v>22</v>
      </c>
    </row>
    <row r="203" spans="1:6">
      <c r="A203" s="91" t="s">
        <v>444</v>
      </c>
      <c r="B203" t="s">
        <v>1657</v>
      </c>
      <c r="C203" s="141" t="s">
        <v>110</v>
      </c>
      <c r="D203" s="685">
        <v>0.36458333333333331</v>
      </c>
      <c r="E203" s="693">
        <v>1541466.82</v>
      </c>
      <c r="F203">
        <v>143</v>
      </c>
    </row>
    <row r="204" spans="1:6">
      <c r="A204" s="91" t="s">
        <v>448</v>
      </c>
      <c r="B204" t="s">
        <v>1657</v>
      </c>
      <c r="C204" s="141" t="s">
        <v>104</v>
      </c>
      <c r="D204" s="685">
        <v>0</v>
      </c>
      <c r="E204" s="693">
        <v>10903494.050000001</v>
      </c>
      <c r="F204">
        <v>35</v>
      </c>
    </row>
    <row r="205" spans="1:6">
      <c r="A205" s="91" t="s">
        <v>449</v>
      </c>
      <c r="B205" t="s">
        <v>1657</v>
      </c>
      <c r="C205" s="141" t="s">
        <v>110</v>
      </c>
      <c r="D205" s="685">
        <v>0.42</v>
      </c>
      <c r="E205" s="693">
        <v>14644336.969999999</v>
      </c>
      <c r="F205">
        <v>19</v>
      </c>
    </row>
    <row r="206" spans="1:6">
      <c r="A206" s="91" t="s">
        <v>456</v>
      </c>
      <c r="B206" t="s">
        <v>1657</v>
      </c>
      <c r="C206" s="141" t="s">
        <v>110</v>
      </c>
      <c r="D206" s="685">
        <v>0</v>
      </c>
      <c r="E206" s="693">
        <v>327708.92</v>
      </c>
      <c r="F206">
        <v>174</v>
      </c>
    </row>
    <row r="207" spans="1:6">
      <c r="A207" s="91" t="s">
        <v>638</v>
      </c>
      <c r="B207" t="s">
        <v>596</v>
      </c>
      <c r="C207" s="141" t="s">
        <v>104</v>
      </c>
      <c r="D207" s="685">
        <v>2.0782196969696969</v>
      </c>
      <c r="E207" s="693">
        <v>10742602.229900001</v>
      </c>
      <c r="F207">
        <v>36</v>
      </c>
    </row>
    <row r="208" spans="1:6">
      <c r="A208" s="91" t="s">
        <v>457</v>
      </c>
      <c r="B208" t="s">
        <v>1657</v>
      </c>
      <c r="C208" s="141" t="s">
        <v>104</v>
      </c>
      <c r="D208" s="685">
        <v>1.7150252525252527</v>
      </c>
      <c r="E208" s="693">
        <v>15989572.970000001</v>
      </c>
      <c r="F208">
        <v>14</v>
      </c>
    </row>
    <row r="209" spans="1:6">
      <c r="A209" s="91" t="s">
        <v>728</v>
      </c>
      <c r="B209" t="s">
        <v>1660</v>
      </c>
      <c r="C209" s="141" t="s">
        <v>110</v>
      </c>
      <c r="D209" s="685">
        <v>0</v>
      </c>
      <c r="E209" s="693">
        <v>0</v>
      </c>
      <c r="F209">
        <v>207</v>
      </c>
    </row>
    <row r="210" spans="1:6">
      <c r="A210" s="91" t="s">
        <v>920</v>
      </c>
      <c r="B210" t="s">
        <v>911</v>
      </c>
      <c r="C210" s="141" t="s">
        <v>110</v>
      </c>
      <c r="D210" s="685">
        <v>0</v>
      </c>
      <c r="E210" s="693">
        <v>76166</v>
      </c>
      <c r="F210">
        <v>181</v>
      </c>
    </row>
    <row r="211" spans="1:6">
      <c r="A211" s="91" t="s">
        <v>643</v>
      </c>
      <c r="B211" t="s">
        <v>596</v>
      </c>
      <c r="C211" s="141" t="s">
        <v>110</v>
      </c>
      <c r="D211" s="685">
        <v>0</v>
      </c>
      <c r="E211" s="693">
        <v>4440904.26</v>
      </c>
      <c r="F211">
        <v>95</v>
      </c>
    </row>
    <row r="212" spans="1:6">
      <c r="A212" s="91" t="s">
        <v>869</v>
      </c>
      <c r="B212" t="s">
        <v>841</v>
      </c>
      <c r="C212" s="141" t="s">
        <v>110</v>
      </c>
      <c r="D212" s="685">
        <v>0</v>
      </c>
      <c r="E212" s="693">
        <v>7816036.5899999999</v>
      </c>
      <c r="F212">
        <v>61</v>
      </c>
    </row>
    <row r="213" spans="1:6">
      <c r="A213" s="91" t="s">
        <v>870</v>
      </c>
      <c r="B213" t="s">
        <v>841</v>
      </c>
      <c r="C213" s="141" t="s">
        <v>110</v>
      </c>
      <c r="D213" s="685">
        <v>0</v>
      </c>
      <c r="E213" s="693">
        <v>0</v>
      </c>
      <c r="F213">
        <v>208</v>
      </c>
    </row>
    <row r="214" spans="1:6">
      <c r="A214" s="924" t="s">
        <v>1465</v>
      </c>
      <c r="B214" s="925"/>
      <c r="C214" s="926"/>
      <c r="D214" s="686">
        <f>SUM(D6:D213)</f>
        <v>147.65792403195314</v>
      </c>
      <c r="E214" s="927">
        <f>SUM(E6:E213)</f>
        <v>1322676159.0293996</v>
      </c>
      <c r="F214" s="925"/>
    </row>
  </sheetData>
  <autoFilter ref="A4:F214" xr:uid="{00000000-0009-0000-0000-000015000000}">
    <sortState xmlns:xlrd2="http://schemas.microsoft.com/office/spreadsheetml/2017/richdata2" ref="A5:F215">
      <sortCondition ref="A4:A215"/>
    </sortState>
  </autoFilter>
  <mergeCells count="1">
    <mergeCell ref="A3:F3"/>
  </mergeCells>
  <dataValidations count="1">
    <dataValidation type="list" allowBlank="1" showInputMessage="1" showErrorMessage="1" sqref="D8" xr:uid="{3E5DCEFE-AD30-45AE-B6FF-970CEC6EB5D3}">
      <formula1>Yes_No_Unsure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8"/>
  <dimension ref="A1:B212"/>
  <sheetViews>
    <sheetView topLeftCell="A189" workbookViewId="0">
      <selection activeCell="C218" sqref="C218"/>
    </sheetView>
  </sheetViews>
  <sheetFormatPr defaultRowHeight="14.45"/>
  <cols>
    <col min="1" max="1" width="25.85546875" style="91" bestFit="1" customWidth="1"/>
    <col min="2" max="2" width="32.42578125" style="88" bestFit="1" customWidth="1"/>
  </cols>
  <sheetData>
    <row r="1" spans="1:2">
      <c r="A1" s="85"/>
      <c r="B1" s="86"/>
    </row>
    <row r="2" spans="1:2">
      <c r="A2" s="87"/>
      <c r="B2" s="1207" t="s">
        <v>1911</v>
      </c>
    </row>
    <row r="3" spans="1:2">
      <c r="A3" s="87" t="s">
        <v>1912</v>
      </c>
      <c r="B3" s="1208"/>
    </row>
    <row r="4" spans="1:2">
      <c r="A4" s="87"/>
      <c r="B4" s="1209"/>
    </row>
    <row r="5" spans="1:2">
      <c r="A5" s="89" t="s">
        <v>747</v>
      </c>
      <c r="B5" s="88" t="s">
        <v>1819</v>
      </c>
    </row>
    <row r="6" spans="1:2">
      <c r="A6" s="90" t="s">
        <v>144</v>
      </c>
      <c r="B6" s="88" t="s">
        <v>1823</v>
      </c>
    </row>
    <row r="7" spans="1:2">
      <c r="A7" s="90" t="s">
        <v>145</v>
      </c>
      <c r="B7" s="88" t="s">
        <v>1819</v>
      </c>
    </row>
    <row r="8" spans="1:2">
      <c r="A8" s="89" t="s">
        <v>515</v>
      </c>
      <c r="B8" s="88" t="s">
        <v>1823</v>
      </c>
    </row>
    <row r="9" spans="1:2">
      <c r="A9" s="90" t="s">
        <v>516</v>
      </c>
      <c r="B9" s="88" t="s">
        <v>1819</v>
      </c>
    </row>
    <row r="10" spans="1:2">
      <c r="A10" s="90" t="s">
        <v>752</v>
      </c>
      <c r="B10" s="88" t="s">
        <v>1823</v>
      </c>
    </row>
    <row r="11" spans="1:2">
      <c r="A11" s="89" t="s">
        <v>157</v>
      </c>
      <c r="B11" s="88" t="s">
        <v>1823</v>
      </c>
    </row>
    <row r="12" spans="1:2">
      <c r="A12" s="90" t="s">
        <v>160</v>
      </c>
      <c r="B12" s="88" t="s">
        <v>1819</v>
      </c>
    </row>
    <row r="13" spans="1:2">
      <c r="A13" s="90" t="s">
        <v>161</v>
      </c>
      <c r="B13" s="88" t="s">
        <v>1823</v>
      </c>
    </row>
    <row r="14" spans="1:2">
      <c r="A14" s="90" t="s">
        <v>162</v>
      </c>
      <c r="B14" s="88" t="s">
        <v>1819</v>
      </c>
    </row>
    <row r="15" spans="1:2">
      <c r="A15" s="89" t="s">
        <v>163</v>
      </c>
      <c r="B15" s="88" t="s">
        <v>1819</v>
      </c>
    </row>
    <row r="16" spans="1:2">
      <c r="A16" s="90" t="s">
        <v>759</v>
      </c>
      <c r="B16" s="88" t="s">
        <v>1823</v>
      </c>
    </row>
    <row r="17" spans="1:2">
      <c r="A17" s="90" t="s">
        <v>760</v>
      </c>
      <c r="B17" s="88" t="s">
        <v>1819</v>
      </c>
    </row>
    <row r="18" spans="1:2">
      <c r="A18" s="90" t="s">
        <v>659</v>
      </c>
      <c r="B18" s="88" t="s">
        <v>1819</v>
      </c>
    </row>
    <row r="19" spans="1:2">
      <c r="A19" s="90" t="s">
        <v>168</v>
      </c>
      <c r="B19" s="88" t="s">
        <v>1819</v>
      </c>
    </row>
    <row r="20" spans="1:2">
      <c r="A20" s="90" t="s">
        <v>174</v>
      </c>
      <c r="B20" s="88" t="s">
        <v>1819</v>
      </c>
    </row>
    <row r="21" spans="1:2">
      <c r="A21" s="90" t="s">
        <v>179</v>
      </c>
      <c r="B21" s="88" t="s">
        <v>1819</v>
      </c>
    </row>
    <row r="22" spans="1:2">
      <c r="A22" s="90" t="s">
        <v>184</v>
      </c>
      <c r="B22" s="88" t="s">
        <v>1823</v>
      </c>
    </row>
    <row r="23" spans="1:2">
      <c r="A23" s="89" t="s">
        <v>109</v>
      </c>
      <c r="B23" s="88" t="s">
        <v>1823</v>
      </c>
    </row>
    <row r="24" spans="1:2">
      <c r="A24" s="90" t="s">
        <v>664</v>
      </c>
      <c r="B24" s="88" t="s">
        <v>1819</v>
      </c>
    </row>
    <row r="25" spans="1:2">
      <c r="A25" s="90" t="s">
        <v>188</v>
      </c>
      <c r="B25" s="88" t="s">
        <v>1823</v>
      </c>
    </row>
    <row r="26" spans="1:2">
      <c r="A26" s="90" t="s">
        <v>517</v>
      </c>
      <c r="B26" s="88" t="s">
        <v>1823</v>
      </c>
    </row>
    <row r="27" spans="1:2">
      <c r="A27" s="89" t="s">
        <v>521</v>
      </c>
      <c r="B27" s="88" t="s">
        <v>1819</v>
      </c>
    </row>
    <row r="28" spans="1:2">
      <c r="A28" s="90" t="s">
        <v>189</v>
      </c>
      <c r="B28" s="88" t="s">
        <v>1823</v>
      </c>
    </row>
    <row r="29" spans="1:2">
      <c r="A29" s="90" t="s">
        <v>113</v>
      </c>
      <c r="B29" s="88" t="s">
        <v>1819</v>
      </c>
    </row>
    <row r="30" spans="1:2">
      <c r="A30" s="90" t="s">
        <v>665</v>
      </c>
      <c r="B30" s="88" t="s">
        <v>1823</v>
      </c>
    </row>
    <row r="31" spans="1:2">
      <c r="A31" s="90" t="s">
        <v>929</v>
      </c>
      <c r="B31" s="88" t="s">
        <v>1823</v>
      </c>
    </row>
    <row r="32" spans="1:2">
      <c r="A32" s="90" t="s">
        <v>666</v>
      </c>
      <c r="B32" s="88" t="s">
        <v>1819</v>
      </c>
    </row>
    <row r="33" spans="1:2">
      <c r="A33" s="90" t="s">
        <v>883</v>
      </c>
      <c r="B33" s="88" t="s">
        <v>1823</v>
      </c>
    </row>
    <row r="34" spans="1:2">
      <c r="A34" s="90" t="s">
        <v>190</v>
      </c>
      <c r="B34" s="88" t="s">
        <v>1819</v>
      </c>
    </row>
    <row r="35" spans="1:2">
      <c r="A35" s="90" t="s">
        <v>670</v>
      </c>
      <c r="B35" s="88" t="s">
        <v>1823</v>
      </c>
    </row>
    <row r="36" spans="1:2">
      <c r="A36" s="90" t="s">
        <v>201</v>
      </c>
      <c r="B36" s="88" t="s">
        <v>1823</v>
      </c>
    </row>
    <row r="37" spans="1:2">
      <c r="A37" s="90" t="s">
        <v>764</v>
      </c>
      <c r="B37" s="88" t="s">
        <v>1819</v>
      </c>
    </row>
    <row r="38" spans="1:2">
      <c r="A38" s="90" t="s">
        <v>772</v>
      </c>
      <c r="B38" s="88" t="s">
        <v>1823</v>
      </c>
    </row>
    <row r="39" spans="1:2">
      <c r="A39" s="90" t="s">
        <v>206</v>
      </c>
      <c r="B39" s="88" t="s">
        <v>1823</v>
      </c>
    </row>
    <row r="40" spans="1:2">
      <c r="A40" s="90" t="s">
        <v>777</v>
      </c>
      <c r="B40" s="88" t="s">
        <v>1819</v>
      </c>
    </row>
    <row r="41" spans="1:2">
      <c r="A41" s="90" t="s">
        <v>207</v>
      </c>
      <c r="B41" s="88" t="s">
        <v>1819</v>
      </c>
    </row>
    <row r="42" spans="1:2">
      <c r="A42" s="90" t="s">
        <v>208</v>
      </c>
      <c r="B42" s="88" t="s">
        <v>1819</v>
      </c>
    </row>
    <row r="43" spans="1:2">
      <c r="A43" s="90" t="s">
        <v>678</v>
      </c>
      <c r="B43" s="88" t="s">
        <v>1819</v>
      </c>
    </row>
    <row r="44" spans="1:2">
      <c r="A44" s="90" t="s">
        <v>525</v>
      </c>
      <c r="B44" s="88" t="s">
        <v>1819</v>
      </c>
    </row>
    <row r="45" spans="1:2">
      <c r="A45" s="90" t="s">
        <v>211</v>
      </c>
      <c r="B45" s="88" t="s">
        <v>1819</v>
      </c>
    </row>
    <row r="46" spans="1:2">
      <c r="A46" s="90" t="s">
        <v>212</v>
      </c>
      <c r="B46" s="88" t="s">
        <v>1819</v>
      </c>
    </row>
    <row r="47" spans="1:2">
      <c r="A47" s="90" t="s">
        <v>218</v>
      </c>
      <c r="B47" s="88" t="s">
        <v>1823</v>
      </c>
    </row>
    <row r="48" spans="1:2">
      <c r="A48" s="90" t="s">
        <v>526</v>
      </c>
      <c r="B48" s="88" t="s">
        <v>1823</v>
      </c>
    </row>
    <row r="49" spans="1:2">
      <c r="A49" s="90" t="s">
        <v>126</v>
      </c>
      <c r="B49" s="88" t="s">
        <v>1819</v>
      </c>
    </row>
    <row r="50" spans="1:2">
      <c r="A50" s="90" t="s">
        <v>679</v>
      </c>
      <c r="B50" s="88" t="s">
        <v>1823</v>
      </c>
    </row>
    <row r="51" spans="1:2">
      <c r="A51" s="90" t="s">
        <v>226</v>
      </c>
      <c r="B51" s="88" t="s">
        <v>1823</v>
      </c>
    </row>
    <row r="52" spans="1:2">
      <c r="A52" s="90" t="s">
        <v>227</v>
      </c>
      <c r="B52" s="88" t="s">
        <v>1819</v>
      </c>
    </row>
    <row r="53" spans="1:2">
      <c r="A53" s="90" t="s">
        <v>235</v>
      </c>
      <c r="B53" s="88" t="s">
        <v>1819</v>
      </c>
    </row>
    <row r="54" spans="1:2">
      <c r="A54" s="90" t="s">
        <v>684</v>
      </c>
      <c r="B54" s="88" t="s">
        <v>1819</v>
      </c>
    </row>
    <row r="55" spans="1:2">
      <c r="A55" s="90" t="s">
        <v>236</v>
      </c>
      <c r="B55" s="88" t="s">
        <v>1819</v>
      </c>
    </row>
    <row r="56" spans="1:2">
      <c r="A56" s="90" t="s">
        <v>237</v>
      </c>
      <c r="B56" s="88" t="s">
        <v>1823</v>
      </c>
    </row>
    <row r="57" spans="1:2">
      <c r="A57" s="90" t="s">
        <v>693</v>
      </c>
      <c r="B57" s="88" t="s">
        <v>1819</v>
      </c>
    </row>
    <row r="58" spans="1:2">
      <c r="A58" s="90" t="s">
        <v>898</v>
      </c>
      <c r="B58" s="88" t="s">
        <v>1823</v>
      </c>
    </row>
    <row r="59" spans="1:2">
      <c r="A59" s="90" t="s">
        <v>902</v>
      </c>
      <c r="B59" s="88" t="s">
        <v>1819</v>
      </c>
    </row>
    <row r="60" spans="1:2">
      <c r="A60" s="90" t="s">
        <v>939</v>
      </c>
      <c r="B60" s="88" t="s">
        <v>1823</v>
      </c>
    </row>
    <row r="61" spans="1:2">
      <c r="A61" s="90" t="s">
        <v>778</v>
      </c>
      <c r="B61" s="88" t="s">
        <v>1819</v>
      </c>
    </row>
    <row r="62" spans="1:2">
      <c r="A62" s="90" t="s">
        <v>527</v>
      </c>
      <c r="B62" s="88" t="s">
        <v>1823</v>
      </c>
    </row>
    <row r="63" spans="1:2">
      <c r="A63" s="90" t="s">
        <v>530</v>
      </c>
      <c r="B63" s="88" t="s">
        <v>1819</v>
      </c>
    </row>
    <row r="64" spans="1:2">
      <c r="A64" s="90" t="s">
        <v>540</v>
      </c>
      <c r="B64" s="88" t="s">
        <v>1819</v>
      </c>
    </row>
    <row r="65" spans="1:2">
      <c r="A65" s="90" t="s">
        <v>238</v>
      </c>
      <c r="B65" s="88" t="s">
        <v>1819</v>
      </c>
    </row>
    <row r="66" spans="1:2">
      <c r="A66" s="90" t="s">
        <v>247</v>
      </c>
      <c r="B66" s="88" t="s">
        <v>1819</v>
      </c>
    </row>
    <row r="67" spans="1:2">
      <c r="A67" s="90" t="s">
        <v>248</v>
      </c>
      <c r="B67" s="88" t="s">
        <v>1823</v>
      </c>
    </row>
    <row r="68" spans="1:2">
      <c r="A68" s="90" t="s">
        <v>884</v>
      </c>
      <c r="B68" s="88" t="s">
        <v>1823</v>
      </c>
    </row>
    <row r="69" spans="1:2">
      <c r="A69" s="90" t="s">
        <v>794</v>
      </c>
      <c r="B69" s="88" t="s">
        <v>1819</v>
      </c>
    </row>
    <row r="70" spans="1:2">
      <c r="A70" s="90" t="s">
        <v>141</v>
      </c>
      <c r="B70" s="88" t="s">
        <v>1819</v>
      </c>
    </row>
    <row r="71" spans="1:2">
      <c r="A71" s="90" t="s">
        <v>259</v>
      </c>
      <c r="B71" s="88" t="s">
        <v>1819</v>
      </c>
    </row>
    <row r="72" spans="1:2">
      <c r="A72" s="90" t="s">
        <v>260</v>
      </c>
      <c r="B72" s="88" t="s">
        <v>1819</v>
      </c>
    </row>
    <row r="73" spans="1:2">
      <c r="A73" s="90" t="s">
        <v>685</v>
      </c>
      <c r="B73" s="88" t="s">
        <v>1819</v>
      </c>
    </row>
    <row r="74" spans="1:2">
      <c r="A74" s="90" t="s">
        <v>264</v>
      </c>
      <c r="B74" s="88" t="s">
        <v>1823</v>
      </c>
    </row>
    <row r="75" spans="1:2">
      <c r="A75" s="90" t="s">
        <v>795</v>
      </c>
      <c r="B75" s="88" t="s">
        <v>1819</v>
      </c>
    </row>
    <row r="76" spans="1:2">
      <c r="A76" s="90" t="s">
        <v>265</v>
      </c>
      <c r="B76" s="88" t="s">
        <v>1823</v>
      </c>
    </row>
    <row r="77" spans="1:2">
      <c r="A77" s="90" t="s">
        <v>802</v>
      </c>
      <c r="B77" s="88" t="s">
        <v>1819</v>
      </c>
    </row>
    <row r="78" spans="1:2">
      <c r="A78" s="90" t="s">
        <v>552</v>
      </c>
      <c r="B78" s="88" t="s">
        <v>1819</v>
      </c>
    </row>
    <row r="79" spans="1:2">
      <c r="A79" s="90" t="s">
        <v>266</v>
      </c>
      <c r="B79" s="88" t="s">
        <v>1819</v>
      </c>
    </row>
    <row r="80" spans="1:2">
      <c r="A80" s="90" t="s">
        <v>688</v>
      </c>
      <c r="B80" s="88" t="s">
        <v>1823</v>
      </c>
    </row>
    <row r="81" spans="1:2">
      <c r="A81" s="90" t="s">
        <v>271</v>
      </c>
      <c r="B81" s="88" t="s">
        <v>1819</v>
      </c>
    </row>
    <row r="82" spans="1:2">
      <c r="A82" s="90" t="s">
        <v>272</v>
      </c>
      <c r="B82" s="88" t="s">
        <v>1819</v>
      </c>
    </row>
    <row r="83" spans="1:2">
      <c r="A83" s="90" t="s">
        <v>561</v>
      </c>
      <c r="B83" s="88" t="s">
        <v>1823</v>
      </c>
    </row>
    <row r="84" spans="1:2">
      <c r="A84" s="90" t="s">
        <v>276</v>
      </c>
      <c r="B84" s="88" t="s">
        <v>1819</v>
      </c>
    </row>
    <row r="85" spans="1:2">
      <c r="A85" s="90" t="s">
        <v>692</v>
      </c>
      <c r="B85" s="88" t="s">
        <v>1819</v>
      </c>
    </row>
    <row r="86" spans="1:2">
      <c r="A86" s="90" t="s">
        <v>277</v>
      </c>
      <c r="B86" s="88" t="s">
        <v>1823</v>
      </c>
    </row>
    <row r="87" spans="1:2">
      <c r="A87" s="90" t="s">
        <v>562</v>
      </c>
      <c r="B87" s="88" t="s">
        <v>1819</v>
      </c>
    </row>
    <row r="88" spans="1:2">
      <c r="A88" s="90" t="s">
        <v>278</v>
      </c>
      <c r="B88" s="88" t="s">
        <v>1823</v>
      </c>
    </row>
    <row r="89" spans="1:2">
      <c r="A89" s="90" t="s">
        <v>284</v>
      </c>
      <c r="B89" s="88" t="s">
        <v>1819</v>
      </c>
    </row>
    <row r="90" spans="1:2">
      <c r="A90" s="90" t="s">
        <v>567</v>
      </c>
      <c r="B90" s="88" t="s">
        <v>1823</v>
      </c>
    </row>
    <row r="91" spans="1:2">
      <c r="A91" s="90" t="s">
        <v>285</v>
      </c>
      <c r="B91" s="88" t="s">
        <v>1819</v>
      </c>
    </row>
    <row r="92" spans="1:2">
      <c r="A92" s="90" t="s">
        <v>289</v>
      </c>
      <c r="B92" s="88" t="s">
        <v>1823</v>
      </c>
    </row>
    <row r="93" spans="1:2">
      <c r="A93" s="90" t="s">
        <v>571</v>
      </c>
      <c r="B93" s="88" t="s">
        <v>1823</v>
      </c>
    </row>
    <row r="94" spans="1:2">
      <c r="A94" s="90" t="s">
        <v>578</v>
      </c>
      <c r="B94" s="88" t="s">
        <v>1823</v>
      </c>
    </row>
    <row r="95" spans="1:2">
      <c r="A95" s="90" t="s">
        <v>579</v>
      </c>
      <c r="B95" s="88" t="s">
        <v>1823</v>
      </c>
    </row>
    <row r="96" spans="1:2">
      <c r="A96" s="90" t="s">
        <v>580</v>
      </c>
      <c r="B96" s="88" t="s">
        <v>1823</v>
      </c>
    </row>
    <row r="97" spans="1:2">
      <c r="A97" s="90" t="s">
        <v>581</v>
      </c>
      <c r="B97" s="88" t="s">
        <v>1823</v>
      </c>
    </row>
    <row r="98" spans="1:2">
      <c r="A98" s="90" t="s">
        <v>295</v>
      </c>
      <c r="B98" s="88" t="s">
        <v>1819</v>
      </c>
    </row>
    <row r="99" spans="1:2">
      <c r="A99" s="90" t="s">
        <v>303</v>
      </c>
      <c r="B99" s="88" t="s">
        <v>1819</v>
      </c>
    </row>
    <row r="100" spans="1:2">
      <c r="A100" s="90" t="s">
        <v>309</v>
      </c>
      <c r="B100" s="88" t="s">
        <v>1819</v>
      </c>
    </row>
    <row r="101" spans="1:2">
      <c r="A101" s="90" t="s">
        <v>905</v>
      </c>
      <c r="B101" s="88" t="s">
        <v>1819</v>
      </c>
    </row>
    <row r="102" spans="1:2">
      <c r="A102" s="90" t="s">
        <v>806</v>
      </c>
      <c r="B102" s="88" t="s">
        <v>1819</v>
      </c>
    </row>
    <row r="103" spans="1:2">
      <c r="A103" s="90" t="s">
        <v>313</v>
      </c>
      <c r="B103" s="88" t="s">
        <v>1823</v>
      </c>
    </row>
    <row r="104" spans="1:2">
      <c r="A104" s="90" t="s">
        <v>314</v>
      </c>
      <c r="B104" s="88" t="s">
        <v>1819</v>
      </c>
    </row>
    <row r="105" spans="1:2">
      <c r="A105" s="90" t="s">
        <v>582</v>
      </c>
      <c r="B105" s="88" t="s">
        <v>1823</v>
      </c>
    </row>
    <row r="106" spans="1:2">
      <c r="A106" s="90" t="s">
        <v>324</v>
      </c>
      <c r="B106" s="88" t="s">
        <v>1819</v>
      </c>
    </row>
    <row r="107" spans="1:2">
      <c r="A107" s="90" t="s">
        <v>325</v>
      </c>
      <c r="B107" s="88" t="s">
        <v>1819</v>
      </c>
    </row>
    <row r="108" spans="1:2">
      <c r="A108" s="90" t="s">
        <v>330</v>
      </c>
      <c r="B108" s="88" t="s">
        <v>1823</v>
      </c>
    </row>
    <row r="109" spans="1:2">
      <c r="A109" s="90" t="s">
        <v>505</v>
      </c>
      <c r="B109" s="88" t="s">
        <v>1823</v>
      </c>
    </row>
    <row r="110" spans="1:2">
      <c r="A110" s="90" t="s">
        <v>331</v>
      </c>
      <c r="B110" s="88" t="s">
        <v>1823</v>
      </c>
    </row>
    <row r="111" spans="1:2">
      <c r="A111" s="90" t="s">
        <v>335</v>
      </c>
      <c r="B111" s="88" t="s">
        <v>1819</v>
      </c>
    </row>
    <row r="112" spans="1:2">
      <c r="A112" s="90" t="s">
        <v>132</v>
      </c>
      <c r="B112" s="88" t="s">
        <v>1819</v>
      </c>
    </row>
    <row r="113" spans="1:2">
      <c r="A113" s="90" t="s">
        <v>697</v>
      </c>
      <c r="B113" s="88" t="s">
        <v>1823</v>
      </c>
    </row>
    <row r="114" spans="1:2">
      <c r="A114" s="90" t="s">
        <v>585</v>
      </c>
      <c r="B114" s="88" t="s">
        <v>1823</v>
      </c>
    </row>
    <row r="115" spans="1:2">
      <c r="A115" s="90" t="s">
        <v>336</v>
      </c>
      <c r="B115" s="88" t="s">
        <v>1819</v>
      </c>
    </row>
    <row r="116" spans="1:2">
      <c r="A116" s="89" t="s">
        <v>809</v>
      </c>
      <c r="B116" s="88" t="s">
        <v>1819</v>
      </c>
    </row>
    <row r="117" spans="1:2">
      <c r="A117" s="90" t="s">
        <v>341</v>
      </c>
      <c r="B117" s="88" t="s">
        <v>1819</v>
      </c>
    </row>
    <row r="118" spans="1:2">
      <c r="A118" s="90" t="s">
        <v>352</v>
      </c>
      <c r="B118" s="88" t="s">
        <v>1819</v>
      </c>
    </row>
    <row r="119" spans="1:2">
      <c r="A119" s="89" t="s">
        <v>940</v>
      </c>
      <c r="B119" s="88" t="s">
        <v>1823</v>
      </c>
    </row>
    <row r="120" spans="1:2">
      <c r="A120" s="90" t="s">
        <v>698</v>
      </c>
      <c r="B120" s="88" t="s">
        <v>1819</v>
      </c>
    </row>
    <row r="121" spans="1:2">
      <c r="A121" s="90" t="s">
        <v>704</v>
      </c>
      <c r="B121" s="88" t="s">
        <v>1823</v>
      </c>
    </row>
    <row r="122" spans="1:2">
      <c r="A122" s="90" t="s">
        <v>589</v>
      </c>
      <c r="B122" s="88" t="s">
        <v>1823</v>
      </c>
    </row>
    <row r="123" spans="1:2">
      <c r="A123" s="89" t="s">
        <v>708</v>
      </c>
      <c r="B123" s="88" t="s">
        <v>1823</v>
      </c>
    </row>
    <row r="124" spans="1:2">
      <c r="A124" s="90" t="s">
        <v>356</v>
      </c>
      <c r="B124" s="88" t="s">
        <v>1819</v>
      </c>
    </row>
    <row r="125" spans="1:2">
      <c r="A125" s="90" t="s">
        <v>941</v>
      </c>
      <c r="B125" s="88" t="s">
        <v>1823</v>
      </c>
    </row>
    <row r="126" spans="1:2">
      <c r="A126" s="90" t="s">
        <v>818</v>
      </c>
      <c r="B126" s="88" t="s">
        <v>1819</v>
      </c>
    </row>
    <row r="127" spans="1:2">
      <c r="A127" s="90" t="s">
        <v>596</v>
      </c>
      <c r="B127" s="88" t="s">
        <v>1819</v>
      </c>
    </row>
    <row r="128" spans="1:2">
      <c r="A128" s="90" t="s">
        <v>945</v>
      </c>
      <c r="B128" s="88" t="s">
        <v>1819</v>
      </c>
    </row>
    <row r="129" spans="1:2">
      <c r="A129" s="90" t="s">
        <v>709</v>
      </c>
      <c r="B129" s="88" t="s">
        <v>1823</v>
      </c>
    </row>
    <row r="130" spans="1:2">
      <c r="A130" s="90" t="s">
        <v>710</v>
      </c>
      <c r="B130" s="88" t="s">
        <v>1823</v>
      </c>
    </row>
    <row r="131" spans="1:2">
      <c r="A131" s="90" t="s">
        <v>362</v>
      </c>
      <c r="B131" s="88" t="s">
        <v>1823</v>
      </c>
    </row>
    <row r="132" spans="1:2">
      <c r="A132" s="90" t="s">
        <v>363</v>
      </c>
      <c r="B132" s="88" t="s">
        <v>1823</v>
      </c>
    </row>
    <row r="133" spans="1:2">
      <c r="A133" s="90" t="s">
        <v>364</v>
      </c>
      <c r="B133" s="88" t="s">
        <v>1819</v>
      </c>
    </row>
    <row r="134" spans="1:2">
      <c r="A134" s="90" t="s">
        <v>365</v>
      </c>
      <c r="B134" s="88" t="s">
        <v>1819</v>
      </c>
    </row>
    <row r="135" spans="1:2">
      <c r="A135" s="90" t="s">
        <v>715</v>
      </c>
      <c r="B135" s="88" t="s">
        <v>1819</v>
      </c>
    </row>
    <row r="136" spans="1:2">
      <c r="A136" s="90" t="s">
        <v>366</v>
      </c>
      <c r="B136" s="88" t="s">
        <v>1819</v>
      </c>
    </row>
    <row r="137" spans="1:2">
      <c r="A137" s="90" t="s">
        <v>599</v>
      </c>
      <c r="B137" s="88" t="s">
        <v>1819</v>
      </c>
    </row>
    <row r="138" spans="1:2">
      <c r="A138" s="90" t="s">
        <v>371</v>
      </c>
      <c r="B138" s="88" t="s">
        <v>1819</v>
      </c>
    </row>
    <row r="139" spans="1:2">
      <c r="A139" s="90" t="s">
        <v>953</v>
      </c>
      <c r="B139" s="88" t="s">
        <v>1823</v>
      </c>
    </row>
    <row r="140" spans="1:2">
      <c r="A140" s="90" t="s">
        <v>908</v>
      </c>
      <c r="B140" s="88" t="s">
        <v>1819</v>
      </c>
    </row>
    <row r="141" spans="1:2">
      <c r="A141" s="90" t="s">
        <v>826</v>
      </c>
      <c r="B141" s="88" t="s">
        <v>1819</v>
      </c>
    </row>
    <row r="142" spans="1:2">
      <c r="A142" s="90" t="s">
        <v>719</v>
      </c>
      <c r="B142" s="88" t="s">
        <v>1823</v>
      </c>
    </row>
    <row r="143" spans="1:2">
      <c r="A143" s="90" t="s">
        <v>378</v>
      </c>
      <c r="B143" s="88" t="s">
        <v>1823</v>
      </c>
    </row>
    <row r="144" spans="1:2">
      <c r="A144" s="90" t="s">
        <v>603</v>
      </c>
      <c r="B144" s="88" t="s">
        <v>1823</v>
      </c>
    </row>
    <row r="145" spans="1:2">
      <c r="A145" s="90" t="s">
        <v>833</v>
      </c>
      <c r="B145" s="88" t="s">
        <v>1819</v>
      </c>
    </row>
    <row r="146" spans="1:2">
      <c r="A146" s="90" t="s">
        <v>384</v>
      </c>
      <c r="B146" s="88" t="s">
        <v>1823</v>
      </c>
    </row>
    <row r="147" spans="1:2">
      <c r="A147" s="90" t="s">
        <v>838</v>
      </c>
      <c r="B147" s="88" t="s">
        <v>1819</v>
      </c>
    </row>
    <row r="148" spans="1:2">
      <c r="A148" s="90" t="s">
        <v>133</v>
      </c>
      <c r="B148" s="88" t="s">
        <v>1823</v>
      </c>
    </row>
    <row r="149" spans="1:2">
      <c r="A149" s="90" t="s">
        <v>720</v>
      </c>
      <c r="B149" s="88" t="s">
        <v>1819</v>
      </c>
    </row>
    <row r="150" spans="1:2">
      <c r="A150" s="90" t="s">
        <v>388</v>
      </c>
      <c r="B150" s="88" t="s">
        <v>1823</v>
      </c>
    </row>
    <row r="151" spans="1:2">
      <c r="A151" s="90" t="s">
        <v>389</v>
      </c>
      <c r="B151" s="88" t="s">
        <v>1823</v>
      </c>
    </row>
    <row r="152" spans="1:2">
      <c r="A152" s="90" t="s">
        <v>392</v>
      </c>
      <c r="B152" s="88" t="s">
        <v>1819</v>
      </c>
    </row>
    <row r="153" spans="1:2">
      <c r="A153" s="90" t="s">
        <v>841</v>
      </c>
      <c r="B153" s="88" t="s">
        <v>1819</v>
      </c>
    </row>
    <row r="154" spans="1:2">
      <c r="A154" s="90" t="s">
        <v>396</v>
      </c>
      <c r="B154" s="88" t="s">
        <v>1823</v>
      </c>
    </row>
    <row r="155" spans="1:2">
      <c r="A155" s="90" t="s">
        <v>397</v>
      </c>
      <c r="B155" s="88" t="s">
        <v>1819</v>
      </c>
    </row>
    <row r="156" spans="1:2">
      <c r="A156" s="90" t="s">
        <v>398</v>
      </c>
      <c r="B156" s="88" t="s">
        <v>1819</v>
      </c>
    </row>
    <row r="157" spans="1:2">
      <c r="A157" s="89" t="s">
        <v>721</v>
      </c>
      <c r="B157" s="88" t="s">
        <v>1819</v>
      </c>
    </row>
    <row r="158" spans="1:2">
      <c r="A158" s="90" t="s">
        <v>405</v>
      </c>
      <c r="B158" s="88" t="s">
        <v>1823</v>
      </c>
    </row>
    <row r="159" spans="1:2">
      <c r="A159" s="90" t="s">
        <v>604</v>
      </c>
      <c r="B159" s="88" t="s">
        <v>1819</v>
      </c>
    </row>
    <row r="160" spans="1:2">
      <c r="A160" s="90" t="s">
        <v>885</v>
      </c>
      <c r="B160" s="88" t="s">
        <v>1823</v>
      </c>
    </row>
    <row r="161" spans="1:2">
      <c r="A161" s="90" t="s">
        <v>409</v>
      </c>
      <c r="B161" s="88" t="s">
        <v>1823</v>
      </c>
    </row>
    <row r="162" spans="1:2">
      <c r="A162" s="90" t="s">
        <v>410</v>
      </c>
      <c r="B162" s="88" t="s">
        <v>1819</v>
      </c>
    </row>
    <row r="163" spans="1:2">
      <c r="A163" s="90" t="s">
        <v>411</v>
      </c>
      <c r="B163" s="88" t="s">
        <v>1819</v>
      </c>
    </row>
    <row r="164" spans="1:2">
      <c r="A164" s="90" t="s">
        <v>958</v>
      </c>
      <c r="B164" s="88" t="s">
        <v>1823</v>
      </c>
    </row>
    <row r="165" spans="1:2">
      <c r="A165" s="90" t="s">
        <v>622</v>
      </c>
      <c r="B165" s="88" t="s">
        <v>1823</v>
      </c>
    </row>
    <row r="166" spans="1:2">
      <c r="A166" s="90" t="s">
        <v>417</v>
      </c>
      <c r="B166" s="88" t="s">
        <v>1823</v>
      </c>
    </row>
    <row r="167" spans="1:2">
      <c r="A167" s="90" t="s">
        <v>418</v>
      </c>
      <c r="B167" s="88" t="s">
        <v>1819</v>
      </c>
    </row>
    <row r="168" spans="1:2">
      <c r="A168" s="90" t="s">
        <v>961</v>
      </c>
      <c r="B168" s="88" t="s">
        <v>1823</v>
      </c>
    </row>
    <row r="169" spans="1:2">
      <c r="A169" s="90" t="s">
        <v>419</v>
      </c>
      <c r="B169" s="88" t="s">
        <v>1819</v>
      </c>
    </row>
    <row r="170" spans="1:2">
      <c r="A170" s="90" t="s">
        <v>423</v>
      </c>
      <c r="B170" s="88" t="s">
        <v>1819</v>
      </c>
    </row>
    <row r="171" spans="1:2">
      <c r="A171" s="90" t="s">
        <v>429</v>
      </c>
      <c r="B171" s="88" t="s">
        <v>1823</v>
      </c>
    </row>
    <row r="172" spans="1:2">
      <c r="A172" s="90" t="s">
        <v>629</v>
      </c>
      <c r="B172" s="88" t="s">
        <v>1819</v>
      </c>
    </row>
    <row r="173" spans="1:2">
      <c r="A173" s="90" t="s">
        <v>134</v>
      </c>
      <c r="B173" s="88" t="s">
        <v>1823</v>
      </c>
    </row>
    <row r="174" spans="1:2">
      <c r="A174" s="90" t="s">
        <v>724</v>
      </c>
      <c r="B174" s="88" t="s">
        <v>1823</v>
      </c>
    </row>
    <row r="175" spans="1:2">
      <c r="A175" s="90" t="s">
        <v>433</v>
      </c>
      <c r="B175" s="88" t="s">
        <v>1823</v>
      </c>
    </row>
    <row r="176" spans="1:2">
      <c r="A176" s="90" t="s">
        <v>968</v>
      </c>
      <c r="B176" s="88" t="s">
        <v>1823</v>
      </c>
    </row>
    <row r="177" spans="1:2">
      <c r="A177" s="90" t="s">
        <v>438</v>
      </c>
      <c r="B177" s="88" t="s">
        <v>1819</v>
      </c>
    </row>
    <row r="178" spans="1:2">
      <c r="A178" s="90" t="s">
        <v>911</v>
      </c>
      <c r="B178" s="88" t="s">
        <v>1819</v>
      </c>
    </row>
    <row r="179" spans="1:2">
      <c r="A179" s="90" t="s">
        <v>633</v>
      </c>
      <c r="B179" s="88" t="s">
        <v>1823</v>
      </c>
    </row>
    <row r="180" spans="1:2">
      <c r="A180" s="90" t="s">
        <v>853</v>
      </c>
      <c r="B180" s="88" t="s">
        <v>1823</v>
      </c>
    </row>
    <row r="181" spans="1:2">
      <c r="A181" s="90" t="s">
        <v>102</v>
      </c>
      <c r="B181" s="88" t="s">
        <v>1819</v>
      </c>
    </row>
    <row r="182" spans="1:2">
      <c r="A182" s="90" t="s">
        <v>107</v>
      </c>
      <c r="B182" s="88" t="s">
        <v>1819</v>
      </c>
    </row>
    <row r="183" spans="1:2">
      <c r="A183" s="90" t="s">
        <v>111</v>
      </c>
      <c r="B183" s="88" t="s">
        <v>1819</v>
      </c>
    </row>
    <row r="184" spans="1:2">
      <c r="A184" s="89" t="s">
        <v>135</v>
      </c>
      <c r="B184" s="88" t="s">
        <v>1819</v>
      </c>
    </row>
    <row r="185" spans="1:2">
      <c r="A185" s="90" t="s">
        <v>142</v>
      </c>
      <c r="B185" s="88" t="s">
        <v>1819</v>
      </c>
    </row>
    <row r="186" spans="1:2">
      <c r="A186" s="90" t="s">
        <v>469</v>
      </c>
      <c r="B186" s="88" t="s">
        <v>1819</v>
      </c>
    </row>
    <row r="187" spans="1:2">
      <c r="A187" s="90" t="s">
        <v>503</v>
      </c>
      <c r="B187" s="88" t="s">
        <v>1819</v>
      </c>
    </row>
    <row r="188" spans="1:2">
      <c r="A188" s="90" t="s">
        <v>510</v>
      </c>
      <c r="B188" s="88" t="s">
        <v>1823</v>
      </c>
    </row>
    <row r="189" spans="1:2">
      <c r="A189" s="90" t="s">
        <v>647</v>
      </c>
      <c r="B189" s="88" t="s">
        <v>1819</v>
      </c>
    </row>
    <row r="190" spans="1:2">
      <c r="A190" s="90" t="s">
        <v>729</v>
      </c>
      <c r="B190" s="88" t="s">
        <v>1819</v>
      </c>
    </row>
    <row r="191" spans="1:2">
      <c r="A191" s="90" t="s">
        <v>871</v>
      </c>
      <c r="B191" s="88" t="s">
        <v>1819</v>
      </c>
    </row>
    <row r="192" spans="1:2">
      <c r="A192" s="90" t="s">
        <v>881</v>
      </c>
      <c r="B192" s="88" t="s">
        <v>1819</v>
      </c>
    </row>
    <row r="193" spans="1:2">
      <c r="A193" s="90" t="s">
        <v>889</v>
      </c>
      <c r="B193" s="88" t="s">
        <v>1823</v>
      </c>
    </row>
    <row r="194" spans="1:2">
      <c r="A194" s="90" t="s">
        <v>921</v>
      </c>
      <c r="B194" s="88" t="s">
        <v>1819</v>
      </c>
    </row>
    <row r="195" spans="1:2">
      <c r="A195" s="90" t="s">
        <v>927</v>
      </c>
      <c r="B195" s="88" t="s">
        <v>1823</v>
      </c>
    </row>
    <row r="196" spans="1:2">
      <c r="A196" s="90" t="s">
        <v>973</v>
      </c>
      <c r="B196" s="88" t="s">
        <v>1819</v>
      </c>
    </row>
    <row r="197" spans="1:2">
      <c r="A197" s="90" t="s">
        <v>861</v>
      </c>
      <c r="B197" s="88" t="s">
        <v>1819</v>
      </c>
    </row>
    <row r="198" spans="1:2">
      <c r="A198" s="90" t="s">
        <v>1563</v>
      </c>
      <c r="B198" s="88" t="s">
        <v>1819</v>
      </c>
    </row>
    <row r="199" spans="1:2">
      <c r="A199" s="90" t="s">
        <v>862</v>
      </c>
      <c r="B199" s="88" t="s">
        <v>1819</v>
      </c>
    </row>
    <row r="200" spans="1:2">
      <c r="A200" s="90" t="s">
        <v>634</v>
      </c>
      <c r="B200" s="88" t="s">
        <v>1823</v>
      </c>
    </row>
    <row r="201" spans="1:2">
      <c r="A201" s="90" t="s">
        <v>912</v>
      </c>
      <c r="B201" s="88" t="s">
        <v>1819</v>
      </c>
    </row>
    <row r="202" spans="1:2">
      <c r="A202" s="90" t="s">
        <v>444</v>
      </c>
      <c r="B202" s="88" t="s">
        <v>1823</v>
      </c>
    </row>
    <row r="203" spans="1:2">
      <c r="A203" s="90" t="s">
        <v>448</v>
      </c>
      <c r="B203" s="88" t="s">
        <v>1819</v>
      </c>
    </row>
    <row r="204" spans="1:2">
      <c r="A204" s="90" t="s">
        <v>449</v>
      </c>
      <c r="B204" s="88" t="s">
        <v>1823</v>
      </c>
    </row>
    <row r="205" spans="1:2">
      <c r="A205" s="90" t="s">
        <v>456</v>
      </c>
      <c r="B205" s="88" t="s">
        <v>1823</v>
      </c>
    </row>
    <row r="206" spans="1:2">
      <c r="A206" s="90" t="s">
        <v>638</v>
      </c>
      <c r="B206" s="88" t="s">
        <v>1819</v>
      </c>
    </row>
    <row r="207" spans="1:2">
      <c r="A207" s="90" t="s">
        <v>457</v>
      </c>
      <c r="B207" s="88" t="s">
        <v>1819</v>
      </c>
    </row>
    <row r="208" spans="1:2">
      <c r="A208" s="90" t="s">
        <v>728</v>
      </c>
      <c r="B208" s="88" t="s">
        <v>1823</v>
      </c>
    </row>
    <row r="209" spans="1:2">
      <c r="A209" s="90" t="s">
        <v>920</v>
      </c>
      <c r="B209" s="88" t="s">
        <v>1823</v>
      </c>
    </row>
    <row r="210" spans="1:2">
      <c r="A210" s="89" t="s">
        <v>643</v>
      </c>
      <c r="B210" s="88" t="s">
        <v>1823</v>
      </c>
    </row>
    <row r="211" spans="1:2">
      <c r="A211" s="90" t="s">
        <v>869</v>
      </c>
      <c r="B211" s="88" t="s">
        <v>1823</v>
      </c>
    </row>
    <row r="212" spans="1:2">
      <c r="A212" s="90" t="s">
        <v>870</v>
      </c>
      <c r="B212" s="88" t="s">
        <v>1823</v>
      </c>
    </row>
  </sheetData>
  <mergeCells count="1">
    <mergeCell ref="B2:B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94DCA-F32A-4EB5-8452-BB07498BA6B6}">
  <dimension ref="A1:M20"/>
  <sheetViews>
    <sheetView topLeftCell="B1" workbookViewId="0">
      <selection activeCell="I13" sqref="I13"/>
    </sheetView>
  </sheetViews>
  <sheetFormatPr defaultRowHeight="14.45"/>
  <cols>
    <col min="1" max="1" width="12" bestFit="1" customWidth="1"/>
    <col min="4" max="4" width="13.5703125" customWidth="1"/>
    <col min="5" max="5" width="32.5703125" customWidth="1"/>
    <col min="6" max="6" width="8.85546875" hidden="1" customWidth="1"/>
    <col min="7" max="7" width="19.140625" customWidth="1"/>
    <col min="8" max="8" width="24.85546875" hidden="1" customWidth="1"/>
    <col min="9" max="9" width="34.42578125" customWidth="1"/>
    <col min="10" max="10" width="14.42578125" customWidth="1"/>
    <col min="11" max="11" width="12.5703125" customWidth="1"/>
  </cols>
  <sheetData>
    <row r="1" spans="1:13">
      <c r="A1" s="832" t="s">
        <v>1913</v>
      </c>
      <c r="B1" s="831"/>
      <c r="C1" s="842"/>
    </row>
    <row r="2" spans="1:13" ht="15" thickBot="1"/>
    <row r="3" spans="1:13" ht="15" thickBot="1">
      <c r="C3" s="1210" t="s">
        <v>1914</v>
      </c>
      <c r="D3" s="1211"/>
      <c r="E3" s="1211"/>
      <c r="F3" s="1211"/>
      <c r="G3" s="1211"/>
      <c r="H3" s="1211"/>
      <c r="I3" s="1211"/>
      <c r="J3" s="1211"/>
      <c r="K3" s="1212"/>
    </row>
    <row r="4" spans="1:13" ht="87">
      <c r="C4" s="823" t="s">
        <v>1201</v>
      </c>
      <c r="D4" s="824" t="s">
        <v>1915</v>
      </c>
      <c r="E4" s="824" t="s">
        <v>1916</v>
      </c>
      <c r="F4" s="825" t="s">
        <v>1917</v>
      </c>
      <c r="G4" s="826" t="s">
        <v>1918</v>
      </c>
      <c r="H4" s="826" t="s">
        <v>1919</v>
      </c>
      <c r="I4" s="826" t="s">
        <v>1920</v>
      </c>
      <c r="J4" s="826" t="s">
        <v>1921</v>
      </c>
      <c r="K4" s="826" t="s">
        <v>1922</v>
      </c>
      <c r="M4" s="928"/>
    </row>
    <row r="5" spans="1:13" ht="15" thickBot="1">
      <c r="C5" s="929" t="s">
        <v>95</v>
      </c>
      <c r="D5" s="930" t="s">
        <v>99</v>
      </c>
      <c r="E5" s="930" t="s">
        <v>99</v>
      </c>
      <c r="F5" s="931"/>
      <c r="G5" s="932" t="s">
        <v>99</v>
      </c>
      <c r="H5" s="932" t="s">
        <v>99</v>
      </c>
      <c r="I5" s="932" t="s">
        <v>99</v>
      </c>
      <c r="J5" s="932" t="s">
        <v>87</v>
      </c>
      <c r="K5" s="932" t="s">
        <v>87</v>
      </c>
    </row>
    <row r="6" spans="1:13">
      <c r="C6" s="933">
        <v>2019</v>
      </c>
      <c r="D6" s="934">
        <v>0.63926699011534482</v>
      </c>
      <c r="E6" s="934">
        <f>D6*12</f>
        <v>7.6712038813841374</v>
      </c>
      <c r="F6" s="935"/>
      <c r="G6" s="827">
        <f>E6*J6</f>
        <v>34182232.443117797</v>
      </c>
      <c r="H6" s="828">
        <f>G6/I6</f>
        <v>2.2369386447199981</v>
      </c>
      <c r="I6" s="827">
        <v>15280809.120000005</v>
      </c>
      <c r="J6" s="829">
        <v>4455915</v>
      </c>
      <c r="K6" s="829">
        <v>683684</v>
      </c>
      <c r="L6" s="114"/>
    </row>
    <row r="7" spans="1:13">
      <c r="C7" s="933">
        <v>2018</v>
      </c>
      <c r="D7" s="934">
        <v>0.63</v>
      </c>
      <c r="E7" s="934">
        <f>D7*12</f>
        <v>7.5600000000000005</v>
      </c>
      <c r="F7" s="935">
        <v>4426025</v>
      </c>
      <c r="G7" s="827">
        <f>E7*J7</f>
        <v>33460749.000000004</v>
      </c>
      <c r="H7" s="828">
        <f>G7/I7</f>
        <v>1.3693962824628874</v>
      </c>
      <c r="I7" s="827">
        <v>24434672</v>
      </c>
      <c r="J7" s="829">
        <v>4426025</v>
      </c>
      <c r="K7" s="829">
        <v>682097</v>
      </c>
      <c r="L7" s="114"/>
    </row>
    <row r="8" spans="1:13">
      <c r="C8" s="933">
        <v>2017</v>
      </c>
      <c r="D8" s="934">
        <v>0.66</v>
      </c>
      <c r="E8" s="934">
        <f t="shared" ref="E8:E20" si="0">D8*12</f>
        <v>7.92</v>
      </c>
      <c r="F8" s="935">
        <v>4397153</v>
      </c>
      <c r="G8" s="827">
        <f t="shared" ref="G8:G19" si="1">E8*J8</f>
        <v>34825451.759999998</v>
      </c>
      <c r="H8" s="828">
        <f>G8/I8</f>
        <v>2.2591989078658412</v>
      </c>
      <c r="I8" s="827">
        <v>15414956</v>
      </c>
      <c r="J8" s="829">
        <v>4397153</v>
      </c>
      <c r="K8" s="829">
        <v>679897</v>
      </c>
      <c r="L8" s="114"/>
    </row>
    <row r="9" spans="1:13">
      <c r="C9" s="80">
        <v>2016</v>
      </c>
      <c r="D9" s="934">
        <v>0.77</v>
      </c>
      <c r="E9" s="934">
        <f t="shared" si="0"/>
        <v>9.24</v>
      </c>
      <c r="F9" s="935">
        <v>4367483</v>
      </c>
      <c r="G9" s="827">
        <f t="shared" si="1"/>
        <v>40355542.920000002</v>
      </c>
      <c r="H9" s="828">
        <f t="shared" ref="H9:H20" si="2">G9/I9</f>
        <v>1.1899843477364962</v>
      </c>
      <c r="I9" s="827">
        <v>33912667</v>
      </c>
      <c r="J9" s="829">
        <v>4367483</v>
      </c>
      <c r="K9" s="829">
        <v>678111</v>
      </c>
      <c r="L9" s="114"/>
    </row>
    <row r="10" spans="1:13">
      <c r="C10" s="933">
        <v>2015</v>
      </c>
      <c r="D10" s="934">
        <v>0.768522805055185</v>
      </c>
      <c r="E10" s="934">
        <f t="shared" si="0"/>
        <v>9.2222736606622195</v>
      </c>
      <c r="F10" s="935">
        <v>4338761</v>
      </c>
      <c r="G10" s="827">
        <f t="shared" si="1"/>
        <v>40013241.290208474</v>
      </c>
      <c r="H10" s="828">
        <f t="shared" si="2"/>
        <v>0.92004407599643956</v>
      </c>
      <c r="I10" s="827">
        <v>43490570</v>
      </c>
      <c r="J10" s="829">
        <v>4338761</v>
      </c>
      <c r="K10" s="829">
        <v>675456</v>
      </c>
      <c r="L10" s="114"/>
    </row>
    <row r="11" spans="1:13">
      <c r="C11" s="80">
        <v>2014</v>
      </c>
      <c r="D11" s="934">
        <v>0.79008189128897466</v>
      </c>
      <c r="E11" s="934">
        <f t="shared" si="0"/>
        <v>9.480982695467695</v>
      </c>
      <c r="F11" s="935">
        <v>4312953</v>
      </c>
      <c r="G11" s="827">
        <f t="shared" si="1"/>
        <v>40891032.759365484</v>
      </c>
      <c r="H11" s="828">
        <f t="shared" si="2"/>
        <v>1.7385695662331924</v>
      </c>
      <c r="I11" s="827">
        <v>23519929</v>
      </c>
      <c r="J11" s="829">
        <v>4312953</v>
      </c>
      <c r="K11" s="829">
        <v>673511</v>
      </c>
      <c r="L11" s="114"/>
    </row>
    <row r="12" spans="1:13">
      <c r="C12" s="80">
        <v>2013</v>
      </c>
      <c r="D12" s="934">
        <v>0.7685668959794727</v>
      </c>
      <c r="E12" s="934">
        <f t="shared" si="0"/>
        <v>9.2228027517536724</v>
      </c>
      <c r="F12" s="935">
        <v>4287273</v>
      </c>
      <c r="G12" s="827">
        <f t="shared" si="1"/>
        <v>39540673.221919224</v>
      </c>
      <c r="H12" s="828">
        <f t="shared" si="2"/>
        <v>1.8861255229947282</v>
      </c>
      <c r="I12" s="827">
        <v>20963967</v>
      </c>
      <c r="J12" s="829">
        <v>4287273</v>
      </c>
      <c r="K12" s="829">
        <v>672595</v>
      </c>
      <c r="L12" s="114"/>
    </row>
    <row r="13" spans="1:13">
      <c r="C13" s="80">
        <v>2012</v>
      </c>
      <c r="D13" s="934">
        <v>0.76532304576387278</v>
      </c>
      <c r="E13" s="934">
        <f t="shared" si="0"/>
        <v>9.1838765491664738</v>
      </c>
      <c r="F13" s="935">
        <v>4261598</v>
      </c>
      <c r="G13" s="827">
        <f t="shared" si="1"/>
        <v>39137989.934174746</v>
      </c>
      <c r="H13" s="828">
        <f t="shared" si="2"/>
        <v>1.1172939706925862</v>
      </c>
      <c r="I13" s="827">
        <v>35029268</v>
      </c>
      <c r="J13" s="829">
        <v>4261598</v>
      </c>
      <c r="K13" s="829">
        <v>670834</v>
      </c>
      <c r="L13" s="114"/>
    </row>
    <row r="14" spans="1:13">
      <c r="C14" s="80">
        <v>2011</v>
      </c>
      <c r="D14" s="934">
        <v>0.76453418889370761</v>
      </c>
      <c r="E14" s="934">
        <f t="shared" si="0"/>
        <v>9.1744102667244913</v>
      </c>
      <c r="F14" s="935">
        <v>4242791</v>
      </c>
      <c r="G14" s="827">
        <f t="shared" si="1"/>
        <v>38925105.309966274</v>
      </c>
      <c r="H14" s="828">
        <f t="shared" si="2"/>
        <v>0.70492114049912802</v>
      </c>
      <c r="I14" s="827">
        <v>55219092</v>
      </c>
      <c r="J14" s="829">
        <v>4242791</v>
      </c>
      <c r="K14" s="829">
        <v>670207</v>
      </c>
      <c r="L14" s="114"/>
    </row>
    <row r="15" spans="1:13">
      <c r="C15" s="80">
        <v>2010</v>
      </c>
      <c r="D15" s="934">
        <v>0.80703848278592605</v>
      </c>
      <c r="E15" s="934">
        <f t="shared" si="0"/>
        <v>9.6844617934311117</v>
      </c>
      <c r="F15" s="935">
        <v>4225677</v>
      </c>
      <c r="G15" s="827">
        <f t="shared" si="1"/>
        <v>40923407.457880601</v>
      </c>
      <c r="H15" s="828">
        <f t="shared" si="2"/>
        <v>5.8172345614296299</v>
      </c>
      <c r="I15" s="827">
        <v>7034856</v>
      </c>
      <c r="J15" s="829">
        <v>4225677</v>
      </c>
      <c r="K15" s="829">
        <v>668693</v>
      </c>
      <c r="L15" s="114"/>
    </row>
    <row r="16" spans="1:13">
      <c r="C16" s="80">
        <v>2009</v>
      </c>
      <c r="D16" s="934">
        <v>0.75318932581871756</v>
      </c>
      <c r="E16" s="934">
        <f t="shared" si="0"/>
        <v>9.0382719098246103</v>
      </c>
      <c r="F16" s="935">
        <v>4201161</v>
      </c>
      <c r="G16" s="827">
        <f t="shared" si="1"/>
        <v>37971235.454950668</v>
      </c>
      <c r="H16" s="828">
        <f t="shared" si="2"/>
        <v>6.7538974527679532</v>
      </c>
      <c r="I16" s="827">
        <v>5622122</v>
      </c>
      <c r="J16" s="829">
        <v>4201161</v>
      </c>
      <c r="K16" s="829">
        <v>666828</v>
      </c>
      <c r="L16" s="114"/>
    </row>
    <row r="17" spans="3:12">
      <c r="C17" s="80">
        <v>2008</v>
      </c>
      <c r="D17" s="934">
        <v>0.73996611497826248</v>
      </c>
      <c r="E17" s="934">
        <f t="shared" si="0"/>
        <v>8.8795933797391502</v>
      </c>
      <c r="F17" s="935">
        <v>4184346</v>
      </c>
      <c r="G17" s="827">
        <f t="shared" si="1"/>
        <v>37155291.040137991</v>
      </c>
      <c r="H17" s="828">
        <f t="shared" si="2"/>
        <v>0.81547058243123804</v>
      </c>
      <c r="I17" s="827">
        <v>45563006</v>
      </c>
      <c r="J17" s="829">
        <v>4184346</v>
      </c>
      <c r="K17" s="829">
        <v>665087</v>
      </c>
      <c r="L17" s="114"/>
    </row>
    <row r="18" spans="3:12">
      <c r="C18" s="80">
        <v>2007</v>
      </c>
      <c r="D18" s="934">
        <v>0.72478745192296312</v>
      </c>
      <c r="E18" s="934">
        <f t="shared" si="0"/>
        <v>8.6974494230755575</v>
      </c>
      <c r="F18" s="935">
        <v>4170974</v>
      </c>
      <c r="G18" s="830">
        <f t="shared" si="1"/>
        <v>36276835.409963153</v>
      </c>
      <c r="H18" s="828">
        <f t="shared" si="2"/>
        <v>0.84949317176606831</v>
      </c>
      <c r="I18" s="830">
        <v>42704093</v>
      </c>
      <c r="J18" s="829">
        <v>4170974</v>
      </c>
      <c r="K18" s="829">
        <v>664199</v>
      </c>
      <c r="L18" s="114"/>
    </row>
    <row r="19" spans="3:12">
      <c r="C19" s="80">
        <v>2006</v>
      </c>
      <c r="D19" s="934">
        <v>0.67872450453252642</v>
      </c>
      <c r="E19" s="934">
        <f t="shared" si="0"/>
        <v>8.1446940543903175</v>
      </c>
      <c r="F19" s="935">
        <v>4141709</v>
      </c>
      <c r="G19" s="830">
        <f t="shared" si="1"/>
        <v>33732952.667314865</v>
      </c>
      <c r="H19" s="828">
        <f t="shared" si="2"/>
        <v>0.83605552616339385</v>
      </c>
      <c r="I19" s="830">
        <v>40347742</v>
      </c>
      <c r="J19" s="829">
        <v>4141709</v>
      </c>
      <c r="K19" s="829">
        <v>656743</v>
      </c>
      <c r="L19" s="114"/>
    </row>
    <row r="20" spans="3:12">
      <c r="C20" s="80">
        <v>2005</v>
      </c>
      <c r="D20" s="934">
        <v>0.64960434690815905</v>
      </c>
      <c r="E20" s="934">
        <f t="shared" si="0"/>
        <v>7.7952521628979081</v>
      </c>
      <c r="F20" s="935">
        <v>4081885</v>
      </c>
      <c r="G20" s="830">
        <f>E20*J20</f>
        <v>31819322.874950528</v>
      </c>
      <c r="H20" s="828">
        <f t="shared" si="2"/>
        <v>0.66209027168627488</v>
      </c>
      <c r="I20" s="830">
        <v>48058889</v>
      </c>
      <c r="J20" s="829">
        <v>4081885</v>
      </c>
      <c r="K20" s="829">
        <v>646974</v>
      </c>
      <c r="L20" s="114"/>
    </row>
  </sheetData>
  <mergeCells count="1">
    <mergeCell ref="C3:K3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2:G309"/>
  <sheetViews>
    <sheetView topLeftCell="A4" workbookViewId="0">
      <pane xSplit="1" ySplit="3" topLeftCell="B254" activePane="bottomRight" state="frozen"/>
      <selection pane="bottomRight" activeCell="F123" sqref="F123"/>
      <selection pane="bottomLeft" activeCell="A7" sqref="A7"/>
      <selection pane="topRight" activeCell="B4" sqref="B4"/>
    </sheetView>
  </sheetViews>
  <sheetFormatPr defaultRowHeight="14.45"/>
  <cols>
    <col min="1" max="1" width="36" style="498" customWidth="1"/>
    <col min="2" max="2" width="40.42578125" style="498" customWidth="1"/>
    <col min="3" max="3" width="14.5703125" style="498" customWidth="1"/>
    <col min="4" max="4" width="14.140625" style="498" customWidth="1"/>
    <col min="5" max="5" width="34.140625" customWidth="1"/>
    <col min="6" max="6" width="14.140625" customWidth="1"/>
    <col min="7" max="7" width="13.85546875" customWidth="1"/>
  </cols>
  <sheetData>
    <row r="2" spans="1:7">
      <c r="A2" s="498" t="s">
        <v>1923</v>
      </c>
    </row>
    <row r="4" spans="1:7" ht="27.6" customHeight="1">
      <c r="A4" s="499"/>
      <c r="B4" s="1213" t="s">
        <v>1924</v>
      </c>
      <c r="C4" s="1214"/>
      <c r="D4" s="1214"/>
      <c r="E4" s="1214"/>
      <c r="F4" s="1214"/>
      <c r="G4" s="1215"/>
    </row>
    <row r="5" spans="1:7" ht="27" customHeight="1">
      <c r="A5" s="499"/>
      <c r="B5" s="1213" t="s">
        <v>1925</v>
      </c>
      <c r="C5" s="1214"/>
      <c r="D5" s="1215"/>
      <c r="E5" s="1213" t="s">
        <v>1926</v>
      </c>
      <c r="F5" s="1214"/>
      <c r="G5" s="1215"/>
    </row>
    <row r="6" spans="1:7" s="521" customFormat="1" ht="26.1">
      <c r="A6" s="138" t="s">
        <v>3</v>
      </c>
      <c r="B6" s="138" t="s">
        <v>1927</v>
      </c>
      <c r="C6" s="138" t="s">
        <v>1928</v>
      </c>
      <c r="D6" s="138" t="s">
        <v>1929</v>
      </c>
      <c r="E6" s="138" t="s">
        <v>1927</v>
      </c>
      <c r="F6" s="138" t="s">
        <v>1928</v>
      </c>
      <c r="G6" s="138" t="s">
        <v>1929</v>
      </c>
    </row>
    <row r="7" spans="1:7">
      <c r="A7" s="500" t="s">
        <v>101</v>
      </c>
      <c r="B7" s="500"/>
      <c r="C7" s="799"/>
      <c r="D7" s="800"/>
      <c r="E7" s="500"/>
      <c r="F7" s="799"/>
      <c r="G7" s="500"/>
    </row>
    <row r="8" spans="1:7">
      <c r="A8" s="501" t="s">
        <v>102</v>
      </c>
      <c r="B8" s="501" t="s">
        <v>103</v>
      </c>
      <c r="C8" s="801">
        <v>0</v>
      </c>
      <c r="D8" s="802">
        <v>0</v>
      </c>
      <c r="E8" s="501" t="s">
        <v>103</v>
      </c>
      <c r="F8" s="801">
        <v>0</v>
      </c>
      <c r="G8" s="802">
        <v>0</v>
      </c>
    </row>
    <row r="9" spans="1:7">
      <c r="A9" s="502" t="s">
        <v>1471</v>
      </c>
      <c r="B9" s="502"/>
      <c r="C9" s="803">
        <f>SUM(C7:C8)</f>
        <v>0</v>
      </c>
      <c r="D9" s="804">
        <f>SUM(D7:D8)</f>
        <v>0</v>
      </c>
      <c r="E9" s="502"/>
      <c r="F9" s="803">
        <f>SUM(F7:F8)</f>
        <v>0</v>
      </c>
      <c r="G9" s="804">
        <f>SUM(G7:G8)</f>
        <v>0</v>
      </c>
    </row>
    <row r="10" spans="1:7">
      <c r="A10" s="500" t="s">
        <v>106</v>
      </c>
      <c r="B10" s="500"/>
      <c r="C10" s="799"/>
      <c r="D10" s="800"/>
      <c r="E10" s="500"/>
      <c r="F10" s="799"/>
      <c r="G10" s="500"/>
    </row>
    <row r="11" spans="1:7">
      <c r="A11" s="501" t="s">
        <v>107</v>
      </c>
      <c r="B11" s="501" t="s">
        <v>103</v>
      </c>
      <c r="C11" s="801">
        <v>0</v>
      </c>
      <c r="D11" s="802">
        <v>0</v>
      </c>
      <c r="E11" s="501" t="s">
        <v>103</v>
      </c>
      <c r="F11" s="801">
        <v>0</v>
      </c>
      <c r="G11" s="802">
        <v>0</v>
      </c>
    </row>
    <row r="12" spans="1:7">
      <c r="A12" s="502" t="s">
        <v>1594</v>
      </c>
      <c r="B12" s="502"/>
      <c r="C12" s="803">
        <f>SUM(C10:C11)</f>
        <v>0</v>
      </c>
      <c r="D12" s="804">
        <f>SUM(D10:D11)</f>
        <v>0</v>
      </c>
      <c r="E12" s="502"/>
      <c r="F12" s="803">
        <f>SUM(F10:F11)</f>
        <v>0</v>
      </c>
      <c r="G12" s="804">
        <f>SUM(G10:G11)</f>
        <v>0</v>
      </c>
    </row>
    <row r="13" spans="1:7">
      <c r="A13" s="500" t="s">
        <v>108</v>
      </c>
      <c r="B13" s="500"/>
      <c r="C13" s="799"/>
      <c r="D13" s="800"/>
      <c r="E13" s="500"/>
      <c r="F13" s="799"/>
      <c r="G13" s="500"/>
    </row>
    <row r="14" spans="1:7">
      <c r="A14" s="503" t="s">
        <v>109</v>
      </c>
      <c r="B14" s="501" t="s">
        <v>103</v>
      </c>
      <c r="C14" s="801">
        <v>0</v>
      </c>
      <c r="D14" s="805">
        <v>0</v>
      </c>
      <c r="E14" s="501" t="s">
        <v>103</v>
      </c>
      <c r="F14" s="801">
        <v>0</v>
      </c>
      <c r="G14" s="802">
        <v>0</v>
      </c>
    </row>
    <row r="15" spans="1:7">
      <c r="A15" s="503" t="s">
        <v>111</v>
      </c>
      <c r="B15" s="501" t="s">
        <v>103</v>
      </c>
      <c r="C15" s="801">
        <v>0</v>
      </c>
      <c r="D15" s="805">
        <v>0</v>
      </c>
      <c r="E15" s="501" t="s">
        <v>103</v>
      </c>
      <c r="F15" s="801">
        <v>0</v>
      </c>
      <c r="G15" s="802">
        <v>0</v>
      </c>
    </row>
    <row r="16" spans="1:7">
      <c r="A16" s="502" t="s">
        <v>1798</v>
      </c>
      <c r="B16" s="502"/>
      <c r="C16" s="803">
        <f>SUM(C13:C15)</f>
        <v>0</v>
      </c>
      <c r="D16" s="804">
        <f>SUM(D13:D15)</f>
        <v>0</v>
      </c>
      <c r="E16" s="502"/>
      <c r="F16" s="803">
        <f>SUM(F13:F15)</f>
        <v>0</v>
      </c>
      <c r="G16" s="804">
        <f>SUM(G13:G15)</f>
        <v>0</v>
      </c>
    </row>
    <row r="17" spans="1:7">
      <c r="A17" s="500" t="s">
        <v>112</v>
      </c>
      <c r="B17" s="500"/>
      <c r="C17" s="799"/>
      <c r="D17" s="800"/>
      <c r="E17" s="500"/>
      <c r="F17" s="799"/>
      <c r="G17" s="500"/>
    </row>
    <row r="18" spans="1:7">
      <c r="A18" s="503" t="s">
        <v>113</v>
      </c>
      <c r="B18" s="501" t="s">
        <v>103</v>
      </c>
      <c r="C18" s="801">
        <v>0</v>
      </c>
      <c r="D18" s="805">
        <v>0</v>
      </c>
      <c r="E18" s="501" t="s">
        <v>103</v>
      </c>
      <c r="F18" s="801">
        <v>0</v>
      </c>
      <c r="G18" s="802">
        <v>0</v>
      </c>
    </row>
    <row r="19" spans="1:7">
      <c r="A19" s="503" t="s">
        <v>126</v>
      </c>
      <c r="B19" s="501" t="s">
        <v>103</v>
      </c>
      <c r="C19" s="801">
        <v>0</v>
      </c>
      <c r="D19" s="805">
        <v>0</v>
      </c>
      <c r="E19" s="501" t="s">
        <v>103</v>
      </c>
      <c r="F19" s="801">
        <v>0</v>
      </c>
      <c r="G19" s="802">
        <v>0</v>
      </c>
    </row>
    <row r="20" spans="1:7">
      <c r="A20" s="503" t="s">
        <v>132</v>
      </c>
      <c r="B20" s="501" t="s">
        <v>103</v>
      </c>
      <c r="C20" s="801">
        <v>0</v>
      </c>
      <c r="D20" s="805">
        <v>0</v>
      </c>
      <c r="E20" s="501" t="s">
        <v>103</v>
      </c>
      <c r="F20" s="801">
        <v>0</v>
      </c>
      <c r="G20" s="802">
        <v>0</v>
      </c>
    </row>
    <row r="21" spans="1:7">
      <c r="A21" s="503" t="s">
        <v>133</v>
      </c>
      <c r="B21" s="501" t="s">
        <v>103</v>
      </c>
      <c r="C21" s="801">
        <v>0</v>
      </c>
      <c r="D21" s="805">
        <v>0</v>
      </c>
      <c r="E21" s="501" t="s">
        <v>103</v>
      </c>
      <c r="F21" s="801">
        <v>0</v>
      </c>
      <c r="G21" s="802">
        <v>0</v>
      </c>
    </row>
    <row r="22" spans="1:7">
      <c r="A22" s="503" t="s">
        <v>134</v>
      </c>
      <c r="B22" s="501" t="s">
        <v>103</v>
      </c>
      <c r="C22" s="801">
        <v>0</v>
      </c>
      <c r="D22" s="805">
        <v>0</v>
      </c>
      <c r="E22" s="501" t="s">
        <v>103</v>
      </c>
      <c r="F22" s="801">
        <v>0</v>
      </c>
      <c r="G22" s="802">
        <v>0</v>
      </c>
    </row>
    <row r="23" spans="1:7">
      <c r="A23" s="503" t="s">
        <v>135</v>
      </c>
      <c r="B23" s="501" t="s">
        <v>103</v>
      </c>
      <c r="C23" s="801">
        <v>0</v>
      </c>
      <c r="D23" s="805">
        <v>0</v>
      </c>
      <c r="E23" s="501" t="s">
        <v>103</v>
      </c>
      <c r="F23" s="801">
        <v>0</v>
      </c>
      <c r="G23" s="802">
        <v>0</v>
      </c>
    </row>
    <row r="24" spans="1:7">
      <c r="A24" s="502" t="s">
        <v>1799</v>
      </c>
      <c r="B24" s="502"/>
      <c r="C24" s="803">
        <f>SUM(C17:C23)</f>
        <v>0</v>
      </c>
      <c r="D24" s="804">
        <f>SUM(D17:D23)</f>
        <v>0</v>
      </c>
      <c r="E24" s="502"/>
      <c r="F24" s="803">
        <f>SUM(F17:F23)</f>
        <v>0</v>
      </c>
      <c r="G24" s="804">
        <f>SUM(G17:G23)</f>
        <v>0</v>
      </c>
    </row>
    <row r="25" spans="1:7">
      <c r="A25" s="504" t="s">
        <v>140</v>
      </c>
      <c r="B25" s="504"/>
      <c r="C25" s="806"/>
      <c r="D25" s="807"/>
      <c r="E25" s="504"/>
      <c r="F25" s="806"/>
      <c r="G25" s="504"/>
    </row>
    <row r="26" spans="1:7">
      <c r="A26" s="503" t="s">
        <v>141</v>
      </c>
      <c r="B26" s="501" t="s">
        <v>103</v>
      </c>
      <c r="C26" s="801">
        <v>0</v>
      </c>
      <c r="D26" s="805">
        <v>0</v>
      </c>
      <c r="E26" s="501" t="s">
        <v>103</v>
      </c>
      <c r="F26" s="801">
        <v>0</v>
      </c>
      <c r="G26" s="802">
        <v>0</v>
      </c>
    </row>
    <row r="27" spans="1:7">
      <c r="A27" s="503" t="s">
        <v>142</v>
      </c>
      <c r="B27" s="501" t="s">
        <v>103</v>
      </c>
      <c r="C27" s="801">
        <v>0</v>
      </c>
      <c r="D27" s="805">
        <v>0</v>
      </c>
      <c r="E27" s="501" t="s">
        <v>103</v>
      </c>
      <c r="F27" s="801">
        <v>0</v>
      </c>
      <c r="G27" s="802">
        <v>0</v>
      </c>
    </row>
    <row r="28" spans="1:7">
      <c r="A28" s="502" t="s">
        <v>1800</v>
      </c>
      <c r="B28" s="502"/>
      <c r="C28" s="803">
        <f>SUM(C25:C27)</f>
        <v>0</v>
      </c>
      <c r="D28" s="804">
        <f>SUM(D25:D27)</f>
        <v>0</v>
      </c>
      <c r="E28" s="502"/>
      <c r="F28" s="803">
        <f>SUM(F25:F27)</f>
        <v>0</v>
      </c>
      <c r="G28" s="804">
        <f>SUM(G25:G27)</f>
        <v>0</v>
      </c>
    </row>
    <row r="29" spans="1:7">
      <c r="A29" s="504" t="s">
        <v>143</v>
      </c>
      <c r="B29" s="504"/>
      <c r="C29" s="806"/>
      <c r="D29" s="807"/>
      <c r="E29" s="504"/>
      <c r="F29" s="806"/>
      <c r="G29" s="807"/>
    </row>
    <row r="30" spans="1:7">
      <c r="A30" s="503" t="s">
        <v>144</v>
      </c>
      <c r="B30" s="501" t="s">
        <v>103</v>
      </c>
      <c r="C30" s="801">
        <v>0</v>
      </c>
      <c r="D30" s="805">
        <v>0</v>
      </c>
      <c r="E30" s="501" t="s">
        <v>103</v>
      </c>
      <c r="F30" s="801">
        <v>0</v>
      </c>
      <c r="G30" s="802">
        <v>0</v>
      </c>
    </row>
    <row r="31" spans="1:7">
      <c r="A31" s="503" t="s">
        <v>145</v>
      </c>
      <c r="B31" s="501" t="s">
        <v>103</v>
      </c>
      <c r="C31" s="801">
        <v>0</v>
      </c>
      <c r="D31" s="805">
        <v>0</v>
      </c>
      <c r="E31" s="503" t="s">
        <v>1930</v>
      </c>
      <c r="F31" s="808">
        <v>4300000</v>
      </c>
      <c r="G31" s="683">
        <f>6200/5280</f>
        <v>1.1742424242424243</v>
      </c>
    </row>
    <row r="32" spans="1:7">
      <c r="A32" s="503"/>
      <c r="B32" s="501" t="s">
        <v>103</v>
      </c>
      <c r="C32" s="801">
        <v>0</v>
      </c>
      <c r="D32" s="805">
        <v>0</v>
      </c>
      <c r="E32" s="503" t="s">
        <v>1931</v>
      </c>
      <c r="F32" s="808">
        <v>3100000</v>
      </c>
      <c r="G32" s="683">
        <f>4730/5280</f>
        <v>0.89583333333333337</v>
      </c>
    </row>
    <row r="33" spans="1:7">
      <c r="A33" s="503"/>
      <c r="B33" s="501" t="s">
        <v>103</v>
      </c>
      <c r="C33" s="801">
        <v>0</v>
      </c>
      <c r="D33" s="805">
        <v>0</v>
      </c>
      <c r="E33" s="503" t="s">
        <v>1932</v>
      </c>
      <c r="F33" s="808">
        <v>1100000</v>
      </c>
      <c r="G33" s="683">
        <f>1610/5280</f>
        <v>0.30492424242424243</v>
      </c>
    </row>
    <row r="34" spans="1:7">
      <c r="A34" s="503" t="s">
        <v>157</v>
      </c>
      <c r="B34" s="501" t="s">
        <v>103</v>
      </c>
      <c r="C34" s="801">
        <v>0</v>
      </c>
      <c r="D34" s="805">
        <v>0</v>
      </c>
      <c r="E34" s="501" t="s">
        <v>103</v>
      </c>
      <c r="F34" s="801">
        <v>0</v>
      </c>
      <c r="G34" s="802">
        <v>0</v>
      </c>
    </row>
    <row r="35" spans="1:7">
      <c r="A35" s="503" t="s">
        <v>160</v>
      </c>
      <c r="B35" s="501" t="s">
        <v>103</v>
      </c>
      <c r="C35" s="801">
        <v>0</v>
      </c>
      <c r="D35" s="805">
        <v>0</v>
      </c>
      <c r="E35" s="501" t="s">
        <v>103</v>
      </c>
      <c r="F35" s="801">
        <v>0</v>
      </c>
      <c r="G35" s="802">
        <v>0</v>
      </c>
    </row>
    <row r="36" spans="1:7">
      <c r="A36" s="505" t="s">
        <v>161</v>
      </c>
      <c r="B36" s="501" t="s">
        <v>103</v>
      </c>
      <c r="C36" s="801">
        <v>0</v>
      </c>
      <c r="D36" s="809">
        <v>0</v>
      </c>
      <c r="E36" s="501" t="s">
        <v>103</v>
      </c>
      <c r="F36" s="801">
        <v>0</v>
      </c>
      <c r="G36" s="802">
        <v>0</v>
      </c>
    </row>
    <row r="37" spans="1:7">
      <c r="A37" s="503" t="s">
        <v>162</v>
      </c>
      <c r="B37" s="501" t="s">
        <v>103</v>
      </c>
      <c r="C37" s="801">
        <v>0</v>
      </c>
      <c r="D37" s="805">
        <v>0</v>
      </c>
      <c r="E37" s="501" t="s">
        <v>103</v>
      </c>
      <c r="F37" s="801">
        <v>0</v>
      </c>
      <c r="G37" s="802">
        <v>0</v>
      </c>
    </row>
    <row r="38" spans="1:7">
      <c r="A38" s="503" t="s">
        <v>163</v>
      </c>
      <c r="B38" s="503" t="s">
        <v>1933</v>
      </c>
      <c r="C38" s="808">
        <v>3000000</v>
      </c>
      <c r="D38" s="683">
        <f>5210/5280</f>
        <v>0.9867424242424242</v>
      </c>
      <c r="E38" s="501" t="s">
        <v>103</v>
      </c>
      <c r="F38" s="801">
        <v>0</v>
      </c>
      <c r="G38" s="802">
        <v>0</v>
      </c>
    </row>
    <row r="39" spans="1:7">
      <c r="A39" s="503" t="s">
        <v>168</v>
      </c>
      <c r="B39" s="501" t="s">
        <v>103</v>
      </c>
      <c r="C39" s="801">
        <v>0</v>
      </c>
      <c r="D39" s="805">
        <v>0</v>
      </c>
      <c r="E39" s="501" t="s">
        <v>103</v>
      </c>
      <c r="F39" s="801">
        <v>0</v>
      </c>
      <c r="G39" s="802">
        <v>0</v>
      </c>
    </row>
    <row r="40" spans="1:7">
      <c r="A40" s="501" t="s">
        <v>174</v>
      </c>
      <c r="B40" s="501" t="s">
        <v>103</v>
      </c>
      <c r="C40" s="801">
        <v>0</v>
      </c>
      <c r="D40" s="802">
        <v>0</v>
      </c>
      <c r="E40" s="501" t="s">
        <v>103</v>
      </c>
      <c r="F40" s="801">
        <v>0</v>
      </c>
      <c r="G40" s="802">
        <v>0</v>
      </c>
    </row>
    <row r="41" spans="1:7">
      <c r="A41" s="503" t="s">
        <v>179</v>
      </c>
      <c r="B41" s="501" t="s">
        <v>103</v>
      </c>
      <c r="C41" s="801">
        <v>0</v>
      </c>
      <c r="D41" s="805">
        <v>0</v>
      </c>
      <c r="E41" s="501" t="s">
        <v>103</v>
      </c>
      <c r="F41" s="801">
        <v>0</v>
      </c>
      <c r="G41" s="802">
        <v>0</v>
      </c>
    </row>
    <row r="42" spans="1:7">
      <c r="A42" s="503" t="s">
        <v>184</v>
      </c>
      <c r="B42" s="501" t="s">
        <v>103</v>
      </c>
      <c r="C42" s="801">
        <v>0</v>
      </c>
      <c r="D42" s="805">
        <v>0</v>
      </c>
      <c r="E42" s="501" t="s">
        <v>103</v>
      </c>
      <c r="F42" s="801">
        <v>0</v>
      </c>
      <c r="G42" s="802">
        <v>0</v>
      </c>
    </row>
    <row r="43" spans="1:7">
      <c r="A43" s="503" t="s">
        <v>188</v>
      </c>
      <c r="B43" s="501" t="s">
        <v>103</v>
      </c>
      <c r="C43" s="801">
        <v>0</v>
      </c>
      <c r="D43" s="805">
        <v>0</v>
      </c>
      <c r="E43" s="501" t="s">
        <v>103</v>
      </c>
      <c r="F43" s="801">
        <v>0</v>
      </c>
      <c r="G43" s="802">
        <v>0</v>
      </c>
    </row>
    <row r="44" spans="1:7">
      <c r="A44" s="503" t="s">
        <v>189</v>
      </c>
      <c r="B44" s="501" t="s">
        <v>103</v>
      </c>
      <c r="C44" s="801">
        <v>0</v>
      </c>
      <c r="D44" s="805">
        <v>0</v>
      </c>
      <c r="E44" s="501" t="s">
        <v>103</v>
      </c>
      <c r="F44" s="801">
        <v>0</v>
      </c>
      <c r="G44" s="802">
        <v>0</v>
      </c>
    </row>
    <row r="45" spans="1:7">
      <c r="A45" s="503" t="s">
        <v>190</v>
      </c>
      <c r="B45" s="501" t="s">
        <v>103</v>
      </c>
      <c r="C45" s="801">
        <v>0</v>
      </c>
      <c r="D45" s="805">
        <v>0</v>
      </c>
      <c r="E45" s="501" t="s">
        <v>103</v>
      </c>
      <c r="F45" s="801">
        <v>0</v>
      </c>
      <c r="G45" s="802">
        <v>0</v>
      </c>
    </row>
    <row r="46" spans="1:7">
      <c r="A46" s="503" t="s">
        <v>201</v>
      </c>
      <c r="B46" s="503" t="s">
        <v>1934</v>
      </c>
      <c r="C46" s="808">
        <v>900000</v>
      </c>
      <c r="D46" s="683">
        <f>1740/5280</f>
        <v>0.32954545454545453</v>
      </c>
      <c r="E46" s="501" t="s">
        <v>103</v>
      </c>
      <c r="F46" s="801">
        <v>0</v>
      </c>
      <c r="G46" s="802">
        <v>0</v>
      </c>
    </row>
    <row r="47" spans="1:7">
      <c r="A47" s="503" t="s">
        <v>206</v>
      </c>
      <c r="B47" s="501" t="s">
        <v>103</v>
      </c>
      <c r="C47" s="801">
        <v>0</v>
      </c>
      <c r="D47" s="805">
        <v>0</v>
      </c>
      <c r="E47" s="501" t="s">
        <v>103</v>
      </c>
      <c r="F47" s="801">
        <v>0</v>
      </c>
      <c r="G47" s="802">
        <v>0</v>
      </c>
    </row>
    <row r="48" spans="1:7">
      <c r="A48" s="503" t="s">
        <v>207</v>
      </c>
      <c r="B48" s="501" t="s">
        <v>103</v>
      </c>
      <c r="C48" s="801">
        <v>0</v>
      </c>
      <c r="D48" s="805">
        <v>0</v>
      </c>
      <c r="E48" s="501" t="s">
        <v>103</v>
      </c>
      <c r="F48" s="801">
        <v>0</v>
      </c>
      <c r="G48" s="802">
        <v>0</v>
      </c>
    </row>
    <row r="49" spans="1:7">
      <c r="A49" s="503" t="s">
        <v>208</v>
      </c>
      <c r="B49" s="501" t="s">
        <v>103</v>
      </c>
      <c r="C49" s="801">
        <v>0</v>
      </c>
      <c r="D49" s="805">
        <v>0</v>
      </c>
      <c r="E49" s="501" t="s">
        <v>103</v>
      </c>
      <c r="F49" s="801">
        <v>0</v>
      </c>
      <c r="G49" s="802">
        <v>0</v>
      </c>
    </row>
    <row r="50" spans="1:7">
      <c r="A50" s="503" t="s">
        <v>211</v>
      </c>
      <c r="B50" s="501" t="s">
        <v>103</v>
      </c>
      <c r="C50" s="801">
        <v>0</v>
      </c>
      <c r="D50" s="805">
        <v>0</v>
      </c>
      <c r="E50" s="501" t="s">
        <v>103</v>
      </c>
      <c r="F50" s="801">
        <v>0</v>
      </c>
      <c r="G50" s="802">
        <v>0</v>
      </c>
    </row>
    <row r="51" spans="1:7">
      <c r="A51" s="503" t="s">
        <v>212</v>
      </c>
      <c r="B51" s="501" t="s">
        <v>103</v>
      </c>
      <c r="C51" s="801">
        <v>0</v>
      </c>
      <c r="D51" s="805">
        <v>0</v>
      </c>
      <c r="E51" s="501" t="s">
        <v>103</v>
      </c>
      <c r="F51" s="801">
        <v>0</v>
      </c>
      <c r="G51" s="802">
        <v>0</v>
      </c>
    </row>
    <row r="52" spans="1:7">
      <c r="A52" s="505" t="s">
        <v>218</v>
      </c>
      <c r="B52" s="505" t="s">
        <v>1935</v>
      </c>
      <c r="C52" s="810">
        <v>1500000</v>
      </c>
      <c r="D52" s="811">
        <f>2030/5280</f>
        <v>0.38446969696969696</v>
      </c>
      <c r="E52" s="501" t="s">
        <v>103</v>
      </c>
      <c r="F52" s="801">
        <v>0</v>
      </c>
      <c r="G52" s="802">
        <v>0</v>
      </c>
    </row>
    <row r="53" spans="1:7">
      <c r="A53" s="503" t="s">
        <v>226</v>
      </c>
      <c r="B53" s="501" t="s">
        <v>103</v>
      </c>
      <c r="C53" s="801">
        <v>0</v>
      </c>
      <c r="D53" s="805">
        <v>0</v>
      </c>
      <c r="E53" s="501" t="s">
        <v>103</v>
      </c>
      <c r="F53" s="801">
        <v>0</v>
      </c>
      <c r="G53" s="802">
        <v>0</v>
      </c>
    </row>
    <row r="54" spans="1:7">
      <c r="A54" s="503" t="s">
        <v>227</v>
      </c>
      <c r="B54" s="501" t="s">
        <v>103</v>
      </c>
      <c r="C54" s="801">
        <v>0</v>
      </c>
      <c r="D54" s="805">
        <v>0</v>
      </c>
      <c r="E54" s="501" t="s">
        <v>103</v>
      </c>
      <c r="F54" s="801">
        <v>0</v>
      </c>
      <c r="G54" s="802">
        <v>0</v>
      </c>
    </row>
    <row r="55" spans="1:7">
      <c r="A55" s="503" t="s">
        <v>235</v>
      </c>
      <c r="B55" s="501" t="s">
        <v>103</v>
      </c>
      <c r="C55" s="801">
        <v>0</v>
      </c>
      <c r="D55" s="805">
        <v>0</v>
      </c>
      <c r="E55" s="501" t="s">
        <v>103</v>
      </c>
      <c r="F55" s="801">
        <v>0</v>
      </c>
      <c r="G55" s="802">
        <v>0</v>
      </c>
    </row>
    <row r="56" spans="1:7">
      <c r="A56" s="503" t="s">
        <v>236</v>
      </c>
      <c r="B56" s="501" t="s">
        <v>103</v>
      </c>
      <c r="C56" s="801">
        <v>0</v>
      </c>
      <c r="D56" s="805">
        <v>0</v>
      </c>
      <c r="E56" s="501" t="s">
        <v>103</v>
      </c>
      <c r="F56" s="801">
        <v>0</v>
      </c>
      <c r="G56" s="802">
        <v>0</v>
      </c>
    </row>
    <row r="57" spans="1:7">
      <c r="A57" s="503" t="s">
        <v>237</v>
      </c>
      <c r="B57" s="501" t="s">
        <v>103</v>
      </c>
      <c r="C57" s="801">
        <v>0</v>
      </c>
      <c r="D57" s="805">
        <v>0</v>
      </c>
      <c r="E57" s="501" t="s">
        <v>103</v>
      </c>
      <c r="F57" s="801">
        <v>0</v>
      </c>
      <c r="G57" s="802">
        <v>0</v>
      </c>
    </row>
    <row r="58" spans="1:7">
      <c r="A58" s="503" t="s">
        <v>238</v>
      </c>
      <c r="B58" s="501" t="s">
        <v>103</v>
      </c>
      <c r="C58" s="801">
        <v>0</v>
      </c>
      <c r="D58" s="805">
        <v>0</v>
      </c>
      <c r="E58" s="501" t="s">
        <v>103</v>
      </c>
      <c r="F58" s="801">
        <v>0</v>
      </c>
      <c r="G58" s="802">
        <v>0</v>
      </c>
    </row>
    <row r="59" spans="1:7">
      <c r="A59" s="503" t="s">
        <v>247</v>
      </c>
      <c r="B59" s="501" t="s">
        <v>103</v>
      </c>
      <c r="C59" s="801">
        <v>0</v>
      </c>
      <c r="D59" s="805">
        <v>0</v>
      </c>
      <c r="E59" s="501" t="s">
        <v>103</v>
      </c>
      <c r="F59" s="801">
        <v>0</v>
      </c>
      <c r="G59" s="802">
        <v>0</v>
      </c>
    </row>
    <row r="60" spans="1:7">
      <c r="A60" s="503" t="s">
        <v>248</v>
      </c>
      <c r="B60" s="503" t="s">
        <v>1936</v>
      </c>
      <c r="C60" s="808">
        <v>1200000</v>
      </c>
      <c r="D60" s="683">
        <f>2150/5280</f>
        <v>0.40719696969696972</v>
      </c>
      <c r="E60" s="501" t="s">
        <v>103</v>
      </c>
      <c r="F60" s="801">
        <v>0</v>
      </c>
      <c r="G60" s="802">
        <v>0</v>
      </c>
    </row>
    <row r="61" spans="1:7">
      <c r="A61" s="503" t="s">
        <v>259</v>
      </c>
      <c r="B61" s="501" t="s">
        <v>103</v>
      </c>
      <c r="C61" s="801">
        <v>0</v>
      </c>
      <c r="D61" s="805">
        <v>0</v>
      </c>
      <c r="E61" s="503" t="s">
        <v>1937</v>
      </c>
      <c r="F61" s="808">
        <v>1000000</v>
      </c>
      <c r="G61" s="683">
        <f>1420/5280</f>
        <v>0.26893939393939392</v>
      </c>
    </row>
    <row r="62" spans="1:7">
      <c r="A62" s="503" t="s">
        <v>260</v>
      </c>
      <c r="B62" s="501" t="s">
        <v>103</v>
      </c>
      <c r="C62" s="801">
        <v>0</v>
      </c>
      <c r="D62" s="805">
        <v>0</v>
      </c>
      <c r="E62" s="501" t="s">
        <v>103</v>
      </c>
      <c r="F62" s="801">
        <v>0</v>
      </c>
      <c r="G62" s="802">
        <v>0</v>
      </c>
    </row>
    <row r="63" spans="1:7">
      <c r="A63" s="503" t="s">
        <v>264</v>
      </c>
      <c r="B63" s="501" t="s">
        <v>103</v>
      </c>
      <c r="C63" s="801">
        <v>0</v>
      </c>
      <c r="D63" s="805">
        <v>0</v>
      </c>
      <c r="E63" s="501" t="s">
        <v>103</v>
      </c>
      <c r="F63" s="801">
        <v>0</v>
      </c>
      <c r="G63" s="802">
        <v>0</v>
      </c>
    </row>
    <row r="64" spans="1:7">
      <c r="A64" s="503" t="s">
        <v>265</v>
      </c>
      <c r="B64" s="501" t="s">
        <v>103</v>
      </c>
      <c r="C64" s="801">
        <v>0</v>
      </c>
      <c r="D64" s="805">
        <v>0</v>
      </c>
      <c r="E64" s="501" t="s">
        <v>103</v>
      </c>
      <c r="F64" s="801">
        <v>0</v>
      </c>
      <c r="G64" s="802">
        <v>0</v>
      </c>
    </row>
    <row r="65" spans="1:7">
      <c r="A65" s="503" t="s">
        <v>266</v>
      </c>
      <c r="B65" s="501" t="s">
        <v>103</v>
      </c>
      <c r="C65" s="801">
        <v>0</v>
      </c>
      <c r="D65" s="805">
        <v>0</v>
      </c>
      <c r="E65" s="501" t="s">
        <v>103</v>
      </c>
      <c r="F65" s="801">
        <v>0</v>
      </c>
      <c r="G65" s="802">
        <v>0</v>
      </c>
    </row>
    <row r="66" spans="1:7">
      <c r="A66" s="503" t="s">
        <v>271</v>
      </c>
      <c r="B66" s="501" t="s">
        <v>103</v>
      </c>
      <c r="C66" s="801">
        <v>0</v>
      </c>
      <c r="D66" s="805">
        <v>0</v>
      </c>
      <c r="E66" s="501" t="s">
        <v>103</v>
      </c>
      <c r="F66" s="801">
        <v>0</v>
      </c>
      <c r="G66" s="802">
        <v>0</v>
      </c>
    </row>
    <row r="67" spans="1:7">
      <c r="A67" s="505" t="s">
        <v>272</v>
      </c>
      <c r="B67" s="501" t="s">
        <v>103</v>
      </c>
      <c r="C67" s="801">
        <v>0</v>
      </c>
      <c r="D67" s="809">
        <v>0</v>
      </c>
      <c r="E67" s="501" t="s">
        <v>103</v>
      </c>
      <c r="F67" s="801">
        <v>0</v>
      </c>
      <c r="G67" s="802">
        <v>0</v>
      </c>
    </row>
    <row r="68" spans="1:7">
      <c r="A68" s="503" t="s">
        <v>276</v>
      </c>
      <c r="B68" s="501" t="s">
        <v>103</v>
      </c>
      <c r="C68" s="801">
        <v>0</v>
      </c>
      <c r="D68" s="805">
        <v>0</v>
      </c>
      <c r="E68" s="501" t="s">
        <v>103</v>
      </c>
      <c r="F68" s="801">
        <v>0</v>
      </c>
      <c r="G68" s="802">
        <v>0</v>
      </c>
    </row>
    <row r="69" spans="1:7">
      <c r="A69" s="503" t="s">
        <v>277</v>
      </c>
      <c r="B69" s="501" t="s">
        <v>103</v>
      </c>
      <c r="C69" s="801">
        <v>0</v>
      </c>
      <c r="D69" s="805">
        <v>0</v>
      </c>
      <c r="E69" s="501" t="s">
        <v>103</v>
      </c>
      <c r="F69" s="801">
        <v>0</v>
      </c>
      <c r="G69" s="802">
        <v>0</v>
      </c>
    </row>
    <row r="70" spans="1:7">
      <c r="A70" s="503" t="s">
        <v>278</v>
      </c>
      <c r="B70" s="501" t="s">
        <v>103</v>
      </c>
      <c r="C70" s="801">
        <v>0</v>
      </c>
      <c r="D70" s="805">
        <v>0</v>
      </c>
      <c r="E70" s="501" t="s">
        <v>103</v>
      </c>
      <c r="F70" s="801">
        <v>0</v>
      </c>
      <c r="G70" s="802">
        <v>0</v>
      </c>
    </row>
    <row r="71" spans="1:7">
      <c r="A71" s="503" t="s">
        <v>284</v>
      </c>
      <c r="B71" s="501" t="s">
        <v>103</v>
      </c>
      <c r="C71" s="801">
        <v>0</v>
      </c>
      <c r="D71" s="805">
        <v>0</v>
      </c>
      <c r="E71" s="501" t="s">
        <v>103</v>
      </c>
      <c r="F71" s="801">
        <v>0</v>
      </c>
      <c r="G71" s="802">
        <v>0</v>
      </c>
    </row>
    <row r="72" spans="1:7">
      <c r="A72" s="503" t="s">
        <v>285</v>
      </c>
      <c r="B72" s="503" t="s">
        <v>1938</v>
      </c>
      <c r="C72" s="808">
        <v>3000000</v>
      </c>
      <c r="D72" s="683">
        <f>5080/5280</f>
        <v>0.96212121212121215</v>
      </c>
      <c r="E72" s="501" t="s">
        <v>103</v>
      </c>
      <c r="F72" s="801">
        <v>0</v>
      </c>
      <c r="G72" s="802">
        <v>0</v>
      </c>
    </row>
    <row r="73" spans="1:7">
      <c r="A73" s="503" t="s">
        <v>289</v>
      </c>
      <c r="B73" s="503" t="s">
        <v>1939</v>
      </c>
      <c r="C73" s="808">
        <v>3800000</v>
      </c>
      <c r="D73" s="683">
        <f>6570/5280</f>
        <v>1.2443181818181819</v>
      </c>
      <c r="E73" s="501" t="s">
        <v>103</v>
      </c>
      <c r="F73" s="801">
        <v>0</v>
      </c>
      <c r="G73" s="802">
        <v>0</v>
      </c>
    </row>
    <row r="74" spans="1:7">
      <c r="A74" s="503" t="s">
        <v>295</v>
      </c>
      <c r="B74" s="501" t="s">
        <v>103</v>
      </c>
      <c r="C74" s="801">
        <v>0</v>
      </c>
      <c r="D74" s="805">
        <v>0</v>
      </c>
      <c r="E74" s="501" t="s">
        <v>103</v>
      </c>
      <c r="F74" s="801">
        <v>0</v>
      </c>
      <c r="G74" s="802">
        <v>0</v>
      </c>
    </row>
    <row r="75" spans="1:7">
      <c r="A75" s="503" t="s">
        <v>303</v>
      </c>
      <c r="B75" s="501" t="s">
        <v>103</v>
      </c>
      <c r="C75" s="801">
        <v>0</v>
      </c>
      <c r="D75" s="805">
        <v>0</v>
      </c>
      <c r="E75" s="501" t="s">
        <v>103</v>
      </c>
      <c r="F75" s="801">
        <v>0</v>
      </c>
      <c r="G75" s="802">
        <v>0</v>
      </c>
    </row>
    <row r="76" spans="1:7">
      <c r="A76" s="503" t="s">
        <v>309</v>
      </c>
      <c r="B76" s="501" t="s">
        <v>103</v>
      </c>
      <c r="C76" s="801">
        <v>0</v>
      </c>
      <c r="D76" s="805">
        <v>0</v>
      </c>
      <c r="E76" s="501" t="s">
        <v>103</v>
      </c>
      <c r="F76" s="801">
        <v>0</v>
      </c>
      <c r="G76" s="802">
        <v>0</v>
      </c>
    </row>
    <row r="77" spans="1:7">
      <c r="A77" s="503" t="s">
        <v>313</v>
      </c>
      <c r="B77" s="501" t="s">
        <v>103</v>
      </c>
      <c r="C77" s="801">
        <v>0</v>
      </c>
      <c r="D77" s="805">
        <v>0</v>
      </c>
      <c r="E77" s="501" t="s">
        <v>103</v>
      </c>
      <c r="F77" s="801">
        <v>0</v>
      </c>
      <c r="G77" s="802">
        <v>0</v>
      </c>
    </row>
    <row r="78" spans="1:7">
      <c r="A78" s="503" t="s">
        <v>314</v>
      </c>
      <c r="B78" s="501" t="s">
        <v>103</v>
      </c>
      <c r="C78" s="801">
        <v>0</v>
      </c>
      <c r="D78" s="805">
        <v>0</v>
      </c>
      <c r="E78" s="501" t="s">
        <v>103</v>
      </c>
      <c r="F78" s="801">
        <v>0</v>
      </c>
      <c r="G78" s="802">
        <v>0</v>
      </c>
    </row>
    <row r="79" spans="1:7">
      <c r="A79" s="503" t="s">
        <v>324</v>
      </c>
      <c r="B79" s="501" t="s">
        <v>103</v>
      </c>
      <c r="C79" s="801">
        <v>0</v>
      </c>
      <c r="D79" s="805">
        <v>0</v>
      </c>
      <c r="E79" s="501" t="s">
        <v>103</v>
      </c>
      <c r="F79" s="801">
        <v>0</v>
      </c>
      <c r="G79" s="802">
        <v>0</v>
      </c>
    </row>
    <row r="80" spans="1:7">
      <c r="A80" s="503" t="s">
        <v>325</v>
      </c>
      <c r="B80" s="501" t="s">
        <v>103</v>
      </c>
      <c r="C80" s="801">
        <v>0</v>
      </c>
      <c r="D80" s="805">
        <v>0</v>
      </c>
      <c r="E80" s="501" t="s">
        <v>103</v>
      </c>
      <c r="F80" s="801">
        <v>0</v>
      </c>
      <c r="G80" s="802">
        <v>0</v>
      </c>
    </row>
    <row r="81" spans="1:7">
      <c r="A81" s="503" t="s">
        <v>330</v>
      </c>
      <c r="B81" s="501" t="s">
        <v>103</v>
      </c>
      <c r="C81" s="801">
        <v>0</v>
      </c>
      <c r="D81" s="805">
        <v>0</v>
      </c>
      <c r="E81" s="501" t="s">
        <v>103</v>
      </c>
      <c r="F81" s="801">
        <v>0</v>
      </c>
      <c r="G81" s="802">
        <v>0</v>
      </c>
    </row>
    <row r="82" spans="1:7">
      <c r="A82" s="503" t="s">
        <v>331</v>
      </c>
      <c r="B82" s="501" t="s">
        <v>103</v>
      </c>
      <c r="C82" s="801">
        <v>0</v>
      </c>
      <c r="D82" s="805">
        <v>0</v>
      </c>
      <c r="E82" s="501" t="s">
        <v>103</v>
      </c>
      <c r="F82" s="801">
        <v>0</v>
      </c>
      <c r="G82" s="802">
        <v>0</v>
      </c>
    </row>
    <row r="83" spans="1:7">
      <c r="A83" s="503" t="s">
        <v>335</v>
      </c>
      <c r="B83" s="501" t="s">
        <v>103</v>
      </c>
      <c r="C83" s="801">
        <v>0</v>
      </c>
      <c r="D83" s="805">
        <v>0</v>
      </c>
      <c r="E83" s="501" t="s">
        <v>103</v>
      </c>
      <c r="F83" s="801">
        <v>0</v>
      </c>
      <c r="G83" s="802">
        <v>0</v>
      </c>
    </row>
    <row r="84" spans="1:7">
      <c r="A84" s="503" t="s">
        <v>336</v>
      </c>
      <c r="B84" s="501" t="s">
        <v>103</v>
      </c>
      <c r="C84" s="801">
        <v>0</v>
      </c>
      <c r="D84" s="805">
        <v>0</v>
      </c>
      <c r="E84" s="501" t="s">
        <v>103</v>
      </c>
      <c r="F84" s="801">
        <v>0</v>
      </c>
      <c r="G84" s="802">
        <v>0</v>
      </c>
    </row>
    <row r="85" spans="1:7">
      <c r="A85" s="503" t="s">
        <v>341</v>
      </c>
      <c r="B85" s="503" t="s">
        <v>1940</v>
      </c>
      <c r="C85" s="808">
        <v>3300000</v>
      </c>
      <c r="D85" s="683">
        <f>5200/5280</f>
        <v>0.98484848484848486</v>
      </c>
      <c r="E85" s="501" t="s">
        <v>103</v>
      </c>
      <c r="F85" s="801">
        <v>0</v>
      </c>
      <c r="G85" s="802">
        <v>0</v>
      </c>
    </row>
    <row r="86" spans="1:7">
      <c r="A86" s="503" t="s">
        <v>352</v>
      </c>
      <c r="B86" s="501" t="s">
        <v>103</v>
      </c>
      <c r="C86" s="801">
        <v>0</v>
      </c>
      <c r="D86" s="805">
        <v>0</v>
      </c>
      <c r="E86" s="501" t="s">
        <v>103</v>
      </c>
      <c r="F86" s="801">
        <v>0</v>
      </c>
      <c r="G86" s="802">
        <v>0</v>
      </c>
    </row>
    <row r="87" spans="1:7">
      <c r="A87" s="503" t="s">
        <v>356</v>
      </c>
      <c r="B87" s="503" t="s">
        <v>1941</v>
      </c>
      <c r="C87" s="808">
        <v>5400000</v>
      </c>
      <c r="D87" s="683">
        <f>7815/5280</f>
        <v>1.4801136363636365</v>
      </c>
      <c r="E87" s="501" t="s">
        <v>103</v>
      </c>
      <c r="F87" s="801">
        <v>0</v>
      </c>
      <c r="G87" s="802">
        <v>0</v>
      </c>
    </row>
    <row r="88" spans="1:7">
      <c r="A88" s="503" t="s">
        <v>362</v>
      </c>
      <c r="B88" s="501" t="s">
        <v>103</v>
      </c>
      <c r="C88" s="801">
        <v>0</v>
      </c>
      <c r="D88" s="805">
        <v>0</v>
      </c>
      <c r="E88" s="501" t="s">
        <v>103</v>
      </c>
      <c r="F88" s="801">
        <v>0</v>
      </c>
      <c r="G88" s="802">
        <v>0</v>
      </c>
    </row>
    <row r="89" spans="1:7">
      <c r="A89" s="503" t="s">
        <v>363</v>
      </c>
      <c r="B89" s="501" t="s">
        <v>103</v>
      </c>
      <c r="C89" s="801">
        <v>0</v>
      </c>
      <c r="D89" s="805">
        <v>0</v>
      </c>
      <c r="E89" s="501" t="s">
        <v>103</v>
      </c>
      <c r="F89" s="801">
        <v>0</v>
      </c>
      <c r="G89" s="802">
        <v>0</v>
      </c>
    </row>
    <row r="90" spans="1:7">
      <c r="A90" s="503" t="s">
        <v>364</v>
      </c>
      <c r="B90" s="501" t="s">
        <v>103</v>
      </c>
      <c r="C90" s="801">
        <v>0</v>
      </c>
      <c r="D90" s="805">
        <v>0</v>
      </c>
      <c r="E90" s="501" t="s">
        <v>103</v>
      </c>
      <c r="F90" s="801">
        <v>0</v>
      </c>
      <c r="G90" s="802">
        <v>0</v>
      </c>
    </row>
    <row r="91" spans="1:7">
      <c r="A91" s="503" t="s">
        <v>365</v>
      </c>
      <c r="B91" s="501" t="s">
        <v>103</v>
      </c>
      <c r="C91" s="801">
        <v>0</v>
      </c>
      <c r="D91" s="805">
        <v>0</v>
      </c>
      <c r="E91" s="501" t="s">
        <v>103</v>
      </c>
      <c r="F91" s="801">
        <v>0</v>
      </c>
      <c r="G91" s="802">
        <v>0</v>
      </c>
    </row>
    <row r="92" spans="1:7">
      <c r="A92" s="503" t="s">
        <v>366</v>
      </c>
      <c r="B92" s="501" t="s">
        <v>103</v>
      </c>
      <c r="C92" s="801">
        <v>0</v>
      </c>
      <c r="D92" s="805">
        <v>0</v>
      </c>
      <c r="E92" s="501" t="s">
        <v>103</v>
      </c>
      <c r="F92" s="801">
        <v>0</v>
      </c>
      <c r="G92" s="802">
        <v>0</v>
      </c>
    </row>
    <row r="93" spans="1:7">
      <c r="A93" s="503" t="s">
        <v>371</v>
      </c>
      <c r="B93" s="501" t="s">
        <v>103</v>
      </c>
      <c r="C93" s="801">
        <v>0</v>
      </c>
      <c r="D93" s="805">
        <v>0</v>
      </c>
      <c r="E93" s="503" t="s">
        <v>1942</v>
      </c>
      <c r="F93" s="808">
        <v>6300000</v>
      </c>
      <c r="G93" s="683">
        <f>6500/5280</f>
        <v>1.231060606060606</v>
      </c>
    </row>
    <row r="94" spans="1:7">
      <c r="A94" s="503" t="s">
        <v>378</v>
      </c>
      <c r="B94" s="503" t="s">
        <v>1943</v>
      </c>
      <c r="C94" s="808">
        <v>950000</v>
      </c>
      <c r="D94" s="683">
        <f>1390/5280</f>
        <v>0.26325757575757575</v>
      </c>
      <c r="E94" s="501" t="s">
        <v>103</v>
      </c>
      <c r="F94" s="801">
        <v>0</v>
      </c>
      <c r="G94" s="802">
        <v>0</v>
      </c>
    </row>
    <row r="95" spans="1:7">
      <c r="A95" s="503"/>
      <c r="B95" s="503" t="s">
        <v>1944</v>
      </c>
      <c r="C95" s="808">
        <v>550000</v>
      </c>
      <c r="D95" s="683">
        <f>910/5280</f>
        <v>0.17234848484848486</v>
      </c>
      <c r="E95" s="501" t="s">
        <v>103</v>
      </c>
      <c r="F95" s="801">
        <v>0</v>
      </c>
      <c r="G95" s="802">
        <v>0</v>
      </c>
    </row>
    <row r="96" spans="1:7">
      <c r="A96" s="503" t="s">
        <v>384</v>
      </c>
      <c r="B96" s="503" t="s">
        <v>1945</v>
      </c>
      <c r="C96" s="808"/>
      <c r="D96" s="683"/>
      <c r="E96" s="501" t="s">
        <v>103</v>
      </c>
      <c r="F96" s="801">
        <v>0</v>
      </c>
      <c r="G96" s="802">
        <v>0</v>
      </c>
    </row>
    <row r="97" spans="1:7">
      <c r="A97" s="503" t="s">
        <v>388</v>
      </c>
      <c r="B97" s="501" t="s">
        <v>103</v>
      </c>
      <c r="C97" s="801">
        <v>0</v>
      </c>
      <c r="D97" s="805">
        <v>0</v>
      </c>
      <c r="E97" s="503" t="s">
        <v>1946</v>
      </c>
      <c r="F97" s="808">
        <v>1400000</v>
      </c>
      <c r="G97" s="683">
        <f>1920/5280</f>
        <v>0.36363636363636365</v>
      </c>
    </row>
    <row r="98" spans="1:7">
      <c r="A98" s="505" t="s">
        <v>389</v>
      </c>
      <c r="B98" s="501" t="s">
        <v>103</v>
      </c>
      <c r="C98" s="801">
        <v>0</v>
      </c>
      <c r="D98" s="809">
        <v>0</v>
      </c>
      <c r="E98" s="501" t="s">
        <v>103</v>
      </c>
      <c r="F98" s="801">
        <v>0</v>
      </c>
      <c r="G98" s="802">
        <v>0</v>
      </c>
    </row>
    <row r="99" spans="1:7">
      <c r="A99" s="503" t="s">
        <v>392</v>
      </c>
      <c r="B99" s="503" t="s">
        <v>1947</v>
      </c>
      <c r="C99" s="808">
        <v>3150000</v>
      </c>
      <c r="D99" s="683">
        <f>3900/5280</f>
        <v>0.73863636363636365</v>
      </c>
      <c r="E99" s="501" t="s">
        <v>103</v>
      </c>
      <c r="F99" s="801">
        <v>0</v>
      </c>
      <c r="G99" s="802">
        <v>0</v>
      </c>
    </row>
    <row r="100" spans="1:7">
      <c r="A100" s="503" t="s">
        <v>396</v>
      </c>
      <c r="B100" s="501" t="s">
        <v>103</v>
      </c>
      <c r="C100" s="801">
        <v>0</v>
      </c>
      <c r="D100" s="805">
        <v>0</v>
      </c>
      <c r="E100" s="503" t="s">
        <v>1948</v>
      </c>
      <c r="F100" s="808">
        <v>930000</v>
      </c>
      <c r="G100" s="683">
        <f>1330/5280</f>
        <v>0.25189393939393939</v>
      </c>
    </row>
    <row r="101" spans="1:7">
      <c r="A101" s="503" t="s">
        <v>397</v>
      </c>
      <c r="B101" s="501" t="s">
        <v>103</v>
      </c>
      <c r="C101" s="801">
        <v>0</v>
      </c>
      <c r="D101" s="805">
        <v>0</v>
      </c>
      <c r="E101" s="501" t="s">
        <v>103</v>
      </c>
      <c r="F101" s="801">
        <v>0</v>
      </c>
      <c r="G101" s="802">
        <v>0</v>
      </c>
    </row>
    <row r="102" spans="1:7">
      <c r="A102" s="503" t="s">
        <v>398</v>
      </c>
      <c r="B102" s="501" t="s">
        <v>103</v>
      </c>
      <c r="C102" s="801">
        <v>0</v>
      </c>
      <c r="D102" s="805">
        <v>0</v>
      </c>
      <c r="E102" s="501" t="s">
        <v>103</v>
      </c>
      <c r="F102" s="801">
        <v>0</v>
      </c>
      <c r="G102" s="802">
        <v>0</v>
      </c>
    </row>
    <row r="103" spans="1:7">
      <c r="A103" s="503" t="s">
        <v>405</v>
      </c>
      <c r="B103" s="503" t="s">
        <v>1949</v>
      </c>
      <c r="C103" s="808">
        <v>920000</v>
      </c>
      <c r="D103" s="683">
        <f>1080/5280</f>
        <v>0.20454545454545456</v>
      </c>
      <c r="E103" s="501" t="s">
        <v>103</v>
      </c>
      <c r="F103" s="801">
        <v>0</v>
      </c>
      <c r="G103" s="802">
        <v>0</v>
      </c>
    </row>
    <row r="104" spans="1:7">
      <c r="A104" s="503" t="s">
        <v>409</v>
      </c>
      <c r="B104" s="501" t="s">
        <v>103</v>
      </c>
      <c r="C104" s="801">
        <v>0</v>
      </c>
      <c r="D104" s="805">
        <v>0</v>
      </c>
      <c r="E104" s="501" t="s">
        <v>103</v>
      </c>
      <c r="F104" s="801">
        <v>0</v>
      </c>
      <c r="G104" s="802">
        <v>0</v>
      </c>
    </row>
    <row r="105" spans="1:7">
      <c r="A105" s="503" t="s">
        <v>410</v>
      </c>
      <c r="B105" s="501" t="s">
        <v>103</v>
      </c>
      <c r="C105" s="801">
        <v>0</v>
      </c>
      <c r="D105" s="805">
        <v>0</v>
      </c>
      <c r="E105" s="501" t="s">
        <v>103</v>
      </c>
      <c r="F105" s="801">
        <v>0</v>
      </c>
      <c r="G105" s="802">
        <v>0</v>
      </c>
    </row>
    <row r="106" spans="1:7">
      <c r="A106" s="503" t="s">
        <v>411</v>
      </c>
      <c r="B106" s="501" t="s">
        <v>103</v>
      </c>
      <c r="C106" s="801">
        <v>0</v>
      </c>
      <c r="D106" s="805">
        <v>0</v>
      </c>
      <c r="E106" s="501" t="s">
        <v>103</v>
      </c>
      <c r="F106" s="801">
        <v>0</v>
      </c>
      <c r="G106" s="802">
        <v>0</v>
      </c>
    </row>
    <row r="107" spans="1:7">
      <c r="A107" s="503" t="s">
        <v>417</v>
      </c>
      <c r="B107" s="501" t="s">
        <v>103</v>
      </c>
      <c r="C107" s="801">
        <v>0</v>
      </c>
      <c r="D107" s="805">
        <v>0</v>
      </c>
      <c r="E107" s="501" t="s">
        <v>103</v>
      </c>
      <c r="F107" s="801">
        <v>0</v>
      </c>
      <c r="G107" s="802">
        <v>0</v>
      </c>
    </row>
    <row r="108" spans="1:7">
      <c r="A108" s="503" t="s">
        <v>418</v>
      </c>
      <c r="B108" s="501" t="s">
        <v>103</v>
      </c>
      <c r="C108" s="801">
        <v>0</v>
      </c>
      <c r="D108" s="805">
        <v>0</v>
      </c>
      <c r="E108" s="501" t="s">
        <v>103</v>
      </c>
      <c r="F108" s="801">
        <v>0</v>
      </c>
      <c r="G108" s="802">
        <v>0</v>
      </c>
    </row>
    <row r="109" spans="1:7">
      <c r="A109" s="503" t="s">
        <v>419</v>
      </c>
      <c r="B109" s="503" t="s">
        <v>1950</v>
      </c>
      <c r="C109" s="808">
        <v>2300000</v>
      </c>
      <c r="D109" s="683">
        <f>2370/5280</f>
        <v>0.44886363636363635</v>
      </c>
      <c r="E109" s="501" t="s">
        <v>103</v>
      </c>
      <c r="F109" s="801">
        <v>0</v>
      </c>
      <c r="G109" s="802">
        <v>0</v>
      </c>
    </row>
    <row r="110" spans="1:7">
      <c r="A110" s="503" t="s">
        <v>423</v>
      </c>
      <c r="B110" s="501" t="s">
        <v>103</v>
      </c>
      <c r="C110" s="801">
        <v>0</v>
      </c>
      <c r="D110" s="805">
        <v>0</v>
      </c>
      <c r="E110" s="501" t="s">
        <v>103</v>
      </c>
      <c r="F110" s="801">
        <v>0</v>
      </c>
      <c r="G110" s="802">
        <v>0</v>
      </c>
    </row>
    <row r="111" spans="1:7">
      <c r="A111" s="503" t="s">
        <v>429</v>
      </c>
      <c r="B111" s="503" t="s">
        <v>1951</v>
      </c>
      <c r="C111" s="808">
        <v>2600000</v>
      </c>
      <c r="D111" s="683">
        <f>1080/5280</f>
        <v>0.20454545454545456</v>
      </c>
      <c r="E111" s="501" t="s">
        <v>103</v>
      </c>
      <c r="F111" s="801">
        <v>0</v>
      </c>
      <c r="G111" s="802">
        <v>0</v>
      </c>
    </row>
    <row r="112" spans="1:7">
      <c r="A112" s="503" t="s">
        <v>433</v>
      </c>
      <c r="B112" s="501" t="s">
        <v>103</v>
      </c>
      <c r="C112" s="801">
        <v>0</v>
      </c>
      <c r="D112" s="805">
        <v>0</v>
      </c>
      <c r="E112" s="501" t="s">
        <v>103</v>
      </c>
      <c r="F112" s="801">
        <v>0</v>
      </c>
      <c r="G112" s="802">
        <v>0</v>
      </c>
    </row>
    <row r="113" spans="1:7">
      <c r="A113" s="503" t="s">
        <v>438</v>
      </c>
      <c r="B113" s="503" t="s">
        <v>1952</v>
      </c>
      <c r="C113" s="808">
        <v>2900000</v>
      </c>
      <c r="D113" s="683">
        <f>5250/5280</f>
        <v>0.99431818181818177</v>
      </c>
      <c r="E113" s="501" t="s">
        <v>103</v>
      </c>
      <c r="F113" s="801">
        <v>0</v>
      </c>
      <c r="G113" s="802">
        <v>0</v>
      </c>
    </row>
    <row r="114" spans="1:7">
      <c r="A114" s="503" t="s">
        <v>444</v>
      </c>
      <c r="B114" s="501" t="s">
        <v>103</v>
      </c>
      <c r="C114" s="801">
        <v>0</v>
      </c>
      <c r="D114" s="805">
        <v>0</v>
      </c>
      <c r="E114" s="501" t="s">
        <v>103</v>
      </c>
      <c r="F114" s="801">
        <v>0</v>
      </c>
      <c r="G114" s="802">
        <v>0</v>
      </c>
    </row>
    <row r="115" spans="1:7">
      <c r="A115" s="503" t="s">
        <v>448</v>
      </c>
      <c r="B115" s="501" t="s">
        <v>103</v>
      </c>
      <c r="C115" s="801">
        <v>0</v>
      </c>
      <c r="D115" s="805">
        <v>0</v>
      </c>
      <c r="E115" s="501" t="s">
        <v>103</v>
      </c>
      <c r="F115" s="801">
        <v>0</v>
      </c>
      <c r="G115" s="802">
        <v>0</v>
      </c>
    </row>
    <row r="116" spans="1:7">
      <c r="A116" s="503" t="s">
        <v>449</v>
      </c>
      <c r="B116" s="503" t="s">
        <v>1953</v>
      </c>
      <c r="C116" s="808">
        <v>1600000</v>
      </c>
      <c r="D116" s="683">
        <f>2490/5280</f>
        <v>0.47159090909090912</v>
      </c>
      <c r="E116" s="503" t="s">
        <v>1954</v>
      </c>
      <c r="F116" s="808">
        <v>2700000</v>
      </c>
      <c r="G116" s="683">
        <f>1750/5280</f>
        <v>0.33143939393939392</v>
      </c>
    </row>
    <row r="117" spans="1:7">
      <c r="A117" s="503" t="s">
        <v>456</v>
      </c>
      <c r="B117" s="501" t="s">
        <v>103</v>
      </c>
      <c r="C117" s="801">
        <v>0</v>
      </c>
      <c r="D117" s="805">
        <v>0</v>
      </c>
      <c r="E117" s="501" t="s">
        <v>103</v>
      </c>
      <c r="F117" s="801">
        <v>0</v>
      </c>
      <c r="G117" s="802">
        <v>0</v>
      </c>
    </row>
    <row r="118" spans="1:7">
      <c r="A118" s="503" t="s">
        <v>457</v>
      </c>
      <c r="B118" s="503" t="s">
        <v>1955</v>
      </c>
      <c r="C118" s="808">
        <v>4200000</v>
      </c>
      <c r="D118" s="683">
        <f>7430/5280</f>
        <v>1.4071969696969697</v>
      </c>
      <c r="E118" s="501" t="s">
        <v>103</v>
      </c>
      <c r="F118" s="801">
        <v>0</v>
      </c>
      <c r="G118" s="802">
        <v>0</v>
      </c>
    </row>
    <row r="119" spans="1:7">
      <c r="A119" s="503"/>
      <c r="B119" s="503" t="s">
        <v>1956</v>
      </c>
      <c r="C119" s="808">
        <v>3200000</v>
      </c>
      <c r="D119" s="683">
        <f>5220/5280</f>
        <v>0.98863636363636365</v>
      </c>
      <c r="E119" s="501" t="s">
        <v>103</v>
      </c>
      <c r="F119" s="801">
        <v>0</v>
      </c>
      <c r="G119" s="802">
        <v>0</v>
      </c>
    </row>
    <row r="120" spans="1:7">
      <c r="A120" s="503"/>
      <c r="B120" s="503" t="s">
        <v>1957</v>
      </c>
      <c r="C120" s="808">
        <v>1200000</v>
      </c>
      <c r="D120" s="683">
        <f>2080/5280</f>
        <v>0.39393939393939392</v>
      </c>
      <c r="E120" s="501" t="s">
        <v>103</v>
      </c>
      <c r="F120" s="801">
        <v>0</v>
      </c>
      <c r="G120" s="802">
        <v>0</v>
      </c>
    </row>
    <row r="121" spans="1:7">
      <c r="A121" s="503" t="s">
        <v>469</v>
      </c>
      <c r="B121" s="503" t="s">
        <v>1958</v>
      </c>
      <c r="C121" s="808">
        <v>3200000</v>
      </c>
      <c r="D121" s="683">
        <f>4100/5280</f>
        <v>0.77651515151515149</v>
      </c>
      <c r="E121" s="503" t="s">
        <v>478</v>
      </c>
      <c r="F121" s="808">
        <v>700000</v>
      </c>
      <c r="G121" s="683">
        <f>725/5280</f>
        <v>0.13731060606060605</v>
      </c>
    </row>
    <row r="122" spans="1:7">
      <c r="A122" s="503"/>
      <c r="B122" s="501" t="s">
        <v>103</v>
      </c>
      <c r="C122" s="801">
        <v>0</v>
      </c>
      <c r="D122" s="812">
        <v>0</v>
      </c>
      <c r="E122" s="503" t="s">
        <v>1959</v>
      </c>
      <c r="F122" s="808">
        <v>4600000</v>
      </c>
      <c r="G122" s="683">
        <f>6520/5280</f>
        <v>1.2348484848484849</v>
      </c>
    </row>
    <row r="123" spans="1:7">
      <c r="A123" s="502" t="s">
        <v>1801</v>
      </c>
      <c r="B123" s="502"/>
      <c r="C123" s="803">
        <f>SUM(C29:C122)</f>
        <v>48870000</v>
      </c>
      <c r="D123" s="813">
        <f>SUM(D29:D122)</f>
        <v>13.84375</v>
      </c>
      <c r="E123" s="502"/>
      <c r="F123" s="803">
        <f>SUM(F29:F122)</f>
        <v>26130000</v>
      </c>
      <c r="G123" s="813">
        <f>SUM(G29:G122)</f>
        <v>6.1941287878787872</v>
      </c>
    </row>
    <row r="124" spans="1:7">
      <c r="A124" s="504" t="s">
        <v>502</v>
      </c>
      <c r="B124" s="504"/>
      <c r="C124" s="806"/>
      <c r="D124" s="807"/>
      <c r="E124" s="504"/>
      <c r="F124" s="806"/>
      <c r="G124" s="807"/>
    </row>
    <row r="125" spans="1:7">
      <c r="A125" s="503" t="s">
        <v>503</v>
      </c>
      <c r="B125" s="501" t="s">
        <v>103</v>
      </c>
      <c r="C125" s="801">
        <v>0</v>
      </c>
      <c r="D125" s="805">
        <v>0</v>
      </c>
      <c r="E125" s="501" t="s">
        <v>103</v>
      </c>
      <c r="F125" s="801">
        <v>0</v>
      </c>
      <c r="G125" s="802">
        <v>0</v>
      </c>
    </row>
    <row r="126" spans="1:7">
      <c r="A126" s="502" t="s">
        <v>1802</v>
      </c>
      <c r="B126" s="502"/>
      <c r="C126" s="803">
        <f>SUM(C124:C125)</f>
        <v>0</v>
      </c>
      <c r="D126" s="804">
        <f>SUM(D124:D125)</f>
        <v>0</v>
      </c>
      <c r="E126" s="502"/>
      <c r="F126" s="803">
        <f>SUM(F124:F125)</f>
        <v>0</v>
      </c>
      <c r="G126" s="804">
        <f>SUM(G124:G125)</f>
        <v>0</v>
      </c>
    </row>
    <row r="127" spans="1:7">
      <c r="A127" s="504" t="s">
        <v>504</v>
      </c>
      <c r="B127" s="504"/>
      <c r="C127" s="806"/>
      <c r="D127" s="807"/>
      <c r="E127" s="504"/>
      <c r="F127" s="806"/>
      <c r="G127" s="807"/>
    </row>
    <row r="128" spans="1:7">
      <c r="A128" s="503" t="s">
        <v>505</v>
      </c>
      <c r="B128" s="501" t="s">
        <v>103</v>
      </c>
      <c r="C128" s="801">
        <v>0</v>
      </c>
      <c r="D128" s="805">
        <v>0</v>
      </c>
      <c r="E128" s="501" t="s">
        <v>103</v>
      </c>
      <c r="F128" s="801">
        <v>0</v>
      </c>
      <c r="G128" s="802">
        <v>0</v>
      </c>
    </row>
    <row r="129" spans="1:7">
      <c r="A129" s="505" t="s">
        <v>510</v>
      </c>
      <c r="B129" s="501" t="s">
        <v>103</v>
      </c>
      <c r="C129" s="801">
        <v>0</v>
      </c>
      <c r="D129" s="809">
        <v>0</v>
      </c>
      <c r="E129" s="501" t="s">
        <v>103</v>
      </c>
      <c r="F129" s="801">
        <v>0</v>
      </c>
      <c r="G129" s="802">
        <v>0</v>
      </c>
    </row>
    <row r="130" spans="1:7">
      <c r="A130" s="506" t="s">
        <v>1803</v>
      </c>
      <c r="B130" s="506"/>
      <c r="C130" s="814">
        <f>SUM(C127:C129)</f>
        <v>0</v>
      </c>
      <c r="D130" s="804">
        <f>SUM(D127:D129)</f>
        <v>0</v>
      </c>
      <c r="E130" s="506"/>
      <c r="F130" s="814">
        <f>SUM(F127:F129)</f>
        <v>0</v>
      </c>
      <c r="G130" s="804">
        <f>SUM(G127:G129)</f>
        <v>0</v>
      </c>
    </row>
    <row r="131" spans="1:7">
      <c r="A131" s="504" t="s">
        <v>514</v>
      </c>
      <c r="B131" s="504"/>
      <c r="C131" s="806"/>
      <c r="D131" s="807"/>
      <c r="E131" s="504"/>
      <c r="F131" s="806"/>
      <c r="G131" s="807"/>
    </row>
    <row r="132" spans="1:7">
      <c r="A132" s="503" t="s">
        <v>515</v>
      </c>
      <c r="B132" s="501" t="s">
        <v>103</v>
      </c>
      <c r="C132" s="801">
        <v>0</v>
      </c>
      <c r="D132" s="805">
        <v>0</v>
      </c>
      <c r="E132" s="501" t="s">
        <v>103</v>
      </c>
      <c r="F132" s="801">
        <v>0</v>
      </c>
      <c r="G132" s="802">
        <v>0</v>
      </c>
    </row>
    <row r="133" spans="1:7">
      <c r="A133" s="503" t="s">
        <v>516</v>
      </c>
      <c r="B133" s="501" t="s">
        <v>103</v>
      </c>
      <c r="C133" s="801">
        <v>0</v>
      </c>
      <c r="D133" s="805">
        <v>0</v>
      </c>
      <c r="E133" s="501" t="s">
        <v>103</v>
      </c>
      <c r="F133" s="801">
        <v>0</v>
      </c>
      <c r="G133" s="802">
        <v>0</v>
      </c>
    </row>
    <row r="134" spans="1:7">
      <c r="A134" s="503" t="s">
        <v>517</v>
      </c>
      <c r="B134" s="501" t="s">
        <v>103</v>
      </c>
      <c r="C134" s="801">
        <v>0</v>
      </c>
      <c r="D134" s="805">
        <v>0</v>
      </c>
      <c r="E134" s="501" t="s">
        <v>103</v>
      </c>
      <c r="F134" s="801">
        <v>0</v>
      </c>
      <c r="G134" s="802">
        <v>0</v>
      </c>
    </row>
    <row r="135" spans="1:7">
      <c r="A135" s="503" t="s">
        <v>521</v>
      </c>
      <c r="B135" s="501" t="s">
        <v>103</v>
      </c>
      <c r="C135" s="801">
        <v>0</v>
      </c>
      <c r="D135" s="805">
        <v>0</v>
      </c>
      <c r="E135" s="501" t="s">
        <v>103</v>
      </c>
      <c r="F135" s="801">
        <v>0</v>
      </c>
      <c r="G135" s="802">
        <v>0</v>
      </c>
    </row>
    <row r="136" spans="1:7">
      <c r="A136" s="503" t="s">
        <v>525</v>
      </c>
      <c r="B136" s="501" t="s">
        <v>103</v>
      </c>
      <c r="C136" s="801">
        <v>0</v>
      </c>
      <c r="D136" s="812">
        <v>0</v>
      </c>
      <c r="E136" s="503" t="s">
        <v>1960</v>
      </c>
      <c r="F136" s="808">
        <v>3400000</v>
      </c>
      <c r="G136" s="683">
        <f>5230/5280</f>
        <v>0.99053030303030298</v>
      </c>
    </row>
    <row r="137" spans="1:7">
      <c r="A137" s="503" t="s">
        <v>526</v>
      </c>
      <c r="B137" s="501" t="s">
        <v>103</v>
      </c>
      <c r="C137" s="801">
        <v>0</v>
      </c>
      <c r="D137" s="805">
        <v>0</v>
      </c>
      <c r="E137" s="501" t="s">
        <v>103</v>
      </c>
      <c r="F137" s="801">
        <v>0</v>
      </c>
      <c r="G137" s="802">
        <v>0</v>
      </c>
    </row>
    <row r="138" spans="1:7">
      <c r="A138" s="503" t="s">
        <v>527</v>
      </c>
      <c r="B138" s="501" t="s">
        <v>103</v>
      </c>
      <c r="C138" s="801">
        <v>0</v>
      </c>
      <c r="D138" s="805">
        <v>0</v>
      </c>
      <c r="E138" s="501" t="s">
        <v>103</v>
      </c>
      <c r="F138" s="801">
        <v>0</v>
      </c>
      <c r="G138" s="802">
        <v>0</v>
      </c>
    </row>
    <row r="139" spans="1:7">
      <c r="A139" s="503" t="s">
        <v>530</v>
      </c>
      <c r="B139" s="501" t="s">
        <v>103</v>
      </c>
      <c r="C139" s="801">
        <v>0</v>
      </c>
      <c r="D139" s="805">
        <v>0</v>
      </c>
      <c r="E139" s="501" t="s">
        <v>103</v>
      </c>
      <c r="F139" s="801">
        <v>0</v>
      </c>
      <c r="G139" s="802">
        <v>0</v>
      </c>
    </row>
    <row r="140" spans="1:7">
      <c r="A140" s="503" t="s">
        <v>540</v>
      </c>
      <c r="B140" s="503" t="s">
        <v>1961</v>
      </c>
      <c r="C140" s="808">
        <v>5800000</v>
      </c>
      <c r="D140" s="683">
        <f>9740/5280</f>
        <v>1.8446969696969697</v>
      </c>
      <c r="E140" s="501" t="s">
        <v>103</v>
      </c>
      <c r="F140" s="801">
        <v>0</v>
      </c>
      <c r="G140" s="802">
        <v>0</v>
      </c>
    </row>
    <row r="141" spans="1:7">
      <c r="A141" s="503" t="s">
        <v>552</v>
      </c>
      <c r="B141" s="501" t="s">
        <v>103</v>
      </c>
      <c r="C141" s="801">
        <v>0</v>
      </c>
      <c r="D141" s="805">
        <v>0</v>
      </c>
      <c r="E141" s="501" t="s">
        <v>103</v>
      </c>
      <c r="F141" s="801">
        <v>0</v>
      </c>
      <c r="G141" s="802">
        <v>0</v>
      </c>
    </row>
    <row r="142" spans="1:7">
      <c r="A142" s="505" t="s">
        <v>561</v>
      </c>
      <c r="B142" s="501" t="s">
        <v>103</v>
      </c>
      <c r="C142" s="801">
        <v>0</v>
      </c>
      <c r="D142" s="809">
        <v>0</v>
      </c>
      <c r="E142" s="501" t="s">
        <v>103</v>
      </c>
      <c r="F142" s="801">
        <v>0</v>
      </c>
      <c r="G142" s="802">
        <v>0</v>
      </c>
    </row>
    <row r="143" spans="1:7">
      <c r="A143" s="503" t="s">
        <v>562</v>
      </c>
      <c r="B143" s="501" t="s">
        <v>103</v>
      </c>
      <c r="C143" s="801">
        <v>0</v>
      </c>
      <c r="D143" s="805">
        <v>0</v>
      </c>
      <c r="E143" s="501" t="s">
        <v>103</v>
      </c>
      <c r="F143" s="801">
        <v>0</v>
      </c>
      <c r="G143" s="802">
        <v>0</v>
      </c>
    </row>
    <row r="144" spans="1:7">
      <c r="A144" s="503" t="s">
        <v>567</v>
      </c>
      <c r="B144" s="501" t="s">
        <v>103</v>
      </c>
      <c r="C144" s="801">
        <v>0</v>
      </c>
      <c r="D144" s="805">
        <v>0</v>
      </c>
      <c r="E144" s="501" t="s">
        <v>103</v>
      </c>
      <c r="F144" s="801">
        <v>0</v>
      </c>
      <c r="G144" s="802">
        <v>0</v>
      </c>
    </row>
    <row r="145" spans="1:7">
      <c r="A145" s="503" t="s">
        <v>571</v>
      </c>
      <c r="B145" s="501" t="s">
        <v>103</v>
      </c>
      <c r="C145" s="801">
        <v>0</v>
      </c>
      <c r="D145" s="812">
        <v>0</v>
      </c>
      <c r="E145" s="503" t="s">
        <v>1962</v>
      </c>
      <c r="F145" s="808">
        <v>4400000</v>
      </c>
      <c r="G145" s="683">
        <f>5450/5280</f>
        <v>1.0321969696969697</v>
      </c>
    </row>
    <row r="146" spans="1:7">
      <c r="A146" s="503" t="s">
        <v>578</v>
      </c>
      <c r="B146" s="501" t="s">
        <v>103</v>
      </c>
      <c r="C146" s="801">
        <v>0</v>
      </c>
      <c r="D146" s="805">
        <v>0</v>
      </c>
      <c r="E146" s="501" t="s">
        <v>103</v>
      </c>
      <c r="F146" s="801">
        <v>0</v>
      </c>
      <c r="G146" s="802">
        <v>0</v>
      </c>
    </row>
    <row r="147" spans="1:7">
      <c r="A147" s="503" t="s">
        <v>579</v>
      </c>
      <c r="B147" s="501" t="s">
        <v>103</v>
      </c>
      <c r="C147" s="801">
        <v>0</v>
      </c>
      <c r="D147" s="805">
        <v>0</v>
      </c>
      <c r="E147" s="501" t="s">
        <v>103</v>
      </c>
      <c r="F147" s="801">
        <v>0</v>
      </c>
      <c r="G147" s="802">
        <v>0</v>
      </c>
    </row>
    <row r="148" spans="1:7">
      <c r="A148" s="503" t="s">
        <v>580</v>
      </c>
      <c r="B148" s="501" t="s">
        <v>103</v>
      </c>
      <c r="C148" s="801">
        <v>0</v>
      </c>
      <c r="D148" s="805">
        <v>0</v>
      </c>
      <c r="E148" s="501" t="s">
        <v>103</v>
      </c>
      <c r="F148" s="801">
        <v>0</v>
      </c>
      <c r="G148" s="802">
        <v>0</v>
      </c>
    </row>
    <row r="149" spans="1:7">
      <c r="A149" s="503" t="s">
        <v>581</v>
      </c>
      <c r="B149" s="501" t="s">
        <v>103</v>
      </c>
      <c r="C149" s="801">
        <v>0</v>
      </c>
      <c r="D149" s="805">
        <v>0</v>
      </c>
      <c r="E149" s="501" t="s">
        <v>103</v>
      </c>
      <c r="F149" s="801">
        <v>0</v>
      </c>
      <c r="G149" s="802">
        <v>0</v>
      </c>
    </row>
    <row r="150" spans="1:7">
      <c r="A150" s="503" t="s">
        <v>582</v>
      </c>
      <c r="B150" s="501" t="s">
        <v>103</v>
      </c>
      <c r="C150" s="801">
        <v>0</v>
      </c>
      <c r="D150" s="805">
        <v>0</v>
      </c>
      <c r="E150" s="501" t="s">
        <v>103</v>
      </c>
      <c r="F150" s="801">
        <v>0</v>
      </c>
      <c r="G150" s="802">
        <v>0</v>
      </c>
    </row>
    <row r="151" spans="1:7">
      <c r="A151" s="503" t="s">
        <v>585</v>
      </c>
      <c r="B151" s="501" t="s">
        <v>103</v>
      </c>
      <c r="C151" s="801">
        <v>0</v>
      </c>
      <c r="D151" s="805">
        <v>0</v>
      </c>
      <c r="E151" s="501" t="s">
        <v>103</v>
      </c>
      <c r="F151" s="801">
        <v>0</v>
      </c>
      <c r="G151" s="802">
        <v>0</v>
      </c>
    </row>
    <row r="152" spans="1:7">
      <c r="A152" s="503" t="s">
        <v>589</v>
      </c>
      <c r="B152" s="503" t="s">
        <v>1963</v>
      </c>
      <c r="C152" s="808">
        <v>8600000</v>
      </c>
      <c r="D152" s="683">
        <f>10400/5280</f>
        <v>1.9696969696969697</v>
      </c>
      <c r="E152" s="501" t="s">
        <v>103</v>
      </c>
      <c r="F152" s="801">
        <v>0</v>
      </c>
      <c r="G152" s="802">
        <v>0</v>
      </c>
    </row>
    <row r="153" spans="1:7">
      <c r="A153" s="503" t="s">
        <v>596</v>
      </c>
      <c r="B153" s="501" t="s">
        <v>103</v>
      </c>
      <c r="C153" s="801">
        <v>0</v>
      </c>
      <c r="D153" s="805">
        <v>0</v>
      </c>
      <c r="E153" s="501" t="s">
        <v>103</v>
      </c>
      <c r="F153" s="801">
        <v>0</v>
      </c>
      <c r="G153" s="802">
        <v>0</v>
      </c>
    </row>
    <row r="154" spans="1:7">
      <c r="A154" s="503" t="s">
        <v>599</v>
      </c>
      <c r="B154" s="503" t="s">
        <v>1964</v>
      </c>
      <c r="C154" s="808">
        <v>800000</v>
      </c>
      <c r="D154" s="683">
        <f>1150/5280</f>
        <v>0.2178030303030303</v>
      </c>
      <c r="E154" s="501" t="s">
        <v>103</v>
      </c>
      <c r="F154" s="801">
        <v>0</v>
      </c>
      <c r="G154" s="802">
        <v>0</v>
      </c>
    </row>
    <row r="155" spans="1:7">
      <c r="A155" s="503" t="s">
        <v>603</v>
      </c>
      <c r="B155" s="501" t="s">
        <v>103</v>
      </c>
      <c r="C155" s="801">
        <v>0</v>
      </c>
      <c r="D155" s="805">
        <v>0</v>
      </c>
      <c r="E155" s="501" t="s">
        <v>103</v>
      </c>
      <c r="F155" s="801">
        <v>0</v>
      </c>
      <c r="G155" s="802">
        <v>0</v>
      </c>
    </row>
    <row r="156" spans="1:7">
      <c r="A156" s="503" t="s">
        <v>604</v>
      </c>
      <c r="B156" s="501" t="s">
        <v>103</v>
      </c>
      <c r="C156" s="801">
        <v>0</v>
      </c>
      <c r="D156" s="812">
        <v>0</v>
      </c>
      <c r="E156" s="503" t="s">
        <v>1965</v>
      </c>
      <c r="F156" s="808">
        <v>4500000</v>
      </c>
      <c r="G156" s="683">
        <f>2040/5280</f>
        <v>0.38636363636363635</v>
      </c>
    </row>
    <row r="157" spans="1:7">
      <c r="A157" s="503" t="s">
        <v>622</v>
      </c>
      <c r="B157" s="501" t="s">
        <v>103</v>
      </c>
      <c r="C157" s="801">
        <v>0</v>
      </c>
      <c r="D157" s="805">
        <v>0</v>
      </c>
      <c r="E157" s="501" t="s">
        <v>103</v>
      </c>
      <c r="F157" s="801">
        <v>0</v>
      </c>
      <c r="G157" s="802">
        <v>0</v>
      </c>
    </row>
    <row r="158" spans="1:7">
      <c r="A158" s="503" t="s">
        <v>629</v>
      </c>
      <c r="B158" s="503" t="s">
        <v>1966</v>
      </c>
      <c r="C158" s="808">
        <v>2400000</v>
      </c>
      <c r="D158" s="683">
        <f>4240/5280</f>
        <v>0.80303030303030298</v>
      </c>
      <c r="E158" s="501" t="s">
        <v>103</v>
      </c>
      <c r="F158" s="801">
        <v>0</v>
      </c>
      <c r="G158" s="802">
        <v>0</v>
      </c>
    </row>
    <row r="159" spans="1:7">
      <c r="A159" s="503" t="s">
        <v>633</v>
      </c>
      <c r="B159" s="501" t="s">
        <v>103</v>
      </c>
      <c r="C159" s="801">
        <v>0</v>
      </c>
      <c r="D159" s="805">
        <v>0</v>
      </c>
      <c r="E159" s="501" t="s">
        <v>103</v>
      </c>
      <c r="F159" s="801">
        <v>0</v>
      </c>
      <c r="G159" s="802">
        <v>0</v>
      </c>
    </row>
    <row r="160" spans="1:7">
      <c r="A160" s="503" t="s">
        <v>634</v>
      </c>
      <c r="B160" s="501" t="s">
        <v>103</v>
      </c>
      <c r="C160" s="801">
        <v>0</v>
      </c>
      <c r="D160" s="805">
        <v>0</v>
      </c>
      <c r="E160" s="501" t="s">
        <v>103</v>
      </c>
      <c r="F160" s="801">
        <v>0</v>
      </c>
      <c r="G160" s="802">
        <v>0</v>
      </c>
    </row>
    <row r="161" spans="1:7">
      <c r="A161" s="503" t="s">
        <v>638</v>
      </c>
      <c r="B161" s="501" t="s">
        <v>103</v>
      </c>
      <c r="C161" s="801">
        <v>0</v>
      </c>
      <c r="D161" s="812">
        <v>0</v>
      </c>
      <c r="E161" s="503" t="s">
        <v>1967</v>
      </c>
      <c r="F161" s="808">
        <v>975000</v>
      </c>
      <c r="G161" s="683">
        <f>975/5280</f>
        <v>0.18465909090909091</v>
      </c>
    </row>
    <row r="162" spans="1:7">
      <c r="A162" s="503" t="s">
        <v>643</v>
      </c>
      <c r="B162" s="503" t="s">
        <v>1968</v>
      </c>
      <c r="C162" s="808">
        <v>900000</v>
      </c>
      <c r="D162" s="683">
        <f>1630/5280</f>
        <v>0.30871212121212122</v>
      </c>
      <c r="E162" s="501" t="s">
        <v>103</v>
      </c>
      <c r="F162" s="801">
        <v>0</v>
      </c>
      <c r="G162" s="802">
        <v>0</v>
      </c>
    </row>
    <row r="163" spans="1:7">
      <c r="A163" s="503" t="s">
        <v>647</v>
      </c>
      <c r="B163" s="503" t="s">
        <v>1969</v>
      </c>
      <c r="C163" s="808">
        <v>11000000</v>
      </c>
      <c r="D163" s="683">
        <f>5940/5280</f>
        <v>1.125</v>
      </c>
      <c r="E163" s="501" t="s">
        <v>103</v>
      </c>
      <c r="F163" s="801">
        <v>0</v>
      </c>
      <c r="G163" s="802">
        <v>0</v>
      </c>
    </row>
    <row r="164" spans="1:7">
      <c r="A164" s="502" t="s">
        <v>1503</v>
      </c>
      <c r="B164" s="502"/>
      <c r="C164" s="803">
        <f>SUM(C131:C163)</f>
        <v>29500000</v>
      </c>
      <c r="D164" s="813">
        <f>SUM(D131:D163)</f>
        <v>6.2689393939393936</v>
      </c>
      <c r="E164" s="502"/>
      <c r="F164" s="803">
        <f>SUM(F131:F163)</f>
        <v>13275000</v>
      </c>
      <c r="G164" s="813">
        <f>SUM(G131:G163)</f>
        <v>2.5937499999999996</v>
      </c>
    </row>
    <row r="165" spans="1:7">
      <c r="A165" s="504" t="s">
        <v>658</v>
      </c>
      <c r="B165" s="504"/>
      <c r="C165" s="806"/>
      <c r="D165" s="807"/>
      <c r="E165" s="504"/>
      <c r="F165" s="806"/>
      <c r="G165" s="807"/>
    </row>
    <row r="166" spans="1:7">
      <c r="A166" s="503" t="s">
        <v>659</v>
      </c>
      <c r="B166" s="501" t="s">
        <v>103</v>
      </c>
      <c r="C166" s="801">
        <v>0</v>
      </c>
      <c r="D166" s="805">
        <v>0</v>
      </c>
      <c r="E166" s="501" t="s">
        <v>103</v>
      </c>
      <c r="F166" s="801">
        <v>0</v>
      </c>
      <c r="G166" s="802">
        <v>0</v>
      </c>
    </row>
    <row r="167" spans="1:7">
      <c r="A167" s="503" t="s">
        <v>664</v>
      </c>
      <c r="B167" s="501" t="s">
        <v>103</v>
      </c>
      <c r="C167" s="801">
        <v>0</v>
      </c>
      <c r="D167" s="805">
        <v>0</v>
      </c>
      <c r="E167" s="501" t="s">
        <v>103</v>
      </c>
      <c r="F167" s="801">
        <v>0</v>
      </c>
      <c r="G167" s="802">
        <v>0</v>
      </c>
    </row>
    <row r="168" spans="1:7">
      <c r="A168" s="503" t="s">
        <v>665</v>
      </c>
      <c r="B168" s="501" t="s">
        <v>103</v>
      </c>
      <c r="C168" s="801">
        <v>0</v>
      </c>
      <c r="D168" s="805">
        <v>0</v>
      </c>
      <c r="E168" s="501" t="s">
        <v>103</v>
      </c>
      <c r="F168" s="801">
        <v>0</v>
      </c>
      <c r="G168" s="802">
        <v>0</v>
      </c>
    </row>
    <row r="169" spans="1:7">
      <c r="A169" s="503" t="s">
        <v>666</v>
      </c>
      <c r="B169" s="501" t="s">
        <v>103</v>
      </c>
      <c r="C169" s="801">
        <v>0</v>
      </c>
      <c r="D169" s="805">
        <v>0</v>
      </c>
      <c r="E169" s="501" t="s">
        <v>103</v>
      </c>
      <c r="F169" s="801">
        <v>0</v>
      </c>
      <c r="G169" s="802">
        <v>0</v>
      </c>
    </row>
    <row r="170" spans="1:7">
      <c r="A170" s="503" t="s">
        <v>670</v>
      </c>
      <c r="B170" s="501" t="s">
        <v>103</v>
      </c>
      <c r="C170" s="801">
        <v>0</v>
      </c>
      <c r="D170" s="805">
        <v>0</v>
      </c>
      <c r="E170" s="501" t="s">
        <v>103</v>
      </c>
      <c r="F170" s="801">
        <v>0</v>
      </c>
      <c r="G170" s="802">
        <v>0</v>
      </c>
    </row>
    <row r="171" spans="1:7">
      <c r="A171" s="505" t="s">
        <v>678</v>
      </c>
      <c r="B171" s="501" t="s">
        <v>103</v>
      </c>
      <c r="C171" s="801">
        <v>0</v>
      </c>
      <c r="D171" s="809">
        <v>0</v>
      </c>
      <c r="E171" s="501" t="s">
        <v>103</v>
      </c>
      <c r="F171" s="801">
        <v>0</v>
      </c>
      <c r="G171" s="802">
        <v>0</v>
      </c>
    </row>
    <row r="172" spans="1:7">
      <c r="A172" s="505" t="s">
        <v>679</v>
      </c>
      <c r="B172" s="501" t="s">
        <v>103</v>
      </c>
      <c r="C172" s="801">
        <v>0</v>
      </c>
      <c r="D172" s="809">
        <v>0</v>
      </c>
      <c r="E172" s="501" t="s">
        <v>103</v>
      </c>
      <c r="F172" s="801">
        <v>0</v>
      </c>
      <c r="G172" s="802">
        <v>0</v>
      </c>
    </row>
    <row r="173" spans="1:7">
      <c r="A173" s="503" t="s">
        <v>684</v>
      </c>
      <c r="B173" s="501" t="s">
        <v>103</v>
      </c>
      <c r="C173" s="801">
        <v>0</v>
      </c>
      <c r="D173" s="805">
        <v>0</v>
      </c>
      <c r="E173" s="501" t="s">
        <v>103</v>
      </c>
      <c r="F173" s="801">
        <v>0</v>
      </c>
      <c r="G173" s="802">
        <v>0</v>
      </c>
    </row>
    <row r="174" spans="1:7">
      <c r="A174" s="503" t="s">
        <v>685</v>
      </c>
      <c r="B174" s="501" t="s">
        <v>103</v>
      </c>
      <c r="C174" s="801">
        <v>0</v>
      </c>
      <c r="D174" s="805">
        <v>0</v>
      </c>
      <c r="E174" s="501" t="s">
        <v>103</v>
      </c>
      <c r="F174" s="801">
        <v>0</v>
      </c>
      <c r="G174" s="802">
        <v>0</v>
      </c>
    </row>
    <row r="175" spans="1:7">
      <c r="A175" s="503" t="s">
        <v>688</v>
      </c>
      <c r="B175" s="501" t="s">
        <v>103</v>
      </c>
      <c r="C175" s="801">
        <v>0</v>
      </c>
      <c r="D175" s="805">
        <v>0</v>
      </c>
      <c r="E175" s="501" t="s">
        <v>103</v>
      </c>
      <c r="F175" s="801">
        <v>0</v>
      </c>
      <c r="G175" s="802">
        <v>0</v>
      </c>
    </row>
    <row r="176" spans="1:7">
      <c r="A176" s="503" t="s">
        <v>692</v>
      </c>
      <c r="B176" s="501" t="s">
        <v>103</v>
      </c>
      <c r="C176" s="801">
        <v>0</v>
      </c>
      <c r="D176" s="805">
        <v>0</v>
      </c>
      <c r="E176" s="501" t="s">
        <v>103</v>
      </c>
      <c r="F176" s="801">
        <v>0</v>
      </c>
      <c r="G176" s="802">
        <v>0</v>
      </c>
    </row>
    <row r="177" spans="1:7">
      <c r="A177" s="503" t="s">
        <v>693</v>
      </c>
      <c r="B177" s="501" t="s">
        <v>103</v>
      </c>
      <c r="C177" s="801">
        <v>0</v>
      </c>
      <c r="D177" s="805">
        <v>0</v>
      </c>
      <c r="E177" s="501" t="s">
        <v>103</v>
      </c>
      <c r="F177" s="801">
        <v>0</v>
      </c>
      <c r="G177" s="802">
        <v>0</v>
      </c>
    </row>
    <row r="178" spans="1:7">
      <c r="A178" s="503" t="s">
        <v>697</v>
      </c>
      <c r="B178" s="501" t="s">
        <v>103</v>
      </c>
      <c r="C178" s="801">
        <v>0</v>
      </c>
      <c r="D178" s="805">
        <v>0</v>
      </c>
      <c r="E178" s="501" t="s">
        <v>103</v>
      </c>
      <c r="F178" s="801">
        <v>0</v>
      </c>
      <c r="G178" s="802">
        <v>0</v>
      </c>
    </row>
    <row r="179" spans="1:7">
      <c r="A179" s="503" t="s">
        <v>698</v>
      </c>
      <c r="B179" s="501" t="s">
        <v>103</v>
      </c>
      <c r="C179" s="801">
        <v>0</v>
      </c>
      <c r="D179" s="805">
        <v>0</v>
      </c>
      <c r="E179" s="501" t="s">
        <v>103</v>
      </c>
      <c r="F179" s="801">
        <v>0</v>
      </c>
      <c r="G179" s="802">
        <v>0</v>
      </c>
    </row>
    <row r="180" spans="1:7">
      <c r="A180" s="503" t="s">
        <v>704</v>
      </c>
      <c r="B180" s="501" t="s">
        <v>103</v>
      </c>
      <c r="C180" s="801">
        <v>0</v>
      </c>
      <c r="D180" s="805">
        <v>0</v>
      </c>
      <c r="E180" s="501" t="s">
        <v>103</v>
      </c>
      <c r="F180" s="801">
        <v>0</v>
      </c>
      <c r="G180" s="802">
        <v>0</v>
      </c>
    </row>
    <row r="181" spans="1:7">
      <c r="A181" s="503" t="s">
        <v>708</v>
      </c>
      <c r="B181" s="501" t="s">
        <v>103</v>
      </c>
      <c r="C181" s="801">
        <v>0</v>
      </c>
      <c r="D181" s="805">
        <v>0</v>
      </c>
      <c r="E181" s="501" t="s">
        <v>103</v>
      </c>
      <c r="F181" s="801">
        <v>0</v>
      </c>
      <c r="G181" s="802">
        <v>0</v>
      </c>
    </row>
    <row r="182" spans="1:7">
      <c r="A182" s="503" t="s">
        <v>709</v>
      </c>
      <c r="B182" s="501" t="s">
        <v>103</v>
      </c>
      <c r="C182" s="801">
        <v>0</v>
      </c>
      <c r="D182" s="805">
        <v>0</v>
      </c>
      <c r="E182" s="501" t="s">
        <v>103</v>
      </c>
      <c r="F182" s="801">
        <v>0</v>
      </c>
      <c r="G182" s="802">
        <v>0</v>
      </c>
    </row>
    <row r="183" spans="1:7">
      <c r="A183" s="503" t="s">
        <v>710</v>
      </c>
      <c r="B183" s="503" t="s">
        <v>1970</v>
      </c>
      <c r="C183" s="808">
        <v>2000000</v>
      </c>
      <c r="D183" s="683">
        <f>3800/5280</f>
        <v>0.71969696969696972</v>
      </c>
      <c r="E183" s="501" t="s">
        <v>103</v>
      </c>
      <c r="F183" s="801">
        <v>0</v>
      </c>
      <c r="G183" s="802">
        <v>0</v>
      </c>
    </row>
    <row r="184" spans="1:7">
      <c r="A184" s="503" t="s">
        <v>715</v>
      </c>
      <c r="B184" s="501" t="s">
        <v>103</v>
      </c>
      <c r="C184" s="801">
        <v>0</v>
      </c>
      <c r="D184" s="805">
        <v>0</v>
      </c>
      <c r="E184" s="501" t="s">
        <v>103</v>
      </c>
      <c r="F184" s="801">
        <v>0</v>
      </c>
      <c r="G184" s="802">
        <v>0</v>
      </c>
    </row>
    <row r="185" spans="1:7">
      <c r="A185" s="503" t="s">
        <v>719</v>
      </c>
      <c r="B185" s="501" t="s">
        <v>103</v>
      </c>
      <c r="C185" s="801">
        <v>0</v>
      </c>
      <c r="D185" s="805">
        <v>0</v>
      </c>
      <c r="E185" s="501" t="s">
        <v>103</v>
      </c>
      <c r="F185" s="801">
        <v>0</v>
      </c>
      <c r="G185" s="802">
        <v>0</v>
      </c>
    </row>
    <row r="186" spans="1:7">
      <c r="A186" s="507" t="s">
        <v>720</v>
      </c>
      <c r="B186" s="501" t="s">
        <v>103</v>
      </c>
      <c r="C186" s="801">
        <v>0</v>
      </c>
      <c r="D186" s="805">
        <v>0</v>
      </c>
      <c r="E186" s="501" t="s">
        <v>103</v>
      </c>
      <c r="F186" s="801">
        <v>0</v>
      </c>
      <c r="G186" s="802">
        <v>0</v>
      </c>
    </row>
    <row r="187" spans="1:7">
      <c r="A187" s="503" t="s">
        <v>721</v>
      </c>
      <c r="B187" s="501" t="s">
        <v>103</v>
      </c>
      <c r="C187" s="801">
        <v>0</v>
      </c>
      <c r="D187" s="805">
        <v>0</v>
      </c>
      <c r="E187" s="501" t="s">
        <v>103</v>
      </c>
      <c r="F187" s="801">
        <v>0</v>
      </c>
      <c r="G187" s="802">
        <v>0</v>
      </c>
    </row>
    <row r="188" spans="1:7">
      <c r="A188" s="503" t="s">
        <v>724</v>
      </c>
      <c r="B188" s="501" t="s">
        <v>103</v>
      </c>
      <c r="C188" s="801">
        <v>0</v>
      </c>
      <c r="D188" s="805">
        <v>0</v>
      </c>
      <c r="E188" s="501" t="s">
        <v>103</v>
      </c>
      <c r="F188" s="801">
        <v>0</v>
      </c>
      <c r="G188" s="802">
        <v>0</v>
      </c>
    </row>
    <row r="189" spans="1:7">
      <c r="A189" s="503" t="s">
        <v>728</v>
      </c>
      <c r="B189" s="501" t="s">
        <v>103</v>
      </c>
      <c r="C189" s="801">
        <v>0</v>
      </c>
      <c r="D189" s="805">
        <v>0</v>
      </c>
      <c r="E189" s="501" t="s">
        <v>103</v>
      </c>
      <c r="F189" s="801">
        <v>0</v>
      </c>
      <c r="G189" s="802">
        <v>0</v>
      </c>
    </row>
    <row r="190" spans="1:7">
      <c r="A190" s="503" t="s">
        <v>729</v>
      </c>
      <c r="B190" s="501" t="s">
        <v>103</v>
      </c>
      <c r="C190" s="801">
        <v>0</v>
      </c>
      <c r="D190" s="805">
        <v>0</v>
      </c>
      <c r="E190" s="501" t="s">
        <v>103</v>
      </c>
      <c r="F190" s="801">
        <v>0</v>
      </c>
      <c r="G190" s="802">
        <v>0</v>
      </c>
    </row>
    <row r="191" spans="1:7">
      <c r="A191" s="502" t="s">
        <v>1804</v>
      </c>
      <c r="B191" s="502"/>
      <c r="C191" s="803">
        <f>SUM(C165:C190)</f>
        <v>2000000</v>
      </c>
      <c r="D191" s="813">
        <f>SUM(D165:D190)</f>
        <v>0.71969696969696972</v>
      </c>
      <c r="E191" s="813"/>
      <c r="F191" s="803">
        <f>SUM(F165:F190)</f>
        <v>0</v>
      </c>
      <c r="G191" s="804">
        <f>SUM(G165:G190)</f>
        <v>0</v>
      </c>
    </row>
    <row r="192" spans="1:7">
      <c r="A192" s="504" t="s">
        <v>746</v>
      </c>
      <c r="B192" s="504"/>
      <c r="C192" s="806"/>
      <c r="D192" s="807"/>
      <c r="F192" s="145"/>
      <c r="G192" s="815"/>
    </row>
    <row r="193" spans="1:7">
      <c r="A193" s="503" t="s">
        <v>747</v>
      </c>
      <c r="B193" s="501" t="s">
        <v>103</v>
      </c>
      <c r="C193" s="801">
        <v>0</v>
      </c>
      <c r="D193" s="805">
        <v>0</v>
      </c>
      <c r="E193" s="501" t="s">
        <v>103</v>
      </c>
      <c r="F193" s="801">
        <v>0</v>
      </c>
      <c r="G193" s="802">
        <v>0</v>
      </c>
    </row>
    <row r="194" spans="1:7">
      <c r="A194" s="503" t="s">
        <v>752</v>
      </c>
      <c r="B194" s="501" t="s">
        <v>103</v>
      </c>
      <c r="C194" s="801">
        <v>0</v>
      </c>
      <c r="D194" s="805">
        <v>0</v>
      </c>
      <c r="E194" s="501" t="s">
        <v>103</v>
      </c>
      <c r="F194" s="801">
        <v>0</v>
      </c>
      <c r="G194" s="802">
        <v>0</v>
      </c>
    </row>
    <row r="195" spans="1:7">
      <c r="A195" s="503" t="s">
        <v>759</v>
      </c>
      <c r="B195" s="501" t="s">
        <v>103</v>
      </c>
      <c r="C195" s="801">
        <v>0</v>
      </c>
      <c r="D195" s="805">
        <v>0</v>
      </c>
      <c r="E195" s="501" t="s">
        <v>103</v>
      </c>
      <c r="F195" s="801">
        <v>0</v>
      </c>
      <c r="G195" s="802">
        <v>0</v>
      </c>
    </row>
    <row r="196" spans="1:7">
      <c r="A196" s="503" t="s">
        <v>760</v>
      </c>
      <c r="B196" s="503" t="s">
        <v>1971</v>
      </c>
      <c r="C196" s="808">
        <v>2000000</v>
      </c>
      <c r="D196" s="683">
        <f>3760/5280</f>
        <v>0.71212121212121215</v>
      </c>
      <c r="E196" s="501" t="s">
        <v>103</v>
      </c>
      <c r="F196" s="801">
        <v>0</v>
      </c>
      <c r="G196" s="802">
        <v>0</v>
      </c>
    </row>
    <row r="197" spans="1:7">
      <c r="A197" s="503" t="s">
        <v>764</v>
      </c>
      <c r="B197" s="501" t="s">
        <v>103</v>
      </c>
      <c r="C197" s="801">
        <v>0</v>
      </c>
      <c r="D197" s="805">
        <v>0</v>
      </c>
      <c r="E197" s="501" t="s">
        <v>103</v>
      </c>
      <c r="F197" s="801">
        <v>0</v>
      </c>
      <c r="G197" s="802">
        <v>0</v>
      </c>
    </row>
    <row r="198" spans="1:7">
      <c r="A198" s="507" t="s">
        <v>772</v>
      </c>
      <c r="B198" s="501" t="s">
        <v>103</v>
      </c>
      <c r="C198" s="801">
        <v>0</v>
      </c>
      <c r="D198" s="805">
        <v>0</v>
      </c>
      <c r="E198" s="501" t="s">
        <v>103</v>
      </c>
      <c r="F198" s="801">
        <v>0</v>
      </c>
      <c r="G198" s="802">
        <v>0</v>
      </c>
    </row>
    <row r="199" spans="1:7">
      <c r="A199" s="503" t="s">
        <v>777</v>
      </c>
      <c r="B199" s="501" t="s">
        <v>103</v>
      </c>
      <c r="C199" s="801">
        <v>0</v>
      </c>
      <c r="D199" s="805">
        <v>0</v>
      </c>
      <c r="E199" s="501" t="s">
        <v>103</v>
      </c>
      <c r="F199" s="801">
        <v>0</v>
      </c>
      <c r="G199" s="802">
        <v>0</v>
      </c>
    </row>
    <row r="200" spans="1:7">
      <c r="A200" s="503" t="s">
        <v>778</v>
      </c>
      <c r="B200" s="501" t="s">
        <v>103</v>
      </c>
      <c r="C200" s="801">
        <v>0</v>
      </c>
      <c r="D200" s="805">
        <v>0</v>
      </c>
      <c r="E200" s="501" t="s">
        <v>103</v>
      </c>
      <c r="F200" s="801">
        <v>0</v>
      </c>
      <c r="G200" s="802">
        <v>0</v>
      </c>
    </row>
    <row r="201" spans="1:7">
      <c r="A201" s="503" t="s">
        <v>794</v>
      </c>
      <c r="B201" s="501" t="s">
        <v>103</v>
      </c>
      <c r="C201" s="801">
        <v>0</v>
      </c>
      <c r="D201" s="805">
        <v>0</v>
      </c>
      <c r="E201" s="501" t="s">
        <v>103</v>
      </c>
      <c r="F201" s="801">
        <v>0</v>
      </c>
      <c r="G201" s="802">
        <v>0</v>
      </c>
    </row>
    <row r="202" spans="1:7">
      <c r="A202" s="503" t="s">
        <v>795</v>
      </c>
      <c r="B202" s="501" t="s">
        <v>103</v>
      </c>
      <c r="C202" s="801">
        <v>0</v>
      </c>
      <c r="D202" s="805">
        <v>0</v>
      </c>
      <c r="E202" s="501" t="s">
        <v>103</v>
      </c>
      <c r="F202" s="801">
        <v>0</v>
      </c>
      <c r="G202" s="802">
        <v>0</v>
      </c>
    </row>
    <row r="203" spans="1:7">
      <c r="A203" s="503" t="s">
        <v>802</v>
      </c>
      <c r="B203" s="501" t="s">
        <v>103</v>
      </c>
      <c r="C203" s="801">
        <v>0</v>
      </c>
      <c r="D203" s="805">
        <v>0</v>
      </c>
      <c r="E203" s="501" t="s">
        <v>103</v>
      </c>
      <c r="F203" s="801">
        <v>0</v>
      </c>
      <c r="G203" s="802">
        <v>0</v>
      </c>
    </row>
    <row r="204" spans="1:7">
      <c r="A204" s="503" t="s">
        <v>806</v>
      </c>
      <c r="B204" s="501" t="s">
        <v>103</v>
      </c>
      <c r="C204" s="801">
        <v>0</v>
      </c>
      <c r="D204" s="805">
        <v>0</v>
      </c>
      <c r="E204" s="501" t="s">
        <v>103</v>
      </c>
      <c r="F204" s="801">
        <v>0</v>
      </c>
      <c r="G204" s="802">
        <v>0</v>
      </c>
    </row>
    <row r="205" spans="1:7">
      <c r="A205" s="503" t="s">
        <v>809</v>
      </c>
      <c r="B205" s="503" t="s">
        <v>1972</v>
      </c>
      <c r="C205" s="808">
        <v>900000</v>
      </c>
      <c r="D205" s="683">
        <f>1520/5280</f>
        <v>0.2878787878787879</v>
      </c>
      <c r="E205" s="501" t="s">
        <v>103</v>
      </c>
      <c r="F205" s="801">
        <v>0</v>
      </c>
      <c r="G205" s="802">
        <v>0</v>
      </c>
    </row>
    <row r="206" spans="1:7">
      <c r="A206" s="503" t="s">
        <v>818</v>
      </c>
      <c r="B206" s="501" t="s">
        <v>103</v>
      </c>
      <c r="C206" s="801">
        <v>0</v>
      </c>
      <c r="D206" s="805">
        <v>0</v>
      </c>
      <c r="E206" s="501" t="s">
        <v>103</v>
      </c>
      <c r="F206" s="801">
        <v>0</v>
      </c>
      <c r="G206" s="802">
        <v>0</v>
      </c>
    </row>
    <row r="207" spans="1:7">
      <c r="A207" s="503" t="s">
        <v>826</v>
      </c>
      <c r="B207" s="503" t="s">
        <v>1973</v>
      </c>
      <c r="C207" s="808">
        <v>1500000</v>
      </c>
      <c r="D207" s="683">
        <f>2530/5280</f>
        <v>0.47916666666666669</v>
      </c>
      <c r="E207" s="501" t="s">
        <v>103</v>
      </c>
      <c r="F207" s="801">
        <v>0</v>
      </c>
      <c r="G207" s="802">
        <v>0</v>
      </c>
    </row>
    <row r="208" spans="1:7">
      <c r="A208" s="503" t="s">
        <v>833</v>
      </c>
      <c r="B208" s="501" t="s">
        <v>103</v>
      </c>
      <c r="C208" s="801">
        <v>0</v>
      </c>
      <c r="D208" s="812">
        <v>0</v>
      </c>
      <c r="E208" s="503" t="s">
        <v>1974</v>
      </c>
      <c r="F208" s="808">
        <v>3000000</v>
      </c>
      <c r="G208" s="683">
        <f>3970/5280</f>
        <v>0.75189393939393945</v>
      </c>
    </row>
    <row r="209" spans="1:7">
      <c r="A209" s="503"/>
      <c r="B209" s="501" t="s">
        <v>103</v>
      </c>
      <c r="C209" s="801">
        <v>0</v>
      </c>
      <c r="D209" s="812">
        <v>0</v>
      </c>
      <c r="E209" s="503" t="s">
        <v>1975</v>
      </c>
      <c r="F209" s="808">
        <v>1500000</v>
      </c>
      <c r="G209" s="683">
        <f>1500/5280</f>
        <v>0.28409090909090912</v>
      </c>
    </row>
    <row r="210" spans="1:7">
      <c r="A210" s="503" t="s">
        <v>838</v>
      </c>
      <c r="B210" s="498" t="s">
        <v>1976</v>
      </c>
      <c r="C210" s="816">
        <v>1400000</v>
      </c>
      <c r="D210" s="817">
        <f>2580/5280</f>
        <v>0.48863636363636365</v>
      </c>
      <c r="E210" s="501" t="s">
        <v>103</v>
      </c>
      <c r="F210" s="801">
        <v>0</v>
      </c>
      <c r="G210" s="802">
        <v>0</v>
      </c>
    </row>
    <row r="211" spans="1:7">
      <c r="A211" s="503" t="s">
        <v>841</v>
      </c>
      <c r="B211" s="501" t="s">
        <v>103</v>
      </c>
      <c r="C211" s="801">
        <v>0</v>
      </c>
      <c r="D211" s="812">
        <v>0</v>
      </c>
      <c r="E211" s="503" t="s">
        <v>1977</v>
      </c>
      <c r="F211" s="808">
        <v>2600000</v>
      </c>
      <c r="G211" s="683">
        <f>1100/5280</f>
        <v>0.20833333333333334</v>
      </c>
    </row>
    <row r="212" spans="1:7">
      <c r="A212" s="503" t="s">
        <v>853</v>
      </c>
      <c r="B212" s="503" t="s">
        <v>1978</v>
      </c>
      <c r="C212" s="808">
        <v>1600000</v>
      </c>
      <c r="D212" s="683">
        <f>2260/5280</f>
        <v>0.42803030303030304</v>
      </c>
      <c r="E212" s="501" t="s">
        <v>103</v>
      </c>
      <c r="F212" s="801">
        <v>0</v>
      </c>
      <c r="G212" s="802">
        <v>0</v>
      </c>
    </row>
    <row r="213" spans="1:7">
      <c r="A213" s="503" t="s">
        <v>861</v>
      </c>
      <c r="B213" s="501" t="s">
        <v>103</v>
      </c>
      <c r="C213" s="801">
        <v>0</v>
      </c>
      <c r="D213" s="805">
        <v>0</v>
      </c>
      <c r="E213" s="501" t="s">
        <v>103</v>
      </c>
      <c r="F213" s="801">
        <v>0</v>
      </c>
      <c r="G213" s="802">
        <v>0</v>
      </c>
    </row>
    <row r="214" spans="1:7">
      <c r="A214" s="503" t="s">
        <v>862</v>
      </c>
      <c r="B214" s="501" t="s">
        <v>103</v>
      </c>
      <c r="C214" s="801">
        <v>0</v>
      </c>
      <c r="D214" s="805">
        <v>0</v>
      </c>
      <c r="E214" s="501" t="s">
        <v>103</v>
      </c>
      <c r="F214" s="801">
        <v>0</v>
      </c>
      <c r="G214" s="802">
        <v>0</v>
      </c>
    </row>
    <row r="215" spans="1:7">
      <c r="A215" s="503" t="s">
        <v>869</v>
      </c>
      <c r="B215" s="501" t="s">
        <v>103</v>
      </c>
      <c r="C215" s="801">
        <v>0</v>
      </c>
      <c r="D215" s="805">
        <v>0</v>
      </c>
      <c r="E215" s="501" t="s">
        <v>103</v>
      </c>
      <c r="F215" s="801">
        <v>0</v>
      </c>
      <c r="G215" s="802">
        <v>0</v>
      </c>
    </row>
    <row r="216" spans="1:7">
      <c r="A216" s="505" t="s">
        <v>870</v>
      </c>
      <c r="B216" s="501" t="s">
        <v>103</v>
      </c>
      <c r="C216" s="801">
        <v>0</v>
      </c>
      <c r="D216" s="809">
        <v>0</v>
      </c>
      <c r="E216" s="501" t="s">
        <v>103</v>
      </c>
      <c r="F216" s="801">
        <v>0</v>
      </c>
      <c r="G216" s="802">
        <v>0</v>
      </c>
    </row>
    <row r="217" spans="1:7">
      <c r="A217" s="503" t="s">
        <v>871</v>
      </c>
      <c r="B217" s="503" t="s">
        <v>1979</v>
      </c>
      <c r="C217" s="808">
        <v>2700000</v>
      </c>
      <c r="D217" s="683">
        <f>2310/5280</f>
        <v>0.4375</v>
      </c>
      <c r="E217" s="501" t="s">
        <v>103</v>
      </c>
      <c r="F217" s="801">
        <v>0</v>
      </c>
      <c r="G217" s="802">
        <v>0</v>
      </c>
    </row>
    <row r="218" spans="1:7">
      <c r="A218" s="502" t="s">
        <v>1805</v>
      </c>
      <c r="B218" s="502"/>
      <c r="C218" s="803">
        <f>SUM(C192:C217)</f>
        <v>10100000</v>
      </c>
      <c r="D218" s="813">
        <f>SUM(D192:D217)</f>
        <v>2.8333333333333335</v>
      </c>
      <c r="E218" s="813"/>
      <c r="F218" s="803">
        <f>SUM(F192:F217)</f>
        <v>7100000</v>
      </c>
      <c r="G218" s="813">
        <f>SUM(G192:G217)</f>
        <v>1.2443181818181819</v>
      </c>
    </row>
    <row r="219" spans="1:7">
      <c r="A219" s="504" t="s">
        <v>880</v>
      </c>
      <c r="B219" s="504"/>
      <c r="C219" s="806"/>
      <c r="D219" s="807"/>
      <c r="E219" s="807"/>
      <c r="F219" s="807"/>
      <c r="G219" s="807"/>
    </row>
    <row r="220" spans="1:7">
      <c r="A220" s="505" t="s">
        <v>881</v>
      </c>
      <c r="B220" s="501" t="s">
        <v>103</v>
      </c>
      <c r="C220" s="801">
        <v>0</v>
      </c>
      <c r="D220" s="809">
        <v>0</v>
      </c>
      <c r="E220" s="501" t="s">
        <v>103</v>
      </c>
      <c r="F220" s="801">
        <v>0</v>
      </c>
      <c r="G220" s="802">
        <v>0</v>
      </c>
    </row>
    <row r="221" spans="1:7">
      <c r="A221" s="506" t="s">
        <v>1806</v>
      </c>
      <c r="B221" s="506"/>
      <c r="C221" s="814">
        <f>SUM(C219:C220)</f>
        <v>0</v>
      </c>
      <c r="D221" s="804">
        <f>SUM(D219:D220)</f>
        <v>0</v>
      </c>
      <c r="E221" s="818"/>
      <c r="F221" s="814">
        <f>SUM(F219:F220)</f>
        <v>0</v>
      </c>
      <c r="G221" s="804">
        <f>SUM(G219:G220)</f>
        <v>0</v>
      </c>
    </row>
    <row r="222" spans="1:7">
      <c r="A222" s="504" t="s">
        <v>882</v>
      </c>
      <c r="B222" s="504"/>
      <c r="C222" s="806"/>
      <c r="D222" s="807"/>
      <c r="G222" s="815"/>
    </row>
    <row r="223" spans="1:7">
      <c r="A223" s="503" t="s">
        <v>883</v>
      </c>
      <c r="B223" s="501" t="s">
        <v>103</v>
      </c>
      <c r="C223" s="801">
        <v>0</v>
      </c>
      <c r="D223" s="805">
        <v>0</v>
      </c>
      <c r="E223" s="501" t="s">
        <v>103</v>
      </c>
      <c r="F223" s="801">
        <v>0</v>
      </c>
      <c r="G223" s="802">
        <v>0</v>
      </c>
    </row>
    <row r="224" spans="1:7">
      <c r="A224" s="503" t="s">
        <v>884</v>
      </c>
      <c r="B224" s="501" t="s">
        <v>103</v>
      </c>
      <c r="C224" s="801">
        <v>0</v>
      </c>
      <c r="D224" s="805">
        <v>0</v>
      </c>
      <c r="E224" s="501" t="s">
        <v>103</v>
      </c>
      <c r="F224" s="801">
        <v>0</v>
      </c>
      <c r="G224" s="802">
        <v>0</v>
      </c>
    </row>
    <row r="225" spans="1:7">
      <c r="A225" s="503" t="s">
        <v>885</v>
      </c>
      <c r="B225" s="501" t="s">
        <v>103</v>
      </c>
      <c r="C225" s="801">
        <v>0</v>
      </c>
      <c r="D225" s="805">
        <v>0</v>
      </c>
      <c r="E225" s="501" t="s">
        <v>103</v>
      </c>
      <c r="F225" s="801">
        <v>0</v>
      </c>
      <c r="G225" s="802">
        <v>0</v>
      </c>
    </row>
    <row r="226" spans="1:7">
      <c r="A226" s="503" t="s">
        <v>889</v>
      </c>
      <c r="B226" s="503" t="s">
        <v>1980</v>
      </c>
      <c r="C226" s="808">
        <v>1600000</v>
      </c>
      <c r="D226" s="683">
        <f>1440/5280</f>
        <v>0.27272727272727271</v>
      </c>
      <c r="E226" s="501" t="s">
        <v>103</v>
      </c>
      <c r="F226" s="801">
        <v>0</v>
      </c>
      <c r="G226" s="802">
        <v>0</v>
      </c>
    </row>
    <row r="227" spans="1:7">
      <c r="A227" s="502" t="s">
        <v>1807</v>
      </c>
      <c r="B227" s="502"/>
      <c r="C227" s="803">
        <f>SUM(C222:C226)</f>
        <v>1600000</v>
      </c>
      <c r="D227" s="813">
        <f>SUM(D222:D226)</f>
        <v>0.27272727272727271</v>
      </c>
      <c r="E227" s="813"/>
      <c r="F227" s="803">
        <f>SUM(F222:F226)</f>
        <v>0</v>
      </c>
      <c r="G227" s="804">
        <f>SUM(G222:G226)</f>
        <v>0</v>
      </c>
    </row>
    <row r="228" spans="1:7">
      <c r="A228" s="504" t="s">
        <v>897</v>
      </c>
      <c r="B228" s="504"/>
      <c r="C228" s="806"/>
      <c r="D228" s="807"/>
      <c r="G228" s="815"/>
    </row>
    <row r="229" spans="1:7">
      <c r="A229" s="503" t="s">
        <v>898</v>
      </c>
      <c r="B229" s="501" t="s">
        <v>103</v>
      </c>
      <c r="C229" s="801">
        <v>0</v>
      </c>
      <c r="D229" s="805">
        <v>0</v>
      </c>
      <c r="E229" s="501" t="s">
        <v>103</v>
      </c>
      <c r="F229" s="801">
        <v>0</v>
      </c>
      <c r="G229" s="802">
        <v>0</v>
      </c>
    </row>
    <row r="230" spans="1:7">
      <c r="A230" s="503" t="s">
        <v>902</v>
      </c>
      <c r="B230" s="501" t="s">
        <v>103</v>
      </c>
      <c r="C230" s="801">
        <v>0</v>
      </c>
      <c r="D230" s="805">
        <v>0</v>
      </c>
      <c r="E230" s="501" t="s">
        <v>103</v>
      </c>
      <c r="F230" s="801">
        <v>0</v>
      </c>
      <c r="G230" s="802">
        <v>0</v>
      </c>
    </row>
    <row r="231" spans="1:7">
      <c r="A231" s="503" t="s">
        <v>905</v>
      </c>
      <c r="B231" s="501" t="s">
        <v>103</v>
      </c>
      <c r="C231" s="801">
        <v>0</v>
      </c>
      <c r="D231" s="805">
        <v>0</v>
      </c>
      <c r="E231" s="501" t="s">
        <v>103</v>
      </c>
      <c r="F231" s="801">
        <v>0</v>
      </c>
      <c r="G231" s="802">
        <v>0</v>
      </c>
    </row>
    <row r="232" spans="1:7">
      <c r="A232" s="503" t="s">
        <v>908</v>
      </c>
      <c r="B232" s="501" t="s">
        <v>103</v>
      </c>
      <c r="C232" s="801">
        <v>0</v>
      </c>
      <c r="D232" s="805">
        <v>0</v>
      </c>
      <c r="E232" s="501" t="s">
        <v>103</v>
      </c>
      <c r="F232" s="801">
        <v>0</v>
      </c>
      <c r="G232" s="802">
        <v>0</v>
      </c>
    </row>
    <row r="233" spans="1:7">
      <c r="A233" s="505" t="s">
        <v>911</v>
      </c>
      <c r="B233" s="501" t="s">
        <v>103</v>
      </c>
      <c r="C233" s="801">
        <v>0</v>
      </c>
      <c r="D233" s="809">
        <v>0</v>
      </c>
      <c r="E233" s="501" t="s">
        <v>103</v>
      </c>
      <c r="F233" s="801">
        <v>0</v>
      </c>
      <c r="G233" s="802">
        <v>0</v>
      </c>
    </row>
    <row r="234" spans="1:7">
      <c r="A234" s="503" t="s">
        <v>912</v>
      </c>
      <c r="B234" s="501" t="s">
        <v>103</v>
      </c>
      <c r="C234" s="801">
        <v>0</v>
      </c>
      <c r="D234" s="805">
        <v>0</v>
      </c>
      <c r="E234" s="501" t="s">
        <v>103</v>
      </c>
      <c r="F234" s="801">
        <v>0</v>
      </c>
      <c r="G234" s="802">
        <v>0</v>
      </c>
    </row>
    <row r="235" spans="1:7">
      <c r="A235" s="503" t="s">
        <v>920</v>
      </c>
      <c r="B235" s="501" t="s">
        <v>103</v>
      </c>
      <c r="C235" s="801">
        <v>0</v>
      </c>
      <c r="D235" s="805">
        <v>0</v>
      </c>
      <c r="E235" s="501" t="s">
        <v>103</v>
      </c>
      <c r="F235" s="801">
        <v>0</v>
      </c>
      <c r="G235" s="802">
        <v>0</v>
      </c>
    </row>
    <row r="236" spans="1:7">
      <c r="A236" s="503" t="s">
        <v>921</v>
      </c>
      <c r="B236" s="501" t="s">
        <v>103</v>
      </c>
      <c r="C236" s="801">
        <v>0</v>
      </c>
      <c r="D236" s="805">
        <v>0</v>
      </c>
      <c r="E236" s="501" t="s">
        <v>103</v>
      </c>
      <c r="F236" s="801">
        <v>0</v>
      </c>
      <c r="G236" s="802">
        <v>0</v>
      </c>
    </row>
    <row r="237" spans="1:7">
      <c r="A237" s="502" t="s">
        <v>1808</v>
      </c>
      <c r="B237" s="502"/>
      <c r="C237" s="803">
        <f>SUM(C228:C236)</f>
        <v>0</v>
      </c>
      <c r="D237" s="804">
        <f>SUM(D228:D236)</f>
        <v>0</v>
      </c>
      <c r="E237" s="813"/>
      <c r="F237" s="803">
        <f>SUM(F228:F236)</f>
        <v>0</v>
      </c>
      <c r="G237" s="804">
        <f>SUM(G228:G236)</f>
        <v>0</v>
      </c>
    </row>
    <row r="238" spans="1:7">
      <c r="A238" s="504" t="s">
        <v>926</v>
      </c>
      <c r="B238" s="504"/>
      <c r="C238" s="806"/>
      <c r="D238" s="807"/>
      <c r="E238" s="807"/>
      <c r="F238" s="807"/>
      <c r="G238" s="807"/>
    </row>
    <row r="239" spans="1:7">
      <c r="A239" s="505" t="s">
        <v>927</v>
      </c>
      <c r="B239" s="501" t="s">
        <v>103</v>
      </c>
      <c r="C239" s="801">
        <v>0</v>
      </c>
      <c r="D239" s="809">
        <v>0</v>
      </c>
      <c r="E239" s="501" t="s">
        <v>103</v>
      </c>
      <c r="F239" s="801">
        <v>0</v>
      </c>
      <c r="G239" s="802">
        <v>0</v>
      </c>
    </row>
    <row r="240" spans="1:7">
      <c r="A240" s="506" t="s">
        <v>1809</v>
      </c>
      <c r="B240" s="506"/>
      <c r="C240" s="814">
        <f>SUM(C238:C239)</f>
        <v>0</v>
      </c>
      <c r="D240" s="804">
        <f>SUM(D238:D239)</f>
        <v>0</v>
      </c>
      <c r="E240" s="818"/>
      <c r="F240" s="814">
        <f>SUM(F238:F239)</f>
        <v>0</v>
      </c>
      <c r="G240" s="804">
        <f>SUM(G238:G239)</f>
        <v>0</v>
      </c>
    </row>
    <row r="241" spans="1:7">
      <c r="A241" s="504" t="s">
        <v>928</v>
      </c>
      <c r="B241" s="504"/>
      <c r="C241" s="806"/>
      <c r="D241" s="807"/>
      <c r="G241" s="815"/>
    </row>
    <row r="242" spans="1:7">
      <c r="A242" s="503" t="s">
        <v>929</v>
      </c>
      <c r="B242" s="503" t="s">
        <v>1981</v>
      </c>
      <c r="C242" s="808">
        <v>1700000</v>
      </c>
      <c r="D242" s="683">
        <f>2850/5280</f>
        <v>0.53977272727272729</v>
      </c>
      <c r="E242" s="501" t="s">
        <v>103</v>
      </c>
      <c r="F242" s="801">
        <v>0</v>
      </c>
      <c r="G242" s="802">
        <v>0</v>
      </c>
    </row>
    <row r="243" spans="1:7">
      <c r="A243" s="503" t="s">
        <v>939</v>
      </c>
      <c r="B243" s="501" t="s">
        <v>103</v>
      </c>
      <c r="C243" s="801">
        <v>0</v>
      </c>
      <c r="D243" s="805">
        <v>0</v>
      </c>
      <c r="E243" s="501" t="s">
        <v>103</v>
      </c>
      <c r="F243" s="801">
        <v>0</v>
      </c>
      <c r="G243" s="802">
        <v>0</v>
      </c>
    </row>
    <row r="244" spans="1:7">
      <c r="A244" s="503" t="s">
        <v>940</v>
      </c>
      <c r="B244" s="501" t="s">
        <v>103</v>
      </c>
      <c r="C244" s="801">
        <v>0</v>
      </c>
      <c r="D244" s="805">
        <v>0</v>
      </c>
      <c r="E244" s="501" t="s">
        <v>103</v>
      </c>
      <c r="F244" s="801">
        <v>0</v>
      </c>
      <c r="G244" s="802">
        <v>0</v>
      </c>
    </row>
    <row r="245" spans="1:7">
      <c r="A245" s="503" t="s">
        <v>941</v>
      </c>
      <c r="B245" s="501" t="s">
        <v>103</v>
      </c>
      <c r="C245" s="801">
        <v>0</v>
      </c>
      <c r="D245" s="805">
        <v>0</v>
      </c>
      <c r="E245" s="501" t="s">
        <v>103</v>
      </c>
      <c r="F245" s="801">
        <v>0</v>
      </c>
      <c r="G245" s="802">
        <v>0</v>
      </c>
    </row>
    <row r="246" spans="1:7">
      <c r="A246" s="503" t="s">
        <v>945</v>
      </c>
      <c r="B246" s="501" t="s">
        <v>103</v>
      </c>
      <c r="C246" s="801">
        <v>0</v>
      </c>
      <c r="D246" s="805">
        <v>0</v>
      </c>
      <c r="E246" s="501" t="s">
        <v>103</v>
      </c>
      <c r="F246" s="801">
        <v>0</v>
      </c>
      <c r="G246" s="802">
        <v>0</v>
      </c>
    </row>
    <row r="247" spans="1:7">
      <c r="A247" s="503" t="s">
        <v>953</v>
      </c>
      <c r="B247" s="501" t="s">
        <v>103</v>
      </c>
      <c r="C247" s="801">
        <v>0</v>
      </c>
      <c r="D247" s="805">
        <v>0</v>
      </c>
      <c r="E247" s="501" t="s">
        <v>103</v>
      </c>
      <c r="F247" s="801">
        <v>0</v>
      </c>
      <c r="G247" s="802">
        <v>0</v>
      </c>
    </row>
    <row r="248" spans="1:7">
      <c r="A248" s="503" t="s">
        <v>958</v>
      </c>
      <c r="B248" s="501" t="s">
        <v>103</v>
      </c>
      <c r="C248" s="801">
        <v>0</v>
      </c>
      <c r="D248" s="805">
        <v>0</v>
      </c>
      <c r="E248" s="501" t="s">
        <v>103</v>
      </c>
      <c r="F248" s="801">
        <v>0</v>
      </c>
      <c r="G248" s="802">
        <v>0</v>
      </c>
    </row>
    <row r="249" spans="1:7">
      <c r="A249" s="503" t="s">
        <v>961</v>
      </c>
      <c r="B249" s="501" t="s">
        <v>103</v>
      </c>
      <c r="C249" s="801">
        <v>0</v>
      </c>
      <c r="D249" s="805">
        <v>0</v>
      </c>
      <c r="E249" s="501" t="s">
        <v>103</v>
      </c>
      <c r="F249" s="801">
        <v>0</v>
      </c>
      <c r="G249" s="802">
        <v>0</v>
      </c>
    </row>
    <row r="250" spans="1:7">
      <c r="A250" s="503" t="s">
        <v>968</v>
      </c>
      <c r="B250" s="501" t="s">
        <v>103</v>
      </c>
      <c r="C250" s="801">
        <v>0</v>
      </c>
      <c r="D250" s="805">
        <v>0</v>
      </c>
      <c r="E250" s="501" t="s">
        <v>103</v>
      </c>
      <c r="F250" s="801">
        <v>0</v>
      </c>
      <c r="G250" s="802">
        <v>0</v>
      </c>
    </row>
    <row r="251" spans="1:7">
      <c r="A251" s="501" t="s">
        <v>972</v>
      </c>
      <c r="B251" s="501" t="s">
        <v>103</v>
      </c>
      <c r="C251" s="801">
        <v>0</v>
      </c>
      <c r="D251" s="802">
        <v>0</v>
      </c>
      <c r="E251" s="501" t="s">
        <v>103</v>
      </c>
      <c r="F251" s="801">
        <v>0</v>
      </c>
      <c r="G251" s="802">
        <v>0</v>
      </c>
    </row>
    <row r="252" spans="1:7">
      <c r="A252" s="503" t="s">
        <v>973</v>
      </c>
      <c r="B252" s="501" t="s">
        <v>103</v>
      </c>
      <c r="C252" s="801">
        <v>0</v>
      </c>
      <c r="D252" s="805">
        <v>0</v>
      </c>
      <c r="E252" s="501" t="s">
        <v>103</v>
      </c>
      <c r="F252" s="801">
        <v>0</v>
      </c>
      <c r="G252" s="802">
        <v>0</v>
      </c>
    </row>
    <row r="253" spans="1:7">
      <c r="A253" s="506" t="s">
        <v>1810</v>
      </c>
      <c r="B253" s="506"/>
      <c r="C253" s="814">
        <f>SUM(C241:C252)</f>
        <v>1700000</v>
      </c>
      <c r="D253" s="818">
        <f>SUM(D241:D252)</f>
        <v>0.53977272727272729</v>
      </c>
      <c r="E253" s="818"/>
      <c r="F253" s="814">
        <f>SUM(F241:F252)</f>
        <v>0</v>
      </c>
      <c r="G253" s="804">
        <f>SUM(G241:G252)</f>
        <v>0</v>
      </c>
    </row>
    <row r="254" spans="1:7" s="97" customFormat="1">
      <c r="A254" s="819"/>
      <c r="B254" s="819"/>
      <c r="C254" s="820"/>
      <c r="D254" s="821"/>
      <c r="E254" s="821"/>
      <c r="F254" s="820"/>
      <c r="G254" s="821"/>
    </row>
    <row r="255" spans="1:7">
      <c r="A255" s="502" t="s">
        <v>1982</v>
      </c>
      <c r="B255" s="502"/>
      <c r="C255" s="803">
        <f>C9+C12+C16+C24+C28+C123+C126+C130+C164+C191+C218+C221+C227+C237+C253+C240</f>
        <v>93770000</v>
      </c>
      <c r="D255" s="822">
        <f>D9+D12+D16+D24+D28+D123+D126+D130+D164+D191+D218+D221+D227+D237+D253+D240</f>
        <v>24.478219696969695</v>
      </c>
      <c r="E255" s="813"/>
      <c r="F255" s="803">
        <f>F9+F12+F16+F24+F28+F123+F126+F130+F164+F191+F218+F221+F227+F237+F253+F240</f>
        <v>46505000</v>
      </c>
      <c r="G255" s="822">
        <f>G9+G12+G16+G24+G28+G123+G126+G130+G164+G191+G218+G221+G227+G237+G253+G240</f>
        <v>10.032196969696969</v>
      </c>
    </row>
    <row r="256" spans="1:7">
      <c r="C256" s="816"/>
      <c r="D256" s="817"/>
      <c r="G256" s="815"/>
    </row>
    <row r="257" spans="3:7">
      <c r="C257" s="816"/>
      <c r="G257" s="815"/>
    </row>
    <row r="258" spans="3:7">
      <c r="C258" s="816"/>
      <c r="G258" s="815"/>
    </row>
    <row r="259" spans="3:7">
      <c r="C259" s="816"/>
      <c r="G259" s="815"/>
    </row>
    <row r="260" spans="3:7">
      <c r="C260" s="816"/>
      <c r="G260" s="815"/>
    </row>
    <row r="261" spans="3:7">
      <c r="C261" s="816"/>
      <c r="G261" s="815"/>
    </row>
    <row r="262" spans="3:7">
      <c r="C262" s="816"/>
      <c r="G262" s="815"/>
    </row>
    <row r="263" spans="3:7">
      <c r="C263" s="816"/>
      <c r="G263" s="815"/>
    </row>
    <row r="264" spans="3:7">
      <c r="C264" s="816"/>
      <c r="G264" s="815"/>
    </row>
    <row r="265" spans="3:7">
      <c r="C265" s="816"/>
      <c r="G265" s="815"/>
    </row>
    <row r="266" spans="3:7">
      <c r="C266" s="816"/>
      <c r="G266" s="815"/>
    </row>
    <row r="267" spans="3:7">
      <c r="C267" s="816"/>
      <c r="G267" s="815"/>
    </row>
    <row r="268" spans="3:7">
      <c r="C268" s="816"/>
      <c r="G268" s="815"/>
    </row>
    <row r="269" spans="3:7">
      <c r="C269" s="816"/>
      <c r="G269" s="815"/>
    </row>
    <row r="270" spans="3:7">
      <c r="C270" s="816"/>
      <c r="G270" s="815"/>
    </row>
    <row r="271" spans="3:7">
      <c r="C271" s="816"/>
      <c r="G271" s="815"/>
    </row>
    <row r="272" spans="3:7">
      <c r="C272" s="816"/>
      <c r="G272" s="815"/>
    </row>
    <row r="273" spans="3:7">
      <c r="C273" s="816"/>
      <c r="G273" s="815"/>
    </row>
    <row r="274" spans="3:7">
      <c r="C274" s="816"/>
      <c r="G274" s="815"/>
    </row>
    <row r="275" spans="3:7">
      <c r="C275" s="816"/>
      <c r="G275" s="815"/>
    </row>
    <row r="276" spans="3:7">
      <c r="C276" s="816"/>
      <c r="G276" s="815"/>
    </row>
    <row r="277" spans="3:7">
      <c r="C277" s="816"/>
      <c r="G277" s="815"/>
    </row>
    <row r="278" spans="3:7">
      <c r="C278" s="816"/>
    </row>
    <row r="279" spans="3:7">
      <c r="C279" s="816"/>
    </row>
    <row r="280" spans="3:7">
      <c r="C280" s="816"/>
    </row>
    <row r="281" spans="3:7">
      <c r="C281" s="816"/>
    </row>
    <row r="282" spans="3:7">
      <c r="C282" s="816"/>
    </row>
    <row r="283" spans="3:7">
      <c r="C283" s="816"/>
    </row>
    <row r="284" spans="3:7">
      <c r="C284" s="816"/>
    </row>
    <row r="285" spans="3:7">
      <c r="C285" s="816"/>
    </row>
    <row r="286" spans="3:7">
      <c r="C286" s="816"/>
    </row>
    <row r="287" spans="3:7">
      <c r="C287" s="816"/>
    </row>
    <row r="288" spans="3:7">
      <c r="C288" s="816"/>
    </row>
    <row r="289" spans="3:3">
      <c r="C289" s="816"/>
    </row>
    <row r="290" spans="3:3">
      <c r="C290" s="816"/>
    </row>
    <row r="291" spans="3:3">
      <c r="C291" s="816"/>
    </row>
    <row r="292" spans="3:3">
      <c r="C292" s="816"/>
    </row>
    <row r="293" spans="3:3">
      <c r="C293" s="816"/>
    </row>
    <row r="294" spans="3:3">
      <c r="C294" s="816"/>
    </row>
    <row r="295" spans="3:3">
      <c r="C295" s="816"/>
    </row>
    <row r="296" spans="3:3">
      <c r="C296" s="816"/>
    </row>
    <row r="297" spans="3:3">
      <c r="C297" s="816"/>
    </row>
    <row r="298" spans="3:3">
      <c r="C298" s="816"/>
    </row>
    <row r="299" spans="3:3">
      <c r="C299" s="816"/>
    </row>
    <row r="300" spans="3:3">
      <c r="C300" s="816"/>
    </row>
    <row r="301" spans="3:3">
      <c r="C301" s="816"/>
    </row>
    <row r="302" spans="3:3">
      <c r="C302" s="816"/>
    </row>
    <row r="303" spans="3:3">
      <c r="C303" s="816"/>
    </row>
    <row r="304" spans="3:3">
      <c r="C304" s="816"/>
    </row>
    <row r="305" spans="3:3">
      <c r="C305" s="816"/>
    </row>
    <row r="306" spans="3:3">
      <c r="C306" s="816"/>
    </row>
    <row r="307" spans="3:3">
      <c r="C307" s="816"/>
    </row>
    <row r="308" spans="3:3">
      <c r="C308" s="816"/>
    </row>
    <row r="309" spans="3:3">
      <c r="C309" s="816"/>
    </row>
  </sheetData>
  <autoFilter ref="A6:G255" xr:uid="{00000000-0009-0000-0000-000018000000}"/>
  <mergeCells count="3">
    <mergeCell ref="B4:G4"/>
    <mergeCell ref="B5:D5"/>
    <mergeCell ref="E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205"/>
  <sheetViews>
    <sheetView topLeftCell="A76" workbookViewId="0">
      <selection activeCell="A82" sqref="A82"/>
    </sheetView>
  </sheetViews>
  <sheetFormatPr defaultRowHeight="14.45"/>
  <cols>
    <col min="1" max="1" width="27.140625" bestFit="1" customWidth="1"/>
    <col min="4" max="4" width="8.85546875" style="115"/>
  </cols>
  <sheetData>
    <row r="1" spans="1:4" s="101" customFormat="1">
      <c r="A1" s="101" t="s">
        <v>1010</v>
      </c>
      <c r="B1" s="101" t="s">
        <v>1011</v>
      </c>
      <c r="C1" s="101" t="s">
        <v>1012</v>
      </c>
      <c r="D1" s="670" t="s">
        <v>1013</v>
      </c>
    </row>
    <row r="2" spans="1:4">
      <c r="A2" s="537" t="s">
        <v>1014</v>
      </c>
      <c r="B2" s="103">
        <v>10306</v>
      </c>
      <c r="C2" s="103">
        <v>3135</v>
      </c>
      <c r="D2" s="115">
        <f>C2/B2</f>
        <v>0.30419173297108482</v>
      </c>
    </row>
    <row r="3" spans="1:4">
      <c r="A3" s="537" t="s">
        <v>1015</v>
      </c>
      <c r="B3" s="103">
        <v>10800</v>
      </c>
      <c r="C3" s="103">
        <v>679</v>
      </c>
      <c r="D3" s="115">
        <f t="shared" ref="D3:D66" si="0">C3/B3</f>
        <v>6.2870370370370368E-2</v>
      </c>
    </row>
    <row r="4" spans="1:4">
      <c r="A4" s="537" t="s">
        <v>1016</v>
      </c>
      <c r="B4" s="103">
        <v>35583</v>
      </c>
      <c r="C4" s="103">
        <v>9182</v>
      </c>
      <c r="D4" s="115">
        <f t="shared" si="0"/>
        <v>0.2580445718461063</v>
      </c>
    </row>
    <row r="5" spans="1:4">
      <c r="A5" s="537" t="s">
        <v>1017</v>
      </c>
      <c r="B5" s="103">
        <v>20439</v>
      </c>
      <c r="C5" s="103">
        <v>1469</v>
      </c>
      <c r="D5" s="115">
        <f t="shared" si="0"/>
        <v>7.187240080238759E-2</v>
      </c>
    </row>
    <row r="6" spans="1:4">
      <c r="A6" s="537" t="s">
        <v>1018</v>
      </c>
      <c r="B6" s="103">
        <v>4543</v>
      </c>
      <c r="C6" s="103">
        <v>1343</v>
      </c>
      <c r="D6" s="115">
        <f t="shared" si="0"/>
        <v>0.29561963460268548</v>
      </c>
    </row>
    <row r="7" spans="1:4">
      <c r="A7" s="537" t="s">
        <v>1019</v>
      </c>
      <c r="B7" s="103">
        <v>32247</v>
      </c>
      <c r="C7" s="103">
        <v>8229</v>
      </c>
      <c r="D7" s="115">
        <f t="shared" si="0"/>
        <v>0.25518652897943994</v>
      </c>
    </row>
    <row r="8" spans="1:4">
      <c r="A8" s="537" t="s">
        <v>1020</v>
      </c>
      <c r="B8" s="103">
        <v>26505</v>
      </c>
      <c r="C8" s="103">
        <v>3422</v>
      </c>
      <c r="D8" s="115">
        <f t="shared" si="0"/>
        <v>0.12910771552537256</v>
      </c>
    </row>
    <row r="9" spans="1:4">
      <c r="A9" s="537" t="s">
        <v>1021</v>
      </c>
      <c r="B9" s="103">
        <v>5680</v>
      </c>
      <c r="C9" s="103">
        <v>1133</v>
      </c>
      <c r="D9" s="115">
        <f t="shared" si="0"/>
        <v>0.1994718309859155</v>
      </c>
    </row>
    <row r="10" spans="1:4">
      <c r="A10" s="537" t="s">
        <v>1022</v>
      </c>
      <c r="B10" s="103">
        <v>5950</v>
      </c>
      <c r="C10" s="103">
        <v>406</v>
      </c>
      <c r="D10" s="115">
        <f t="shared" si="0"/>
        <v>6.8235294117647061E-2</v>
      </c>
    </row>
    <row r="11" spans="1:4">
      <c r="A11" s="537" t="s">
        <v>1023</v>
      </c>
      <c r="B11" s="103">
        <v>3262</v>
      </c>
      <c r="C11" s="103">
        <v>1109</v>
      </c>
      <c r="D11" s="115">
        <f t="shared" si="0"/>
        <v>0.33997547516860821</v>
      </c>
    </row>
    <row r="12" spans="1:4">
      <c r="A12" s="537" t="s">
        <v>1024</v>
      </c>
      <c r="B12" s="103">
        <v>20056</v>
      </c>
      <c r="C12" s="103">
        <v>8258</v>
      </c>
      <c r="D12" s="115">
        <f t="shared" si="0"/>
        <v>0.41174710809732751</v>
      </c>
    </row>
    <row r="13" spans="1:4">
      <c r="A13" s="537" t="s">
        <v>1025</v>
      </c>
      <c r="B13" s="103">
        <v>1023</v>
      </c>
      <c r="C13" s="103">
        <v>80</v>
      </c>
      <c r="D13" s="115">
        <f t="shared" si="0"/>
        <v>7.8201368523949169E-2</v>
      </c>
    </row>
    <row r="14" spans="1:4">
      <c r="A14" s="537" t="s">
        <v>1026</v>
      </c>
      <c r="B14" s="103">
        <v>13649</v>
      </c>
      <c r="C14" s="103">
        <v>3987</v>
      </c>
      <c r="D14" s="115">
        <f t="shared" si="0"/>
        <v>0.29210931203751189</v>
      </c>
    </row>
    <row r="15" spans="1:4">
      <c r="A15" s="537" t="s">
        <v>1027</v>
      </c>
      <c r="B15" s="103">
        <v>17372</v>
      </c>
      <c r="C15" s="103">
        <v>1709</v>
      </c>
      <c r="D15" s="115">
        <f t="shared" si="0"/>
        <v>9.8376698134929774E-2</v>
      </c>
    </row>
    <row r="16" spans="1:4">
      <c r="A16" s="537" t="s">
        <v>1028</v>
      </c>
      <c r="B16" s="103">
        <v>9814</v>
      </c>
      <c r="C16" s="103">
        <v>5025</v>
      </c>
      <c r="D16" s="115">
        <f t="shared" si="0"/>
        <v>0.51202363969839004</v>
      </c>
    </row>
    <row r="17" spans="1:4">
      <c r="A17" s="537" t="s">
        <v>1029</v>
      </c>
      <c r="B17" s="103">
        <v>10442</v>
      </c>
      <c r="C17" s="103">
        <v>5050</v>
      </c>
      <c r="D17" s="115">
        <f t="shared" si="0"/>
        <v>0.4836238268530933</v>
      </c>
    </row>
    <row r="18" spans="1:4">
      <c r="A18" s="537" t="s">
        <v>1030</v>
      </c>
      <c r="B18" s="103">
        <v>26544</v>
      </c>
      <c r="C18" s="103">
        <v>8251</v>
      </c>
      <c r="D18" s="115">
        <f t="shared" si="0"/>
        <v>0.31084237492465339</v>
      </c>
    </row>
    <row r="19" spans="1:4">
      <c r="A19" s="537" t="s">
        <v>1031</v>
      </c>
      <c r="B19" s="103">
        <v>19567</v>
      </c>
      <c r="C19" s="103">
        <v>1216</v>
      </c>
      <c r="D19" s="115">
        <f t="shared" si="0"/>
        <v>6.2145448970204936E-2</v>
      </c>
    </row>
    <row r="20" spans="1:4">
      <c r="A20" s="537" t="s">
        <v>1032</v>
      </c>
      <c r="B20" s="103">
        <v>5561</v>
      </c>
      <c r="C20" s="103">
        <v>720</v>
      </c>
      <c r="D20" s="115">
        <f t="shared" si="0"/>
        <v>0.12947311634598094</v>
      </c>
    </row>
    <row r="21" spans="1:4">
      <c r="A21" s="537" t="s">
        <v>1033</v>
      </c>
      <c r="B21" s="103">
        <v>7915</v>
      </c>
      <c r="C21" s="103">
        <v>1334</v>
      </c>
      <c r="D21" s="115">
        <f t="shared" si="0"/>
        <v>0.16854074542008843</v>
      </c>
    </row>
    <row r="22" spans="1:4">
      <c r="A22" s="537" t="s">
        <v>1034</v>
      </c>
      <c r="B22" s="103">
        <v>487</v>
      </c>
      <c r="C22" s="103">
        <v>23</v>
      </c>
      <c r="D22" s="115">
        <f t="shared" si="0"/>
        <v>4.7227926078028747E-2</v>
      </c>
    </row>
    <row r="23" spans="1:4">
      <c r="A23" s="537" t="s">
        <v>1035</v>
      </c>
      <c r="B23" s="103">
        <v>19760</v>
      </c>
      <c r="C23" s="103">
        <v>1596</v>
      </c>
      <c r="D23" s="115">
        <f t="shared" si="0"/>
        <v>8.0769230769230774E-2</v>
      </c>
    </row>
    <row r="24" spans="1:4">
      <c r="A24" s="537" t="s">
        <v>1036</v>
      </c>
      <c r="B24" s="103">
        <v>28660</v>
      </c>
      <c r="C24" s="103">
        <v>6451</v>
      </c>
      <c r="D24" s="115">
        <f t="shared" si="0"/>
        <v>0.22508722958827634</v>
      </c>
    </row>
    <row r="25" spans="1:4">
      <c r="A25" s="537" t="s">
        <v>1037</v>
      </c>
      <c r="B25" s="103">
        <v>10931</v>
      </c>
      <c r="C25" s="103">
        <v>609</v>
      </c>
      <c r="D25" s="115">
        <f t="shared" si="0"/>
        <v>5.5713109505077303E-2</v>
      </c>
    </row>
    <row r="26" spans="1:4">
      <c r="A26" s="537" t="s">
        <v>1038</v>
      </c>
      <c r="B26" s="103">
        <v>5328</v>
      </c>
      <c r="C26" s="103">
        <v>1346</v>
      </c>
      <c r="D26" s="115">
        <f t="shared" si="0"/>
        <v>0.25262762762762764</v>
      </c>
    </row>
    <row r="27" spans="1:4">
      <c r="A27" s="537" t="s">
        <v>1039</v>
      </c>
      <c r="B27" s="103">
        <v>3715</v>
      </c>
      <c r="C27" s="103">
        <v>688</v>
      </c>
      <c r="D27" s="115">
        <f t="shared" si="0"/>
        <v>0.18519515477792733</v>
      </c>
    </row>
    <row r="28" spans="1:4">
      <c r="A28" s="537" t="s">
        <v>1040</v>
      </c>
      <c r="B28" s="103">
        <v>34079</v>
      </c>
      <c r="C28" s="103">
        <v>3049</v>
      </c>
      <c r="D28" s="115">
        <f t="shared" si="0"/>
        <v>8.9468587693300863E-2</v>
      </c>
    </row>
    <row r="29" spans="1:4">
      <c r="A29" s="537" t="s">
        <v>1041</v>
      </c>
      <c r="B29" s="103">
        <v>4821</v>
      </c>
      <c r="C29" s="103">
        <v>535</v>
      </c>
      <c r="D29" s="115">
        <f t="shared" si="0"/>
        <v>0.1109728272142709</v>
      </c>
    </row>
    <row r="30" spans="1:4">
      <c r="A30" s="537" t="s">
        <v>1042</v>
      </c>
      <c r="B30" s="103">
        <v>7679</v>
      </c>
      <c r="C30" s="103">
        <v>915</v>
      </c>
      <c r="D30" s="115">
        <f t="shared" si="0"/>
        <v>0.11915614012241177</v>
      </c>
    </row>
    <row r="31" spans="1:4">
      <c r="A31" s="537" t="s">
        <v>1043</v>
      </c>
      <c r="B31" s="103">
        <v>28220</v>
      </c>
      <c r="C31" s="103">
        <v>5971</v>
      </c>
      <c r="D31" s="115">
        <f t="shared" si="0"/>
        <v>0.21158752657689581</v>
      </c>
    </row>
    <row r="32" spans="1:4">
      <c r="A32" s="537" t="s">
        <v>1044</v>
      </c>
      <c r="B32" s="103">
        <v>24228</v>
      </c>
      <c r="C32" s="103">
        <v>5946</v>
      </c>
      <c r="D32" s="115">
        <f t="shared" si="0"/>
        <v>0.24541852402179296</v>
      </c>
    </row>
    <row r="33" spans="1:4">
      <c r="A33" s="537" t="s">
        <v>1045</v>
      </c>
      <c r="B33" s="103">
        <v>18624</v>
      </c>
      <c r="C33" s="103">
        <v>1855</v>
      </c>
      <c r="D33" s="115">
        <f t="shared" si="0"/>
        <v>9.9602663230240543E-2</v>
      </c>
    </row>
    <row r="34" spans="1:4">
      <c r="A34" s="537" t="s">
        <v>1046</v>
      </c>
      <c r="B34" s="103">
        <v>32744</v>
      </c>
      <c r="C34" s="103">
        <v>5369</v>
      </c>
      <c r="D34" s="115">
        <f t="shared" si="0"/>
        <v>0.16396897141461031</v>
      </c>
    </row>
    <row r="35" spans="1:4">
      <c r="A35" s="537" t="s">
        <v>1047</v>
      </c>
      <c r="B35" s="103">
        <v>27388</v>
      </c>
      <c r="C35" s="103">
        <v>2938</v>
      </c>
      <c r="D35" s="115">
        <f t="shared" si="0"/>
        <v>0.10727325836132613</v>
      </c>
    </row>
    <row r="36" spans="1:4">
      <c r="A36" s="537" t="s">
        <v>324</v>
      </c>
      <c r="B36" s="103">
        <v>16</v>
      </c>
      <c r="C36" s="103">
        <v>1</v>
      </c>
      <c r="D36" s="115">
        <f t="shared" si="0"/>
        <v>6.25E-2</v>
      </c>
    </row>
    <row r="37" spans="1:4">
      <c r="A37" s="537" t="s">
        <v>1048</v>
      </c>
      <c r="B37" s="103">
        <v>13811</v>
      </c>
      <c r="C37" s="103">
        <v>1455</v>
      </c>
      <c r="D37" s="115">
        <f t="shared" si="0"/>
        <v>0.10535080732749258</v>
      </c>
    </row>
    <row r="38" spans="1:4">
      <c r="A38" s="537" t="s">
        <v>1049</v>
      </c>
      <c r="B38" s="103">
        <v>1376</v>
      </c>
      <c r="C38" s="103">
        <v>342</v>
      </c>
      <c r="D38" s="115">
        <f t="shared" si="0"/>
        <v>0.24854651162790697</v>
      </c>
    </row>
    <row r="39" spans="1:4">
      <c r="A39" s="537" t="s">
        <v>1050</v>
      </c>
      <c r="B39" s="103">
        <v>6315</v>
      </c>
      <c r="C39" s="103">
        <v>1779</v>
      </c>
      <c r="D39" s="115">
        <f t="shared" si="0"/>
        <v>0.28171021377672206</v>
      </c>
    </row>
    <row r="40" spans="1:4">
      <c r="A40" s="537" t="s">
        <v>1051</v>
      </c>
      <c r="B40" s="103">
        <v>35963</v>
      </c>
      <c r="C40" s="103">
        <v>16292</v>
      </c>
      <c r="D40" s="115">
        <f t="shared" si="0"/>
        <v>0.45302116063732167</v>
      </c>
    </row>
    <row r="41" spans="1:4">
      <c r="A41" s="537" t="s">
        <v>1052</v>
      </c>
      <c r="B41" s="103">
        <v>78268</v>
      </c>
      <c r="C41" s="103">
        <v>11637</v>
      </c>
      <c r="D41" s="115">
        <f t="shared" si="0"/>
        <v>0.14868145346757294</v>
      </c>
    </row>
    <row r="42" spans="1:4">
      <c r="A42" s="537" t="s">
        <v>1053</v>
      </c>
      <c r="B42" s="103">
        <v>50596</v>
      </c>
      <c r="C42" s="103">
        <v>6429</v>
      </c>
      <c r="D42" s="115">
        <f t="shared" si="0"/>
        <v>0.12706538066250297</v>
      </c>
    </row>
    <row r="43" spans="1:4">
      <c r="A43" s="537" t="s">
        <v>1054</v>
      </c>
      <c r="B43" s="103">
        <v>28636</v>
      </c>
      <c r="C43" s="103">
        <v>6711</v>
      </c>
      <c r="D43" s="115">
        <f t="shared" si="0"/>
        <v>0.23435535689342088</v>
      </c>
    </row>
    <row r="44" spans="1:4">
      <c r="A44" s="537" t="s">
        <v>1055</v>
      </c>
      <c r="B44" s="103">
        <v>6230</v>
      </c>
      <c r="C44" s="103">
        <v>3049</v>
      </c>
      <c r="D44" s="115">
        <f t="shared" si="0"/>
        <v>0.48940609951845909</v>
      </c>
    </row>
    <row r="45" spans="1:4">
      <c r="A45" s="537" t="s">
        <v>1056</v>
      </c>
      <c r="B45" s="103">
        <v>17917</v>
      </c>
      <c r="C45" s="103">
        <v>1485</v>
      </c>
      <c r="D45" s="115">
        <f t="shared" si="0"/>
        <v>8.2882178936205836E-2</v>
      </c>
    </row>
    <row r="46" spans="1:4">
      <c r="A46" s="537" t="s">
        <v>1057</v>
      </c>
      <c r="B46" s="103">
        <v>18210</v>
      </c>
      <c r="C46" s="103">
        <v>2127</v>
      </c>
      <c r="D46" s="115">
        <f t="shared" si="0"/>
        <v>0.11680395387149918</v>
      </c>
    </row>
    <row r="47" spans="1:4">
      <c r="A47" s="537" t="s">
        <v>1058</v>
      </c>
      <c r="B47" s="103">
        <v>13825</v>
      </c>
      <c r="C47" s="103">
        <v>5595</v>
      </c>
      <c r="D47" s="115">
        <f t="shared" si="0"/>
        <v>0.40470162748643762</v>
      </c>
    </row>
    <row r="48" spans="1:4">
      <c r="A48" s="537" t="s">
        <v>1059</v>
      </c>
      <c r="B48" s="103">
        <v>16378</v>
      </c>
      <c r="C48" s="103">
        <v>4473</v>
      </c>
      <c r="D48" s="115">
        <f t="shared" si="0"/>
        <v>0.27311026987422149</v>
      </c>
    </row>
    <row r="49" spans="1:4">
      <c r="A49" s="537" t="s">
        <v>1060</v>
      </c>
      <c r="B49" s="103">
        <v>17643</v>
      </c>
      <c r="C49" s="103">
        <v>2361</v>
      </c>
      <c r="D49" s="115">
        <f t="shared" si="0"/>
        <v>0.13382077877911919</v>
      </c>
    </row>
    <row r="50" spans="1:4">
      <c r="A50" s="537" t="s">
        <v>1061</v>
      </c>
      <c r="B50" s="103">
        <v>38738</v>
      </c>
      <c r="C50" s="103">
        <v>10321</v>
      </c>
      <c r="D50" s="115">
        <f t="shared" si="0"/>
        <v>0.26643089472869019</v>
      </c>
    </row>
    <row r="51" spans="1:4">
      <c r="A51" s="537" t="s">
        <v>1062</v>
      </c>
      <c r="B51" s="103">
        <v>8698</v>
      </c>
      <c r="C51" s="103">
        <v>2166</v>
      </c>
      <c r="D51" s="115">
        <f t="shared" si="0"/>
        <v>0.24902276385375949</v>
      </c>
    </row>
    <row r="52" spans="1:4">
      <c r="A52" s="537" t="s">
        <v>1063</v>
      </c>
      <c r="B52" s="103">
        <v>5207</v>
      </c>
      <c r="C52" s="103">
        <v>10</v>
      </c>
      <c r="D52" s="115">
        <f t="shared" si="0"/>
        <v>1.9204916458613404E-3</v>
      </c>
    </row>
    <row r="53" spans="1:4">
      <c r="A53" s="537" t="s">
        <v>1064</v>
      </c>
      <c r="B53" s="103">
        <v>32778</v>
      </c>
      <c r="C53" s="103">
        <v>13778</v>
      </c>
      <c r="D53" s="115">
        <f t="shared" si="0"/>
        <v>0.42034291292940384</v>
      </c>
    </row>
    <row r="54" spans="1:4">
      <c r="A54" s="537" t="s">
        <v>1065</v>
      </c>
      <c r="B54" s="103">
        <v>9345</v>
      </c>
      <c r="C54" s="103">
        <v>433</v>
      </c>
      <c r="D54" s="115">
        <f t="shared" si="0"/>
        <v>4.633493846976993E-2</v>
      </c>
    </row>
    <row r="55" spans="1:4">
      <c r="A55" s="537" t="s">
        <v>1066</v>
      </c>
      <c r="B55" s="103">
        <v>27921</v>
      </c>
      <c r="C55" s="103">
        <v>5504</v>
      </c>
      <c r="D55" s="115">
        <f t="shared" si="0"/>
        <v>0.19712761004262025</v>
      </c>
    </row>
    <row r="56" spans="1:4">
      <c r="A56" s="537" t="s">
        <v>1067</v>
      </c>
      <c r="B56" s="103">
        <v>7350</v>
      </c>
      <c r="C56" s="103">
        <v>1747</v>
      </c>
      <c r="D56" s="115">
        <f t="shared" si="0"/>
        <v>0.23768707482993198</v>
      </c>
    </row>
    <row r="57" spans="1:4">
      <c r="A57" s="537" t="s">
        <v>1068</v>
      </c>
      <c r="B57" s="103">
        <v>3170</v>
      </c>
      <c r="C57" s="103">
        <v>1439</v>
      </c>
      <c r="D57" s="115">
        <f t="shared" si="0"/>
        <v>0.45394321766561513</v>
      </c>
    </row>
    <row r="58" spans="1:4">
      <c r="A58" s="537" t="s">
        <v>1069</v>
      </c>
      <c r="B58" s="103">
        <v>6084</v>
      </c>
      <c r="C58" s="103">
        <v>1457</v>
      </c>
      <c r="D58" s="115">
        <f t="shared" si="0"/>
        <v>0.23948060486522024</v>
      </c>
    </row>
    <row r="59" spans="1:4">
      <c r="A59" s="537" t="s">
        <v>1070</v>
      </c>
      <c r="B59" s="103">
        <v>65074</v>
      </c>
      <c r="C59" s="103">
        <v>20783</v>
      </c>
      <c r="D59" s="115">
        <f t="shared" si="0"/>
        <v>0.31937486553769556</v>
      </c>
    </row>
    <row r="60" spans="1:4">
      <c r="A60" s="537" t="s">
        <v>1071</v>
      </c>
      <c r="B60" s="103">
        <v>21566</v>
      </c>
      <c r="C60" s="103">
        <v>2562</v>
      </c>
      <c r="D60" s="115">
        <f t="shared" si="0"/>
        <v>0.11879810813317258</v>
      </c>
    </row>
    <row r="61" spans="1:4">
      <c r="A61" s="537" t="s">
        <v>1072</v>
      </c>
      <c r="B61" s="103">
        <v>54137</v>
      </c>
      <c r="C61" s="103">
        <v>8111</v>
      </c>
      <c r="D61" s="115">
        <f t="shared" si="0"/>
        <v>0.14982359569240999</v>
      </c>
    </row>
    <row r="62" spans="1:4">
      <c r="A62" s="537" t="s">
        <v>1073</v>
      </c>
      <c r="B62" s="103">
        <v>54121</v>
      </c>
      <c r="C62" s="103">
        <v>15250</v>
      </c>
      <c r="D62" s="115">
        <f t="shared" si="0"/>
        <v>0.28177602039873617</v>
      </c>
    </row>
    <row r="63" spans="1:4">
      <c r="A63" s="537" t="s">
        <v>1074</v>
      </c>
      <c r="B63" s="103">
        <v>27956</v>
      </c>
      <c r="C63" s="103">
        <v>6838</v>
      </c>
      <c r="D63" s="115">
        <f t="shared" si="0"/>
        <v>0.24459865502933181</v>
      </c>
    </row>
    <row r="64" spans="1:4">
      <c r="A64" s="537" t="s">
        <v>1075</v>
      </c>
      <c r="B64" s="103">
        <v>20602</v>
      </c>
      <c r="C64" s="103">
        <v>2637</v>
      </c>
      <c r="D64" s="115">
        <f t="shared" si="0"/>
        <v>0.1279972818172993</v>
      </c>
    </row>
    <row r="65" spans="1:4">
      <c r="A65" s="537" t="s">
        <v>1076</v>
      </c>
      <c r="B65" s="103">
        <v>18986</v>
      </c>
      <c r="C65" s="103">
        <v>1721</v>
      </c>
      <c r="D65" s="115">
        <f t="shared" si="0"/>
        <v>9.0645738965553571E-2</v>
      </c>
    </row>
    <row r="66" spans="1:4">
      <c r="A66" s="537" t="s">
        <v>1077</v>
      </c>
      <c r="B66" s="103">
        <v>5042</v>
      </c>
      <c r="C66" s="103">
        <v>935</v>
      </c>
      <c r="D66" s="115">
        <f t="shared" si="0"/>
        <v>0.18544228480761601</v>
      </c>
    </row>
    <row r="67" spans="1:4">
      <c r="A67" s="537" t="s">
        <v>1078</v>
      </c>
      <c r="B67" s="103">
        <v>26089</v>
      </c>
      <c r="C67" s="103">
        <v>6906</v>
      </c>
      <c r="D67" s="115">
        <f t="shared" ref="D67:D130" si="1">C67/B67</f>
        <v>0.26470926444095211</v>
      </c>
    </row>
    <row r="68" spans="1:4">
      <c r="A68" s="537" t="s">
        <v>1079</v>
      </c>
      <c r="B68" s="103">
        <v>3836</v>
      </c>
      <c r="C68" s="103">
        <v>1551</v>
      </c>
      <c r="D68" s="115">
        <f t="shared" si="1"/>
        <v>0.40432742440041708</v>
      </c>
    </row>
    <row r="69" spans="1:4">
      <c r="A69" s="537" t="s">
        <v>1080</v>
      </c>
      <c r="B69" s="103">
        <v>32338</v>
      </c>
      <c r="C69" s="103">
        <v>9853</v>
      </c>
      <c r="D69" s="115">
        <f t="shared" si="1"/>
        <v>0.3046879831776857</v>
      </c>
    </row>
    <row r="70" spans="1:4">
      <c r="A70" s="537" t="s">
        <v>1081</v>
      </c>
      <c r="B70" s="103">
        <v>48115</v>
      </c>
      <c r="C70" s="103">
        <v>17307</v>
      </c>
      <c r="D70" s="115">
        <f t="shared" si="1"/>
        <v>0.3597007170321106</v>
      </c>
    </row>
    <row r="71" spans="1:4">
      <c r="A71" s="537" t="s">
        <v>1082</v>
      </c>
      <c r="B71" s="103">
        <v>10936</v>
      </c>
      <c r="C71" s="103">
        <v>285</v>
      </c>
      <c r="D71" s="115">
        <f t="shared" si="1"/>
        <v>2.6060716898317484E-2</v>
      </c>
    </row>
    <row r="72" spans="1:4">
      <c r="A72" s="537" t="s">
        <v>1083</v>
      </c>
      <c r="B72" s="103">
        <v>32573</v>
      </c>
      <c r="C72" s="103">
        <v>9497</v>
      </c>
      <c r="D72" s="115">
        <f t="shared" si="1"/>
        <v>0.29156049488840452</v>
      </c>
    </row>
    <row r="73" spans="1:4">
      <c r="A73" s="537" t="s">
        <v>1084</v>
      </c>
      <c r="B73" s="103">
        <v>687</v>
      </c>
      <c r="C73" s="103">
        <v>11</v>
      </c>
      <c r="D73" s="115">
        <f t="shared" si="1"/>
        <v>1.6011644832605532E-2</v>
      </c>
    </row>
    <row r="74" spans="1:4">
      <c r="A74" s="537" t="s">
        <v>1085</v>
      </c>
      <c r="B74" s="103">
        <v>19510</v>
      </c>
      <c r="C74" s="103">
        <v>5423</v>
      </c>
      <c r="D74" s="115">
        <f t="shared" si="1"/>
        <v>0.2779600205023065</v>
      </c>
    </row>
    <row r="75" spans="1:4">
      <c r="A75" s="537" t="s">
        <v>1086</v>
      </c>
      <c r="B75" s="103">
        <v>88335</v>
      </c>
      <c r="C75" s="103">
        <v>8246</v>
      </c>
      <c r="D75" s="115">
        <f t="shared" si="1"/>
        <v>9.334918209090394E-2</v>
      </c>
    </row>
    <row r="76" spans="1:4">
      <c r="A76" s="537" t="s">
        <v>1087</v>
      </c>
      <c r="B76" s="103">
        <v>21188</v>
      </c>
      <c r="C76" s="103">
        <v>10244</v>
      </c>
      <c r="D76" s="115">
        <f t="shared" si="1"/>
        <v>0.4834812157825184</v>
      </c>
    </row>
    <row r="77" spans="1:4">
      <c r="A77" s="537" t="s">
        <v>1088</v>
      </c>
      <c r="B77" s="103">
        <v>5288</v>
      </c>
      <c r="C77" s="103">
        <v>128</v>
      </c>
      <c r="D77" s="115">
        <f t="shared" si="1"/>
        <v>2.4205748865355523E-2</v>
      </c>
    </row>
    <row r="78" spans="1:4">
      <c r="A78" s="537" t="s">
        <v>271</v>
      </c>
      <c r="B78" s="103">
        <v>3129</v>
      </c>
      <c r="C78" s="103">
        <v>28</v>
      </c>
      <c r="D78" s="115">
        <f t="shared" si="1"/>
        <v>8.948545861297539E-3</v>
      </c>
    </row>
    <row r="79" spans="1:4">
      <c r="A79" s="537" t="s">
        <v>1089</v>
      </c>
      <c r="B79" s="103">
        <v>48728</v>
      </c>
      <c r="C79" s="103">
        <v>17029</v>
      </c>
      <c r="D79" s="115">
        <f t="shared" si="1"/>
        <v>0.34947053029059266</v>
      </c>
    </row>
    <row r="80" spans="1:4">
      <c r="A80" s="537" t="s">
        <v>1090</v>
      </c>
      <c r="B80" s="103">
        <v>126866</v>
      </c>
      <c r="C80" s="103">
        <v>6274</v>
      </c>
      <c r="D80" s="115">
        <f t="shared" si="1"/>
        <v>4.9453754354988728E-2</v>
      </c>
    </row>
    <row r="81" spans="1:4">
      <c r="A81" s="537" t="s">
        <v>1091</v>
      </c>
      <c r="B81" s="103">
        <v>1730</v>
      </c>
      <c r="C81" s="103">
        <v>96</v>
      </c>
      <c r="D81" s="115">
        <f t="shared" si="1"/>
        <v>5.5491329479768786E-2</v>
      </c>
    </row>
    <row r="82" spans="1:4">
      <c r="A82" s="503" t="s">
        <v>277</v>
      </c>
      <c r="B82" s="103">
        <v>7819</v>
      </c>
      <c r="C82" s="103">
        <v>217</v>
      </c>
      <c r="D82" s="115">
        <f t="shared" si="1"/>
        <v>2.775290957923008E-2</v>
      </c>
    </row>
    <row r="83" spans="1:4">
      <c r="A83" s="537" t="s">
        <v>1092</v>
      </c>
      <c r="B83" s="103">
        <v>23587</v>
      </c>
      <c r="C83" s="103">
        <v>4930</v>
      </c>
      <c r="D83" s="115">
        <f t="shared" si="1"/>
        <v>0.20901343960656293</v>
      </c>
    </row>
    <row r="84" spans="1:4">
      <c r="A84" s="537" t="s">
        <v>1093</v>
      </c>
      <c r="B84" s="103">
        <v>2093</v>
      </c>
      <c r="C84" s="103">
        <v>135</v>
      </c>
      <c r="D84" s="115">
        <f t="shared" si="1"/>
        <v>6.4500716674629713E-2</v>
      </c>
    </row>
    <row r="85" spans="1:4">
      <c r="A85" s="537" t="s">
        <v>1094</v>
      </c>
      <c r="B85" s="103">
        <v>16544</v>
      </c>
      <c r="C85" s="103">
        <v>2526</v>
      </c>
      <c r="D85" s="115">
        <f t="shared" si="1"/>
        <v>0.15268375241779497</v>
      </c>
    </row>
    <row r="86" spans="1:4">
      <c r="A86" s="537" t="s">
        <v>1095</v>
      </c>
      <c r="B86" s="103">
        <v>5687</v>
      </c>
      <c r="C86" s="103">
        <v>835</v>
      </c>
      <c r="D86" s="115">
        <f t="shared" si="1"/>
        <v>0.14682609460172322</v>
      </c>
    </row>
    <row r="87" spans="1:4">
      <c r="A87" s="537" t="s">
        <v>1096</v>
      </c>
      <c r="B87" s="103">
        <v>27228</v>
      </c>
      <c r="C87" s="103">
        <v>11035</v>
      </c>
      <c r="D87" s="115">
        <f t="shared" si="1"/>
        <v>0.40528132804465988</v>
      </c>
    </row>
    <row r="88" spans="1:4">
      <c r="A88" s="537" t="s">
        <v>1097</v>
      </c>
      <c r="B88" s="103">
        <v>12889</v>
      </c>
      <c r="C88" s="103">
        <v>1732</v>
      </c>
      <c r="D88" s="115">
        <f t="shared" si="1"/>
        <v>0.13437815191248351</v>
      </c>
    </row>
    <row r="89" spans="1:4">
      <c r="A89" s="537" t="s">
        <v>1098</v>
      </c>
      <c r="B89" s="103">
        <v>12985</v>
      </c>
      <c r="C89" s="103">
        <v>410</v>
      </c>
      <c r="D89" s="115">
        <f t="shared" si="1"/>
        <v>3.1574894108586833E-2</v>
      </c>
    </row>
    <row r="90" spans="1:4">
      <c r="A90" s="537" t="s">
        <v>1099</v>
      </c>
      <c r="B90" s="103">
        <v>6234</v>
      </c>
      <c r="C90" s="103">
        <v>625</v>
      </c>
      <c r="D90" s="115">
        <f t="shared" si="1"/>
        <v>0.10025665704202759</v>
      </c>
    </row>
    <row r="91" spans="1:4">
      <c r="A91" s="537" t="s">
        <v>1100</v>
      </c>
      <c r="B91" s="103">
        <v>4907</v>
      </c>
      <c r="C91" s="103">
        <v>325</v>
      </c>
      <c r="D91" s="115">
        <f t="shared" si="1"/>
        <v>6.6231913592826569E-2</v>
      </c>
    </row>
    <row r="92" spans="1:4">
      <c r="A92" s="537" t="s">
        <v>1101</v>
      </c>
      <c r="B92" s="103">
        <v>13531</v>
      </c>
      <c r="C92" s="103">
        <v>2687</v>
      </c>
      <c r="D92" s="115">
        <f t="shared" si="1"/>
        <v>0.19858103613923583</v>
      </c>
    </row>
    <row r="93" spans="1:4">
      <c r="A93" s="537" t="s">
        <v>1102</v>
      </c>
      <c r="B93" s="103">
        <v>25752</v>
      </c>
      <c r="C93" s="103">
        <v>2562</v>
      </c>
      <c r="D93" s="115">
        <f t="shared" si="1"/>
        <v>9.9487418452935697E-2</v>
      </c>
    </row>
    <row r="94" spans="1:4">
      <c r="A94" s="537" t="s">
        <v>1103</v>
      </c>
      <c r="B94" s="103">
        <v>29549</v>
      </c>
      <c r="C94" s="103">
        <v>4291</v>
      </c>
      <c r="D94" s="115">
        <f t="shared" si="1"/>
        <v>0.14521642018342415</v>
      </c>
    </row>
    <row r="95" spans="1:4">
      <c r="A95" s="537" t="s">
        <v>1104</v>
      </c>
      <c r="B95" s="103">
        <v>64411</v>
      </c>
      <c r="C95" s="103">
        <v>18305</v>
      </c>
      <c r="D95" s="115">
        <f t="shared" si="1"/>
        <v>0.28419058856406515</v>
      </c>
    </row>
    <row r="96" spans="1:4">
      <c r="A96" s="537" t="s">
        <v>1105</v>
      </c>
      <c r="B96" s="103">
        <v>11249</v>
      </c>
      <c r="C96" s="103">
        <v>3317</v>
      </c>
      <c r="D96" s="115">
        <f t="shared" si="1"/>
        <v>0.29487065516934841</v>
      </c>
    </row>
    <row r="97" spans="1:4">
      <c r="A97" s="537" t="s">
        <v>1106</v>
      </c>
      <c r="B97" s="103">
        <v>7408</v>
      </c>
      <c r="C97" s="103">
        <v>2374</v>
      </c>
      <c r="D97" s="115">
        <f t="shared" si="1"/>
        <v>0.32046436285097191</v>
      </c>
    </row>
    <row r="98" spans="1:4">
      <c r="A98" s="537" t="s">
        <v>1107</v>
      </c>
      <c r="B98" s="103">
        <v>9206</v>
      </c>
      <c r="C98" s="103">
        <v>1768</v>
      </c>
      <c r="D98" s="115">
        <f t="shared" si="1"/>
        <v>0.19204866391483816</v>
      </c>
    </row>
    <row r="99" spans="1:4">
      <c r="A99" s="537" t="s">
        <v>1108</v>
      </c>
      <c r="B99" s="103">
        <v>8978</v>
      </c>
      <c r="C99" s="103">
        <v>1662</v>
      </c>
      <c r="D99" s="115">
        <f t="shared" si="1"/>
        <v>0.18511918021831142</v>
      </c>
    </row>
    <row r="100" spans="1:4">
      <c r="A100" s="537" t="s">
        <v>1109</v>
      </c>
      <c r="B100" s="103">
        <v>190903</v>
      </c>
      <c r="C100" s="103">
        <v>40679</v>
      </c>
      <c r="D100" s="115">
        <f t="shared" si="1"/>
        <v>0.21308727468924007</v>
      </c>
    </row>
    <row r="101" spans="1:4">
      <c r="A101" s="537" t="s">
        <v>1110</v>
      </c>
      <c r="B101" s="103">
        <v>9842</v>
      </c>
      <c r="C101" s="103">
        <v>779</v>
      </c>
      <c r="D101" s="115">
        <f t="shared" si="1"/>
        <v>7.9150579150579145E-2</v>
      </c>
    </row>
    <row r="102" spans="1:4">
      <c r="A102" s="537" t="s">
        <v>1111</v>
      </c>
      <c r="B102" s="103">
        <v>16811</v>
      </c>
      <c r="C102" s="103">
        <v>8070</v>
      </c>
      <c r="D102" s="115">
        <f t="shared" si="1"/>
        <v>0.48004282909999407</v>
      </c>
    </row>
    <row r="103" spans="1:4">
      <c r="A103" s="537" t="s">
        <v>1112</v>
      </c>
      <c r="B103" s="103">
        <v>10013</v>
      </c>
      <c r="C103" s="103">
        <v>190</v>
      </c>
      <c r="D103" s="115">
        <f t="shared" si="1"/>
        <v>1.8975332068311195E-2</v>
      </c>
    </row>
    <row r="104" spans="1:4">
      <c r="A104" s="537" t="s">
        <v>1113</v>
      </c>
      <c r="B104" s="103">
        <v>10973</v>
      </c>
      <c r="C104" s="103">
        <v>358</v>
      </c>
      <c r="D104" s="115">
        <f t="shared" si="1"/>
        <v>3.2625535405085213E-2</v>
      </c>
    </row>
    <row r="105" spans="1:4">
      <c r="A105" s="537" t="s">
        <v>1114</v>
      </c>
      <c r="B105" s="103">
        <v>16324</v>
      </c>
      <c r="C105" s="103">
        <v>336</v>
      </c>
      <c r="D105" s="115">
        <f t="shared" si="1"/>
        <v>2.0583190394511151E-2</v>
      </c>
    </row>
    <row r="106" spans="1:4">
      <c r="A106" s="537" t="s">
        <v>1115</v>
      </c>
      <c r="B106" s="103">
        <v>7021</v>
      </c>
      <c r="C106" s="103">
        <v>3848</v>
      </c>
      <c r="D106" s="115">
        <f t="shared" si="1"/>
        <v>0.54807007548782227</v>
      </c>
    </row>
    <row r="107" spans="1:4">
      <c r="A107" s="537" t="s">
        <v>1116</v>
      </c>
      <c r="B107" s="103">
        <v>1320</v>
      </c>
      <c r="C107" s="103">
        <v>620</v>
      </c>
      <c r="D107" s="115">
        <f t="shared" si="1"/>
        <v>0.46969696969696972</v>
      </c>
    </row>
    <row r="108" spans="1:4">
      <c r="A108" s="537" t="s">
        <v>1117</v>
      </c>
      <c r="B108" s="103">
        <v>16918</v>
      </c>
      <c r="C108" s="103">
        <v>927</v>
      </c>
      <c r="D108" s="115">
        <f t="shared" si="1"/>
        <v>5.4793710840524881E-2</v>
      </c>
    </row>
    <row r="109" spans="1:4">
      <c r="A109" s="537" t="s">
        <v>1118</v>
      </c>
      <c r="B109" s="103">
        <v>27348</v>
      </c>
      <c r="C109" s="103">
        <v>2355</v>
      </c>
      <c r="D109" s="115">
        <f t="shared" si="1"/>
        <v>8.6112329969284779E-2</v>
      </c>
    </row>
    <row r="110" spans="1:4">
      <c r="A110" s="537" t="s">
        <v>1119</v>
      </c>
      <c r="B110" s="103">
        <v>18338</v>
      </c>
      <c r="C110" s="103">
        <v>3281</v>
      </c>
      <c r="D110" s="115">
        <f t="shared" si="1"/>
        <v>0.1789180935761806</v>
      </c>
    </row>
    <row r="111" spans="1:4">
      <c r="A111" s="537" t="s">
        <v>1120</v>
      </c>
      <c r="B111" s="103">
        <v>12465</v>
      </c>
      <c r="C111" s="103">
        <v>3844</v>
      </c>
      <c r="D111" s="115">
        <f t="shared" si="1"/>
        <v>0.30838347372643399</v>
      </c>
    </row>
    <row r="112" spans="1:4">
      <c r="A112" s="537" t="s">
        <v>1121</v>
      </c>
      <c r="B112" s="103">
        <v>23047</v>
      </c>
      <c r="C112" s="103">
        <v>8219</v>
      </c>
      <c r="D112" s="115">
        <f t="shared" si="1"/>
        <v>0.35661908274395798</v>
      </c>
    </row>
    <row r="113" spans="1:4">
      <c r="A113" s="537" t="s">
        <v>1122</v>
      </c>
      <c r="B113" s="103">
        <v>23860</v>
      </c>
      <c r="C113" s="103">
        <v>6423</v>
      </c>
      <c r="D113" s="115">
        <f t="shared" si="1"/>
        <v>0.26919530595138308</v>
      </c>
    </row>
    <row r="114" spans="1:4">
      <c r="A114" s="537" t="s">
        <v>1123</v>
      </c>
      <c r="B114" s="103">
        <v>14387</v>
      </c>
      <c r="C114" s="103">
        <v>1369</v>
      </c>
      <c r="D114" s="115">
        <f t="shared" si="1"/>
        <v>9.5155348578577881E-2</v>
      </c>
    </row>
    <row r="115" spans="1:4">
      <c r="A115" s="537" t="s">
        <v>1124</v>
      </c>
      <c r="B115" s="103">
        <v>53732</v>
      </c>
      <c r="C115" s="103">
        <v>18469</v>
      </c>
      <c r="D115" s="115">
        <f t="shared" si="1"/>
        <v>0.34372441003498844</v>
      </c>
    </row>
    <row r="116" spans="1:4">
      <c r="A116" s="537" t="s">
        <v>1125</v>
      </c>
      <c r="B116" s="103">
        <v>48937</v>
      </c>
      <c r="C116" s="103">
        <v>4826</v>
      </c>
      <c r="D116" s="115">
        <f t="shared" si="1"/>
        <v>9.8616588675235511E-2</v>
      </c>
    </row>
    <row r="117" spans="1:4">
      <c r="A117" s="537" t="s">
        <v>1126</v>
      </c>
      <c r="B117" s="103">
        <v>35963</v>
      </c>
      <c r="C117" s="103">
        <v>1061</v>
      </c>
      <c r="D117" s="115">
        <f t="shared" si="1"/>
        <v>2.9502544281622779E-2</v>
      </c>
    </row>
    <row r="118" spans="1:4">
      <c r="A118" s="537" t="s">
        <v>1127</v>
      </c>
      <c r="B118" s="103">
        <v>8595</v>
      </c>
      <c r="C118" s="103">
        <v>1072</v>
      </c>
      <c r="D118" s="115">
        <f t="shared" si="1"/>
        <v>0.12472367655613729</v>
      </c>
    </row>
    <row r="119" spans="1:4">
      <c r="A119" s="537" t="s">
        <v>1128</v>
      </c>
      <c r="B119" s="103">
        <v>29372</v>
      </c>
      <c r="C119" s="103">
        <v>10158</v>
      </c>
      <c r="D119" s="115">
        <f t="shared" si="1"/>
        <v>0.3458395751055427</v>
      </c>
    </row>
    <row r="120" spans="1:4">
      <c r="A120" s="537" t="s">
        <v>1129</v>
      </c>
      <c r="B120" s="103">
        <v>9394</v>
      </c>
      <c r="C120" s="103">
        <v>1185</v>
      </c>
      <c r="D120" s="115">
        <f t="shared" si="1"/>
        <v>0.12614434745582287</v>
      </c>
    </row>
    <row r="121" spans="1:4">
      <c r="A121" s="537" t="s">
        <v>1130</v>
      </c>
      <c r="B121" s="103">
        <v>60354</v>
      </c>
      <c r="C121" s="103">
        <v>17599</v>
      </c>
      <c r="D121" s="115">
        <f t="shared" si="1"/>
        <v>0.29159624879875401</v>
      </c>
    </row>
    <row r="122" spans="1:4">
      <c r="A122" s="537" t="s">
        <v>1131</v>
      </c>
      <c r="B122" s="103">
        <v>55707</v>
      </c>
      <c r="C122" s="103">
        <v>7120</v>
      </c>
      <c r="D122" s="115">
        <f t="shared" si="1"/>
        <v>0.12781158561760642</v>
      </c>
    </row>
    <row r="123" spans="1:4">
      <c r="A123" s="537" t="s">
        <v>1132</v>
      </c>
      <c r="B123" s="103">
        <v>63990</v>
      </c>
      <c r="C123" s="103">
        <v>16155</v>
      </c>
      <c r="D123" s="115">
        <f t="shared" si="1"/>
        <v>0.25246132208157523</v>
      </c>
    </row>
    <row r="124" spans="1:4">
      <c r="A124" s="537" t="s">
        <v>1133</v>
      </c>
      <c r="B124" s="103">
        <v>42166</v>
      </c>
      <c r="C124" s="103">
        <v>4854</v>
      </c>
      <c r="D124" s="115">
        <f t="shared" si="1"/>
        <v>0.11511644452876725</v>
      </c>
    </row>
    <row r="125" spans="1:4">
      <c r="A125" s="537" t="s">
        <v>1134</v>
      </c>
      <c r="B125" s="103">
        <v>38717</v>
      </c>
      <c r="C125" s="103">
        <v>5420</v>
      </c>
      <c r="D125" s="115">
        <f t="shared" si="1"/>
        <v>0.13999018518996822</v>
      </c>
    </row>
    <row r="126" spans="1:4">
      <c r="A126" s="537" t="s">
        <v>1135</v>
      </c>
      <c r="B126" s="103">
        <v>56891</v>
      </c>
      <c r="C126" s="103">
        <v>18642</v>
      </c>
      <c r="D126" s="115">
        <f t="shared" si="1"/>
        <v>0.32767924627797013</v>
      </c>
    </row>
    <row r="127" spans="1:4">
      <c r="A127" s="537" t="s">
        <v>1136</v>
      </c>
      <c r="B127" s="103">
        <v>5777</v>
      </c>
      <c r="C127" s="103">
        <v>97</v>
      </c>
      <c r="D127" s="115">
        <f t="shared" si="1"/>
        <v>1.6790721827938376E-2</v>
      </c>
    </row>
    <row r="128" spans="1:4">
      <c r="A128" s="537" t="s">
        <v>1137</v>
      </c>
      <c r="B128" s="103">
        <v>15960</v>
      </c>
      <c r="C128" s="103">
        <v>6313</v>
      </c>
      <c r="D128" s="115">
        <f t="shared" si="1"/>
        <v>0.39555137844611526</v>
      </c>
    </row>
    <row r="129" spans="1:4">
      <c r="A129" s="537" t="s">
        <v>1138</v>
      </c>
      <c r="B129" s="103">
        <v>6703</v>
      </c>
      <c r="C129" s="103">
        <v>868</v>
      </c>
      <c r="D129" s="115">
        <f t="shared" si="1"/>
        <v>0.12949425630314784</v>
      </c>
    </row>
    <row r="130" spans="1:4">
      <c r="A130" s="537" t="s">
        <v>1139</v>
      </c>
      <c r="B130" s="103">
        <v>30432</v>
      </c>
      <c r="C130" s="103">
        <v>8920</v>
      </c>
      <c r="D130" s="115">
        <f t="shared" si="1"/>
        <v>0.29311251314405889</v>
      </c>
    </row>
    <row r="131" spans="1:4">
      <c r="A131" s="537" t="s">
        <v>1140</v>
      </c>
      <c r="B131" s="103">
        <v>18160</v>
      </c>
      <c r="C131" s="103">
        <v>6679</v>
      </c>
      <c r="D131" s="115">
        <f t="shared" ref="D131:D194" si="2">C131/B131</f>
        <v>0.36778634361233481</v>
      </c>
    </row>
    <row r="132" spans="1:4">
      <c r="A132" s="537" t="s">
        <v>1141</v>
      </c>
      <c r="B132" s="103">
        <v>19461</v>
      </c>
      <c r="C132" s="103">
        <v>2522</v>
      </c>
      <c r="D132" s="115">
        <f t="shared" si="2"/>
        <v>0.12959251837007349</v>
      </c>
    </row>
    <row r="133" spans="1:4">
      <c r="A133" s="537" t="s">
        <v>1142</v>
      </c>
      <c r="B133" s="103">
        <v>47245</v>
      </c>
      <c r="C133" s="103">
        <v>16203</v>
      </c>
      <c r="D133" s="115">
        <f t="shared" si="2"/>
        <v>0.3429569266589057</v>
      </c>
    </row>
    <row r="134" spans="1:4">
      <c r="A134" s="537" t="s">
        <v>1143</v>
      </c>
      <c r="B134" s="103">
        <v>8648</v>
      </c>
      <c r="C134" s="103">
        <v>2244</v>
      </c>
      <c r="D134" s="115">
        <f t="shared" si="2"/>
        <v>0.25948196114708605</v>
      </c>
    </row>
    <row r="135" spans="1:4">
      <c r="A135" s="537" t="s">
        <v>1144</v>
      </c>
      <c r="B135" s="103">
        <v>28346</v>
      </c>
      <c r="C135" s="103">
        <v>9833</v>
      </c>
      <c r="D135" s="115">
        <f t="shared" si="2"/>
        <v>0.34689197770408525</v>
      </c>
    </row>
    <row r="136" spans="1:4">
      <c r="A136" s="537" t="s">
        <v>826</v>
      </c>
      <c r="B136" s="103">
        <v>65989</v>
      </c>
      <c r="C136" s="103">
        <v>9798</v>
      </c>
      <c r="D136" s="115">
        <f t="shared" si="2"/>
        <v>0.14847929200321267</v>
      </c>
    </row>
    <row r="137" spans="1:4">
      <c r="A137" s="537" t="s">
        <v>1145</v>
      </c>
      <c r="B137" s="103">
        <v>15033</v>
      </c>
      <c r="C137" s="103">
        <v>812</v>
      </c>
      <c r="D137" s="115">
        <f t="shared" si="2"/>
        <v>5.401450143018692E-2</v>
      </c>
    </row>
    <row r="138" spans="1:4">
      <c r="A138" s="537" t="s">
        <v>1146</v>
      </c>
      <c r="B138" s="103">
        <v>17119</v>
      </c>
      <c r="C138" s="103">
        <v>760</v>
      </c>
      <c r="D138" s="115">
        <f t="shared" si="2"/>
        <v>4.4395116537180909E-2</v>
      </c>
    </row>
    <row r="139" spans="1:4">
      <c r="A139" s="537" t="s">
        <v>1147</v>
      </c>
      <c r="B139" s="103">
        <v>16296</v>
      </c>
      <c r="C139" s="103">
        <v>1408</v>
      </c>
      <c r="D139" s="115">
        <f t="shared" si="2"/>
        <v>8.640157093765341E-2</v>
      </c>
    </row>
    <row r="140" spans="1:4">
      <c r="A140" s="537" t="s">
        <v>1148</v>
      </c>
      <c r="B140" s="103">
        <v>32800</v>
      </c>
      <c r="C140" s="103">
        <v>5233</v>
      </c>
      <c r="D140" s="115">
        <f t="shared" si="2"/>
        <v>0.15954268292682927</v>
      </c>
    </row>
    <row r="141" spans="1:4">
      <c r="A141" s="537" t="s">
        <v>1149</v>
      </c>
      <c r="B141" s="103">
        <v>38906</v>
      </c>
      <c r="C141" s="103">
        <v>2387</v>
      </c>
      <c r="D141" s="115">
        <f t="shared" si="2"/>
        <v>6.1353004677941705E-2</v>
      </c>
    </row>
    <row r="142" spans="1:4">
      <c r="A142" s="537" t="s">
        <v>1150</v>
      </c>
      <c r="B142" s="103">
        <v>30931</v>
      </c>
      <c r="C142" s="103">
        <v>12301</v>
      </c>
      <c r="D142" s="115">
        <f t="shared" si="2"/>
        <v>0.39769163622255987</v>
      </c>
    </row>
    <row r="143" spans="1:4">
      <c r="A143" s="537" t="s">
        <v>1151</v>
      </c>
      <c r="B143" s="103">
        <v>15507</v>
      </c>
      <c r="C143" s="103">
        <v>2472</v>
      </c>
      <c r="D143" s="115">
        <f t="shared" si="2"/>
        <v>0.15941187850648095</v>
      </c>
    </row>
    <row r="144" spans="1:4">
      <c r="A144" s="537" t="s">
        <v>1152</v>
      </c>
      <c r="B144" s="103">
        <v>36508</v>
      </c>
      <c r="C144" s="103">
        <v>7951</v>
      </c>
      <c r="D144" s="115">
        <f t="shared" si="2"/>
        <v>0.21778788210803113</v>
      </c>
    </row>
    <row r="145" spans="1:4">
      <c r="A145" s="537" t="s">
        <v>1153</v>
      </c>
      <c r="B145" s="103">
        <v>734</v>
      </c>
      <c r="C145" s="103">
        <v>7</v>
      </c>
      <c r="D145" s="115">
        <f t="shared" si="2"/>
        <v>9.5367847411444145E-3</v>
      </c>
    </row>
    <row r="146" spans="1:4">
      <c r="A146" s="537" t="s">
        <v>1154</v>
      </c>
      <c r="B146" s="103">
        <v>4379</v>
      </c>
      <c r="C146" s="103">
        <v>134</v>
      </c>
      <c r="D146" s="115">
        <f t="shared" si="2"/>
        <v>3.0600593742863669E-2</v>
      </c>
    </row>
    <row r="147" spans="1:4">
      <c r="A147" s="537" t="s">
        <v>1155</v>
      </c>
      <c r="B147" s="103">
        <v>18804</v>
      </c>
      <c r="C147" s="103">
        <v>6965</v>
      </c>
      <c r="D147" s="115">
        <f t="shared" si="2"/>
        <v>0.37039991491172092</v>
      </c>
    </row>
    <row r="148" spans="1:4">
      <c r="A148" s="537" t="s">
        <v>1156</v>
      </c>
      <c r="B148" s="103">
        <v>81633</v>
      </c>
      <c r="C148" s="103">
        <v>33307</v>
      </c>
      <c r="D148" s="115">
        <f t="shared" si="2"/>
        <v>0.40800901596168215</v>
      </c>
    </row>
    <row r="149" spans="1:4">
      <c r="A149" s="537" t="s">
        <v>1157</v>
      </c>
      <c r="B149" s="103">
        <v>13625</v>
      </c>
      <c r="C149" s="103">
        <v>1615</v>
      </c>
      <c r="D149" s="115">
        <f t="shared" si="2"/>
        <v>0.11853211009174312</v>
      </c>
    </row>
    <row r="150" spans="1:4">
      <c r="A150" s="537" t="s">
        <v>1158</v>
      </c>
      <c r="B150" s="103">
        <v>7432</v>
      </c>
      <c r="C150" s="103">
        <v>2296</v>
      </c>
      <c r="D150" s="115">
        <f t="shared" si="2"/>
        <v>0.30893433799784714</v>
      </c>
    </row>
    <row r="151" spans="1:4">
      <c r="A151" s="537" t="s">
        <v>1159</v>
      </c>
      <c r="B151" s="103">
        <v>23557</v>
      </c>
      <c r="C151" s="103">
        <v>5592</v>
      </c>
      <c r="D151" s="115">
        <f t="shared" si="2"/>
        <v>0.23738166999193447</v>
      </c>
    </row>
    <row r="152" spans="1:4">
      <c r="A152" s="537" t="s">
        <v>1160</v>
      </c>
      <c r="B152" s="103">
        <v>16340</v>
      </c>
      <c r="C152" s="103">
        <v>4250</v>
      </c>
      <c r="D152" s="115">
        <f t="shared" si="2"/>
        <v>0.26009791921664627</v>
      </c>
    </row>
    <row r="153" spans="1:4">
      <c r="A153" s="537" t="s">
        <v>1161</v>
      </c>
      <c r="B153" s="103">
        <v>5051</v>
      </c>
      <c r="C153" s="103">
        <v>142</v>
      </c>
      <c r="D153" s="115">
        <f t="shared" si="2"/>
        <v>2.8113244901999603E-2</v>
      </c>
    </row>
    <row r="154" spans="1:4">
      <c r="A154" s="537" t="s">
        <v>1162</v>
      </c>
      <c r="B154" s="103">
        <v>96406</v>
      </c>
      <c r="C154" s="103">
        <v>29772</v>
      </c>
      <c r="D154" s="115">
        <f t="shared" si="2"/>
        <v>0.30881895317718816</v>
      </c>
    </row>
    <row r="155" spans="1:4">
      <c r="A155" s="537" t="s">
        <v>1163</v>
      </c>
      <c r="B155" s="103">
        <v>59651</v>
      </c>
      <c r="C155" s="103">
        <v>6136</v>
      </c>
      <c r="D155" s="115">
        <f t="shared" si="2"/>
        <v>0.10286499807211949</v>
      </c>
    </row>
    <row r="156" spans="1:4">
      <c r="A156" s="537" t="s">
        <v>1164</v>
      </c>
      <c r="B156" s="103">
        <v>56777</v>
      </c>
      <c r="C156" s="103">
        <v>3304</v>
      </c>
      <c r="D156" s="115">
        <f t="shared" si="2"/>
        <v>5.8192577980520278E-2</v>
      </c>
    </row>
    <row r="157" spans="1:4">
      <c r="A157" s="537" t="s">
        <v>1165</v>
      </c>
      <c r="B157" s="103">
        <v>9695</v>
      </c>
      <c r="C157" s="103">
        <v>1542</v>
      </c>
      <c r="D157" s="115">
        <f t="shared" si="2"/>
        <v>0.1590510572460031</v>
      </c>
    </row>
    <row r="158" spans="1:4">
      <c r="A158" s="537" t="s">
        <v>1166</v>
      </c>
      <c r="B158" s="103">
        <v>57614</v>
      </c>
      <c r="C158" s="103">
        <v>4552</v>
      </c>
      <c r="D158" s="115">
        <f t="shared" si="2"/>
        <v>7.9008574304856458E-2</v>
      </c>
    </row>
    <row r="159" spans="1:4">
      <c r="A159" s="537" t="s">
        <v>1167</v>
      </c>
      <c r="B159" s="103">
        <v>11400</v>
      </c>
      <c r="C159" s="103">
        <v>2981</v>
      </c>
      <c r="D159" s="115">
        <f t="shared" si="2"/>
        <v>0.26149122807017544</v>
      </c>
    </row>
    <row r="160" spans="1:4">
      <c r="A160" s="537" t="s">
        <v>1168</v>
      </c>
      <c r="B160" s="103">
        <v>15303</v>
      </c>
      <c r="C160" s="103">
        <v>2592</v>
      </c>
      <c r="D160" s="115">
        <f t="shared" si="2"/>
        <v>0.16937855322485787</v>
      </c>
    </row>
    <row r="161" spans="1:4">
      <c r="A161" s="537" t="s">
        <v>1169</v>
      </c>
      <c r="B161" s="103">
        <v>5411</v>
      </c>
      <c r="C161" s="103">
        <v>360</v>
      </c>
      <c r="D161" s="115">
        <f t="shared" si="2"/>
        <v>6.6531140269820738E-2</v>
      </c>
    </row>
    <row r="162" spans="1:4">
      <c r="A162" s="537" t="s">
        <v>1170</v>
      </c>
      <c r="B162" s="103">
        <v>6732</v>
      </c>
      <c r="C162" s="103">
        <v>817</v>
      </c>
      <c r="D162" s="115">
        <f t="shared" si="2"/>
        <v>0.12136066547831253</v>
      </c>
    </row>
    <row r="163" spans="1:4">
      <c r="A163" s="537" t="s">
        <v>1171</v>
      </c>
      <c r="B163" s="103">
        <v>48826</v>
      </c>
      <c r="C163" s="103">
        <v>5930</v>
      </c>
      <c r="D163" s="115">
        <f t="shared" si="2"/>
        <v>0.12145168557735633</v>
      </c>
    </row>
    <row r="164" spans="1:4">
      <c r="A164" s="537" t="s">
        <v>1172</v>
      </c>
      <c r="B164" s="103">
        <v>7240</v>
      </c>
      <c r="C164" s="103">
        <v>1839</v>
      </c>
      <c r="D164" s="115">
        <f t="shared" si="2"/>
        <v>0.25400552486187844</v>
      </c>
    </row>
    <row r="165" spans="1:4">
      <c r="A165" s="537" t="s">
        <v>1173</v>
      </c>
      <c r="B165" s="103">
        <v>26787</v>
      </c>
      <c r="C165" s="103">
        <v>12206</v>
      </c>
      <c r="D165" s="115">
        <f t="shared" si="2"/>
        <v>0.45566879456452758</v>
      </c>
    </row>
    <row r="166" spans="1:4">
      <c r="A166" s="537" t="s">
        <v>1174</v>
      </c>
      <c r="B166" s="103">
        <v>12296</v>
      </c>
      <c r="C166" s="103">
        <v>1002</v>
      </c>
      <c r="D166" s="115">
        <f t="shared" si="2"/>
        <v>8.1489915419648673E-2</v>
      </c>
    </row>
    <row r="167" spans="1:4">
      <c r="A167" s="537" t="s">
        <v>1175</v>
      </c>
      <c r="B167" s="103">
        <v>10195</v>
      </c>
      <c r="C167" s="103">
        <v>3072</v>
      </c>
      <c r="D167" s="115">
        <f t="shared" si="2"/>
        <v>0.30132417851888182</v>
      </c>
    </row>
    <row r="168" spans="1:4">
      <c r="A168" s="537" t="s">
        <v>1176</v>
      </c>
      <c r="B168" s="103">
        <v>14870</v>
      </c>
      <c r="C168" s="103">
        <v>2008</v>
      </c>
      <c r="D168" s="115">
        <f t="shared" si="2"/>
        <v>0.13503698722259583</v>
      </c>
    </row>
    <row r="169" spans="1:4">
      <c r="A169" s="537" t="s">
        <v>1177</v>
      </c>
      <c r="B169" s="103">
        <v>49325</v>
      </c>
      <c r="C169" s="103">
        <v>4090</v>
      </c>
      <c r="D169" s="115">
        <f t="shared" si="2"/>
        <v>8.291941206284846E-2</v>
      </c>
    </row>
    <row r="170" spans="1:4">
      <c r="A170" s="537" t="s">
        <v>1178</v>
      </c>
      <c r="B170" s="103">
        <v>13123</v>
      </c>
      <c r="C170" s="103">
        <v>2679</v>
      </c>
      <c r="D170" s="115">
        <f t="shared" si="2"/>
        <v>0.2041453935837842</v>
      </c>
    </row>
    <row r="171" spans="1:4">
      <c r="A171" s="537" t="s">
        <v>1179</v>
      </c>
      <c r="B171" s="103">
        <v>31107</v>
      </c>
      <c r="C171" s="103">
        <v>3159</v>
      </c>
      <c r="D171" s="115">
        <f t="shared" si="2"/>
        <v>0.10155270517889864</v>
      </c>
    </row>
    <row r="172" spans="1:4">
      <c r="A172" s="537" t="s">
        <v>1180</v>
      </c>
      <c r="B172" s="103">
        <v>67064</v>
      </c>
      <c r="C172" s="103">
        <v>7209</v>
      </c>
      <c r="D172" s="115">
        <f t="shared" si="2"/>
        <v>0.10749433377072647</v>
      </c>
    </row>
    <row r="173" spans="1:4">
      <c r="A173" s="537" t="s">
        <v>1181</v>
      </c>
      <c r="B173" s="103">
        <v>28883</v>
      </c>
      <c r="C173" s="103">
        <v>8167</v>
      </c>
      <c r="D173" s="115">
        <f t="shared" si="2"/>
        <v>0.28276148599522211</v>
      </c>
    </row>
    <row r="174" spans="1:4">
      <c r="A174" s="537" t="s">
        <v>1182</v>
      </c>
      <c r="B174" s="103">
        <v>33508</v>
      </c>
      <c r="C174" s="103">
        <v>4848</v>
      </c>
      <c r="D174" s="115">
        <f t="shared" si="2"/>
        <v>0.14468186701683181</v>
      </c>
    </row>
    <row r="175" spans="1:4">
      <c r="A175" s="537" t="s">
        <v>1183</v>
      </c>
      <c r="B175" s="103">
        <v>9850</v>
      </c>
      <c r="C175" s="103">
        <v>2174</v>
      </c>
      <c r="D175" s="115">
        <f t="shared" si="2"/>
        <v>0.22071065989847716</v>
      </c>
    </row>
    <row r="176" spans="1:4">
      <c r="A176" s="537" t="s">
        <v>102</v>
      </c>
      <c r="B176" s="103">
        <v>2381</v>
      </c>
      <c r="C176" s="103">
        <v>20</v>
      </c>
      <c r="D176" s="115">
        <f t="shared" si="2"/>
        <v>8.3998320033599333E-3</v>
      </c>
    </row>
    <row r="177" spans="1:4">
      <c r="A177" s="537" t="s">
        <v>107</v>
      </c>
      <c r="B177" s="103">
        <v>397</v>
      </c>
      <c r="C177" s="103">
        <v>14</v>
      </c>
      <c r="D177" s="115">
        <f t="shared" si="2"/>
        <v>3.5264483627204031E-2</v>
      </c>
    </row>
    <row r="178" spans="1:4">
      <c r="A178" s="537" t="s">
        <v>111</v>
      </c>
      <c r="B178" s="103">
        <v>2156</v>
      </c>
      <c r="C178" s="103">
        <v>251</v>
      </c>
      <c r="D178" s="115">
        <f t="shared" si="2"/>
        <v>0.11641929499072357</v>
      </c>
    </row>
    <row r="179" spans="1:4">
      <c r="A179" s="537" t="s">
        <v>135</v>
      </c>
      <c r="B179" s="103">
        <v>30080</v>
      </c>
      <c r="C179" s="103">
        <v>5937</v>
      </c>
      <c r="D179" s="115">
        <f t="shared" si="2"/>
        <v>0.19737367021276594</v>
      </c>
    </row>
    <row r="180" spans="1:4">
      <c r="A180" s="537" t="s">
        <v>142</v>
      </c>
      <c r="B180" s="103">
        <v>1332</v>
      </c>
      <c r="C180" s="103">
        <v>457</v>
      </c>
      <c r="D180" s="115">
        <f t="shared" si="2"/>
        <v>0.3430930930930931</v>
      </c>
    </row>
    <row r="181" spans="1:4">
      <c r="A181" s="537" t="s">
        <v>469</v>
      </c>
      <c r="B181" s="103">
        <v>210788</v>
      </c>
      <c r="C181" s="103">
        <v>54691</v>
      </c>
      <c r="D181" s="115">
        <f t="shared" si="2"/>
        <v>0.25945974154126422</v>
      </c>
    </row>
    <row r="182" spans="1:4">
      <c r="A182" s="537" t="s">
        <v>510</v>
      </c>
      <c r="B182" s="103">
        <v>2921</v>
      </c>
      <c r="C182" s="103">
        <v>68</v>
      </c>
      <c r="D182" s="115">
        <f t="shared" si="2"/>
        <v>2.3279698733310511E-2</v>
      </c>
    </row>
    <row r="183" spans="1:4">
      <c r="A183" s="537" t="s">
        <v>647</v>
      </c>
      <c r="B183" s="103">
        <v>36947</v>
      </c>
      <c r="C183" s="103">
        <v>3676</v>
      </c>
      <c r="D183" s="115">
        <f t="shared" si="2"/>
        <v>9.9493869596990289E-2</v>
      </c>
    </row>
    <row r="184" spans="1:4">
      <c r="A184" s="537" t="s">
        <v>729</v>
      </c>
      <c r="B184" s="103">
        <v>44702</v>
      </c>
      <c r="C184" s="103">
        <v>9371</v>
      </c>
      <c r="D184" s="115">
        <f t="shared" si="2"/>
        <v>0.20963267862735449</v>
      </c>
    </row>
    <row r="185" spans="1:4">
      <c r="A185" s="537" t="s">
        <v>871</v>
      </c>
      <c r="B185" s="103">
        <v>74226</v>
      </c>
      <c r="C185" s="103">
        <v>11814</v>
      </c>
      <c r="D185" s="115">
        <f t="shared" si="2"/>
        <v>0.15916255759437395</v>
      </c>
    </row>
    <row r="186" spans="1:4">
      <c r="A186" s="537" t="s">
        <v>889</v>
      </c>
      <c r="B186" s="103">
        <v>677</v>
      </c>
      <c r="C186" s="103">
        <v>42</v>
      </c>
      <c r="D186" s="115">
        <f t="shared" si="2"/>
        <v>6.2038404726735601E-2</v>
      </c>
    </row>
    <row r="187" spans="1:4">
      <c r="A187" s="537" t="s">
        <v>921</v>
      </c>
      <c r="B187" s="103">
        <v>22952</v>
      </c>
      <c r="C187" s="103">
        <v>4967</v>
      </c>
      <c r="D187" s="115">
        <f t="shared" si="2"/>
        <v>0.21640815615196932</v>
      </c>
    </row>
    <row r="188" spans="1:4">
      <c r="A188" s="537" t="s">
        <v>973</v>
      </c>
      <c r="B188" s="103">
        <v>28852</v>
      </c>
      <c r="C188" s="103">
        <v>2388</v>
      </c>
      <c r="D188" s="115">
        <f t="shared" si="2"/>
        <v>8.2767225842229314E-2</v>
      </c>
    </row>
    <row r="189" spans="1:4">
      <c r="A189" s="537" t="s">
        <v>1184</v>
      </c>
      <c r="B189" s="103">
        <v>34387</v>
      </c>
      <c r="C189" s="103">
        <v>6626</v>
      </c>
      <c r="D189" s="115">
        <f t="shared" si="2"/>
        <v>0.19268909762410213</v>
      </c>
    </row>
    <row r="190" spans="1:4">
      <c r="A190" s="537" t="s">
        <v>1185</v>
      </c>
      <c r="B190" s="103">
        <v>50439</v>
      </c>
      <c r="C190" s="103">
        <v>6759</v>
      </c>
      <c r="D190" s="115">
        <f t="shared" si="2"/>
        <v>0.13400344971153275</v>
      </c>
    </row>
    <row r="191" spans="1:4">
      <c r="A191" s="537" t="s">
        <v>1186</v>
      </c>
      <c r="B191" s="103">
        <v>46074</v>
      </c>
      <c r="C191" s="103">
        <v>11866</v>
      </c>
      <c r="D191" s="115">
        <f t="shared" si="2"/>
        <v>0.25754221469809435</v>
      </c>
    </row>
    <row r="192" spans="1:4">
      <c r="A192" s="537" t="s">
        <v>1187</v>
      </c>
      <c r="B192" s="103">
        <v>2235</v>
      </c>
      <c r="C192" s="103">
        <v>61</v>
      </c>
      <c r="D192" s="115">
        <f t="shared" si="2"/>
        <v>2.7293064876957495E-2</v>
      </c>
    </row>
    <row r="193" spans="1:4">
      <c r="A193" s="537" t="s">
        <v>1188</v>
      </c>
      <c r="B193" s="103">
        <v>62823</v>
      </c>
      <c r="C193" s="103">
        <v>14392</v>
      </c>
      <c r="D193" s="115">
        <f t="shared" si="2"/>
        <v>0.22908807283956512</v>
      </c>
    </row>
    <row r="194" spans="1:4">
      <c r="A194" s="537" t="s">
        <v>1189</v>
      </c>
      <c r="B194" s="103">
        <v>15070</v>
      </c>
      <c r="C194" s="103">
        <v>1887</v>
      </c>
      <c r="D194" s="115">
        <f t="shared" si="2"/>
        <v>0.12521566025215661</v>
      </c>
    </row>
    <row r="195" spans="1:4">
      <c r="A195" s="537" t="s">
        <v>1190</v>
      </c>
      <c r="B195" s="103">
        <v>36861</v>
      </c>
      <c r="C195" s="103">
        <v>8834</v>
      </c>
      <c r="D195" s="115">
        <f t="shared" ref="D195:D205" si="3">C195/B195</f>
        <v>0.23965709014948047</v>
      </c>
    </row>
    <row r="196" spans="1:4">
      <c r="A196" s="537" t="s">
        <v>1191</v>
      </c>
      <c r="B196" s="103">
        <v>27385</v>
      </c>
      <c r="C196" s="103">
        <v>3439</v>
      </c>
      <c r="D196" s="115">
        <f t="shared" si="3"/>
        <v>0.12557969691436918</v>
      </c>
    </row>
    <row r="197" spans="1:4">
      <c r="A197" s="537" t="s">
        <v>1192</v>
      </c>
      <c r="B197" s="103">
        <v>13489</v>
      </c>
      <c r="C197" s="103">
        <v>757</v>
      </c>
      <c r="D197" s="115">
        <f t="shared" si="3"/>
        <v>5.6119801319593744E-2</v>
      </c>
    </row>
    <row r="198" spans="1:4">
      <c r="A198" s="537" t="s">
        <v>1193</v>
      </c>
      <c r="B198" s="103">
        <v>29077</v>
      </c>
      <c r="C198" s="103">
        <v>7417</v>
      </c>
      <c r="D198" s="115">
        <f t="shared" si="3"/>
        <v>0.25508133576366199</v>
      </c>
    </row>
    <row r="199" spans="1:4">
      <c r="A199" s="537" t="s">
        <v>1194</v>
      </c>
      <c r="B199" s="103">
        <v>63418</v>
      </c>
      <c r="C199" s="103">
        <v>16503</v>
      </c>
      <c r="D199" s="115">
        <f t="shared" si="3"/>
        <v>0.26022580339966572</v>
      </c>
    </row>
    <row r="200" spans="1:4">
      <c r="A200" s="537" t="s">
        <v>1195</v>
      </c>
      <c r="B200" s="103">
        <v>11509</v>
      </c>
      <c r="C200" s="103">
        <v>1824</v>
      </c>
      <c r="D200" s="115">
        <f t="shared" si="3"/>
        <v>0.15848466417586238</v>
      </c>
    </row>
    <row r="201" spans="1:4">
      <c r="A201" s="537" t="s">
        <v>1196</v>
      </c>
      <c r="B201" s="103">
        <v>3638</v>
      </c>
      <c r="C201" s="103">
        <v>1247</v>
      </c>
      <c r="D201" s="115">
        <f t="shared" si="3"/>
        <v>0.34277075316107752</v>
      </c>
    </row>
    <row r="202" spans="1:4">
      <c r="A202" s="537" t="s">
        <v>1197</v>
      </c>
      <c r="B202" s="103">
        <v>26885</v>
      </c>
      <c r="C202" s="103">
        <v>1390</v>
      </c>
      <c r="D202" s="115">
        <f t="shared" si="3"/>
        <v>5.1701692393527988E-2</v>
      </c>
    </row>
    <row r="203" spans="1:4">
      <c r="A203" s="537" t="s">
        <v>1198</v>
      </c>
      <c r="B203" s="103">
        <v>19325</v>
      </c>
      <c r="C203" s="103">
        <v>3630</v>
      </c>
      <c r="D203" s="115">
        <f t="shared" si="3"/>
        <v>0.18783958602846054</v>
      </c>
    </row>
    <row r="204" spans="1:4">
      <c r="A204" s="537" t="s">
        <v>1199</v>
      </c>
      <c r="B204" s="103">
        <v>13583</v>
      </c>
      <c r="C204" s="103">
        <v>3765</v>
      </c>
      <c r="D204" s="115">
        <f t="shared" si="3"/>
        <v>0.27718471618935436</v>
      </c>
    </row>
    <row r="205" spans="1:4">
      <c r="A205" s="671" t="s">
        <v>1200</v>
      </c>
      <c r="B205" s="672">
        <v>5116722</v>
      </c>
      <c r="C205" s="672">
        <v>1048570</v>
      </c>
      <c r="D205" s="115">
        <f t="shared" si="3"/>
        <v>0.20493003137555646</v>
      </c>
    </row>
  </sheetData>
  <autoFilter ref="A1:D20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17"/>
  <sheetViews>
    <sheetView workbookViewId="0">
      <selection activeCell="B19" sqref="B19"/>
    </sheetView>
  </sheetViews>
  <sheetFormatPr defaultRowHeight="14.45"/>
  <cols>
    <col min="2" max="2" width="23.5703125" customWidth="1"/>
    <col min="3" max="3" width="25.5703125" customWidth="1"/>
    <col min="4" max="4" width="28.5703125" customWidth="1"/>
  </cols>
  <sheetData>
    <row r="1" spans="1:4" ht="51.95">
      <c r="A1" s="587" t="s">
        <v>1201</v>
      </c>
      <c r="B1" s="587" t="s">
        <v>41</v>
      </c>
      <c r="C1" s="587" t="s">
        <v>42</v>
      </c>
      <c r="D1" s="587" t="s">
        <v>43</v>
      </c>
    </row>
    <row r="2" spans="1:4">
      <c r="A2" s="1">
        <v>2019</v>
      </c>
      <c r="B2" s="765">
        <v>0.05</v>
      </c>
      <c r="C2" s="765">
        <v>0.95</v>
      </c>
      <c r="D2" s="765">
        <v>1</v>
      </c>
    </row>
    <row r="3" spans="1:4">
      <c r="A3" s="1">
        <v>2018</v>
      </c>
      <c r="B3" s="765">
        <v>0.05</v>
      </c>
      <c r="C3" s="765">
        <v>0.95</v>
      </c>
      <c r="D3" s="765">
        <v>1</v>
      </c>
    </row>
    <row r="4" spans="1:4">
      <c r="A4" s="1">
        <v>2017</v>
      </c>
      <c r="B4" s="765">
        <v>0.02</v>
      </c>
      <c r="C4" s="765">
        <v>0.98</v>
      </c>
      <c r="D4" s="765">
        <f>B4+C4</f>
        <v>1</v>
      </c>
    </row>
    <row r="5" spans="1:4">
      <c r="A5" s="1">
        <v>2016</v>
      </c>
      <c r="B5" s="765">
        <v>0.04</v>
      </c>
      <c r="C5" s="765">
        <v>0.96</v>
      </c>
      <c r="D5" s="765">
        <f t="shared" ref="D5:D13" si="0">B5+C5</f>
        <v>1</v>
      </c>
    </row>
    <row r="6" spans="1:4">
      <c r="A6" s="1">
        <v>2015</v>
      </c>
      <c r="B6" s="765">
        <v>0.04</v>
      </c>
      <c r="C6" s="765">
        <v>0.96</v>
      </c>
      <c r="D6" s="765">
        <f t="shared" si="0"/>
        <v>1</v>
      </c>
    </row>
    <row r="7" spans="1:4">
      <c r="A7" s="1">
        <v>2014</v>
      </c>
      <c r="B7" s="765">
        <v>0.11</v>
      </c>
      <c r="C7" s="765">
        <v>0.89</v>
      </c>
      <c r="D7" s="765">
        <f t="shared" si="0"/>
        <v>1</v>
      </c>
    </row>
    <row r="8" spans="1:4">
      <c r="A8" s="1">
        <v>2013</v>
      </c>
      <c r="B8" s="765">
        <v>0.05</v>
      </c>
      <c r="C8" s="765">
        <v>0.95</v>
      </c>
      <c r="D8" s="765">
        <f t="shared" si="0"/>
        <v>1</v>
      </c>
    </row>
    <row r="9" spans="1:4">
      <c r="A9" s="1">
        <v>2012</v>
      </c>
      <c r="B9" s="765">
        <v>0.08</v>
      </c>
      <c r="C9" s="765">
        <v>0.92</v>
      </c>
      <c r="D9" s="765">
        <f t="shared" si="0"/>
        <v>1</v>
      </c>
    </row>
    <row r="10" spans="1:4">
      <c r="A10" s="1">
        <v>2011</v>
      </c>
      <c r="B10" s="765">
        <v>0.09</v>
      </c>
      <c r="C10" s="765">
        <v>0.91</v>
      </c>
      <c r="D10" s="765">
        <f t="shared" si="0"/>
        <v>1</v>
      </c>
    </row>
    <row r="11" spans="1:4">
      <c r="A11" s="1">
        <v>2010</v>
      </c>
      <c r="B11" s="765">
        <v>0.12</v>
      </c>
      <c r="C11" s="765">
        <v>0.88</v>
      </c>
      <c r="D11" s="765">
        <f t="shared" si="0"/>
        <v>1</v>
      </c>
    </row>
    <row r="12" spans="1:4">
      <c r="A12" s="1">
        <v>2009</v>
      </c>
      <c r="B12" s="765">
        <v>0.1</v>
      </c>
      <c r="C12" s="765">
        <v>0.9</v>
      </c>
      <c r="D12" s="765">
        <f t="shared" si="0"/>
        <v>1</v>
      </c>
    </row>
    <row r="13" spans="1:4">
      <c r="A13" s="1">
        <v>2008</v>
      </c>
      <c r="B13" s="765">
        <v>0.1</v>
      </c>
      <c r="C13" s="765">
        <v>0.9</v>
      </c>
      <c r="D13" s="765">
        <f t="shared" si="0"/>
        <v>1</v>
      </c>
    </row>
    <row r="17" spans="1:1">
      <c r="A17" s="106" t="s">
        <v>1202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422C-AB77-4345-AD90-4F6D49240909}">
  <sheetPr codeName="Sheet11"/>
  <dimension ref="A1:BJ251"/>
  <sheetViews>
    <sheetView zoomScale="93" zoomScaleNormal="93" workbookViewId="0">
      <pane xSplit="1" ySplit="7" topLeftCell="B8" activePane="bottomRight" state="frozen"/>
      <selection pane="bottomRight" activeCell="A2" sqref="A2"/>
      <selection pane="bottomLeft" activeCell="A8" sqref="A8"/>
      <selection pane="topRight" activeCell="C1" sqref="C1"/>
    </sheetView>
  </sheetViews>
  <sheetFormatPr defaultColWidth="8.85546875" defaultRowHeight="14.45"/>
  <cols>
    <col min="1" max="1" width="36" style="92" customWidth="1"/>
    <col min="2" max="2" width="12.85546875" customWidth="1"/>
    <col min="3" max="3" width="18" style="116" customWidth="1"/>
    <col min="4" max="4" width="13.42578125" style="116" customWidth="1"/>
    <col min="5" max="5" width="19.140625" customWidth="1"/>
    <col min="6" max="6" width="16.140625" customWidth="1"/>
    <col min="7" max="7" width="18" style="116" customWidth="1"/>
    <col min="8" max="8" width="13.42578125" style="116" customWidth="1"/>
    <col min="9" max="9" width="19.140625" customWidth="1"/>
    <col min="10" max="10" width="16.140625" customWidth="1"/>
    <col min="11" max="11" width="18" style="116" customWidth="1"/>
    <col min="12" max="12" width="13.42578125" style="116" customWidth="1"/>
    <col min="13" max="13" width="19.140625" customWidth="1"/>
    <col min="14" max="14" width="16.140625" customWidth="1"/>
    <col min="15" max="15" width="18" style="116" customWidth="1"/>
    <col min="16" max="16" width="13.42578125" style="116" customWidth="1"/>
    <col min="17" max="17" width="19.140625" customWidth="1"/>
    <col min="18" max="18" width="16.140625" customWidth="1"/>
    <col min="19" max="19" width="18" style="115" customWidth="1"/>
    <col min="20" max="20" width="13.42578125" style="116" customWidth="1"/>
    <col min="21" max="22" width="16.140625" customWidth="1"/>
    <col min="23" max="23" width="18" style="115" customWidth="1"/>
    <col min="24" max="24" width="13.42578125" style="116" customWidth="1"/>
    <col min="25" max="26" width="16.140625" customWidth="1"/>
    <col min="27" max="27" width="18" style="115" customWidth="1"/>
    <col min="28" max="28" width="13.42578125" style="116" customWidth="1"/>
    <col min="29" max="30" width="16.140625" customWidth="1"/>
    <col min="31" max="31" width="18" style="115" customWidth="1"/>
    <col min="32" max="32" width="13.42578125" style="116" customWidth="1"/>
    <col min="33" max="34" width="16.140625" customWidth="1"/>
    <col min="35" max="35" width="18" customWidth="1"/>
    <col min="36" max="36" width="12.42578125" style="116" bestFit="1" customWidth="1"/>
    <col min="37" max="38" width="16.140625" customWidth="1"/>
    <col min="39" max="39" width="18" style="116" customWidth="1"/>
    <col min="40" max="40" width="13.42578125" style="116" customWidth="1"/>
    <col min="41" max="42" width="16.140625" customWidth="1"/>
    <col min="43" max="43" width="18" style="116" customWidth="1"/>
    <col min="44" max="44" width="13.42578125" style="116" customWidth="1"/>
    <col min="45" max="46" width="16.140625" customWidth="1"/>
    <col min="47" max="47" width="18" style="116" customWidth="1"/>
    <col min="48" max="48" width="13.42578125" style="116" customWidth="1"/>
    <col min="49" max="50" width="16.140625" customWidth="1"/>
    <col min="51" max="51" width="14.5703125" style="116" customWidth="1"/>
    <col min="52" max="52" width="13.42578125" style="116" customWidth="1"/>
    <col min="53" max="53" width="16.5703125" customWidth="1"/>
    <col min="54" max="54" width="18.5703125" customWidth="1"/>
    <col min="55" max="55" width="14.5703125" style="116" customWidth="1"/>
    <col min="56" max="56" width="13.42578125" style="116" customWidth="1"/>
    <col min="57" max="57" width="16.5703125" customWidth="1"/>
    <col min="58" max="58" width="18.5703125" customWidth="1"/>
    <col min="59" max="59" width="14.5703125" style="116" customWidth="1"/>
    <col min="60" max="60" width="13.42578125" style="116" customWidth="1"/>
    <col min="61" max="61" width="16.5703125" customWidth="1"/>
    <col min="62" max="62" width="18.5703125" customWidth="1"/>
    <col min="63" max="16384" width="8.85546875" style="100"/>
  </cols>
  <sheetData>
    <row r="1" spans="1:62">
      <c r="A1" s="854"/>
    </row>
    <row r="3" spans="1:62" ht="15" thickBot="1">
      <c r="A3" s="93"/>
      <c r="B3" s="1140"/>
      <c r="C3" s="1140"/>
      <c r="D3" s="1140"/>
      <c r="E3" s="1140"/>
      <c r="F3" s="1140"/>
      <c r="G3" s="1140"/>
      <c r="H3" s="1140"/>
      <c r="I3" s="1140"/>
      <c r="J3" s="1140"/>
      <c r="K3" s="1140"/>
      <c r="L3" s="1140"/>
      <c r="M3" s="1140"/>
      <c r="N3" s="1140"/>
      <c r="O3" s="1140"/>
      <c r="P3" s="1140"/>
      <c r="Q3" s="1140"/>
      <c r="R3" s="1140"/>
      <c r="S3" s="1140"/>
      <c r="T3" s="1140"/>
      <c r="U3" s="1140"/>
      <c r="V3" s="1140"/>
      <c r="W3" s="1140"/>
      <c r="X3" s="1140"/>
      <c r="Y3" s="1140"/>
      <c r="Z3" s="1140"/>
      <c r="AA3" s="1140"/>
      <c r="AB3" s="1140"/>
      <c r="AC3" s="1140"/>
      <c r="AD3" s="1140"/>
      <c r="AE3" s="1140"/>
      <c r="AF3" s="1140"/>
      <c r="AG3" s="1140"/>
      <c r="AH3" s="1140"/>
      <c r="AI3" s="1140"/>
      <c r="AJ3" s="1140"/>
      <c r="AK3" s="1140"/>
      <c r="AL3" s="1140"/>
      <c r="AM3" s="1140"/>
      <c r="AN3" s="1140"/>
      <c r="AO3" s="1140"/>
      <c r="AP3" s="1140"/>
      <c r="AQ3" s="1140"/>
      <c r="AR3" s="1140"/>
      <c r="AS3" s="1140"/>
      <c r="AT3" s="1140"/>
      <c r="AU3" s="1140"/>
      <c r="AV3" s="1140"/>
      <c r="AW3" s="1140"/>
      <c r="AX3" s="1140"/>
      <c r="AY3" s="1140"/>
      <c r="AZ3" s="1140"/>
      <c r="BA3" s="1140"/>
      <c r="BB3" s="1140"/>
      <c r="BC3" s="1140"/>
      <c r="BD3" s="1140"/>
      <c r="BE3" s="1140"/>
      <c r="BF3" s="1140"/>
      <c r="BG3" s="1140"/>
      <c r="BH3" s="1140"/>
      <c r="BI3" s="1140"/>
      <c r="BJ3" s="1140"/>
    </row>
    <row r="4" spans="1:62" ht="22.5" customHeight="1">
      <c r="A4" s="1141" t="s">
        <v>1203</v>
      </c>
      <c r="B4" s="1142" t="s">
        <v>1204</v>
      </c>
      <c r="C4" s="1144" t="s">
        <v>1205</v>
      </c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  <c r="Y4" s="1145"/>
      <c r="Z4" s="1145"/>
      <c r="AA4" s="1145"/>
      <c r="AB4" s="1145"/>
      <c r="AC4" s="1145"/>
      <c r="AD4" s="1145"/>
      <c r="AE4" s="1145"/>
      <c r="AF4" s="1145"/>
      <c r="AG4" s="1145"/>
      <c r="AH4" s="1145"/>
      <c r="AI4" s="1145"/>
      <c r="AJ4" s="1145"/>
      <c r="AK4" s="1145"/>
      <c r="AL4" s="1145"/>
      <c r="AM4" s="1145"/>
      <c r="AN4" s="1145"/>
      <c r="AO4" s="1145"/>
      <c r="AP4" s="1145"/>
      <c r="AQ4" s="1145"/>
      <c r="AR4" s="1145"/>
      <c r="AS4" s="1145"/>
      <c r="AT4" s="1145"/>
      <c r="AU4" s="1145"/>
      <c r="AV4" s="1145"/>
      <c r="AW4" s="1145"/>
      <c r="AX4" s="1145"/>
      <c r="AY4" s="1145"/>
      <c r="AZ4" s="1145"/>
      <c r="BA4" s="1145"/>
      <c r="BB4" s="1145"/>
      <c r="BC4" s="1145"/>
      <c r="BD4" s="1145"/>
      <c r="BE4" s="1145"/>
      <c r="BF4" s="1145"/>
      <c r="BG4" s="1145"/>
      <c r="BH4" s="1145"/>
      <c r="BI4" s="1145"/>
      <c r="BJ4" s="1145"/>
    </row>
    <row r="5" spans="1:62" s="95" customFormat="1" ht="14.45" customHeight="1">
      <c r="A5" s="1141"/>
      <c r="B5" s="1143"/>
      <c r="C5" s="1146" t="s">
        <v>1206</v>
      </c>
      <c r="D5" s="1147"/>
      <c r="E5" s="1148"/>
      <c r="F5" s="1149"/>
      <c r="G5" s="1146" t="s">
        <v>1207</v>
      </c>
      <c r="H5" s="1148"/>
      <c r="I5" s="1148"/>
      <c r="J5" s="1149"/>
      <c r="K5" s="1146" t="s">
        <v>1208</v>
      </c>
      <c r="L5" s="1148"/>
      <c r="M5" s="1148"/>
      <c r="N5" s="1149"/>
      <c r="O5" s="1146" t="s">
        <v>1209</v>
      </c>
      <c r="P5" s="1148"/>
      <c r="Q5" s="1148"/>
      <c r="R5" s="1149"/>
      <c r="S5" s="1137" t="s">
        <v>1210</v>
      </c>
      <c r="T5" s="1138"/>
      <c r="U5" s="1138"/>
      <c r="V5" s="1139"/>
      <c r="W5" s="1137" t="s">
        <v>1211</v>
      </c>
      <c r="X5" s="1138"/>
      <c r="Y5" s="1138"/>
      <c r="Z5" s="1139"/>
      <c r="AA5" s="1137" t="s">
        <v>1212</v>
      </c>
      <c r="AB5" s="1138"/>
      <c r="AC5" s="1138"/>
      <c r="AD5" s="1139"/>
      <c r="AE5" s="1137" t="s">
        <v>1213</v>
      </c>
      <c r="AF5" s="1138"/>
      <c r="AG5" s="1138"/>
      <c r="AH5" s="1139"/>
      <c r="AI5" s="1137" t="s">
        <v>1214</v>
      </c>
      <c r="AJ5" s="1138"/>
      <c r="AK5" s="1138"/>
      <c r="AL5" s="1139"/>
      <c r="AM5" s="1137" t="s">
        <v>1215</v>
      </c>
      <c r="AN5" s="1138"/>
      <c r="AO5" s="1138"/>
      <c r="AP5" s="1139"/>
      <c r="AQ5" s="1137" t="s">
        <v>1216</v>
      </c>
      <c r="AR5" s="1138"/>
      <c r="AS5" s="1138"/>
      <c r="AT5" s="1139"/>
      <c r="AU5" s="1137" t="s">
        <v>1217</v>
      </c>
      <c r="AV5" s="1138"/>
      <c r="AW5" s="1138"/>
      <c r="AX5" s="1139"/>
      <c r="AY5" s="1146" t="s">
        <v>1218</v>
      </c>
      <c r="AZ5" s="1148"/>
      <c r="BA5" s="1148"/>
      <c r="BB5" s="1150"/>
      <c r="BC5" s="1146" t="s">
        <v>1219</v>
      </c>
      <c r="BD5" s="1148"/>
      <c r="BE5" s="1148"/>
      <c r="BF5" s="1150"/>
      <c r="BG5" s="1146" t="s">
        <v>1220</v>
      </c>
      <c r="BH5" s="1148"/>
      <c r="BI5" s="1148"/>
      <c r="BJ5" s="1150"/>
    </row>
    <row r="6" spans="1:62" ht="30" customHeight="1">
      <c r="A6" s="1141"/>
      <c r="B6" s="1143"/>
      <c r="C6" s="130" t="s">
        <v>1221</v>
      </c>
      <c r="D6" s="130" t="s">
        <v>1222</v>
      </c>
      <c r="E6" s="84" t="s">
        <v>1223</v>
      </c>
      <c r="F6" s="84" t="s">
        <v>1224</v>
      </c>
      <c r="G6" s="130" t="s">
        <v>1221</v>
      </c>
      <c r="H6" s="130" t="s">
        <v>1222</v>
      </c>
      <c r="I6" s="84" t="s">
        <v>1223</v>
      </c>
      <c r="J6" s="84" t="s">
        <v>1224</v>
      </c>
      <c r="K6" s="130" t="s">
        <v>1221</v>
      </c>
      <c r="L6" s="130" t="s">
        <v>1222</v>
      </c>
      <c r="M6" s="84" t="s">
        <v>1223</v>
      </c>
      <c r="N6" s="84" t="s">
        <v>1224</v>
      </c>
      <c r="O6" s="130" t="s">
        <v>1221</v>
      </c>
      <c r="P6" s="130" t="s">
        <v>1222</v>
      </c>
      <c r="Q6" s="84" t="s">
        <v>1223</v>
      </c>
      <c r="R6" s="84" t="s">
        <v>1224</v>
      </c>
      <c r="S6" s="128" t="s">
        <v>1221</v>
      </c>
      <c r="T6" s="130" t="s">
        <v>1222</v>
      </c>
      <c r="U6" s="84" t="s">
        <v>1223</v>
      </c>
      <c r="V6" s="96" t="s">
        <v>1224</v>
      </c>
      <c r="W6" s="128" t="s">
        <v>1221</v>
      </c>
      <c r="X6" s="130" t="s">
        <v>1222</v>
      </c>
      <c r="Y6" s="84" t="s">
        <v>1223</v>
      </c>
      <c r="Z6" s="96" t="s">
        <v>1224</v>
      </c>
      <c r="AA6" s="128" t="s">
        <v>1221</v>
      </c>
      <c r="AB6" s="130" t="s">
        <v>1222</v>
      </c>
      <c r="AC6" s="84" t="s">
        <v>1223</v>
      </c>
      <c r="AD6" s="96" t="s">
        <v>1224</v>
      </c>
      <c r="AE6" s="128" t="s">
        <v>1221</v>
      </c>
      <c r="AF6" s="130" t="s">
        <v>1222</v>
      </c>
      <c r="AG6" s="84" t="s">
        <v>1223</v>
      </c>
      <c r="AH6" s="96" t="s">
        <v>1224</v>
      </c>
      <c r="AI6" s="84" t="s">
        <v>1221</v>
      </c>
      <c r="AJ6" s="130" t="s">
        <v>1222</v>
      </c>
      <c r="AK6" s="84" t="s">
        <v>1223</v>
      </c>
      <c r="AL6" s="96" t="s">
        <v>1224</v>
      </c>
      <c r="AM6" s="130" t="s">
        <v>1221</v>
      </c>
      <c r="AN6" s="130" t="s">
        <v>1222</v>
      </c>
      <c r="AO6" s="84" t="s">
        <v>1223</v>
      </c>
      <c r="AP6" s="96" t="s">
        <v>1224</v>
      </c>
      <c r="AQ6" s="130" t="s">
        <v>1221</v>
      </c>
      <c r="AR6" s="130" t="s">
        <v>1222</v>
      </c>
      <c r="AS6" s="84" t="s">
        <v>1223</v>
      </c>
      <c r="AT6" s="96" t="s">
        <v>1224</v>
      </c>
      <c r="AU6" s="130" t="s">
        <v>1221</v>
      </c>
      <c r="AV6" s="130" t="s">
        <v>1222</v>
      </c>
      <c r="AW6" s="84" t="s">
        <v>1223</v>
      </c>
      <c r="AX6" s="96" t="s">
        <v>1224</v>
      </c>
      <c r="AY6" s="133" t="s">
        <v>1221</v>
      </c>
      <c r="AZ6" s="133" t="s">
        <v>1222</v>
      </c>
      <c r="BA6" s="96" t="s">
        <v>1223</v>
      </c>
      <c r="BB6" s="82" t="s">
        <v>1224</v>
      </c>
      <c r="BC6" s="133" t="s">
        <v>1221</v>
      </c>
      <c r="BD6" s="133" t="s">
        <v>1222</v>
      </c>
      <c r="BE6" s="96" t="s">
        <v>1223</v>
      </c>
      <c r="BF6" s="82" t="s">
        <v>1224</v>
      </c>
      <c r="BG6" s="133" t="s">
        <v>1221</v>
      </c>
      <c r="BH6" s="133" t="s">
        <v>1222</v>
      </c>
      <c r="BI6" s="96" t="s">
        <v>1223</v>
      </c>
      <c r="BJ6" s="82" t="s">
        <v>1224</v>
      </c>
    </row>
    <row r="7" spans="1:62">
      <c r="A7" s="1141"/>
      <c r="B7" s="1143"/>
      <c r="C7" s="453" t="s">
        <v>98</v>
      </c>
      <c r="D7" s="453" t="s">
        <v>98</v>
      </c>
      <c r="E7" s="454" t="s">
        <v>87</v>
      </c>
      <c r="F7" s="454" t="s">
        <v>87</v>
      </c>
      <c r="G7" s="453" t="s">
        <v>98</v>
      </c>
      <c r="H7" s="453" t="s">
        <v>98</v>
      </c>
      <c r="I7" s="454" t="s">
        <v>87</v>
      </c>
      <c r="J7" s="454" t="s">
        <v>87</v>
      </c>
      <c r="K7" s="453" t="s">
        <v>98</v>
      </c>
      <c r="L7" s="453" t="s">
        <v>98</v>
      </c>
      <c r="M7" s="454" t="s">
        <v>87</v>
      </c>
      <c r="N7" s="454" t="s">
        <v>87</v>
      </c>
      <c r="O7" s="453" t="s">
        <v>98</v>
      </c>
      <c r="P7" s="453" t="s">
        <v>98</v>
      </c>
      <c r="Q7" s="454" t="s">
        <v>87</v>
      </c>
      <c r="R7" s="454" t="s">
        <v>87</v>
      </c>
      <c r="S7" s="455" t="s">
        <v>98</v>
      </c>
      <c r="T7" s="453" t="s">
        <v>98</v>
      </c>
      <c r="U7" s="454" t="s">
        <v>87</v>
      </c>
      <c r="V7" s="454" t="s">
        <v>87</v>
      </c>
      <c r="W7" s="455" t="s">
        <v>98</v>
      </c>
      <c r="X7" s="453" t="s">
        <v>98</v>
      </c>
      <c r="Y7" s="454" t="s">
        <v>87</v>
      </c>
      <c r="Z7" s="454" t="s">
        <v>87</v>
      </c>
      <c r="AA7" s="455" t="s">
        <v>98</v>
      </c>
      <c r="AB7" s="453" t="s">
        <v>98</v>
      </c>
      <c r="AC7" s="454" t="s">
        <v>87</v>
      </c>
      <c r="AD7" s="454" t="s">
        <v>87</v>
      </c>
      <c r="AE7" s="455" t="s">
        <v>98</v>
      </c>
      <c r="AF7" s="453" t="s">
        <v>98</v>
      </c>
      <c r="AG7" s="454" t="s">
        <v>87</v>
      </c>
      <c r="AH7" s="454" t="s">
        <v>87</v>
      </c>
      <c r="AI7" s="454" t="s">
        <v>98</v>
      </c>
      <c r="AJ7" s="453" t="s">
        <v>98</v>
      </c>
      <c r="AK7" s="454" t="s">
        <v>87</v>
      </c>
      <c r="AL7" s="454" t="s">
        <v>87</v>
      </c>
      <c r="AM7" s="453" t="s">
        <v>98</v>
      </c>
      <c r="AN7" s="453" t="s">
        <v>98</v>
      </c>
      <c r="AO7" s="454" t="s">
        <v>87</v>
      </c>
      <c r="AP7" s="454" t="s">
        <v>87</v>
      </c>
      <c r="AQ7" s="453" t="s">
        <v>98</v>
      </c>
      <c r="AR7" s="453" t="s">
        <v>98</v>
      </c>
      <c r="AS7" s="454" t="s">
        <v>87</v>
      </c>
      <c r="AT7" s="454" t="s">
        <v>87</v>
      </c>
      <c r="AU7" s="453" t="s">
        <v>98</v>
      </c>
      <c r="AV7" s="453" t="s">
        <v>98</v>
      </c>
      <c r="AW7" s="454" t="s">
        <v>87</v>
      </c>
      <c r="AX7" s="454" t="s">
        <v>87</v>
      </c>
      <c r="AY7" s="453" t="s">
        <v>98</v>
      </c>
      <c r="AZ7" s="453" t="s">
        <v>98</v>
      </c>
      <c r="BA7" s="454" t="s">
        <v>87</v>
      </c>
      <c r="BB7" s="456" t="s">
        <v>87</v>
      </c>
      <c r="BC7" s="453" t="s">
        <v>98</v>
      </c>
      <c r="BD7" s="453" t="s">
        <v>98</v>
      </c>
      <c r="BE7" s="454" t="s">
        <v>87</v>
      </c>
      <c r="BF7" s="456" t="s">
        <v>87</v>
      </c>
      <c r="BG7" s="453" t="s">
        <v>98</v>
      </c>
      <c r="BH7" s="453" t="s">
        <v>98</v>
      </c>
      <c r="BI7" s="454" t="s">
        <v>87</v>
      </c>
      <c r="BJ7" s="456" t="s">
        <v>87</v>
      </c>
    </row>
    <row r="8" spans="1:62" s="95" customFormat="1">
      <c r="A8" s="457" t="s">
        <v>1225</v>
      </c>
      <c r="B8" s="458"/>
      <c r="C8" s="459"/>
      <c r="D8" s="458"/>
      <c r="E8" s="460"/>
      <c r="F8" s="460"/>
      <c r="G8" s="459"/>
      <c r="H8" s="458"/>
      <c r="I8" s="460"/>
      <c r="J8" s="460"/>
      <c r="K8" s="459"/>
      <c r="L8" s="458"/>
      <c r="M8" s="460"/>
      <c r="N8" s="460"/>
      <c r="O8" s="459"/>
      <c r="P8" s="458"/>
      <c r="Q8" s="460"/>
      <c r="R8" s="460"/>
      <c r="S8" s="459"/>
      <c r="T8" s="459"/>
      <c r="U8" s="460"/>
      <c r="V8" s="460"/>
      <c r="W8" s="459"/>
      <c r="X8" s="459"/>
      <c r="Y8" s="460"/>
      <c r="Z8" s="460"/>
      <c r="AA8" s="459"/>
      <c r="AB8" s="459"/>
      <c r="AC8" s="460"/>
      <c r="AD8" s="460"/>
      <c r="AE8" s="459"/>
      <c r="AF8" s="459"/>
      <c r="AG8" s="460"/>
      <c r="AH8" s="460"/>
      <c r="AI8" s="458"/>
      <c r="AJ8" s="459"/>
      <c r="AK8" s="460"/>
      <c r="AL8" s="460"/>
      <c r="AM8" s="459"/>
      <c r="AN8" s="459"/>
      <c r="AO8" s="460"/>
      <c r="AP8" s="460"/>
      <c r="AQ8" s="459"/>
      <c r="AR8" s="459"/>
      <c r="AS8" s="460"/>
      <c r="AT8" s="460"/>
      <c r="AU8" s="459"/>
      <c r="AV8" s="459"/>
      <c r="AW8" s="460"/>
      <c r="AX8" s="460"/>
      <c r="AY8" s="459"/>
      <c r="AZ8" s="459"/>
      <c r="BA8" s="460"/>
      <c r="BB8" s="460"/>
      <c r="BC8" s="459"/>
      <c r="BD8" s="459"/>
      <c r="BE8" s="460"/>
      <c r="BF8" s="460"/>
      <c r="BG8" s="459"/>
      <c r="BH8" s="459"/>
      <c r="BI8" s="460"/>
      <c r="BJ8" s="460"/>
    </row>
    <row r="9" spans="1:62">
      <c r="A9" s="461" t="s">
        <v>1226</v>
      </c>
      <c r="B9" s="462" t="s">
        <v>104</v>
      </c>
      <c r="C9" s="133">
        <v>8.1635169820693562E-4</v>
      </c>
      <c r="D9" s="133">
        <v>6.0478384231550913E-4</v>
      </c>
      <c r="E9" s="463">
        <v>1880</v>
      </c>
      <c r="F9" s="463">
        <v>2849</v>
      </c>
      <c r="G9" s="133">
        <v>8.2350605967552299E-4</v>
      </c>
      <c r="H9" s="133">
        <v>6.0045501565031303E-4</v>
      </c>
      <c r="I9" s="463">
        <v>1896</v>
      </c>
      <c r="J9" s="463">
        <v>2871</v>
      </c>
      <c r="K9" s="133">
        <v>8.3712763133715824E-4</v>
      </c>
      <c r="L9" s="133">
        <v>5.999356387728185E-4</v>
      </c>
      <c r="M9" s="463">
        <v>1927</v>
      </c>
      <c r="N9" s="463">
        <v>2912</v>
      </c>
      <c r="O9" s="133">
        <v>8.2938610206363618E-4</v>
      </c>
      <c r="P9" s="133">
        <v>5.9952013951876295E-4</v>
      </c>
      <c r="Q9" s="463">
        <v>1907</v>
      </c>
      <c r="R9" s="463">
        <v>2944</v>
      </c>
      <c r="S9" s="133">
        <v>8.0769187251349703E-4</v>
      </c>
      <c r="T9" s="133">
        <v>5.9675031675846197E-4</v>
      </c>
      <c r="U9" s="463">
        <v>1856</v>
      </c>
      <c r="V9" s="463">
        <v>2954</v>
      </c>
      <c r="W9" s="133">
        <v>7.8764293172106734E-4</v>
      </c>
      <c r="X9" s="133">
        <v>5.9655063314068208E-4</v>
      </c>
      <c r="Y9" s="463">
        <v>1809</v>
      </c>
      <c r="Z9" s="463">
        <v>2964</v>
      </c>
      <c r="AA9" s="133">
        <v>7.8926876363162287E-4</v>
      </c>
      <c r="AB9" s="133">
        <v>5.9836621575450554E-4</v>
      </c>
      <c r="AC9" s="463">
        <v>1792</v>
      </c>
      <c r="AD9" s="463">
        <v>2986</v>
      </c>
      <c r="AE9" s="133">
        <v>7.9205497021146004E-4</v>
      </c>
      <c r="AF9" s="133">
        <v>5.987040007420331E-4</v>
      </c>
      <c r="AG9" s="463">
        <v>1786</v>
      </c>
      <c r="AH9" s="463">
        <v>2995</v>
      </c>
      <c r="AI9" s="133">
        <v>7.9242306205292421E-4</v>
      </c>
      <c r="AJ9" s="133">
        <v>5.9974359914724388E-4</v>
      </c>
      <c r="AK9" s="463">
        <v>1777</v>
      </c>
      <c r="AL9" s="463">
        <v>3009</v>
      </c>
      <c r="AM9" s="133">
        <v>7.8861712013639598E-4</v>
      </c>
      <c r="AN9" s="133">
        <v>6.0086568357757618E-4</v>
      </c>
      <c r="AO9" s="463">
        <v>1766</v>
      </c>
      <c r="AP9" s="463">
        <v>3025</v>
      </c>
      <c r="AQ9" s="133">
        <v>7.8107290893101211E-4</v>
      </c>
      <c r="AR9" s="133">
        <v>5.981222048319334E-4</v>
      </c>
      <c r="AS9" s="463">
        <v>1747</v>
      </c>
      <c r="AT9" s="463">
        <v>3024</v>
      </c>
      <c r="AU9" s="133">
        <v>7.814568825461807E-4</v>
      </c>
      <c r="AV9" s="133">
        <v>5.9722916375909495E-4</v>
      </c>
      <c r="AW9" s="463">
        <v>1747</v>
      </c>
      <c r="AX9" s="463">
        <v>3034</v>
      </c>
      <c r="AY9" s="133">
        <v>7.8206348367873351E-4</v>
      </c>
      <c r="AZ9" s="133">
        <v>5.9800218334414177E-4</v>
      </c>
      <c r="BA9" s="463">
        <v>1747</v>
      </c>
      <c r="BB9" s="463">
        <v>3055</v>
      </c>
      <c r="BC9" s="133">
        <v>7.8264543115609769E-4</v>
      </c>
      <c r="BD9" s="133">
        <v>5.9635395493929288E-4</v>
      </c>
      <c r="BE9" s="463">
        <v>1747</v>
      </c>
      <c r="BF9" s="463">
        <v>3066</v>
      </c>
      <c r="BG9" s="133">
        <v>7.8398114500692758E-4</v>
      </c>
      <c r="BH9" s="133">
        <v>5.9516252671226613E-4</v>
      </c>
      <c r="BI9" s="463">
        <v>1749</v>
      </c>
      <c r="BJ9" s="463">
        <v>3080</v>
      </c>
    </row>
    <row r="10" spans="1:62" s="95" customFormat="1">
      <c r="A10" s="464" t="s">
        <v>1227</v>
      </c>
      <c r="B10" s="465"/>
      <c r="C10" s="131">
        <v>8.1635169820693562E-4</v>
      </c>
      <c r="D10" s="131">
        <v>6.0478384231550913E-4</v>
      </c>
      <c r="E10" s="126">
        <v>1880</v>
      </c>
      <c r="F10" s="126">
        <v>2849</v>
      </c>
      <c r="G10" s="131">
        <v>8.2350605967552299E-4</v>
      </c>
      <c r="H10" s="131">
        <v>6.09453987816015E-4</v>
      </c>
      <c r="I10" s="126">
        <v>1896</v>
      </c>
      <c r="J10" s="126">
        <v>2871</v>
      </c>
      <c r="K10" s="131">
        <v>8.3676049066210901E-4</v>
      </c>
      <c r="L10" s="131">
        <v>6.1815744079423036E-4</v>
      </c>
      <c r="M10" s="126">
        <v>1927</v>
      </c>
      <c r="N10" s="126">
        <v>2912</v>
      </c>
      <c r="O10" s="131">
        <v>8.2807589812799261E-4</v>
      </c>
      <c r="P10" s="131">
        <v>6.2495037970405713E-4</v>
      </c>
      <c r="Q10" s="126">
        <v>1907</v>
      </c>
      <c r="R10" s="126">
        <v>2944</v>
      </c>
      <c r="S10" s="131">
        <v>8.0225500622202201E-4</v>
      </c>
      <c r="T10" s="131">
        <v>5.9250706450730763E-4</v>
      </c>
      <c r="U10" s="126">
        <v>1856</v>
      </c>
      <c r="V10" s="126">
        <v>2954</v>
      </c>
      <c r="W10" s="131">
        <v>8.0225500622202201E-4</v>
      </c>
      <c r="X10" s="131">
        <v>5.9250706450730763E-4</v>
      </c>
      <c r="Y10" s="126">
        <v>1809</v>
      </c>
      <c r="Z10" s="126">
        <v>2964</v>
      </c>
      <c r="AA10" s="131">
        <v>7.8926876363162287E-4</v>
      </c>
      <c r="AB10" s="131">
        <v>5.9836621575450554E-4</v>
      </c>
      <c r="AC10" s="126">
        <v>1792</v>
      </c>
      <c r="AD10" s="126">
        <v>2986</v>
      </c>
      <c r="AE10" s="131">
        <v>7.9205497021146004E-4</v>
      </c>
      <c r="AF10" s="131">
        <v>5.987040007420331E-4</v>
      </c>
      <c r="AG10" s="126">
        <v>1786</v>
      </c>
      <c r="AH10" s="126">
        <v>2995</v>
      </c>
      <c r="AI10" s="131">
        <v>7.9242306205292421E-4</v>
      </c>
      <c r="AJ10" s="131">
        <v>5.9974359914724388E-4</v>
      </c>
      <c r="AK10" s="126">
        <v>1777</v>
      </c>
      <c r="AL10" s="126">
        <v>3009</v>
      </c>
      <c r="AM10" s="131">
        <v>7.8861712013639598E-4</v>
      </c>
      <c r="AN10" s="131">
        <v>6.0086568357757618E-4</v>
      </c>
      <c r="AO10" s="126">
        <v>1766</v>
      </c>
      <c r="AP10" s="126">
        <v>3025</v>
      </c>
      <c r="AQ10" s="131">
        <v>7.8107290893101211E-4</v>
      </c>
      <c r="AR10" s="131">
        <v>5.981222048319334E-4</v>
      </c>
      <c r="AS10" s="126">
        <v>1747</v>
      </c>
      <c r="AT10" s="126">
        <v>3024</v>
      </c>
      <c r="AU10" s="131">
        <v>7.814568825461807E-4</v>
      </c>
      <c r="AV10" s="131">
        <v>5.9722916375909495E-4</v>
      </c>
      <c r="AW10" s="126">
        <v>1747</v>
      </c>
      <c r="AX10" s="126">
        <v>3034</v>
      </c>
      <c r="AY10" s="131">
        <v>7.8206348367873351E-4</v>
      </c>
      <c r="AZ10" s="131">
        <v>5.9800218334414177E-4</v>
      </c>
      <c r="BA10" s="126">
        <v>1747</v>
      </c>
      <c r="BB10" s="126">
        <v>3055</v>
      </c>
      <c r="BC10" s="131">
        <v>7.8264543115609769E-4</v>
      </c>
      <c r="BD10" s="131">
        <v>5.9635395493929288E-4</v>
      </c>
      <c r="BE10" s="126">
        <v>1747</v>
      </c>
      <c r="BF10" s="126">
        <v>3066</v>
      </c>
      <c r="BG10" s="131">
        <v>7.8398114500692758E-4</v>
      </c>
      <c r="BH10" s="131">
        <v>5.9516252671226613E-4</v>
      </c>
      <c r="BI10" s="126">
        <v>1749</v>
      </c>
      <c r="BJ10" s="126">
        <v>3080</v>
      </c>
    </row>
    <row r="11" spans="1:62" s="95" customFormat="1">
      <c r="A11" s="466" t="s">
        <v>1228</v>
      </c>
      <c r="B11" s="467"/>
      <c r="C11" s="468"/>
      <c r="D11" s="469"/>
      <c r="E11" s="470"/>
      <c r="F11" s="470"/>
      <c r="G11" s="468"/>
      <c r="H11" s="469"/>
      <c r="I11" s="470"/>
      <c r="J11" s="470"/>
      <c r="K11" s="468"/>
      <c r="L11" s="469"/>
      <c r="M11" s="470"/>
      <c r="N11" s="470"/>
      <c r="O11" s="468"/>
      <c r="P11" s="469"/>
      <c r="Q11" s="470"/>
      <c r="R11" s="470"/>
      <c r="S11" s="468"/>
      <c r="T11" s="468"/>
      <c r="U11" s="470"/>
      <c r="V11" s="470"/>
      <c r="W11" s="468"/>
      <c r="X11" s="468"/>
      <c r="Y11" s="470"/>
      <c r="Z11" s="470"/>
      <c r="AA11" s="468"/>
      <c r="AB11" s="468"/>
      <c r="AC11" s="470"/>
      <c r="AD11" s="470"/>
      <c r="AE11" s="468"/>
      <c r="AF11" s="468"/>
      <c r="AG11" s="470"/>
      <c r="AH11" s="470"/>
      <c r="AI11" s="468"/>
      <c r="AJ11" s="468"/>
      <c r="AK11" s="470"/>
      <c r="AL11" s="470"/>
      <c r="AM11" s="468"/>
      <c r="AN11" s="468"/>
      <c r="AO11" s="470"/>
      <c r="AP11" s="470"/>
      <c r="AQ11" s="468"/>
      <c r="AR11" s="468"/>
      <c r="AS11" s="470"/>
      <c r="AT11" s="470"/>
      <c r="AU11" s="468"/>
      <c r="AV11" s="468"/>
      <c r="AW11" s="470"/>
      <c r="AX11" s="470"/>
      <c r="AY11" s="468"/>
      <c r="AZ11" s="468"/>
      <c r="BA11" s="470"/>
      <c r="BB11" s="470"/>
      <c r="BC11" s="468"/>
      <c r="BD11" s="468"/>
      <c r="BE11" s="470"/>
      <c r="BF11" s="470"/>
      <c r="BG11" s="468"/>
      <c r="BH11" s="468"/>
      <c r="BI11" s="470"/>
      <c r="BJ11" s="470"/>
    </row>
    <row r="12" spans="1:62" s="439" customFormat="1">
      <c r="A12" s="461" t="s">
        <v>1229</v>
      </c>
      <c r="B12" s="462" t="s">
        <v>104</v>
      </c>
      <c r="C12" s="471">
        <v>1.320058065185683E-4</v>
      </c>
      <c r="D12" s="471">
        <v>9.4252027373845573E-5</v>
      </c>
      <c r="E12" s="472">
        <v>304</v>
      </c>
      <c r="F12" s="472">
        <v>444</v>
      </c>
      <c r="G12" s="471">
        <v>1.3117026899894934E-4</v>
      </c>
      <c r="H12" s="471">
        <v>9.2442046993186476E-5</v>
      </c>
      <c r="I12" s="472">
        <v>302</v>
      </c>
      <c r="J12" s="472">
        <v>442</v>
      </c>
      <c r="K12" s="471">
        <v>1.303260453560703E-4</v>
      </c>
      <c r="L12" s="471">
        <v>9.1061659456588513E-5</v>
      </c>
      <c r="M12" s="472">
        <v>300</v>
      </c>
      <c r="N12" s="472">
        <v>442</v>
      </c>
      <c r="O12" s="471">
        <v>1.3004008627007195E-4</v>
      </c>
      <c r="P12" s="471">
        <v>9.0213118820248628E-5</v>
      </c>
      <c r="Q12" s="472">
        <v>299</v>
      </c>
      <c r="R12" s="472">
        <v>443</v>
      </c>
      <c r="S12" s="471">
        <v>1.266370338908554E-4</v>
      </c>
      <c r="T12" s="471">
        <v>8.8078245804566499E-5</v>
      </c>
      <c r="U12" s="472">
        <v>291</v>
      </c>
      <c r="V12" s="472">
        <v>436</v>
      </c>
      <c r="W12" s="471">
        <v>1.2539588962723461E-4</v>
      </c>
      <c r="X12" s="471">
        <v>8.7147916379863482E-5</v>
      </c>
      <c r="Y12" s="472">
        <v>288</v>
      </c>
      <c r="Z12" s="472">
        <v>433</v>
      </c>
      <c r="AA12" s="133">
        <v>1.2596588526710053E-4</v>
      </c>
      <c r="AB12" s="471">
        <v>8.6368331878831841E-5</v>
      </c>
      <c r="AC12" s="472">
        <v>286</v>
      </c>
      <c r="AD12" s="472">
        <v>431</v>
      </c>
      <c r="AE12" s="471">
        <v>1.2727871021875087E-4</v>
      </c>
      <c r="AF12" s="471">
        <v>8.6157403779571379E-5</v>
      </c>
      <c r="AG12" s="472">
        <v>287</v>
      </c>
      <c r="AH12" s="472">
        <v>431</v>
      </c>
      <c r="AI12" s="471">
        <v>1.2486125907418052E-4</v>
      </c>
      <c r="AJ12" s="471">
        <v>8.5905447401948197E-5</v>
      </c>
      <c r="AK12" s="472">
        <v>280</v>
      </c>
      <c r="AL12" s="472">
        <v>431</v>
      </c>
      <c r="AM12" s="471">
        <v>1.2057000137985668E-4</v>
      </c>
      <c r="AN12" s="471">
        <v>8.54123120457381E-5</v>
      </c>
      <c r="AO12" s="472">
        <v>270</v>
      </c>
      <c r="AP12" s="472">
        <v>430</v>
      </c>
      <c r="AQ12" s="471">
        <v>1.2071533223318447E-4</v>
      </c>
      <c r="AR12" s="471">
        <v>8.5446029261704775E-5</v>
      </c>
      <c r="AS12" s="472">
        <v>270</v>
      </c>
      <c r="AT12" s="472">
        <v>432</v>
      </c>
      <c r="AU12" s="471">
        <v>1.2032736199480401E-4</v>
      </c>
      <c r="AV12" s="471">
        <v>8.4840398675072495E-5</v>
      </c>
      <c r="AW12" s="472">
        <v>269</v>
      </c>
      <c r="AX12" s="472">
        <v>431</v>
      </c>
      <c r="AY12" s="471">
        <v>1.1997310453686352E-4</v>
      </c>
      <c r="AZ12" s="471">
        <v>8.4562010868958831E-5</v>
      </c>
      <c r="BA12" s="472">
        <v>268</v>
      </c>
      <c r="BB12" s="472">
        <v>432</v>
      </c>
      <c r="BC12" s="471">
        <v>1.2006237867763834E-4</v>
      </c>
      <c r="BD12" s="471">
        <v>8.4026388954264357E-5</v>
      </c>
      <c r="BE12" s="472">
        <v>268</v>
      </c>
      <c r="BF12" s="472">
        <v>432</v>
      </c>
      <c r="BG12" s="471">
        <v>1.1878502197074661E-4</v>
      </c>
      <c r="BH12" s="471">
        <v>8.3090872235803392E-5</v>
      </c>
      <c r="BI12" s="472">
        <v>265</v>
      </c>
      <c r="BJ12" s="472">
        <v>430</v>
      </c>
    </row>
    <row r="13" spans="1:62" s="95" customFormat="1">
      <c r="A13" s="473" t="s">
        <v>1230</v>
      </c>
      <c r="B13" s="474"/>
      <c r="C13" s="131">
        <v>1.320058065185683E-4</v>
      </c>
      <c r="D13" s="131">
        <v>9.4252027373845573E-5</v>
      </c>
      <c r="E13" s="126">
        <v>304</v>
      </c>
      <c r="F13" s="126">
        <v>444</v>
      </c>
      <c r="G13" s="131">
        <v>1.3117026899894934E-4</v>
      </c>
      <c r="H13" s="131">
        <v>9.3827468691981406E-5</v>
      </c>
      <c r="I13" s="126">
        <v>302</v>
      </c>
      <c r="J13" s="126">
        <v>442</v>
      </c>
      <c r="K13" s="131">
        <v>1.3026888801174504E-4</v>
      </c>
      <c r="L13" s="131">
        <v>9.3827468691981406E-5</v>
      </c>
      <c r="M13" s="126">
        <v>300</v>
      </c>
      <c r="N13" s="126">
        <v>442</v>
      </c>
      <c r="O13" s="131">
        <v>1.2983465838503923E-4</v>
      </c>
      <c r="P13" s="131">
        <v>9.4039748032913483E-5</v>
      </c>
      <c r="Q13" s="126">
        <v>299</v>
      </c>
      <c r="R13" s="126">
        <v>443</v>
      </c>
      <c r="S13" s="131">
        <v>1.2772219004529703E-4</v>
      </c>
      <c r="T13" s="131">
        <v>8.8078245804566499E-5</v>
      </c>
      <c r="U13" s="126">
        <v>291</v>
      </c>
      <c r="V13" s="126">
        <v>436</v>
      </c>
      <c r="W13" s="131">
        <v>1.2539588962723461E-4</v>
      </c>
      <c r="X13" s="131">
        <v>8.7147916379863482E-5</v>
      </c>
      <c r="Y13" s="126">
        <v>288</v>
      </c>
      <c r="Z13" s="126">
        <v>433</v>
      </c>
      <c r="AA13" s="131">
        <v>1.2683523039220469E-4</v>
      </c>
      <c r="AB13" s="131">
        <v>8.6368331878831841E-5</v>
      </c>
      <c r="AC13" s="126">
        <v>286</v>
      </c>
      <c r="AD13" s="126">
        <v>431</v>
      </c>
      <c r="AE13" s="131">
        <v>1.2727871021875087E-4</v>
      </c>
      <c r="AF13" s="131">
        <v>8.6157403779571379E-5</v>
      </c>
      <c r="AG13" s="126">
        <v>287</v>
      </c>
      <c r="AH13" s="126">
        <v>431</v>
      </c>
      <c r="AI13" s="131">
        <v>1.2486125907418052E-4</v>
      </c>
      <c r="AJ13" s="131">
        <v>8.5905447401948197E-5</v>
      </c>
      <c r="AK13" s="126">
        <v>280</v>
      </c>
      <c r="AL13" s="126">
        <v>431</v>
      </c>
      <c r="AM13" s="131">
        <v>1.2057000137985668E-4</v>
      </c>
      <c r="AN13" s="131">
        <v>8.54123120457381E-5</v>
      </c>
      <c r="AO13" s="126">
        <v>270</v>
      </c>
      <c r="AP13" s="126">
        <v>430</v>
      </c>
      <c r="AQ13" s="131">
        <v>1.2071533223318447E-4</v>
      </c>
      <c r="AR13" s="131">
        <v>8.5446029261704775E-5</v>
      </c>
      <c r="AS13" s="126">
        <v>270</v>
      </c>
      <c r="AT13" s="126">
        <v>432</v>
      </c>
      <c r="AU13" s="131">
        <v>1.2032736199480401E-4</v>
      </c>
      <c r="AV13" s="131">
        <v>8.4840398675072495E-5</v>
      </c>
      <c r="AW13" s="126">
        <v>269</v>
      </c>
      <c r="AX13" s="126">
        <v>431</v>
      </c>
      <c r="AY13" s="131">
        <v>1.1997310453686352E-4</v>
      </c>
      <c r="AZ13" s="131">
        <v>8.4562010868958831E-5</v>
      </c>
      <c r="BA13" s="126">
        <v>268</v>
      </c>
      <c r="BB13" s="126">
        <v>432</v>
      </c>
      <c r="BC13" s="131">
        <v>1.2006237867763834E-4</v>
      </c>
      <c r="BD13" s="131">
        <v>8.4026388954264357E-5</v>
      </c>
      <c r="BE13" s="126">
        <v>268</v>
      </c>
      <c r="BF13" s="126">
        <v>432</v>
      </c>
      <c r="BG13" s="131">
        <v>1.1878502197074661E-4</v>
      </c>
      <c r="BH13" s="131">
        <v>8.3090872235803392E-5</v>
      </c>
      <c r="BI13" s="126">
        <v>265</v>
      </c>
      <c r="BJ13" s="126">
        <v>430</v>
      </c>
    </row>
    <row r="14" spans="1:62" s="95" customFormat="1">
      <c r="A14" s="466" t="s">
        <v>1231</v>
      </c>
      <c r="B14" s="467"/>
      <c r="C14" s="468"/>
      <c r="D14" s="475"/>
      <c r="E14" s="470"/>
      <c r="F14" s="470"/>
      <c r="G14" s="468"/>
      <c r="H14" s="475"/>
      <c r="I14" s="470"/>
      <c r="J14" s="470"/>
      <c r="K14" s="468"/>
      <c r="L14" s="475"/>
      <c r="M14" s="470"/>
      <c r="N14" s="470"/>
      <c r="O14" s="468"/>
      <c r="P14" s="475"/>
      <c r="Q14" s="470"/>
      <c r="R14" s="470"/>
      <c r="S14" s="468"/>
      <c r="T14" s="476"/>
      <c r="U14" s="470"/>
      <c r="V14" s="470"/>
      <c r="W14" s="468"/>
      <c r="X14" s="476"/>
      <c r="Y14" s="470"/>
      <c r="Z14" s="470"/>
      <c r="AA14" s="468"/>
      <c r="AB14" s="476"/>
      <c r="AC14" s="470"/>
      <c r="AD14" s="470"/>
      <c r="AE14" s="468"/>
      <c r="AF14" s="476"/>
      <c r="AG14" s="470"/>
      <c r="AH14" s="470"/>
      <c r="AI14" s="468"/>
      <c r="AJ14" s="476"/>
      <c r="AK14" s="470"/>
      <c r="AL14" s="470"/>
      <c r="AM14" s="468"/>
      <c r="AN14" s="476"/>
      <c r="AO14" s="470"/>
      <c r="AP14" s="470"/>
      <c r="AQ14" s="468"/>
      <c r="AR14" s="476"/>
      <c r="AS14" s="470"/>
      <c r="AT14" s="470"/>
      <c r="AU14" s="468"/>
      <c r="AV14" s="476"/>
      <c r="AW14" s="470"/>
      <c r="AX14" s="470"/>
      <c r="AY14" s="468"/>
      <c r="AZ14" s="468"/>
      <c r="BA14" s="470"/>
      <c r="BB14" s="470"/>
      <c r="BC14" s="468"/>
      <c r="BD14" s="468"/>
      <c r="BE14" s="470"/>
      <c r="BF14" s="470"/>
      <c r="BG14" s="468"/>
      <c r="BH14" s="468"/>
      <c r="BI14" s="470"/>
      <c r="BJ14" s="470"/>
    </row>
    <row r="15" spans="1:62">
      <c r="A15" s="477" t="s">
        <v>1232</v>
      </c>
      <c r="B15" s="462" t="s">
        <v>104</v>
      </c>
      <c r="C15" s="478">
        <v>8.5543236461045911E-5</v>
      </c>
      <c r="D15" s="478">
        <v>1.1378172673959736E-4</v>
      </c>
      <c r="E15" s="479">
        <v>197</v>
      </c>
      <c r="F15" s="479">
        <v>536</v>
      </c>
      <c r="G15" s="478">
        <v>9.2079791482706154E-5</v>
      </c>
      <c r="H15" s="478">
        <v>1.1942173944142415E-4</v>
      </c>
      <c r="I15" s="479">
        <v>212</v>
      </c>
      <c r="J15" s="479">
        <v>571</v>
      </c>
      <c r="K15" s="478">
        <v>9.3834752656370615E-5</v>
      </c>
      <c r="L15" s="471">
        <v>1.1969869715899983E-4</v>
      </c>
      <c r="M15" s="479">
        <v>216</v>
      </c>
      <c r="N15" s="479">
        <v>581</v>
      </c>
      <c r="O15" s="478">
        <v>9.7421335533431824E-5</v>
      </c>
      <c r="P15" s="478">
        <v>1.2177752833974871E-4</v>
      </c>
      <c r="Q15" s="479">
        <v>224</v>
      </c>
      <c r="R15" s="479">
        <v>598</v>
      </c>
      <c r="S15" s="478">
        <v>9.0952371419892718E-5</v>
      </c>
      <c r="T15" s="478">
        <v>1.2141060946913868E-4</v>
      </c>
      <c r="U15" s="479">
        <v>209</v>
      </c>
      <c r="V15" s="479">
        <v>601</v>
      </c>
      <c r="W15" s="478">
        <v>9.0999100458652885E-5</v>
      </c>
      <c r="X15" s="478">
        <v>1.1592886797875604E-4</v>
      </c>
      <c r="Y15" s="479">
        <v>209</v>
      </c>
      <c r="Z15" s="479">
        <v>576</v>
      </c>
      <c r="AA15" s="133">
        <v>9.1611552921527656E-5</v>
      </c>
      <c r="AB15" s="478">
        <v>1.1843082167143763E-4</v>
      </c>
      <c r="AC15" s="479">
        <v>208</v>
      </c>
      <c r="AD15" s="479">
        <v>591</v>
      </c>
      <c r="AE15" s="478">
        <v>9.2243803921603405E-5</v>
      </c>
      <c r="AF15" s="478">
        <v>1.1834149196637183E-4</v>
      </c>
      <c r="AG15" s="479">
        <v>208</v>
      </c>
      <c r="AH15" s="479">
        <v>592</v>
      </c>
      <c r="AI15" s="478">
        <v>9.0524412828780874E-5</v>
      </c>
      <c r="AJ15" s="478">
        <v>1.1839405047971515E-4</v>
      </c>
      <c r="AK15" s="479">
        <v>203</v>
      </c>
      <c r="AL15" s="479">
        <v>594</v>
      </c>
      <c r="AM15" s="478">
        <v>9.0204223254559444E-5</v>
      </c>
      <c r="AN15" s="478">
        <v>1.1600183775514197E-4</v>
      </c>
      <c r="AO15" s="479">
        <v>202</v>
      </c>
      <c r="AP15" s="479">
        <v>584</v>
      </c>
      <c r="AQ15" s="478">
        <v>9.0312952263345419E-5</v>
      </c>
      <c r="AR15" s="478">
        <v>1.1551037289082312E-4</v>
      </c>
      <c r="AS15" s="479">
        <v>202</v>
      </c>
      <c r="AT15" s="479">
        <v>584</v>
      </c>
      <c r="AU15" s="478">
        <v>8.9462722672716731E-5</v>
      </c>
      <c r="AV15" s="478">
        <v>1.1456406503223246E-4</v>
      </c>
      <c r="AW15" s="479">
        <v>200</v>
      </c>
      <c r="AX15" s="479">
        <v>582</v>
      </c>
      <c r="AY15" s="478">
        <v>8.9532167564823531E-5</v>
      </c>
      <c r="AZ15" s="478">
        <v>1.1235785703421845E-4</v>
      </c>
      <c r="BA15" s="479">
        <v>200</v>
      </c>
      <c r="BB15" s="479">
        <v>574</v>
      </c>
      <c r="BC15" s="478">
        <v>9.0046784008228752E-5</v>
      </c>
      <c r="BD15" s="478">
        <v>1.122296908023392E-4</v>
      </c>
      <c r="BE15" s="479">
        <v>201</v>
      </c>
      <c r="BF15" s="479">
        <v>577</v>
      </c>
      <c r="BG15" s="478">
        <v>9.0097318551396485E-5</v>
      </c>
      <c r="BH15" s="478">
        <v>1.1188282563844224E-4</v>
      </c>
      <c r="BI15" s="479">
        <v>201</v>
      </c>
      <c r="BJ15" s="479">
        <v>579</v>
      </c>
    </row>
    <row r="16" spans="1:62">
      <c r="A16" s="461" t="s">
        <v>1233</v>
      </c>
      <c r="B16" s="462" t="s">
        <v>104</v>
      </c>
      <c r="C16" s="478">
        <v>1.0343349708132556E-3</v>
      </c>
      <c r="D16" s="478">
        <v>1.1129805845069196E-3</v>
      </c>
      <c r="E16" s="479">
        <v>2382</v>
      </c>
      <c r="F16" s="479">
        <v>5243</v>
      </c>
      <c r="G16" s="478">
        <v>1.0350289769023055E-3</v>
      </c>
      <c r="H16" s="478">
        <v>1.0969650146589662E-3</v>
      </c>
      <c r="I16" s="479">
        <v>2383</v>
      </c>
      <c r="J16" s="479">
        <v>5245</v>
      </c>
      <c r="K16" s="478">
        <v>1.0356576404295719E-3</v>
      </c>
      <c r="L16" s="471">
        <v>1.0828508644883015E-3</v>
      </c>
      <c r="M16" s="479">
        <v>2384</v>
      </c>
      <c r="N16" s="479">
        <v>5256</v>
      </c>
      <c r="O16" s="478">
        <v>1.0377111901016445E-3</v>
      </c>
      <c r="P16" s="478">
        <v>1.071764434200832E-3</v>
      </c>
      <c r="Q16" s="479">
        <v>2386</v>
      </c>
      <c r="R16" s="479">
        <v>5263</v>
      </c>
      <c r="S16" s="478">
        <v>1.041818072627862E-3</v>
      </c>
      <c r="T16" s="478">
        <v>1.067645708892509E-3</v>
      </c>
      <c r="U16" s="479">
        <v>2394</v>
      </c>
      <c r="V16" s="479">
        <v>5285</v>
      </c>
      <c r="W16" s="478">
        <v>1.0397409181591535E-3</v>
      </c>
      <c r="X16" s="478">
        <v>1.0685179862833607E-3</v>
      </c>
      <c r="Y16" s="479">
        <v>2388</v>
      </c>
      <c r="Z16" s="479">
        <v>5309</v>
      </c>
      <c r="AA16" s="133">
        <v>1.0601394609717166E-3</v>
      </c>
      <c r="AB16" s="478">
        <v>1.0670797384101614E-3</v>
      </c>
      <c r="AC16" s="479">
        <v>2407</v>
      </c>
      <c r="AD16" s="479">
        <v>5325</v>
      </c>
      <c r="AE16" s="478">
        <v>1.0643515837108085E-3</v>
      </c>
      <c r="AF16" s="478">
        <v>1.0684717475680024E-3</v>
      </c>
      <c r="AG16" s="479">
        <v>2400</v>
      </c>
      <c r="AH16" s="479">
        <v>5345</v>
      </c>
      <c r="AI16" s="478">
        <v>1.0078087339558857E-3</v>
      </c>
      <c r="AJ16" s="478">
        <v>1.0673403035671291E-3</v>
      </c>
      <c r="AK16" s="479">
        <v>2260</v>
      </c>
      <c r="AL16" s="479">
        <v>5355</v>
      </c>
      <c r="AM16" s="478">
        <v>1.0217191228041188E-3</v>
      </c>
      <c r="AN16" s="478">
        <v>1.068249800423208E-3</v>
      </c>
      <c r="AO16" s="479">
        <v>2288</v>
      </c>
      <c r="AP16" s="479">
        <v>5378</v>
      </c>
      <c r="AQ16" s="478">
        <v>1.0207151981050375E-3</v>
      </c>
      <c r="AR16" s="478">
        <v>1.0655040732240825E-3</v>
      </c>
      <c r="AS16" s="479">
        <v>2283</v>
      </c>
      <c r="AT16" s="479">
        <v>5387</v>
      </c>
      <c r="AU16" s="478">
        <v>1.0216642929224251E-3</v>
      </c>
      <c r="AV16" s="478">
        <v>1.06119394259238E-3</v>
      </c>
      <c r="AW16" s="479">
        <v>2284</v>
      </c>
      <c r="AX16" s="479">
        <v>5391</v>
      </c>
      <c r="AY16" s="478">
        <v>1.0152947801850987E-3</v>
      </c>
      <c r="AZ16" s="478">
        <v>1.0558506634888055E-3</v>
      </c>
      <c r="BA16" s="479">
        <v>2268</v>
      </c>
      <c r="BB16" s="479">
        <v>5394</v>
      </c>
      <c r="BC16" s="478">
        <v>1.0160502792570289E-3</v>
      </c>
      <c r="BD16" s="478">
        <v>1.0505243674582912E-3</v>
      </c>
      <c r="BE16" s="479">
        <v>2268</v>
      </c>
      <c r="BF16" s="479">
        <v>5401</v>
      </c>
      <c r="BG16" s="478">
        <v>1.0161722445572927E-3</v>
      </c>
      <c r="BH16" s="478">
        <v>1.0446261751319841E-3</v>
      </c>
      <c r="BI16" s="479">
        <v>2267</v>
      </c>
      <c r="BJ16" s="479">
        <v>5406</v>
      </c>
    </row>
    <row r="17" spans="1:62" s="95" customFormat="1">
      <c r="A17" s="464" t="s">
        <v>1234</v>
      </c>
      <c r="B17" s="480"/>
      <c r="C17" s="481">
        <v>1.1198782072743016E-3</v>
      </c>
      <c r="D17" s="481">
        <v>1.226762311246517E-3</v>
      </c>
      <c r="E17" s="482">
        <v>2579</v>
      </c>
      <c r="F17" s="482">
        <v>5779</v>
      </c>
      <c r="G17" s="481">
        <v>1.1271087683850116E-3</v>
      </c>
      <c r="H17" s="481">
        <v>1.2346166468610042E-3</v>
      </c>
      <c r="I17" s="482">
        <v>2595</v>
      </c>
      <c r="J17" s="482">
        <v>5816</v>
      </c>
      <c r="K17" s="481">
        <v>1.1289970294351237E-3</v>
      </c>
      <c r="L17" s="481">
        <v>1.239074513020578E-3</v>
      </c>
      <c r="M17" s="482">
        <v>2600</v>
      </c>
      <c r="N17" s="482">
        <v>5837</v>
      </c>
      <c r="O17" s="481">
        <v>1.1351325256350763E-3</v>
      </c>
      <c r="P17" s="481">
        <v>1.2441692172029479E-3</v>
      </c>
      <c r="Q17" s="482">
        <v>2610</v>
      </c>
      <c r="R17" s="482">
        <v>5861</v>
      </c>
      <c r="S17" s="481">
        <v>1.1327704440477547E-3</v>
      </c>
      <c r="T17" s="481">
        <v>1.1890563183616478E-3</v>
      </c>
      <c r="U17" s="482">
        <v>2603</v>
      </c>
      <c r="V17" s="482">
        <v>5886</v>
      </c>
      <c r="W17" s="481">
        <v>1.1307400186178064E-3</v>
      </c>
      <c r="X17" s="481">
        <v>1.1764183787535444E-3</v>
      </c>
      <c r="Y17" s="482">
        <v>2597</v>
      </c>
      <c r="Z17" s="482">
        <v>5885</v>
      </c>
      <c r="AA17" s="481">
        <v>1.1517510138932443E-3</v>
      </c>
      <c r="AB17" s="481">
        <v>1.185510560081599E-3</v>
      </c>
      <c r="AC17" s="482">
        <v>2615</v>
      </c>
      <c r="AD17" s="482">
        <v>5916</v>
      </c>
      <c r="AE17" s="481">
        <v>1.1565953876324119E-3</v>
      </c>
      <c r="AF17" s="481">
        <v>1.1868132395343742E-3</v>
      </c>
      <c r="AG17" s="482">
        <v>2608</v>
      </c>
      <c r="AH17" s="482">
        <v>5937</v>
      </c>
      <c r="AI17" s="481">
        <v>1.0983331467846666E-3</v>
      </c>
      <c r="AJ17" s="481">
        <v>1.1857343540468443E-3</v>
      </c>
      <c r="AK17" s="482">
        <v>2463</v>
      </c>
      <c r="AL17" s="482">
        <v>5949</v>
      </c>
      <c r="AM17" s="481">
        <v>1.1119233460586781E-3</v>
      </c>
      <c r="AN17" s="481">
        <v>1.1842516381783499E-3</v>
      </c>
      <c r="AO17" s="482">
        <v>2490</v>
      </c>
      <c r="AP17" s="482">
        <v>5962</v>
      </c>
      <c r="AQ17" s="481">
        <v>1.1110281503683829E-3</v>
      </c>
      <c r="AR17" s="481">
        <v>1.1810144461149056E-3</v>
      </c>
      <c r="AS17" s="482">
        <v>2485</v>
      </c>
      <c r="AT17" s="482">
        <v>5971</v>
      </c>
      <c r="AU17" s="481">
        <v>1.1111270155951419E-3</v>
      </c>
      <c r="AV17" s="481">
        <v>1.1757580076246126E-3</v>
      </c>
      <c r="AW17" s="482">
        <v>2484</v>
      </c>
      <c r="AX17" s="482">
        <v>5973</v>
      </c>
      <c r="AY17" s="481">
        <v>1.1048269477499223E-3</v>
      </c>
      <c r="AZ17" s="481">
        <v>1.1682085205230238E-3</v>
      </c>
      <c r="BA17" s="482">
        <v>2468</v>
      </c>
      <c r="BB17" s="482">
        <v>5968</v>
      </c>
      <c r="BC17" s="481">
        <v>1.1060970632652575E-3</v>
      </c>
      <c r="BD17" s="481">
        <v>1.1627540582606305E-3</v>
      </c>
      <c r="BE17" s="482">
        <v>2469</v>
      </c>
      <c r="BF17" s="482">
        <v>5978</v>
      </c>
      <c r="BG17" s="481">
        <v>1.1062695631086892E-3</v>
      </c>
      <c r="BH17" s="481">
        <v>1.1565090007704263E-3</v>
      </c>
      <c r="BI17" s="482">
        <v>2468</v>
      </c>
      <c r="BJ17" s="482">
        <v>5985</v>
      </c>
    </row>
    <row r="18" spans="1:62" s="95" customFormat="1">
      <c r="A18" s="466" t="s">
        <v>1235</v>
      </c>
      <c r="B18" s="74"/>
      <c r="C18" s="483"/>
      <c r="D18" s="74"/>
      <c r="E18" s="484"/>
      <c r="F18" s="484"/>
      <c r="G18" s="483"/>
      <c r="H18" s="74"/>
      <c r="I18" s="484"/>
      <c r="J18" s="484"/>
      <c r="K18" s="483"/>
      <c r="L18" s="74"/>
      <c r="M18" s="484"/>
      <c r="N18" s="484"/>
      <c r="O18" s="483"/>
      <c r="P18" s="74"/>
      <c r="Q18" s="484"/>
      <c r="R18" s="484"/>
      <c r="S18" s="483"/>
      <c r="T18" s="483"/>
      <c r="U18" s="484"/>
      <c r="V18" s="484"/>
      <c r="W18" s="483"/>
      <c r="X18" s="483"/>
      <c r="Y18" s="484"/>
      <c r="Z18" s="484"/>
      <c r="AA18" s="483"/>
      <c r="AB18" s="483"/>
      <c r="AC18" s="484"/>
      <c r="AD18" s="484"/>
      <c r="AE18" s="483"/>
      <c r="AF18" s="483"/>
      <c r="AG18" s="484"/>
      <c r="AH18" s="484"/>
      <c r="AI18" s="483"/>
      <c r="AJ18" s="483"/>
      <c r="AK18" s="484"/>
      <c r="AL18" s="484"/>
      <c r="AM18" s="483"/>
      <c r="AN18" s="483"/>
      <c r="AO18" s="484"/>
      <c r="AP18" s="484"/>
      <c r="AQ18" s="483"/>
      <c r="AR18" s="483"/>
      <c r="AS18" s="484"/>
      <c r="AT18" s="484"/>
      <c r="AU18" s="483"/>
      <c r="AV18" s="483"/>
      <c r="AW18" s="484"/>
      <c r="AX18" s="484"/>
      <c r="AY18" s="483"/>
      <c r="AZ18" s="483"/>
      <c r="BA18" s="484"/>
      <c r="BB18" s="484"/>
      <c r="BC18" s="483"/>
      <c r="BD18" s="483"/>
      <c r="BE18" s="484"/>
      <c r="BF18" s="484"/>
      <c r="BG18" s="483"/>
      <c r="BH18" s="483"/>
      <c r="BI18" s="484"/>
      <c r="BJ18" s="484"/>
    </row>
    <row r="19" spans="1:62">
      <c r="A19" s="461" t="s">
        <v>1236</v>
      </c>
      <c r="B19" s="462" t="s">
        <v>104</v>
      </c>
      <c r="C19" s="478">
        <v>6.6567401774001713E-4</v>
      </c>
      <c r="D19" s="478">
        <v>8.6567515232104108E-4</v>
      </c>
      <c r="E19" s="479">
        <v>1533</v>
      </c>
      <c r="F19" s="479">
        <v>4078</v>
      </c>
      <c r="G19" s="478">
        <v>6.7235621327938269E-4</v>
      </c>
      <c r="H19" s="478">
        <v>9.02669400051115E-4</v>
      </c>
      <c r="I19" s="479">
        <v>1548</v>
      </c>
      <c r="J19" s="479">
        <v>4316</v>
      </c>
      <c r="K19" s="478">
        <v>7.0115412401565826E-4</v>
      </c>
      <c r="L19" s="471">
        <v>9.7139304148826896E-4</v>
      </c>
      <c r="M19" s="479">
        <v>1614</v>
      </c>
      <c r="N19" s="479">
        <v>4715</v>
      </c>
      <c r="O19" s="478">
        <v>7.5545026706058519E-4</v>
      </c>
      <c r="P19" s="478">
        <v>1.0615823666138965E-3</v>
      </c>
      <c r="Q19" s="479">
        <v>1737</v>
      </c>
      <c r="R19" s="479">
        <v>5213</v>
      </c>
      <c r="S19" s="478">
        <v>7.8462739555055778E-4</v>
      </c>
      <c r="T19" s="478">
        <v>1.1005740439066014E-3</v>
      </c>
      <c r="U19" s="479">
        <v>1803</v>
      </c>
      <c r="V19" s="479">
        <v>5448</v>
      </c>
      <c r="W19" s="478">
        <v>8.0070500355723759E-4</v>
      </c>
      <c r="X19" s="478">
        <v>1.1045444921309255E-3</v>
      </c>
      <c r="Y19" s="479">
        <v>1839</v>
      </c>
      <c r="Z19" s="479">
        <v>5488</v>
      </c>
      <c r="AA19" s="133">
        <v>8.1261209202028136E-4</v>
      </c>
      <c r="AB19" s="478">
        <v>1.1077590223345301E-3</v>
      </c>
      <c r="AC19" s="479">
        <v>1845</v>
      </c>
      <c r="AD19" s="479">
        <v>5528</v>
      </c>
      <c r="AE19" s="478">
        <v>8.1733332032459178E-4</v>
      </c>
      <c r="AF19" s="478">
        <v>1.1064529696518041E-3</v>
      </c>
      <c r="AG19" s="479">
        <v>1843</v>
      </c>
      <c r="AH19" s="479">
        <v>5535</v>
      </c>
      <c r="AI19" s="478">
        <v>8.1070631784592928E-4</v>
      </c>
      <c r="AJ19" s="478">
        <v>1.1014234393112894E-3</v>
      </c>
      <c r="AK19" s="479">
        <v>1818</v>
      </c>
      <c r="AL19" s="479">
        <v>5526</v>
      </c>
      <c r="AM19" s="478">
        <v>8.1228456485170114E-4</v>
      </c>
      <c r="AN19" s="478">
        <v>1.0996338592679212E-3</v>
      </c>
      <c r="AO19" s="479">
        <v>1819</v>
      </c>
      <c r="AP19" s="479">
        <v>5536</v>
      </c>
      <c r="AQ19" s="478">
        <v>8.1371075801628043E-4</v>
      </c>
      <c r="AR19" s="478">
        <v>1.0971507507284174E-3</v>
      </c>
      <c r="AS19" s="479">
        <v>1820</v>
      </c>
      <c r="AT19" s="479">
        <v>5547</v>
      </c>
      <c r="AU19" s="478">
        <v>8.1142689464154072E-4</v>
      </c>
      <c r="AV19" s="478">
        <v>1.090327072531848E-3</v>
      </c>
      <c r="AW19" s="479">
        <v>1814</v>
      </c>
      <c r="AX19" s="479">
        <v>5539</v>
      </c>
      <c r="AY19" s="478">
        <v>8.0937079478600471E-4</v>
      </c>
      <c r="AZ19" s="478">
        <v>1.0832550188630051E-3</v>
      </c>
      <c r="BA19" s="479">
        <v>1808</v>
      </c>
      <c r="BB19" s="479">
        <v>5534</v>
      </c>
      <c r="BC19" s="478">
        <v>8.1042105607405878E-4</v>
      </c>
      <c r="BD19" s="478">
        <v>1.0767826140064987E-3</v>
      </c>
      <c r="BE19" s="479">
        <v>1809</v>
      </c>
      <c r="BF19" s="479">
        <v>5536</v>
      </c>
      <c r="BG19" s="478">
        <v>8.1177235769442312E-4</v>
      </c>
      <c r="BH19" s="478">
        <v>1.0697466713893199E-3</v>
      </c>
      <c r="BI19" s="479">
        <v>1811</v>
      </c>
      <c r="BJ19" s="479">
        <v>5536</v>
      </c>
    </row>
    <row r="20" spans="1:62">
      <c r="A20" s="461" t="s">
        <v>1237</v>
      </c>
      <c r="B20" s="462" t="s">
        <v>104</v>
      </c>
      <c r="C20" s="478">
        <v>2.0964606377356833E-3</v>
      </c>
      <c r="D20" s="478">
        <v>2.279880121610589E-3</v>
      </c>
      <c r="E20" s="479">
        <v>4828</v>
      </c>
      <c r="F20" s="479">
        <v>10740</v>
      </c>
      <c r="G20" s="478">
        <v>2.1048050449301607E-3</v>
      </c>
      <c r="H20" s="478">
        <v>2.3175346668133472E-3</v>
      </c>
      <c r="I20" s="479">
        <v>4846</v>
      </c>
      <c r="J20" s="479">
        <v>11081</v>
      </c>
      <c r="K20" s="478">
        <v>2.1078065735588439E-3</v>
      </c>
      <c r="L20" s="471">
        <v>2.3280469499082587E-3</v>
      </c>
      <c r="M20" s="479">
        <v>4852</v>
      </c>
      <c r="N20" s="479">
        <v>11300</v>
      </c>
      <c r="O20" s="478">
        <v>2.1250028813229816E-3</v>
      </c>
      <c r="P20" s="478">
        <v>2.3703853342385869E-3</v>
      </c>
      <c r="Q20" s="479">
        <v>4886</v>
      </c>
      <c r="R20" s="479">
        <v>11640</v>
      </c>
      <c r="S20" s="478">
        <v>2.1328113508559533E-3</v>
      </c>
      <c r="T20" s="478">
        <v>2.3827589662038114E-3</v>
      </c>
      <c r="U20" s="479">
        <v>4901</v>
      </c>
      <c r="V20" s="479">
        <v>11795</v>
      </c>
      <c r="W20" s="478">
        <v>2.1273760997175982E-3</v>
      </c>
      <c r="X20" s="478">
        <v>2.3757367319813131E-3</v>
      </c>
      <c r="Y20" s="479">
        <v>4886</v>
      </c>
      <c r="Z20" s="479">
        <v>11804</v>
      </c>
      <c r="AA20" s="133">
        <v>2.1533119338141764E-3</v>
      </c>
      <c r="AB20" s="478">
        <v>2.3884550989879275E-3</v>
      </c>
      <c r="AC20" s="479">
        <v>4889</v>
      </c>
      <c r="AD20" s="479">
        <v>11919</v>
      </c>
      <c r="AE20" s="478">
        <v>2.1597467552798492E-3</v>
      </c>
      <c r="AF20" s="478">
        <v>2.3910178807597525E-3</v>
      </c>
      <c r="AG20" s="479">
        <v>4870</v>
      </c>
      <c r="AH20" s="479">
        <v>11961</v>
      </c>
      <c r="AI20" s="478">
        <v>2.1507351875527593E-3</v>
      </c>
      <c r="AJ20" s="478">
        <v>2.3890085674240164E-3</v>
      </c>
      <c r="AK20" s="479">
        <v>4823</v>
      </c>
      <c r="AL20" s="479">
        <v>11986</v>
      </c>
      <c r="AM20" s="478">
        <v>2.1452529134401168E-3</v>
      </c>
      <c r="AN20" s="478">
        <v>2.3893597711585664E-3</v>
      </c>
      <c r="AO20" s="479">
        <v>4804</v>
      </c>
      <c r="AP20" s="479">
        <v>12029</v>
      </c>
      <c r="AQ20" s="478">
        <v>2.1456032569890826E-3</v>
      </c>
      <c r="AR20" s="478">
        <v>2.3829948160764333E-3</v>
      </c>
      <c r="AS20" s="479">
        <v>4799</v>
      </c>
      <c r="AT20" s="479">
        <v>12048</v>
      </c>
      <c r="AU20" s="478">
        <v>2.1453160896917471E-3</v>
      </c>
      <c r="AV20" s="478">
        <v>2.3794680723533091E-3</v>
      </c>
      <c r="AW20" s="479">
        <v>4796</v>
      </c>
      <c r="AX20" s="479">
        <v>12088</v>
      </c>
      <c r="AY20" s="478">
        <v>2.1451907348531717E-3</v>
      </c>
      <c r="AZ20" s="478">
        <v>2.3657788503755471E-3</v>
      </c>
      <c r="BA20" s="479">
        <v>4792</v>
      </c>
      <c r="BB20" s="479">
        <v>12086</v>
      </c>
      <c r="BC20" s="478">
        <v>2.1445470400367713E-3</v>
      </c>
      <c r="BD20" s="478">
        <v>2.3624641672187383E-3</v>
      </c>
      <c r="BE20" s="479">
        <v>4787</v>
      </c>
      <c r="BF20" s="479">
        <v>12146</v>
      </c>
      <c r="BG20" s="478">
        <v>2.140819867669003E-3</v>
      </c>
      <c r="BH20" s="478">
        <v>2.366157512854448E-3</v>
      </c>
      <c r="BI20" s="479">
        <v>4776</v>
      </c>
      <c r="BJ20" s="479">
        <v>12245</v>
      </c>
    </row>
    <row r="21" spans="1:62">
      <c r="A21" s="461" t="s">
        <v>1238</v>
      </c>
      <c r="B21" s="462" t="s">
        <v>104</v>
      </c>
      <c r="C21" s="478">
        <v>2.9788152392019033E-4</v>
      </c>
      <c r="D21" s="478">
        <v>2.0463728465852958E-4</v>
      </c>
      <c r="E21" s="479">
        <v>686</v>
      </c>
      <c r="F21" s="479">
        <v>964</v>
      </c>
      <c r="G21" s="478">
        <v>2.9708762912344819E-4</v>
      </c>
      <c r="H21" s="478">
        <v>2.0140654129963478E-4</v>
      </c>
      <c r="I21" s="479">
        <v>684</v>
      </c>
      <c r="J21" s="479">
        <v>963</v>
      </c>
      <c r="K21" s="478">
        <v>2.9670896326065339E-4</v>
      </c>
      <c r="L21" s="471">
        <v>1.986050672311116E-4</v>
      </c>
      <c r="M21" s="479">
        <v>683</v>
      </c>
      <c r="N21" s="479">
        <v>964</v>
      </c>
      <c r="O21" s="478">
        <v>3.0052742345357763E-4</v>
      </c>
      <c r="P21" s="478">
        <v>1.9753211118654892E-4</v>
      </c>
      <c r="Q21" s="479">
        <v>691</v>
      </c>
      <c r="R21" s="479">
        <v>970</v>
      </c>
      <c r="S21" s="478">
        <v>3.0331963100318289E-4</v>
      </c>
      <c r="T21" s="478">
        <v>1.9736799575931528E-4</v>
      </c>
      <c r="U21" s="479">
        <v>697</v>
      </c>
      <c r="V21" s="479">
        <v>977</v>
      </c>
      <c r="W21" s="478">
        <v>3.0391087138822829E-4</v>
      </c>
      <c r="X21" s="478">
        <v>1.9663629169313306E-4</v>
      </c>
      <c r="Y21" s="479">
        <v>698</v>
      </c>
      <c r="Z21" s="479">
        <v>977</v>
      </c>
      <c r="AA21" s="133">
        <v>3.0742723047704954E-4</v>
      </c>
      <c r="AB21" s="478">
        <v>1.9578157829609909E-4</v>
      </c>
      <c r="AC21" s="479">
        <v>698</v>
      </c>
      <c r="AD21" s="479">
        <v>977</v>
      </c>
      <c r="AE21" s="478">
        <v>3.1087935840886532E-4</v>
      </c>
      <c r="AF21" s="478">
        <v>1.9590314548487229E-4</v>
      </c>
      <c r="AG21" s="479">
        <v>701</v>
      </c>
      <c r="AH21" s="479">
        <v>980</v>
      </c>
      <c r="AI21" s="478">
        <v>3.1215314768545129E-4</v>
      </c>
      <c r="AJ21" s="478">
        <v>1.9493161846660171E-4</v>
      </c>
      <c r="AK21" s="479">
        <v>700</v>
      </c>
      <c r="AL21" s="479">
        <v>978</v>
      </c>
      <c r="AM21" s="478">
        <v>3.1348200358762739E-4</v>
      </c>
      <c r="AN21" s="478">
        <v>1.9386608501544274E-4</v>
      </c>
      <c r="AO21" s="479">
        <v>702</v>
      </c>
      <c r="AP21" s="479">
        <v>976</v>
      </c>
      <c r="AQ21" s="478">
        <v>3.1385986380627959E-4</v>
      </c>
      <c r="AR21" s="478">
        <v>1.9205577410443363E-4</v>
      </c>
      <c r="AS21" s="479">
        <v>702</v>
      </c>
      <c r="AT21" s="479">
        <v>971</v>
      </c>
      <c r="AU21" s="478">
        <v>3.1311952935450857E-4</v>
      </c>
      <c r="AV21" s="478">
        <v>1.9074326291449012E-4</v>
      </c>
      <c r="AW21" s="479">
        <v>700</v>
      </c>
      <c r="AX21" s="479">
        <v>969</v>
      </c>
      <c r="AY21" s="478">
        <v>3.1381024731470645E-4</v>
      </c>
      <c r="AZ21" s="478">
        <v>1.9006877905962738E-4</v>
      </c>
      <c r="BA21" s="479">
        <v>701</v>
      </c>
      <c r="BB21" s="479">
        <v>971</v>
      </c>
      <c r="BC21" s="478">
        <v>3.126997773022073E-4</v>
      </c>
      <c r="BD21" s="478">
        <v>1.8867036408712137E-4</v>
      </c>
      <c r="BE21" s="479">
        <v>698</v>
      </c>
      <c r="BF21" s="479">
        <v>970</v>
      </c>
      <c r="BG21" s="478">
        <v>3.1332351078321467E-4</v>
      </c>
      <c r="BH21" s="478">
        <v>1.8782401817023464E-4</v>
      </c>
      <c r="BI21" s="479">
        <v>699</v>
      </c>
      <c r="BJ21" s="479">
        <v>972</v>
      </c>
    </row>
    <row r="22" spans="1:62">
      <c r="A22" s="485" t="s">
        <v>1239</v>
      </c>
      <c r="B22" s="462" t="s">
        <v>104</v>
      </c>
      <c r="C22" s="478">
        <v>1.6305322482803421E-3</v>
      </c>
      <c r="D22" s="478">
        <v>2.6477602194458915E-3</v>
      </c>
      <c r="E22" s="479">
        <v>3755</v>
      </c>
      <c r="F22" s="479">
        <v>12473</v>
      </c>
      <c r="G22" s="478">
        <v>1.6548302148542947E-3</v>
      </c>
      <c r="H22" s="478">
        <v>2.6440098599272927E-3</v>
      </c>
      <c r="I22" s="479">
        <v>3810</v>
      </c>
      <c r="J22" s="479">
        <v>12642</v>
      </c>
      <c r="K22" s="478">
        <v>1.6633947588946441E-3</v>
      </c>
      <c r="L22" s="471">
        <v>2.6329592937900481E-3</v>
      </c>
      <c r="M22" s="479">
        <v>3829</v>
      </c>
      <c r="N22" s="479">
        <v>12780</v>
      </c>
      <c r="O22" s="478">
        <v>1.6748641211573481E-3</v>
      </c>
      <c r="P22" s="478">
        <v>2.6273807201328391E-3</v>
      </c>
      <c r="Q22" s="479">
        <v>3851</v>
      </c>
      <c r="R22" s="479">
        <v>12902</v>
      </c>
      <c r="S22" s="478">
        <v>1.678484672567111E-3</v>
      </c>
      <c r="T22" s="478">
        <v>2.6439634887389135E-3</v>
      </c>
      <c r="U22" s="479">
        <v>3857</v>
      </c>
      <c r="V22" s="479">
        <v>13088</v>
      </c>
      <c r="W22" s="478">
        <v>1.6871842788386598E-3</v>
      </c>
      <c r="X22" s="478">
        <v>2.6406019928494431E-3</v>
      </c>
      <c r="Y22" s="479">
        <v>3875</v>
      </c>
      <c r="Z22" s="479">
        <v>13120</v>
      </c>
      <c r="AA22" s="133">
        <v>1.70274165189724E-3</v>
      </c>
      <c r="AB22" s="478">
        <v>2.6463577512572003E-3</v>
      </c>
      <c r="AC22" s="479">
        <v>3866</v>
      </c>
      <c r="AD22" s="479">
        <v>13206</v>
      </c>
      <c r="AE22" s="478">
        <v>1.7144930094274943E-3</v>
      </c>
      <c r="AF22" s="478">
        <v>2.6500897956050528E-3</v>
      </c>
      <c r="AG22" s="479">
        <v>3866</v>
      </c>
      <c r="AH22" s="479">
        <v>13257</v>
      </c>
      <c r="AI22" s="478">
        <v>1.7435982963573066E-3</v>
      </c>
      <c r="AJ22" s="478">
        <v>2.6493160252127504E-3</v>
      </c>
      <c r="AK22" s="479">
        <v>3910</v>
      </c>
      <c r="AL22" s="479">
        <v>13292</v>
      </c>
      <c r="AM22" s="478">
        <v>1.7446925755225929E-3</v>
      </c>
      <c r="AN22" s="478">
        <v>2.6392404422133069E-3</v>
      </c>
      <c r="AO22" s="479">
        <v>3907</v>
      </c>
      <c r="AP22" s="479">
        <v>13287</v>
      </c>
      <c r="AQ22" s="478">
        <v>1.7472426606195738E-3</v>
      </c>
      <c r="AR22" s="478">
        <v>2.6282565667350303E-3</v>
      </c>
      <c r="AS22" s="479">
        <v>3908</v>
      </c>
      <c r="AT22" s="479">
        <v>13288</v>
      </c>
      <c r="AU22" s="478">
        <v>1.7472069737981578E-3</v>
      </c>
      <c r="AV22" s="478">
        <v>2.6221785400246883E-3</v>
      </c>
      <c r="AW22" s="479">
        <v>3906</v>
      </c>
      <c r="AX22" s="479">
        <v>13321</v>
      </c>
      <c r="AY22" s="478">
        <v>1.746772589189707E-3</v>
      </c>
      <c r="AZ22" s="478">
        <v>2.613984011907584E-3</v>
      </c>
      <c r="BA22" s="479">
        <v>3902</v>
      </c>
      <c r="BB22" s="479">
        <v>13354</v>
      </c>
      <c r="BC22" s="478">
        <v>1.7386645210743074E-3</v>
      </c>
      <c r="BD22" s="478">
        <v>2.6044290465222215E-3</v>
      </c>
      <c r="BE22" s="479">
        <v>3881</v>
      </c>
      <c r="BF22" s="479">
        <v>13390</v>
      </c>
      <c r="BG22" s="478">
        <v>1.7378472837003194E-3</v>
      </c>
      <c r="BH22" s="478">
        <v>2.5961066709023688E-3</v>
      </c>
      <c r="BI22" s="479">
        <v>3877</v>
      </c>
      <c r="BJ22" s="479">
        <v>13435</v>
      </c>
    </row>
    <row r="23" spans="1:62">
      <c r="A23" s="461" t="s">
        <v>1240</v>
      </c>
      <c r="B23" s="462" t="s">
        <v>104</v>
      </c>
      <c r="C23" s="478">
        <v>6.6523978811331135E-4</v>
      </c>
      <c r="D23" s="478">
        <v>7.6505474471923293E-4</v>
      </c>
      <c r="E23" s="479">
        <v>1532</v>
      </c>
      <c r="F23" s="479">
        <v>3604</v>
      </c>
      <c r="G23" s="478">
        <v>6.6975018144496646E-4</v>
      </c>
      <c r="H23" s="478">
        <v>7.9286832613386868E-4</v>
      </c>
      <c r="I23" s="479">
        <v>1542</v>
      </c>
      <c r="J23" s="479">
        <v>3791</v>
      </c>
      <c r="K23" s="478">
        <v>6.7769543585156564E-4</v>
      </c>
      <c r="L23" s="471">
        <v>8.137863231980195E-4</v>
      </c>
      <c r="M23" s="479">
        <v>1560</v>
      </c>
      <c r="N23" s="479">
        <v>3950</v>
      </c>
      <c r="O23" s="478">
        <v>6.7760018196913745E-4</v>
      </c>
      <c r="P23" s="478">
        <v>8.4042785862565705E-4</v>
      </c>
      <c r="Q23" s="479">
        <v>1558</v>
      </c>
      <c r="R23" s="479">
        <v>4127</v>
      </c>
      <c r="S23" s="478">
        <v>6.7539751408456224E-4</v>
      </c>
      <c r="T23" s="478">
        <v>8.7189382773511233E-4</v>
      </c>
      <c r="U23" s="479">
        <v>1552</v>
      </c>
      <c r="V23" s="479">
        <v>4316</v>
      </c>
      <c r="W23" s="478">
        <v>6.7661532111361995E-4</v>
      </c>
      <c r="X23" s="478">
        <v>8.7510194092297092E-4</v>
      </c>
      <c r="Y23" s="479">
        <v>1554</v>
      </c>
      <c r="Z23" s="479">
        <v>4348</v>
      </c>
      <c r="AA23" s="133">
        <v>6.8620576659490426E-4</v>
      </c>
      <c r="AB23" s="478">
        <v>8.7390323740971156E-4</v>
      </c>
      <c r="AC23" s="479">
        <v>1558</v>
      </c>
      <c r="AD23" s="479">
        <v>4361</v>
      </c>
      <c r="AE23" s="478">
        <v>6.9094156975893321E-4</v>
      </c>
      <c r="AF23" s="478">
        <v>8.9015990494299615E-4</v>
      </c>
      <c r="AG23" s="479">
        <v>1558</v>
      </c>
      <c r="AH23" s="479">
        <v>4453</v>
      </c>
      <c r="AI23" s="478">
        <v>6.943177870660681E-4</v>
      </c>
      <c r="AJ23" s="478">
        <v>8.8835401176446196E-4</v>
      </c>
      <c r="AK23" s="479">
        <v>1557</v>
      </c>
      <c r="AL23" s="479">
        <v>4457</v>
      </c>
      <c r="AM23" s="478">
        <v>6.9260767459317671E-4</v>
      </c>
      <c r="AN23" s="478">
        <v>8.8669897900505779E-4</v>
      </c>
      <c r="AO23" s="479">
        <v>1551</v>
      </c>
      <c r="AP23" s="479">
        <v>4464</v>
      </c>
      <c r="AQ23" s="478">
        <v>6.9478380107543952E-4</v>
      </c>
      <c r="AR23" s="478">
        <v>8.8966722134062055E-4</v>
      </c>
      <c r="AS23" s="479">
        <v>1554</v>
      </c>
      <c r="AT23" s="479">
        <v>4498</v>
      </c>
      <c r="AU23" s="478">
        <v>6.9646729600709978E-4</v>
      </c>
      <c r="AV23" s="478">
        <v>8.8777308126351958E-4</v>
      </c>
      <c r="AW23" s="479">
        <v>1557</v>
      </c>
      <c r="AX23" s="479">
        <v>4510</v>
      </c>
      <c r="AY23" s="478">
        <v>6.9566494197867879E-4</v>
      </c>
      <c r="AZ23" s="478">
        <v>8.8711813254194779E-4</v>
      </c>
      <c r="BA23" s="479">
        <v>1554</v>
      </c>
      <c r="BB23" s="479">
        <v>4532</v>
      </c>
      <c r="BC23" s="478">
        <v>6.970785866507659E-4</v>
      </c>
      <c r="BD23" s="478">
        <v>8.8636170014949698E-4</v>
      </c>
      <c r="BE23" s="479">
        <v>1556</v>
      </c>
      <c r="BF23" s="479">
        <v>4557</v>
      </c>
      <c r="BG23" s="478">
        <v>6.9612505328516786E-4</v>
      </c>
      <c r="BH23" s="478">
        <v>8.8559411036438827E-4</v>
      </c>
      <c r="BI23" s="479">
        <v>1553</v>
      </c>
      <c r="BJ23" s="479">
        <v>4583</v>
      </c>
    </row>
    <row r="24" spans="1:62">
      <c r="A24" s="461" t="s">
        <v>1241</v>
      </c>
      <c r="B24" s="462" t="s">
        <v>104</v>
      </c>
      <c r="C24" s="478">
        <v>1.1626498255048245E-2</v>
      </c>
      <c r="D24" s="478">
        <v>9.1560325330826732E-3</v>
      </c>
      <c r="E24" s="479">
        <v>26775</v>
      </c>
      <c r="F24" s="479">
        <v>43132</v>
      </c>
      <c r="G24" s="478">
        <v>1.1695870872859958E-2</v>
      </c>
      <c r="H24" s="478">
        <v>9.1703765486657179E-3</v>
      </c>
      <c r="I24" s="479">
        <v>26928</v>
      </c>
      <c r="J24" s="479">
        <v>43847</v>
      </c>
      <c r="K24" s="478">
        <v>1.1824047675005072E-2</v>
      </c>
      <c r="L24" s="471">
        <v>9.205468479274408E-3</v>
      </c>
      <c r="M24" s="479">
        <v>27218</v>
      </c>
      <c r="N24" s="479">
        <v>44682</v>
      </c>
      <c r="O24" s="478">
        <v>1.1889752101843568E-2</v>
      </c>
      <c r="P24" s="478">
        <v>9.2813618881951963E-3</v>
      </c>
      <c r="Q24" s="479">
        <v>27338</v>
      </c>
      <c r="R24" s="479">
        <v>45577</v>
      </c>
      <c r="S24" s="478">
        <v>1.194174174226448E-2</v>
      </c>
      <c r="T24" s="478">
        <v>9.3441726139684017E-3</v>
      </c>
      <c r="U24" s="479">
        <v>27441</v>
      </c>
      <c r="V24" s="479">
        <v>46255</v>
      </c>
      <c r="W24" s="478">
        <v>1.1989240336026151E-2</v>
      </c>
      <c r="X24" s="478">
        <v>9.3536080042442848E-3</v>
      </c>
      <c r="Y24" s="479">
        <v>27536</v>
      </c>
      <c r="Z24" s="479">
        <v>46474</v>
      </c>
      <c r="AA24" s="133">
        <v>1.2155267488116924E-2</v>
      </c>
      <c r="AB24" s="478">
        <v>9.3670563929097814E-3</v>
      </c>
      <c r="AC24" s="479">
        <v>27598</v>
      </c>
      <c r="AD24" s="479">
        <v>46744</v>
      </c>
      <c r="AE24" s="478">
        <v>1.2228069257357551E-2</v>
      </c>
      <c r="AF24" s="478">
        <v>9.3745652149577249E-3</v>
      </c>
      <c r="AG24" s="479">
        <v>27573</v>
      </c>
      <c r="AH24" s="479">
        <v>46896</v>
      </c>
      <c r="AI24" s="478">
        <v>1.2227038794839128E-2</v>
      </c>
      <c r="AJ24" s="478">
        <v>9.3561197366469843E-3</v>
      </c>
      <c r="AK24" s="479">
        <v>27419</v>
      </c>
      <c r="AL24" s="479">
        <v>46941</v>
      </c>
      <c r="AM24" s="478">
        <v>1.2206149695248157E-2</v>
      </c>
      <c r="AN24" s="478">
        <v>9.3278190085299088E-3</v>
      </c>
      <c r="AO24" s="479">
        <v>27334</v>
      </c>
      <c r="AP24" s="479">
        <v>46960</v>
      </c>
      <c r="AQ24" s="478">
        <v>1.2188671804966944E-2</v>
      </c>
      <c r="AR24" s="478">
        <v>9.2898821813975681E-3</v>
      </c>
      <c r="AS24" s="479">
        <v>27262</v>
      </c>
      <c r="AT24" s="479">
        <v>46968</v>
      </c>
      <c r="AU24" s="478">
        <v>1.2183480887183929E-2</v>
      </c>
      <c r="AV24" s="478">
        <v>9.2663037754764799E-3</v>
      </c>
      <c r="AW24" s="479">
        <v>27237</v>
      </c>
      <c r="AX24" s="479">
        <v>47074</v>
      </c>
      <c r="AY24" s="478">
        <v>1.2102063089737197E-2</v>
      </c>
      <c r="AZ24" s="478">
        <v>9.1796760687747527E-3</v>
      </c>
      <c r="BA24" s="479">
        <v>27034</v>
      </c>
      <c r="BB24" s="479">
        <v>46896</v>
      </c>
      <c r="BC24" s="478">
        <v>1.2111964440032201E-2</v>
      </c>
      <c r="BD24" s="478">
        <v>9.1557643075350272E-3</v>
      </c>
      <c r="BE24" s="479">
        <v>27036</v>
      </c>
      <c r="BF24" s="479">
        <v>47072</v>
      </c>
      <c r="BG24" s="478">
        <v>1.2114727504918371E-2</v>
      </c>
      <c r="BH24" s="478">
        <v>9.12917480908906E-3</v>
      </c>
      <c r="BI24" s="479">
        <v>27027</v>
      </c>
      <c r="BJ24" s="479">
        <v>47244</v>
      </c>
    </row>
    <row r="25" spans="1:62" s="95" customFormat="1">
      <c r="A25" s="464" t="s">
        <v>1242</v>
      </c>
      <c r="B25" s="480"/>
      <c r="C25" s="481">
        <v>1.6982286470837788E-2</v>
      </c>
      <c r="D25" s="481">
        <v>1.5919040055837958E-2</v>
      </c>
      <c r="E25" s="482">
        <v>39109</v>
      </c>
      <c r="F25" s="482">
        <v>74991</v>
      </c>
      <c r="G25" s="481">
        <v>1.7094700156492212E-2</v>
      </c>
      <c r="H25" s="481">
        <v>1.6028865342890976E-2</v>
      </c>
      <c r="I25" s="482">
        <v>39358</v>
      </c>
      <c r="J25" s="482">
        <v>76640</v>
      </c>
      <c r="K25" s="481">
        <v>1.7270807530586435E-2</v>
      </c>
      <c r="L25" s="481">
        <v>1.6150259154890115E-2</v>
      </c>
      <c r="M25" s="482">
        <v>39756</v>
      </c>
      <c r="N25" s="482">
        <v>78391</v>
      </c>
      <c r="O25" s="481">
        <v>1.74231969768072E-2</v>
      </c>
      <c r="P25" s="481">
        <v>1.6378670278992726E-2</v>
      </c>
      <c r="Q25" s="482">
        <v>40061</v>
      </c>
      <c r="R25" s="482">
        <v>80429</v>
      </c>
      <c r="S25" s="481">
        <v>1.7516382306325847E-2</v>
      </c>
      <c r="T25" s="481">
        <v>1.6540730936312156E-2</v>
      </c>
      <c r="U25" s="482">
        <v>40251</v>
      </c>
      <c r="V25" s="482">
        <v>81879</v>
      </c>
      <c r="W25" s="481">
        <v>1.7585031910641494E-2</v>
      </c>
      <c r="X25" s="481">
        <v>1.6546229453822073E-2</v>
      </c>
      <c r="Y25" s="482">
        <v>40388</v>
      </c>
      <c r="Z25" s="482">
        <v>82211</v>
      </c>
      <c r="AA25" s="481">
        <v>1.7817566162920576E-2</v>
      </c>
      <c r="AB25" s="481">
        <v>1.657931308119525E-2</v>
      </c>
      <c r="AC25" s="482">
        <v>40454</v>
      </c>
      <c r="AD25" s="482">
        <v>82735</v>
      </c>
      <c r="AE25" s="481">
        <v>1.7921463270557283E-2</v>
      </c>
      <c r="AF25" s="481">
        <v>1.6608188911402203E-2</v>
      </c>
      <c r="AG25" s="482">
        <v>40411</v>
      </c>
      <c r="AH25" s="482">
        <v>83082</v>
      </c>
      <c r="AI25" s="481">
        <v>1.7938549531346642E-2</v>
      </c>
      <c r="AJ25" s="481">
        <v>1.6579153398826103E-2</v>
      </c>
      <c r="AK25" s="482">
        <v>40227</v>
      </c>
      <c r="AL25" s="482">
        <v>83180</v>
      </c>
      <c r="AM25" s="481">
        <v>1.7914469427243371E-2</v>
      </c>
      <c r="AN25" s="481">
        <v>1.6536618145190203E-2</v>
      </c>
      <c r="AO25" s="482">
        <v>40117</v>
      </c>
      <c r="AP25" s="482">
        <v>83252</v>
      </c>
      <c r="AQ25" s="481">
        <v>1.79038721454736E-2</v>
      </c>
      <c r="AR25" s="481">
        <v>1.6480007310382502E-2</v>
      </c>
      <c r="AS25" s="482">
        <v>40045</v>
      </c>
      <c r="AT25" s="482">
        <v>83320</v>
      </c>
      <c r="AU25" s="481">
        <v>1.7897017670676984E-2</v>
      </c>
      <c r="AV25" s="481">
        <v>1.6436793804564333E-2</v>
      </c>
      <c r="AW25" s="482">
        <v>40010</v>
      </c>
      <c r="AX25" s="482">
        <v>83501</v>
      </c>
      <c r="AY25" s="481">
        <v>1.7812872397859465E-2</v>
      </c>
      <c r="AZ25" s="481">
        <v>1.6319880861522463E-2</v>
      </c>
      <c r="BA25" s="482">
        <v>39791</v>
      </c>
      <c r="BB25" s="482">
        <v>83373</v>
      </c>
      <c r="BC25" s="481">
        <v>1.7815375421170312E-2</v>
      </c>
      <c r="BD25" s="481">
        <v>1.6274472199519104E-2</v>
      </c>
      <c r="BE25" s="482">
        <v>39767</v>
      </c>
      <c r="BF25" s="482">
        <v>83671</v>
      </c>
      <c r="BG25" s="481">
        <v>1.7814615578050499E-2</v>
      </c>
      <c r="BH25" s="481">
        <v>1.6234603792769819E-2</v>
      </c>
      <c r="BI25" s="482">
        <v>39743</v>
      </c>
      <c r="BJ25" s="482">
        <v>84015</v>
      </c>
    </row>
    <row r="26" spans="1:62" s="95" customFormat="1">
      <c r="A26" s="466" t="s">
        <v>1243</v>
      </c>
      <c r="B26" s="74"/>
      <c r="C26" s="483"/>
      <c r="D26" s="74"/>
      <c r="E26" s="484"/>
      <c r="F26" s="484"/>
      <c r="G26" s="483"/>
      <c r="H26" s="74"/>
      <c r="I26" s="484"/>
      <c r="J26" s="484"/>
      <c r="K26" s="483"/>
      <c r="L26" s="74"/>
      <c r="M26" s="484"/>
      <c r="N26" s="484"/>
      <c r="O26" s="483"/>
      <c r="P26" s="74"/>
      <c r="Q26" s="484"/>
      <c r="R26" s="484"/>
      <c r="S26" s="483"/>
      <c r="T26" s="483"/>
      <c r="U26" s="484"/>
      <c r="V26" s="484"/>
      <c r="W26" s="483"/>
      <c r="X26" s="483"/>
      <c r="Y26" s="484"/>
      <c r="Z26" s="484"/>
      <c r="AA26" s="483"/>
      <c r="AB26" s="483"/>
      <c r="AC26" s="484"/>
      <c r="AD26" s="484"/>
      <c r="AE26" s="483"/>
      <c r="AF26" s="483"/>
      <c r="AG26" s="484"/>
      <c r="AH26" s="484"/>
      <c r="AI26" s="483"/>
      <c r="AJ26" s="483"/>
      <c r="AK26" s="484"/>
      <c r="AL26" s="484"/>
      <c r="AM26" s="483"/>
      <c r="AN26" s="483"/>
      <c r="AO26" s="484"/>
      <c r="AP26" s="484"/>
      <c r="AQ26" s="483"/>
      <c r="AR26" s="483"/>
      <c r="AS26" s="484"/>
      <c r="AT26" s="484"/>
      <c r="AU26" s="483"/>
      <c r="AV26" s="483"/>
      <c r="AW26" s="484"/>
      <c r="AX26" s="484"/>
      <c r="AY26" s="483"/>
      <c r="AZ26" s="483"/>
      <c r="BA26" s="484"/>
      <c r="BB26" s="484"/>
      <c r="BC26" s="483"/>
      <c r="BD26" s="483"/>
      <c r="BE26" s="484"/>
      <c r="BF26" s="484"/>
      <c r="BG26" s="483"/>
      <c r="BH26" s="483"/>
      <c r="BI26" s="484"/>
      <c r="BJ26" s="484"/>
    </row>
    <row r="27" spans="1:62">
      <c r="A27" s="461" t="s">
        <v>1244</v>
      </c>
      <c r="B27" s="462" t="s">
        <v>104</v>
      </c>
      <c r="C27" s="478">
        <v>3.330541236833615E-3</v>
      </c>
      <c r="D27" s="478">
        <v>3.9483957413367736E-3</v>
      </c>
      <c r="E27" s="479">
        <v>7670</v>
      </c>
      <c r="F27" s="479">
        <v>18600</v>
      </c>
      <c r="G27" s="478">
        <v>3.3179128638509072E-3</v>
      </c>
      <c r="H27" s="478">
        <v>4.0153729869280251E-3</v>
      </c>
      <c r="I27" s="479">
        <v>7639</v>
      </c>
      <c r="J27" s="479">
        <v>19199</v>
      </c>
      <c r="K27" s="478">
        <v>3.3150601737072416E-3</v>
      </c>
      <c r="L27" s="471">
        <v>4.0576004140215173E-3</v>
      </c>
      <c r="M27" s="479">
        <v>7631</v>
      </c>
      <c r="N27" s="479">
        <v>19695</v>
      </c>
      <c r="O27" s="478">
        <v>3.3401600754319485E-3</v>
      </c>
      <c r="P27" s="478">
        <v>4.1153880772875949E-3</v>
      </c>
      <c r="Q27" s="479">
        <v>7680</v>
      </c>
      <c r="R27" s="479">
        <v>20209</v>
      </c>
      <c r="S27" s="478">
        <v>3.3521823782173858E-3</v>
      </c>
      <c r="T27" s="478">
        <v>4.1261425930235567E-3</v>
      </c>
      <c r="U27" s="479">
        <v>7703</v>
      </c>
      <c r="V27" s="479">
        <v>20425</v>
      </c>
      <c r="W27" s="478">
        <v>3.3469382068213624E-3</v>
      </c>
      <c r="X27" s="478">
        <v>4.1197013865575645E-3</v>
      </c>
      <c r="Y27" s="479">
        <v>7687</v>
      </c>
      <c r="Z27" s="479">
        <v>20469</v>
      </c>
      <c r="AA27" s="133">
        <v>3.3865443769885875E-3</v>
      </c>
      <c r="AB27" s="478">
        <v>4.1290475136040146E-3</v>
      </c>
      <c r="AC27" s="479">
        <v>7689</v>
      </c>
      <c r="AD27" s="479">
        <v>20605</v>
      </c>
      <c r="AE27" s="478">
        <v>3.4130207450993261E-3</v>
      </c>
      <c r="AF27" s="478">
        <v>4.1453505386936694E-3</v>
      </c>
      <c r="AG27" s="479">
        <v>7696</v>
      </c>
      <c r="AH27" s="479">
        <v>20737</v>
      </c>
      <c r="AI27" s="478">
        <v>3.4385898882893073E-3</v>
      </c>
      <c r="AJ27" s="478">
        <v>4.1529603296217932E-3</v>
      </c>
      <c r="AK27" s="479">
        <v>7711</v>
      </c>
      <c r="AL27" s="479">
        <v>20836</v>
      </c>
      <c r="AM27" s="478">
        <v>3.4616987062838851E-3</v>
      </c>
      <c r="AN27" s="478">
        <v>4.1635522623039911E-3</v>
      </c>
      <c r="AO27" s="479">
        <v>7752</v>
      </c>
      <c r="AP27" s="479">
        <v>20961</v>
      </c>
      <c r="AQ27" s="478">
        <v>3.4636358474462226E-3</v>
      </c>
      <c r="AR27" s="478">
        <v>4.171229886805768E-3</v>
      </c>
      <c r="AS27" s="479">
        <v>7747</v>
      </c>
      <c r="AT27" s="479">
        <v>21089</v>
      </c>
      <c r="AU27" s="478">
        <v>3.4639966218875918E-3</v>
      </c>
      <c r="AV27" s="478">
        <v>4.1961549386462186E-3</v>
      </c>
      <c r="AW27" s="479">
        <v>7744</v>
      </c>
      <c r="AX27" s="479">
        <v>21317</v>
      </c>
      <c r="AY27" s="478">
        <v>3.4675808497856152E-3</v>
      </c>
      <c r="AZ27" s="478">
        <v>4.2572666073819113E-3</v>
      </c>
      <c r="BA27" s="479">
        <v>7746</v>
      </c>
      <c r="BB27" s="479">
        <v>21749</v>
      </c>
      <c r="BC27" s="478">
        <v>3.4652332054907931E-3</v>
      </c>
      <c r="BD27" s="478">
        <v>4.2839842979575755E-3</v>
      </c>
      <c r="BE27" s="479">
        <v>7735</v>
      </c>
      <c r="BF27" s="479">
        <v>22025</v>
      </c>
      <c r="BG27" s="478">
        <v>3.4662814147161645E-3</v>
      </c>
      <c r="BH27" s="478">
        <v>4.2930928103787069E-3</v>
      </c>
      <c r="BI27" s="479">
        <v>7733</v>
      </c>
      <c r="BJ27" s="479">
        <v>22217</v>
      </c>
    </row>
    <row r="28" spans="1:62">
      <c r="A28" s="461" t="s">
        <v>1245</v>
      </c>
      <c r="B28" s="462" t="s">
        <v>104</v>
      </c>
      <c r="C28" s="478">
        <v>1.7877233731478479E-3</v>
      </c>
      <c r="D28" s="478">
        <v>1.1452470443285966E-3</v>
      </c>
      <c r="E28" s="479">
        <v>4117</v>
      </c>
      <c r="F28" s="479">
        <v>5395</v>
      </c>
      <c r="G28" s="478">
        <v>1.7816570974625503E-3</v>
      </c>
      <c r="H28" s="478">
        <v>1.1258270112314995E-3</v>
      </c>
      <c r="I28" s="479">
        <v>4102</v>
      </c>
      <c r="J28" s="479">
        <v>5383</v>
      </c>
      <c r="K28" s="478">
        <v>1.7711309563889954E-3</v>
      </c>
      <c r="L28" s="471">
        <v>1.127557606800699E-3</v>
      </c>
      <c r="M28" s="479">
        <v>4077</v>
      </c>
      <c r="N28" s="479">
        <v>5473</v>
      </c>
      <c r="O28" s="478">
        <v>1.7435809560425366E-3</v>
      </c>
      <c r="P28" s="478">
        <v>1.1029215610168545E-3</v>
      </c>
      <c r="Q28" s="479">
        <v>4009</v>
      </c>
      <c r="R28" s="479">
        <v>5416</v>
      </c>
      <c r="S28" s="478">
        <v>1.7437614941603356E-3</v>
      </c>
      <c r="T28" s="478">
        <v>1.096331743076565E-3</v>
      </c>
      <c r="U28" s="479">
        <v>4007</v>
      </c>
      <c r="V28" s="479">
        <v>5427</v>
      </c>
      <c r="W28" s="478">
        <v>1.7503176260468161E-3</v>
      </c>
      <c r="X28" s="478">
        <v>1.0962926109032711E-3</v>
      </c>
      <c r="Y28" s="479">
        <v>4020</v>
      </c>
      <c r="Z28" s="479">
        <v>5447</v>
      </c>
      <c r="AA28" s="133">
        <v>1.7652841543725137E-3</v>
      </c>
      <c r="AB28" s="478">
        <v>1.0987414470803596E-3</v>
      </c>
      <c r="AC28" s="479">
        <v>4008</v>
      </c>
      <c r="AD28" s="479">
        <v>5483</v>
      </c>
      <c r="AE28" s="478">
        <v>1.7756932254908656E-3</v>
      </c>
      <c r="AF28" s="478">
        <v>1.0988567252350437E-3</v>
      </c>
      <c r="AG28" s="479">
        <v>4004</v>
      </c>
      <c r="AH28" s="479">
        <v>5497</v>
      </c>
      <c r="AI28" s="478">
        <v>1.7792729418070724E-3</v>
      </c>
      <c r="AJ28" s="478">
        <v>1.0970384744787075E-3</v>
      </c>
      <c r="AK28" s="479">
        <v>3990</v>
      </c>
      <c r="AL28" s="479">
        <v>5504</v>
      </c>
      <c r="AM28" s="478">
        <v>1.7777376870118868E-3</v>
      </c>
      <c r="AN28" s="478">
        <v>1.097448893145821E-3</v>
      </c>
      <c r="AO28" s="479">
        <v>3981</v>
      </c>
      <c r="AP28" s="479">
        <v>5525</v>
      </c>
      <c r="AQ28" s="478">
        <v>1.7664676950122659E-3</v>
      </c>
      <c r="AR28" s="478">
        <v>1.0933927077747777E-3</v>
      </c>
      <c r="AS28" s="479">
        <v>3951</v>
      </c>
      <c r="AT28" s="479">
        <v>5528</v>
      </c>
      <c r="AU28" s="478">
        <v>1.7592844413589746E-3</v>
      </c>
      <c r="AV28" s="478">
        <v>1.0924923727300519E-3</v>
      </c>
      <c r="AW28" s="479">
        <v>3933</v>
      </c>
      <c r="AX28" s="479">
        <v>5550</v>
      </c>
      <c r="AY28" s="478">
        <v>1.7499062150544758E-3</v>
      </c>
      <c r="AZ28" s="478">
        <v>1.087757162960195E-3</v>
      </c>
      <c r="BA28" s="479">
        <v>3909</v>
      </c>
      <c r="BB28" s="479">
        <v>5557</v>
      </c>
      <c r="BC28" s="478">
        <v>1.7444884424280735E-3</v>
      </c>
      <c r="BD28" s="478">
        <v>1.0826177799061005E-3</v>
      </c>
      <c r="BE28" s="479">
        <v>3894</v>
      </c>
      <c r="BF28" s="479">
        <v>5566</v>
      </c>
      <c r="BG28" s="478">
        <v>1.7418814919936655E-3</v>
      </c>
      <c r="BH28" s="478">
        <v>1.0767031165067362E-3</v>
      </c>
      <c r="BI28" s="479">
        <v>3886</v>
      </c>
      <c r="BJ28" s="479">
        <v>5572</v>
      </c>
    </row>
    <row r="29" spans="1:62" s="95" customFormat="1">
      <c r="A29" s="464" t="s">
        <v>1246</v>
      </c>
      <c r="B29" s="480"/>
      <c r="C29" s="481">
        <v>5.1182646099814629E-3</v>
      </c>
      <c r="D29" s="481">
        <v>5.0936427856653702E-3</v>
      </c>
      <c r="E29" s="482">
        <v>11787</v>
      </c>
      <c r="F29" s="482">
        <v>23995</v>
      </c>
      <c r="G29" s="481">
        <v>5.0995699613134576E-3</v>
      </c>
      <c r="H29" s="481">
        <v>5.1411999981595246E-3</v>
      </c>
      <c r="I29" s="482">
        <v>11741</v>
      </c>
      <c r="J29" s="482">
        <v>24582</v>
      </c>
      <c r="K29" s="481">
        <v>5.0861911300962371E-3</v>
      </c>
      <c r="L29" s="481">
        <v>5.185158020822216E-3</v>
      </c>
      <c r="M29" s="482">
        <v>11708</v>
      </c>
      <c r="N29" s="482">
        <v>25168</v>
      </c>
      <c r="O29" s="481">
        <v>5.0837410314744855E-3</v>
      </c>
      <c r="P29" s="481">
        <v>5.2183096383044492E-3</v>
      </c>
      <c r="Q29" s="482">
        <v>11689</v>
      </c>
      <c r="R29" s="482">
        <v>25625</v>
      </c>
      <c r="S29" s="481">
        <v>5.0959438723777216E-3</v>
      </c>
      <c r="T29" s="481">
        <v>5.2224743361001212E-3</v>
      </c>
      <c r="U29" s="482">
        <v>11710</v>
      </c>
      <c r="V29" s="482">
        <v>25852</v>
      </c>
      <c r="W29" s="481">
        <v>5.0972558328681783E-3</v>
      </c>
      <c r="X29" s="481">
        <v>5.2159939974608356E-3</v>
      </c>
      <c r="Y29" s="482">
        <v>11707</v>
      </c>
      <c r="Z29" s="482">
        <v>25916</v>
      </c>
      <c r="AA29" s="481">
        <v>5.1518285313611016E-3</v>
      </c>
      <c r="AB29" s="481">
        <v>5.2277889606843746E-3</v>
      </c>
      <c r="AC29" s="482">
        <v>11697</v>
      </c>
      <c r="AD29" s="482">
        <v>26088</v>
      </c>
      <c r="AE29" s="481">
        <v>5.1887139705901917E-3</v>
      </c>
      <c r="AF29" s="481">
        <v>5.2442072639287129E-3</v>
      </c>
      <c r="AG29" s="482">
        <v>11700</v>
      </c>
      <c r="AH29" s="482">
        <v>26234</v>
      </c>
      <c r="AI29" s="481">
        <v>5.2178628300963798E-3</v>
      </c>
      <c r="AJ29" s="481">
        <v>5.2499988041005002E-3</v>
      </c>
      <c r="AK29" s="482">
        <v>11701</v>
      </c>
      <c r="AL29" s="482">
        <v>26340</v>
      </c>
      <c r="AM29" s="481">
        <v>5.2394363932957719E-3</v>
      </c>
      <c r="AN29" s="481">
        <v>5.2610011554498123E-3</v>
      </c>
      <c r="AO29" s="482">
        <v>11733</v>
      </c>
      <c r="AP29" s="482">
        <v>26486</v>
      </c>
      <c r="AQ29" s="481">
        <v>5.2301035424584886E-3</v>
      </c>
      <c r="AR29" s="481">
        <v>5.2646225945805463E-3</v>
      </c>
      <c r="AS29" s="482">
        <v>11698</v>
      </c>
      <c r="AT29" s="482">
        <v>26617</v>
      </c>
      <c r="AU29" s="481">
        <v>5.2232810632465666E-3</v>
      </c>
      <c r="AV29" s="481">
        <v>5.2886473113762707E-3</v>
      </c>
      <c r="AW29" s="482">
        <v>11677</v>
      </c>
      <c r="AX29" s="482">
        <v>26867</v>
      </c>
      <c r="AY29" s="481">
        <v>5.2174870648400914E-3</v>
      </c>
      <c r="AZ29" s="481">
        <v>5.345023770342106E-3</v>
      </c>
      <c r="BA29" s="482">
        <v>11655</v>
      </c>
      <c r="BB29" s="482">
        <v>27306</v>
      </c>
      <c r="BC29" s="481">
        <v>5.2097216479188666E-3</v>
      </c>
      <c r="BD29" s="481">
        <v>5.3666020778636763E-3</v>
      </c>
      <c r="BE29" s="482">
        <v>11629</v>
      </c>
      <c r="BF29" s="482">
        <v>27591</v>
      </c>
      <c r="BG29" s="481">
        <v>5.2081629067098302E-3</v>
      </c>
      <c r="BH29" s="481">
        <v>5.3697959268854435E-3</v>
      </c>
      <c r="BI29" s="482">
        <v>11619</v>
      </c>
      <c r="BJ29" s="482">
        <v>27789</v>
      </c>
    </row>
    <row r="30" spans="1:62" s="95" customFormat="1">
      <c r="A30" s="486" t="s">
        <v>1247</v>
      </c>
      <c r="B30" s="74"/>
      <c r="C30" s="483"/>
      <c r="D30" s="74"/>
      <c r="E30" s="484"/>
      <c r="F30" s="484"/>
      <c r="G30" s="483"/>
      <c r="H30" s="74"/>
      <c r="I30" s="484"/>
      <c r="J30" s="484"/>
      <c r="K30" s="483"/>
      <c r="L30" s="74"/>
      <c r="M30" s="484"/>
      <c r="N30" s="484"/>
      <c r="O30" s="483"/>
      <c r="P30" s="74"/>
      <c r="Q30" s="484"/>
      <c r="R30" s="484"/>
      <c r="S30" s="483"/>
      <c r="T30" s="483"/>
      <c r="U30" s="484"/>
      <c r="V30" s="484"/>
      <c r="W30" s="483"/>
      <c r="X30" s="483"/>
      <c r="Y30" s="484"/>
      <c r="Z30" s="484"/>
      <c r="AA30" s="483"/>
      <c r="AB30" s="483"/>
      <c r="AC30" s="484"/>
      <c r="AD30" s="484"/>
      <c r="AE30" s="483"/>
      <c r="AF30" s="483"/>
      <c r="AG30" s="484"/>
      <c r="AH30" s="484"/>
      <c r="AI30" s="483"/>
      <c r="AJ30" s="483"/>
      <c r="AK30" s="484"/>
      <c r="AL30" s="484"/>
      <c r="AM30" s="483"/>
      <c r="AN30" s="483"/>
      <c r="AO30" s="484"/>
      <c r="AP30" s="484"/>
      <c r="AQ30" s="483"/>
      <c r="AR30" s="483"/>
      <c r="AS30" s="484"/>
      <c r="AT30" s="484"/>
      <c r="AU30" s="483"/>
      <c r="AV30" s="483"/>
      <c r="AW30" s="484"/>
      <c r="AX30" s="484"/>
      <c r="AY30" s="483"/>
      <c r="AZ30" s="483"/>
      <c r="BA30" s="484"/>
      <c r="BB30" s="484"/>
      <c r="BC30" s="483"/>
      <c r="BD30" s="483"/>
      <c r="BE30" s="484"/>
      <c r="BF30" s="484"/>
      <c r="BG30" s="483"/>
      <c r="BH30" s="483"/>
      <c r="BI30" s="484"/>
      <c r="BJ30" s="484"/>
    </row>
    <row r="31" spans="1:62">
      <c r="A31" s="461" t="s">
        <v>1248</v>
      </c>
      <c r="B31" s="462" t="s">
        <v>104</v>
      </c>
      <c r="C31" s="478">
        <v>2.4447127983537488E-4</v>
      </c>
      <c r="D31" s="478">
        <v>1.8856773854997078E-3</v>
      </c>
      <c r="E31" s="479">
        <v>563</v>
      </c>
      <c r="F31" s="479">
        <v>8883</v>
      </c>
      <c r="G31" s="478">
        <v>2.4105794468349962E-4</v>
      </c>
      <c r="H31" s="478">
        <v>1.8597164748041044E-3</v>
      </c>
      <c r="I31" s="479">
        <v>555</v>
      </c>
      <c r="J31" s="479">
        <v>8892</v>
      </c>
      <c r="K31" s="478">
        <v>2.3979992345516936E-4</v>
      </c>
      <c r="L31" s="471">
        <v>1.8325643911003503E-3</v>
      </c>
      <c r="M31" s="479">
        <v>552</v>
      </c>
      <c r="N31" s="479">
        <v>8895</v>
      </c>
      <c r="O31" s="478">
        <v>2.3485500530380887E-4</v>
      </c>
      <c r="P31" s="478">
        <v>1.8232010221166726E-3</v>
      </c>
      <c r="Q31" s="479">
        <v>540</v>
      </c>
      <c r="R31" s="479">
        <v>8953</v>
      </c>
      <c r="S31" s="478">
        <v>2.336910213037435E-4</v>
      </c>
      <c r="T31" s="478">
        <v>1.8136846120032064E-3</v>
      </c>
      <c r="U31" s="479">
        <v>537</v>
      </c>
      <c r="V31" s="479">
        <v>8978</v>
      </c>
      <c r="W31" s="478">
        <v>2.3119867150021378E-4</v>
      </c>
      <c r="X31" s="478">
        <v>1.8073632542521341E-3</v>
      </c>
      <c r="Y31" s="479">
        <v>531</v>
      </c>
      <c r="Z31" s="479">
        <v>8980</v>
      </c>
      <c r="AA31" s="133">
        <v>2.3475460436141461E-4</v>
      </c>
      <c r="AB31" s="478">
        <v>1.8039158319564832E-3</v>
      </c>
      <c r="AC31" s="479">
        <v>533</v>
      </c>
      <c r="AD31" s="479">
        <v>9002</v>
      </c>
      <c r="AE31" s="478">
        <v>2.3637474754910874E-4</v>
      </c>
      <c r="AF31" s="478">
        <v>1.8009096302787902E-3</v>
      </c>
      <c r="AG31" s="479">
        <v>533</v>
      </c>
      <c r="AH31" s="479">
        <v>9009</v>
      </c>
      <c r="AI31" s="478">
        <v>2.1404787269859517E-4</v>
      </c>
      <c r="AJ31" s="478">
        <v>1.7976362647753384E-3</v>
      </c>
      <c r="AK31" s="479">
        <v>480</v>
      </c>
      <c r="AL31" s="479">
        <v>9019</v>
      </c>
      <c r="AM31" s="478">
        <v>2.1166733575574839E-4</v>
      </c>
      <c r="AN31" s="478">
        <v>1.7974325853532187E-3</v>
      </c>
      <c r="AO31" s="479">
        <v>474</v>
      </c>
      <c r="AP31" s="479">
        <v>9049</v>
      </c>
      <c r="AQ31" s="478">
        <v>2.1505212890430271E-4</v>
      </c>
      <c r="AR31" s="478">
        <v>1.7971356987774294E-3</v>
      </c>
      <c r="AS31" s="479">
        <v>481</v>
      </c>
      <c r="AT31" s="479">
        <v>9086</v>
      </c>
      <c r="AU31" s="478">
        <v>2.1560516164124732E-4</v>
      </c>
      <c r="AV31" s="478">
        <v>1.7944433278931807E-3</v>
      </c>
      <c r="AW31" s="479">
        <v>482</v>
      </c>
      <c r="AX31" s="479">
        <v>9116</v>
      </c>
      <c r="AY31" s="478">
        <v>2.1487720215557647E-4</v>
      </c>
      <c r="AZ31" s="478">
        <v>1.7897001513307654E-3</v>
      </c>
      <c r="BA31" s="479">
        <v>480</v>
      </c>
      <c r="BB31" s="479">
        <v>9143</v>
      </c>
      <c r="BC31" s="478">
        <v>2.1638107798992282E-4</v>
      </c>
      <c r="BD31" s="478">
        <v>1.7824486767983301E-3</v>
      </c>
      <c r="BE31" s="479">
        <v>483</v>
      </c>
      <c r="BF31" s="479">
        <v>9164</v>
      </c>
      <c r="BG31" s="478">
        <v>2.1112356735177983E-4</v>
      </c>
      <c r="BH31" s="478">
        <v>1.7595941455330829E-3</v>
      </c>
      <c r="BI31" s="479">
        <v>471</v>
      </c>
      <c r="BJ31" s="479">
        <v>9106</v>
      </c>
    </row>
    <row r="32" spans="1:62">
      <c r="A32" s="461" t="s">
        <v>1249</v>
      </c>
      <c r="B32" s="462" t="s">
        <v>104</v>
      </c>
      <c r="C32" s="478">
        <v>1.1932630141875846E-2</v>
      </c>
      <c r="D32" s="478">
        <v>7.3701264378210462E-3</v>
      </c>
      <c r="E32" s="479">
        <v>27480</v>
      </c>
      <c r="F32" s="479">
        <v>34719</v>
      </c>
      <c r="G32" s="478">
        <v>1.1935191462987181E-2</v>
      </c>
      <c r="H32" s="478">
        <v>7.2702951076406069E-3</v>
      </c>
      <c r="I32" s="479">
        <v>27479</v>
      </c>
      <c r="J32" s="479">
        <v>34762</v>
      </c>
      <c r="K32" s="478">
        <v>1.1933087132952984E-2</v>
      </c>
      <c r="L32" s="471">
        <v>7.2039661679152277E-3</v>
      </c>
      <c r="M32" s="479">
        <v>27469</v>
      </c>
      <c r="N32" s="479">
        <v>34967</v>
      </c>
      <c r="O32" s="478">
        <v>1.1926285102668605E-2</v>
      </c>
      <c r="P32" s="478">
        <v>7.1311128551861547E-3</v>
      </c>
      <c r="Q32" s="479">
        <v>27422</v>
      </c>
      <c r="R32" s="479">
        <v>35018</v>
      </c>
      <c r="S32" s="478">
        <v>1.192433458983962E-2</v>
      </c>
      <c r="T32" s="478">
        <v>7.0870665580637657E-3</v>
      </c>
      <c r="U32" s="479">
        <v>27401</v>
      </c>
      <c r="V32" s="479">
        <v>35082</v>
      </c>
      <c r="W32" s="478">
        <v>1.1923929976845301E-2</v>
      </c>
      <c r="X32" s="478">
        <v>7.0702520889335428E-3</v>
      </c>
      <c r="Y32" s="479">
        <v>27386</v>
      </c>
      <c r="Z32" s="479">
        <v>35129</v>
      </c>
      <c r="AA32" s="133">
        <v>1.1573886479191844E-2</v>
      </c>
      <c r="AB32" s="478">
        <v>7.0569540033525342E-3</v>
      </c>
      <c r="AC32" s="479">
        <v>26278</v>
      </c>
      <c r="AD32" s="479">
        <v>35216</v>
      </c>
      <c r="AE32" s="478">
        <v>1.1636467168744962E-2</v>
      </c>
      <c r="AF32" s="478">
        <v>7.0393197603105025E-3</v>
      </c>
      <c r="AG32" s="479">
        <v>26239</v>
      </c>
      <c r="AH32" s="479">
        <v>35214</v>
      </c>
      <c r="AI32" s="478">
        <v>1.1701729640591326E-2</v>
      </c>
      <c r="AJ32" s="478">
        <v>7.0436487372098552E-3</v>
      </c>
      <c r="AK32" s="479">
        <v>26241</v>
      </c>
      <c r="AL32" s="479">
        <v>35339</v>
      </c>
      <c r="AM32" s="478">
        <v>1.1710473022908747E-2</v>
      </c>
      <c r="AN32" s="478">
        <v>7.0234742828494262E-3</v>
      </c>
      <c r="AO32" s="479">
        <v>26224</v>
      </c>
      <c r="AP32" s="479">
        <v>35359</v>
      </c>
      <c r="AQ32" s="478">
        <v>1.1722352947488383E-2</v>
      </c>
      <c r="AR32" s="478">
        <v>6.9929267697860465E-3</v>
      </c>
      <c r="AS32" s="479">
        <v>26219</v>
      </c>
      <c r="AT32" s="479">
        <v>35355</v>
      </c>
      <c r="AU32" s="478">
        <v>1.1727221001553073E-2</v>
      </c>
      <c r="AV32" s="478">
        <v>7.0191158606861597E-3</v>
      </c>
      <c r="AW32" s="479">
        <v>26217</v>
      </c>
      <c r="AX32" s="479">
        <v>35658</v>
      </c>
      <c r="AY32" s="478">
        <v>1.1726027985964938E-2</v>
      </c>
      <c r="AZ32" s="478">
        <v>7.0345022791615131E-3</v>
      </c>
      <c r="BA32" s="479">
        <v>26194</v>
      </c>
      <c r="BB32" s="479">
        <v>35937</v>
      </c>
      <c r="BC32" s="478">
        <v>1.1739681467341464E-2</v>
      </c>
      <c r="BD32" s="478">
        <v>6.9986979799822688E-3</v>
      </c>
      <c r="BE32" s="479">
        <v>26205</v>
      </c>
      <c r="BF32" s="479">
        <v>35982</v>
      </c>
      <c r="BG32" s="478">
        <v>1.1728339999489001E-2</v>
      </c>
      <c r="BH32" s="478">
        <v>6.9560586482429083E-3</v>
      </c>
      <c r="BI32" s="479">
        <v>26165</v>
      </c>
      <c r="BJ32" s="479">
        <v>35998</v>
      </c>
    </row>
    <row r="33" spans="1:62">
      <c r="A33" s="461" t="s">
        <v>1250</v>
      </c>
      <c r="B33" s="462" t="s">
        <v>104</v>
      </c>
      <c r="C33" s="478">
        <v>7.2060406551830297E-3</v>
      </c>
      <c r="D33" s="478">
        <v>4.93167364853419E-3</v>
      </c>
      <c r="E33" s="479">
        <v>16595</v>
      </c>
      <c r="F33" s="479">
        <v>23232</v>
      </c>
      <c r="G33" s="478">
        <v>7.1904761697933984E-3</v>
      </c>
      <c r="H33" s="478">
        <v>4.8688933348447535E-3</v>
      </c>
      <c r="I33" s="479">
        <v>16555</v>
      </c>
      <c r="J33" s="479">
        <v>23280</v>
      </c>
      <c r="K33" s="478">
        <v>7.1622850326184375E-3</v>
      </c>
      <c r="L33" s="471">
        <v>4.8139066399607404E-3</v>
      </c>
      <c r="M33" s="479">
        <v>16487</v>
      </c>
      <c r="N33" s="479">
        <v>23366</v>
      </c>
      <c r="O33" s="478">
        <v>7.1469857447360946E-3</v>
      </c>
      <c r="P33" s="478">
        <v>4.7713168712379805E-3</v>
      </c>
      <c r="Q33" s="479">
        <v>16433</v>
      </c>
      <c r="R33" s="479">
        <v>23430</v>
      </c>
      <c r="S33" s="478">
        <v>7.1312751696544592E-3</v>
      </c>
      <c r="T33" s="478">
        <v>4.7538011015437129E-3</v>
      </c>
      <c r="U33" s="479">
        <v>16387</v>
      </c>
      <c r="V33" s="479">
        <v>23532</v>
      </c>
      <c r="W33" s="478">
        <v>7.1218769674745701E-3</v>
      </c>
      <c r="X33" s="478">
        <v>4.7448317059013432E-3</v>
      </c>
      <c r="Y33" s="479">
        <v>16357</v>
      </c>
      <c r="Z33" s="479">
        <v>23575</v>
      </c>
      <c r="AA33" s="133">
        <v>7.0003558756478873E-3</v>
      </c>
      <c r="AB33" s="478">
        <v>4.7282152916033353E-3</v>
      </c>
      <c r="AC33" s="479">
        <v>15894</v>
      </c>
      <c r="AD33" s="479">
        <v>23595</v>
      </c>
      <c r="AE33" s="478">
        <v>6.9963377435923822E-3</v>
      </c>
      <c r="AF33" s="478">
        <v>4.7118704512489028E-3</v>
      </c>
      <c r="AG33" s="479">
        <v>15776</v>
      </c>
      <c r="AH33" s="479">
        <v>23571</v>
      </c>
      <c r="AI33" s="478">
        <v>7.003378834857161E-3</v>
      </c>
      <c r="AJ33" s="478">
        <v>4.7048679487772327E-3</v>
      </c>
      <c r="AK33" s="479">
        <v>15705</v>
      </c>
      <c r="AL33" s="479">
        <v>23605</v>
      </c>
      <c r="AM33" s="478">
        <v>6.965373635270387E-3</v>
      </c>
      <c r="AN33" s="478">
        <v>4.6801974335387931E-3</v>
      </c>
      <c r="AO33" s="479">
        <v>15598</v>
      </c>
      <c r="AP33" s="479">
        <v>23562</v>
      </c>
      <c r="AQ33" s="478">
        <v>6.9402374157619354E-3</v>
      </c>
      <c r="AR33" s="478">
        <v>4.657204178231714E-3</v>
      </c>
      <c r="AS33" s="479">
        <v>15523</v>
      </c>
      <c r="AT33" s="479">
        <v>23546</v>
      </c>
      <c r="AU33" s="478">
        <v>6.9172577170544579E-3</v>
      </c>
      <c r="AV33" s="478">
        <v>4.6494900619610492E-3</v>
      </c>
      <c r="AW33" s="479">
        <v>15464</v>
      </c>
      <c r="AX33" s="479">
        <v>23620</v>
      </c>
      <c r="AY33" s="478">
        <v>6.9091973709774317E-3</v>
      </c>
      <c r="AZ33" s="478">
        <v>4.6327062760084456E-3</v>
      </c>
      <c r="BA33" s="479">
        <v>15434</v>
      </c>
      <c r="BB33" s="479">
        <v>23667</v>
      </c>
      <c r="BC33" s="478">
        <v>6.9067227316162326E-3</v>
      </c>
      <c r="BD33" s="478">
        <v>4.611142599395243E-3</v>
      </c>
      <c r="BE33" s="479">
        <v>15417</v>
      </c>
      <c r="BF33" s="479">
        <v>23707</v>
      </c>
      <c r="BG33" s="478">
        <v>6.914184769429307E-3</v>
      </c>
      <c r="BH33" s="478">
        <v>4.5916402466678148E-3</v>
      </c>
      <c r="BI33" s="479">
        <v>15425</v>
      </c>
      <c r="BJ33" s="479">
        <v>23762</v>
      </c>
    </row>
    <row r="34" spans="1:62">
      <c r="A34" s="461" t="s">
        <v>1251</v>
      </c>
      <c r="B34" s="462" t="s">
        <v>104</v>
      </c>
      <c r="C34" s="478">
        <v>1.7968421953086699E-3</v>
      </c>
      <c r="D34" s="478">
        <v>1.1526768212612195E-3</v>
      </c>
      <c r="E34" s="479">
        <v>4138</v>
      </c>
      <c r="F34" s="479">
        <v>5430</v>
      </c>
      <c r="G34" s="478">
        <v>1.7877378384095215E-3</v>
      </c>
      <c r="H34" s="478">
        <v>1.1525975587770377E-3</v>
      </c>
      <c r="I34" s="479">
        <v>4116</v>
      </c>
      <c r="J34" s="479">
        <v>5511</v>
      </c>
      <c r="K34" s="478">
        <v>1.7828603004710418E-3</v>
      </c>
      <c r="L34" s="471">
        <v>1.1403309617470984E-3</v>
      </c>
      <c r="M34" s="479">
        <v>4104</v>
      </c>
      <c r="N34" s="479">
        <v>5535</v>
      </c>
      <c r="O34" s="478">
        <v>1.7792441235145965E-3</v>
      </c>
      <c r="P34" s="478">
        <v>1.1336714051293998E-3</v>
      </c>
      <c r="Q34" s="479">
        <v>4091</v>
      </c>
      <c r="R34" s="479">
        <v>5567</v>
      </c>
      <c r="S34" s="478">
        <v>1.7750943685250833E-3</v>
      </c>
      <c r="T34" s="478">
        <v>1.1266338918625397E-3</v>
      </c>
      <c r="U34" s="479">
        <v>4079</v>
      </c>
      <c r="V34" s="479">
        <v>5577</v>
      </c>
      <c r="W34" s="478">
        <v>1.7764417697191568E-3</v>
      </c>
      <c r="X34" s="478">
        <v>1.1244697663147743E-3</v>
      </c>
      <c r="Y34" s="479">
        <v>4080</v>
      </c>
      <c r="Z34" s="479">
        <v>5587</v>
      </c>
      <c r="AA34" s="133">
        <v>1.7886274827611723E-3</v>
      </c>
      <c r="AB34" s="478">
        <v>1.1217863616187951E-3</v>
      </c>
      <c r="AC34" s="479">
        <v>4061</v>
      </c>
      <c r="AD34" s="479">
        <v>5598</v>
      </c>
      <c r="AE34" s="478">
        <v>1.8014150554305436E-3</v>
      </c>
      <c r="AF34" s="478">
        <v>1.1196464467967038E-3</v>
      </c>
      <c r="AG34" s="479">
        <v>4062</v>
      </c>
      <c r="AH34" s="479">
        <v>5601</v>
      </c>
      <c r="AI34" s="478">
        <v>1.8051370597581527E-3</v>
      </c>
      <c r="AJ34" s="478">
        <v>1.1161728664754291E-3</v>
      </c>
      <c r="AK34" s="479">
        <v>4048</v>
      </c>
      <c r="AL34" s="479">
        <v>5600</v>
      </c>
      <c r="AM34" s="478">
        <v>1.8018516872878583E-3</v>
      </c>
      <c r="AN34" s="478">
        <v>1.1119491228652135E-3</v>
      </c>
      <c r="AO34" s="479">
        <v>4035</v>
      </c>
      <c r="AP34" s="479">
        <v>5598</v>
      </c>
      <c r="AQ34" s="478">
        <v>1.8049177637976506E-3</v>
      </c>
      <c r="AR34" s="478">
        <v>1.1100072134645536E-3</v>
      </c>
      <c r="AS34" s="479">
        <v>4037</v>
      </c>
      <c r="AT34" s="479">
        <v>5612</v>
      </c>
      <c r="AU34" s="478">
        <v>1.8058050571487872E-3</v>
      </c>
      <c r="AV34" s="478">
        <v>1.106074710336966E-3</v>
      </c>
      <c r="AW34" s="479">
        <v>4037</v>
      </c>
      <c r="AX34" s="479">
        <v>5619</v>
      </c>
      <c r="AY34" s="478">
        <v>1.8054161589446665E-3</v>
      </c>
      <c r="AZ34" s="478">
        <v>1.1010678498562347E-3</v>
      </c>
      <c r="BA34" s="479">
        <v>4033</v>
      </c>
      <c r="BB34" s="479">
        <v>5625</v>
      </c>
      <c r="BC34" s="478">
        <v>1.8076555894189204E-3</v>
      </c>
      <c r="BD34" s="478">
        <v>1.0985672333650117E-3</v>
      </c>
      <c r="BE34" s="479">
        <v>4035</v>
      </c>
      <c r="BF34" s="479">
        <v>5648</v>
      </c>
      <c r="BG34" s="478">
        <v>1.8082218061509126E-3</v>
      </c>
      <c r="BH34" s="478">
        <v>1.0940942293002763E-3</v>
      </c>
      <c r="BI34" s="479">
        <v>4034</v>
      </c>
      <c r="BJ34" s="479">
        <v>5662</v>
      </c>
    </row>
    <row r="35" spans="1:62">
      <c r="A35" s="461" t="s">
        <v>1252</v>
      </c>
      <c r="B35" s="462" t="s">
        <v>104</v>
      </c>
      <c r="C35" s="478">
        <v>5.6753812210450253E-4</v>
      </c>
      <c r="D35" s="478">
        <v>4.8675652875727004E-4</v>
      </c>
      <c r="E35" s="479">
        <v>1307</v>
      </c>
      <c r="F35" s="479">
        <v>2293</v>
      </c>
      <c r="G35" s="478">
        <v>5.633372148729711E-4</v>
      </c>
      <c r="H35" s="478">
        <v>4.7789610266839614E-4</v>
      </c>
      <c r="I35" s="479">
        <v>1297</v>
      </c>
      <c r="J35" s="479">
        <v>2285</v>
      </c>
      <c r="K35" s="478">
        <v>5.6604945699653198E-4</v>
      </c>
      <c r="L35" s="471">
        <v>4.7343822043267061E-4</v>
      </c>
      <c r="M35" s="479">
        <v>1303</v>
      </c>
      <c r="N35" s="479">
        <v>2298</v>
      </c>
      <c r="O35" s="478">
        <v>5.6713134614104954E-4</v>
      </c>
      <c r="P35" s="478">
        <v>4.7142972927511419E-4</v>
      </c>
      <c r="Q35" s="479">
        <v>1304</v>
      </c>
      <c r="R35" s="479">
        <v>2315</v>
      </c>
      <c r="S35" s="478">
        <v>5.6834352667167417E-4</v>
      </c>
      <c r="T35" s="478">
        <v>4.69683306182608E-4</v>
      </c>
      <c r="U35" s="479">
        <v>1306</v>
      </c>
      <c r="V35" s="479">
        <v>2325</v>
      </c>
      <c r="W35" s="478">
        <v>5.682001248734068E-4</v>
      </c>
      <c r="X35" s="478">
        <v>4.6874710680993545E-4</v>
      </c>
      <c r="Y35" s="479">
        <v>1305</v>
      </c>
      <c r="Z35" s="479">
        <v>2329</v>
      </c>
      <c r="AA35" s="133">
        <v>5.7477440655093073E-4</v>
      </c>
      <c r="AB35" s="478">
        <v>4.6851313209445207E-4</v>
      </c>
      <c r="AC35" s="479">
        <v>1305</v>
      </c>
      <c r="AD35" s="479">
        <v>2338</v>
      </c>
      <c r="AE35" s="478">
        <v>5.778542139896598E-4</v>
      </c>
      <c r="AF35" s="478">
        <v>4.707672526702798E-4</v>
      </c>
      <c r="AG35" s="479">
        <v>1303</v>
      </c>
      <c r="AH35" s="479">
        <v>2355</v>
      </c>
      <c r="AI35" s="478">
        <v>5.801589216268174E-4</v>
      </c>
      <c r="AJ35" s="478">
        <v>4.6859328733638104E-4</v>
      </c>
      <c r="AK35" s="479">
        <v>1301</v>
      </c>
      <c r="AL35" s="479">
        <v>2351</v>
      </c>
      <c r="AM35" s="478">
        <v>5.7784289550197982E-4</v>
      </c>
      <c r="AN35" s="478">
        <v>4.6678821699415007E-4</v>
      </c>
      <c r="AO35" s="479">
        <v>1294</v>
      </c>
      <c r="AP35" s="479">
        <v>2350</v>
      </c>
      <c r="AQ35" s="478">
        <v>5.767510317807702E-4</v>
      </c>
      <c r="AR35" s="478">
        <v>4.6639290972013856E-4</v>
      </c>
      <c r="AS35" s="479">
        <v>1290</v>
      </c>
      <c r="AT35" s="479">
        <v>2358</v>
      </c>
      <c r="AU35" s="478">
        <v>5.8732277434638534E-4</v>
      </c>
      <c r="AV35" s="478">
        <v>4.6868907017482043E-4</v>
      </c>
      <c r="AW35" s="479">
        <v>1313</v>
      </c>
      <c r="AX35" s="479">
        <v>2381</v>
      </c>
      <c r="AY35" s="478">
        <v>5.8554037587394585E-4</v>
      </c>
      <c r="AZ35" s="478">
        <v>4.6763574992116352E-4</v>
      </c>
      <c r="BA35" s="479">
        <v>1308</v>
      </c>
      <c r="BB35" s="479">
        <v>2389</v>
      </c>
      <c r="BC35" s="478">
        <v>5.9000803253152873E-4</v>
      </c>
      <c r="BD35" s="478">
        <v>4.6778579961806894E-4</v>
      </c>
      <c r="BE35" s="479">
        <v>1317</v>
      </c>
      <c r="BF35" s="479">
        <v>2405</v>
      </c>
      <c r="BG35" s="478">
        <v>5.9123563765816896E-4</v>
      </c>
      <c r="BH35" s="478">
        <v>4.6666152662666323E-4</v>
      </c>
      <c r="BI35" s="479">
        <v>1319</v>
      </c>
      <c r="BJ35" s="479">
        <v>2415</v>
      </c>
    </row>
    <row r="36" spans="1:62">
      <c r="A36" s="461" t="s">
        <v>1253</v>
      </c>
      <c r="B36" s="462" t="s">
        <v>104</v>
      </c>
      <c r="C36" s="478">
        <v>1.550199767339766E-4</v>
      </c>
      <c r="D36" s="478">
        <v>9.0855557918932214E-5</v>
      </c>
      <c r="E36" s="479">
        <v>357</v>
      </c>
      <c r="F36" s="479">
        <v>428</v>
      </c>
      <c r="G36" s="478">
        <v>1.5245286231334841E-4</v>
      </c>
      <c r="H36" s="478">
        <v>8.7422569328398069E-5</v>
      </c>
      <c r="I36" s="479">
        <v>351</v>
      </c>
      <c r="J36" s="479">
        <v>418</v>
      </c>
      <c r="K36" s="478">
        <v>1.5074379246185466E-4</v>
      </c>
      <c r="L36" s="471">
        <v>8.4881003837363047E-5</v>
      </c>
      <c r="M36" s="479">
        <v>347</v>
      </c>
      <c r="N36" s="479">
        <v>412</v>
      </c>
      <c r="O36" s="478">
        <v>1.470018366531248E-4</v>
      </c>
      <c r="P36" s="478">
        <v>8.3085671509393767E-5</v>
      </c>
      <c r="Q36" s="479">
        <v>338</v>
      </c>
      <c r="R36" s="479">
        <v>408</v>
      </c>
      <c r="S36" s="478">
        <v>1.4447936512633676E-4</v>
      </c>
      <c r="T36" s="478">
        <v>7.9795658469733401E-5</v>
      </c>
      <c r="U36" s="479">
        <v>332</v>
      </c>
      <c r="V36" s="479">
        <v>395</v>
      </c>
      <c r="W36" s="478">
        <v>1.4368279019787297E-4</v>
      </c>
      <c r="X36" s="478">
        <v>7.9701096735394775E-5</v>
      </c>
      <c r="Y36" s="479">
        <v>330</v>
      </c>
      <c r="Z36" s="479">
        <v>396</v>
      </c>
      <c r="AA36" s="133">
        <v>1.4534525223126985E-4</v>
      </c>
      <c r="AB36" s="478">
        <v>7.8953881114291759E-5</v>
      </c>
      <c r="AC36" s="479">
        <v>330</v>
      </c>
      <c r="AD36" s="479">
        <v>394</v>
      </c>
      <c r="AE36" s="478">
        <v>1.4590486293369E-4</v>
      </c>
      <c r="AF36" s="478">
        <v>7.8561159362811029E-5</v>
      </c>
      <c r="AG36" s="479">
        <v>329</v>
      </c>
      <c r="AH36" s="479">
        <v>393</v>
      </c>
      <c r="AI36" s="478">
        <v>1.467119794121621E-4</v>
      </c>
      <c r="AJ36" s="478">
        <v>7.8132100653280039E-5</v>
      </c>
      <c r="AK36" s="479">
        <v>329</v>
      </c>
      <c r="AL36" s="479">
        <v>392</v>
      </c>
      <c r="AM36" s="478">
        <v>1.4379089053449576E-4</v>
      </c>
      <c r="AN36" s="478">
        <v>7.7864247260300774E-5</v>
      </c>
      <c r="AO36" s="479">
        <v>322</v>
      </c>
      <c r="AP36" s="479">
        <v>392</v>
      </c>
      <c r="AQ36" s="478">
        <v>1.4217583574130616E-4</v>
      </c>
      <c r="AR36" s="478">
        <v>7.7336568151218908E-5</v>
      </c>
      <c r="AS36" s="479">
        <v>318</v>
      </c>
      <c r="AT36" s="479">
        <v>391</v>
      </c>
      <c r="AU36" s="478">
        <v>1.422457290496196E-4</v>
      </c>
      <c r="AV36" s="478">
        <v>7.6966579772513562E-5</v>
      </c>
      <c r="AW36" s="479">
        <v>318</v>
      </c>
      <c r="AX36" s="479">
        <v>391</v>
      </c>
      <c r="AY36" s="478">
        <v>1.4548977229283824E-4</v>
      </c>
      <c r="AZ36" s="478">
        <v>7.7906667420938919E-5</v>
      </c>
      <c r="BA36" s="479">
        <v>325</v>
      </c>
      <c r="BB36" s="479">
        <v>398</v>
      </c>
      <c r="BC36" s="478">
        <v>1.4873399149617885E-4</v>
      </c>
      <c r="BD36" s="478">
        <v>7.8580234114636107E-5</v>
      </c>
      <c r="BE36" s="479">
        <v>332</v>
      </c>
      <c r="BF36" s="479">
        <v>404</v>
      </c>
      <c r="BG36" s="478">
        <v>1.4747272539009673E-4</v>
      </c>
      <c r="BH36" s="478">
        <v>7.9226180503905554E-5</v>
      </c>
      <c r="BI36" s="479">
        <v>329</v>
      </c>
      <c r="BJ36" s="479">
        <v>410</v>
      </c>
    </row>
    <row r="37" spans="1:62">
      <c r="A37" s="461" t="s">
        <v>1254</v>
      </c>
      <c r="B37" s="462" t="s">
        <v>104</v>
      </c>
      <c r="C37" s="478">
        <v>6.0466475518784991E-3</v>
      </c>
      <c r="D37" s="478">
        <v>4.1844503684532524E-3</v>
      </c>
      <c r="E37" s="479">
        <v>13925</v>
      </c>
      <c r="F37" s="479">
        <v>19712</v>
      </c>
      <c r="G37" s="478">
        <v>6.0485998876800276E-3</v>
      </c>
      <c r="H37" s="478">
        <v>4.135003871272149E-3</v>
      </c>
      <c r="I37" s="479">
        <v>13926</v>
      </c>
      <c r="J37" s="479">
        <v>19771</v>
      </c>
      <c r="K37" s="478">
        <v>6.0488661851264098E-3</v>
      </c>
      <c r="L37" s="471">
        <v>4.0907699325113608E-3</v>
      </c>
      <c r="M37" s="479">
        <v>13924</v>
      </c>
      <c r="N37" s="479">
        <v>19856</v>
      </c>
      <c r="O37" s="478">
        <v>6.0566496367793375E-3</v>
      </c>
      <c r="P37" s="478">
        <v>4.0579612160972786E-3</v>
      </c>
      <c r="Q37" s="479">
        <v>13926</v>
      </c>
      <c r="R37" s="479">
        <v>19927</v>
      </c>
      <c r="S37" s="478">
        <v>6.0546427921768778E-3</v>
      </c>
      <c r="T37" s="478">
        <v>4.0231152871512427E-3</v>
      </c>
      <c r="U37" s="479">
        <v>13913</v>
      </c>
      <c r="V37" s="479">
        <v>19915</v>
      </c>
      <c r="W37" s="478">
        <v>6.0481746625413741E-3</v>
      </c>
      <c r="X37" s="478">
        <v>4.0075965610989412E-3</v>
      </c>
      <c r="Y37" s="479">
        <v>13891</v>
      </c>
      <c r="Z37" s="479">
        <v>19912</v>
      </c>
      <c r="AA37" s="133">
        <v>6.0595756975691225E-3</v>
      </c>
      <c r="AB37" s="478">
        <v>3.9939842753526624E-3</v>
      </c>
      <c r="AC37" s="479">
        <v>13758</v>
      </c>
      <c r="AD37" s="479">
        <v>19931</v>
      </c>
      <c r="AE37" s="478">
        <v>6.0707953455905244E-3</v>
      </c>
      <c r="AF37" s="478">
        <v>3.9900273304878065E-3</v>
      </c>
      <c r="AG37" s="479">
        <v>13689</v>
      </c>
      <c r="AH37" s="479">
        <v>19960</v>
      </c>
      <c r="AI37" s="478">
        <v>6.0981347065693524E-3</v>
      </c>
      <c r="AJ37" s="478">
        <v>3.984737133317282E-3</v>
      </c>
      <c r="AK37" s="479">
        <v>13675</v>
      </c>
      <c r="AL37" s="479">
        <v>19992</v>
      </c>
      <c r="AM37" s="478">
        <v>6.1026282920634131E-3</v>
      </c>
      <c r="AN37" s="478">
        <v>3.9706793437076851E-3</v>
      </c>
      <c r="AO37" s="479">
        <v>13666</v>
      </c>
      <c r="AP37" s="479">
        <v>19990</v>
      </c>
      <c r="AQ37" s="478">
        <v>6.0970184654219875E-3</v>
      </c>
      <c r="AR37" s="478">
        <v>3.9502965194786292E-3</v>
      </c>
      <c r="AS37" s="479">
        <v>13637</v>
      </c>
      <c r="AT37" s="479">
        <v>19972</v>
      </c>
      <c r="AU37" s="478">
        <v>6.1004630590525541E-3</v>
      </c>
      <c r="AV37" s="478">
        <v>3.9317914689928025E-3</v>
      </c>
      <c r="AW37" s="479">
        <v>13638</v>
      </c>
      <c r="AX37" s="479">
        <v>19974</v>
      </c>
      <c r="AY37" s="478">
        <v>6.1043031845696679E-3</v>
      </c>
      <c r="AZ37" s="478">
        <v>3.9301760514512856E-3</v>
      </c>
      <c r="BA37" s="479">
        <v>13636</v>
      </c>
      <c r="BB37" s="479">
        <v>20078</v>
      </c>
      <c r="BC37" s="478">
        <v>6.1083975121999949E-3</v>
      </c>
      <c r="BD37" s="478">
        <v>3.9251215951320714E-3</v>
      </c>
      <c r="BE37" s="479">
        <v>13635</v>
      </c>
      <c r="BF37" s="479">
        <v>20180</v>
      </c>
      <c r="BG37" s="478">
        <v>6.1109290736875042E-3</v>
      </c>
      <c r="BH37" s="478">
        <v>3.9137733168929344E-3</v>
      </c>
      <c r="BI37" s="479">
        <v>13633</v>
      </c>
      <c r="BJ37" s="479">
        <v>20254</v>
      </c>
    </row>
    <row r="38" spans="1:62">
      <c r="A38" s="461" t="s">
        <v>1255</v>
      </c>
      <c r="B38" s="462" t="s">
        <v>104</v>
      </c>
      <c r="C38" s="478">
        <v>3.8898289960307068E-3</v>
      </c>
      <c r="D38" s="478">
        <v>2.0648411492463869E-3</v>
      </c>
      <c r="E38" s="479">
        <v>8958</v>
      </c>
      <c r="F38" s="479">
        <v>9727</v>
      </c>
      <c r="G38" s="478">
        <v>3.8951489151740981E-3</v>
      </c>
      <c r="H38" s="478">
        <v>2.040835960541886E-3</v>
      </c>
      <c r="I38" s="479">
        <v>8968</v>
      </c>
      <c r="J38" s="479">
        <v>9758</v>
      </c>
      <c r="K38" s="478">
        <v>3.883716151610895E-3</v>
      </c>
      <c r="L38" s="471">
        <v>2.0047986610227668E-3</v>
      </c>
      <c r="M38" s="479">
        <v>8940</v>
      </c>
      <c r="N38" s="479">
        <v>9731</v>
      </c>
      <c r="O38" s="478">
        <v>3.8342254199229243E-3</v>
      </c>
      <c r="P38" s="478">
        <v>1.9586225210229151E-3</v>
      </c>
      <c r="Q38" s="479">
        <v>8816</v>
      </c>
      <c r="R38" s="479">
        <v>9618</v>
      </c>
      <c r="S38" s="478">
        <v>3.8508972951896204E-3</v>
      </c>
      <c r="T38" s="478">
        <v>1.9510543531662918E-3</v>
      </c>
      <c r="U38" s="479">
        <v>8849</v>
      </c>
      <c r="V38" s="479">
        <v>9658</v>
      </c>
      <c r="W38" s="478">
        <v>3.8432969365958325E-3</v>
      </c>
      <c r="X38" s="478">
        <v>1.9408022116651814E-3</v>
      </c>
      <c r="Y38" s="479">
        <v>8827</v>
      </c>
      <c r="Z38" s="479">
        <v>9643</v>
      </c>
      <c r="AA38" s="133">
        <v>3.8886461574238833E-3</v>
      </c>
      <c r="AB38" s="478">
        <v>1.9357728212285744E-3</v>
      </c>
      <c r="AC38" s="479">
        <v>8829</v>
      </c>
      <c r="AD38" s="479">
        <v>9660</v>
      </c>
      <c r="AE38" s="478">
        <v>3.8383178987571034E-3</v>
      </c>
      <c r="AF38" s="478">
        <v>1.9344436110786828E-3</v>
      </c>
      <c r="AG38" s="479">
        <v>8655</v>
      </c>
      <c r="AH38" s="479">
        <v>9677</v>
      </c>
      <c r="AI38" s="478">
        <v>3.853307641642835E-3</v>
      </c>
      <c r="AJ38" s="478">
        <v>1.9281886268363037E-3</v>
      </c>
      <c r="AK38" s="479">
        <v>8641</v>
      </c>
      <c r="AL38" s="479">
        <v>9674</v>
      </c>
      <c r="AM38" s="478">
        <v>3.8551141552307508E-3</v>
      </c>
      <c r="AN38" s="478">
        <v>1.9217770210291072E-3</v>
      </c>
      <c r="AO38" s="479">
        <v>8633</v>
      </c>
      <c r="AP38" s="479">
        <v>9675</v>
      </c>
      <c r="AQ38" s="478">
        <v>3.8588667870541301E-3</v>
      </c>
      <c r="AR38" s="478">
        <v>1.9150195724810777E-3</v>
      </c>
      <c r="AS38" s="479">
        <v>8631</v>
      </c>
      <c r="AT38" s="479">
        <v>9682</v>
      </c>
      <c r="AU38" s="478">
        <v>3.8589745424876362E-3</v>
      </c>
      <c r="AV38" s="478">
        <v>1.9058578653643895E-3</v>
      </c>
      <c r="AW38" s="479">
        <v>8627</v>
      </c>
      <c r="AX38" s="479">
        <v>9682</v>
      </c>
      <c r="AY38" s="478">
        <v>3.8615223870708385E-3</v>
      </c>
      <c r="AZ38" s="478">
        <v>1.8963813918946139E-3</v>
      </c>
      <c r="BA38" s="479">
        <v>8626</v>
      </c>
      <c r="BB38" s="479">
        <v>9688</v>
      </c>
      <c r="BC38" s="478">
        <v>3.8648438091492014E-3</v>
      </c>
      <c r="BD38" s="478">
        <v>1.8954563897206162E-3</v>
      </c>
      <c r="BE38" s="479">
        <v>8627</v>
      </c>
      <c r="BF38" s="479">
        <v>9745</v>
      </c>
      <c r="BG38" s="478">
        <v>3.8692539986848479E-3</v>
      </c>
      <c r="BH38" s="478">
        <v>1.893312479456748E-3</v>
      </c>
      <c r="BI38" s="479">
        <v>8632</v>
      </c>
      <c r="BJ38" s="479">
        <v>9798</v>
      </c>
    </row>
    <row r="39" spans="1:62">
      <c r="A39" s="461" t="s">
        <v>1256</v>
      </c>
      <c r="B39" s="462" t="s">
        <v>104</v>
      </c>
      <c r="C39" s="478">
        <v>4.2641349342511211E-3</v>
      </c>
      <c r="D39" s="478">
        <v>2.2769082108375395E-3</v>
      </c>
      <c r="E39" s="479">
        <v>9820</v>
      </c>
      <c r="F39" s="479">
        <v>10726</v>
      </c>
      <c r="G39" s="478">
        <v>4.2586903560751597E-3</v>
      </c>
      <c r="H39" s="478">
        <v>2.2428699365496193E-3</v>
      </c>
      <c r="I39" s="479">
        <v>9805</v>
      </c>
      <c r="J39" s="479">
        <v>10724</v>
      </c>
      <c r="K39" s="478">
        <v>4.263399363748247E-3</v>
      </c>
      <c r="L39" s="471">
        <v>2.2126747116827166E-3</v>
      </c>
      <c r="M39" s="479">
        <v>9814</v>
      </c>
      <c r="N39" s="479">
        <v>10740</v>
      </c>
      <c r="O39" s="478">
        <v>4.272186513146879E-3</v>
      </c>
      <c r="P39" s="478">
        <v>2.2070649701441416E-3</v>
      </c>
      <c r="Q39" s="479">
        <v>9823</v>
      </c>
      <c r="R39" s="479">
        <v>10838</v>
      </c>
      <c r="S39" s="478">
        <v>4.2825946753261446E-3</v>
      </c>
      <c r="T39" s="478">
        <v>2.1999360018617642E-3</v>
      </c>
      <c r="U39" s="479">
        <v>9841</v>
      </c>
      <c r="V39" s="479">
        <v>10890</v>
      </c>
      <c r="W39" s="478">
        <v>4.2813117455020753E-3</v>
      </c>
      <c r="X39" s="478">
        <v>2.1911763640359671E-3</v>
      </c>
      <c r="Y39" s="479">
        <v>9833</v>
      </c>
      <c r="Z39" s="479">
        <v>10887</v>
      </c>
      <c r="AA39" s="133">
        <v>4.340978199973926E-3</v>
      </c>
      <c r="AB39" s="478">
        <v>2.1868621944169187E-3</v>
      </c>
      <c r="AC39" s="479">
        <v>9856</v>
      </c>
      <c r="AD39" s="479">
        <v>10913</v>
      </c>
      <c r="AE39" s="478">
        <v>4.3305805062233528E-3</v>
      </c>
      <c r="AF39" s="478">
        <v>2.1793225429347731E-3</v>
      </c>
      <c r="AG39" s="479">
        <v>9765</v>
      </c>
      <c r="AH39" s="479">
        <v>10902</v>
      </c>
      <c r="AI39" s="478">
        <v>4.3496311464627027E-3</v>
      </c>
      <c r="AJ39" s="478">
        <v>2.1735473408775988E-3</v>
      </c>
      <c r="AK39" s="479">
        <v>9754</v>
      </c>
      <c r="AL39" s="479">
        <v>10905</v>
      </c>
      <c r="AM39" s="478">
        <v>4.3503442720094956E-3</v>
      </c>
      <c r="AN39" s="478">
        <v>2.1782125904501485E-3</v>
      </c>
      <c r="AO39" s="479">
        <v>9742</v>
      </c>
      <c r="AP39" s="479">
        <v>10966</v>
      </c>
      <c r="AQ39" s="478">
        <v>4.354246743033272E-3</v>
      </c>
      <c r="AR39" s="478">
        <v>2.1687863677189649E-3</v>
      </c>
      <c r="AS39" s="479">
        <v>9739</v>
      </c>
      <c r="AT39" s="479">
        <v>10965</v>
      </c>
      <c r="AU39" s="478">
        <v>4.3572819077746681E-3</v>
      </c>
      <c r="AV39" s="478">
        <v>2.1586074521365312E-3</v>
      </c>
      <c r="AW39" s="479">
        <v>9741</v>
      </c>
      <c r="AX39" s="479">
        <v>10966</v>
      </c>
      <c r="AY39" s="478">
        <v>4.3682744554877397E-3</v>
      </c>
      <c r="AZ39" s="478">
        <v>2.1504589152925501E-3</v>
      </c>
      <c r="BA39" s="479">
        <v>9758</v>
      </c>
      <c r="BB39" s="479">
        <v>10986</v>
      </c>
      <c r="BC39" s="478">
        <v>4.3786928701314816E-3</v>
      </c>
      <c r="BD39" s="478">
        <v>2.1452014902235686E-3</v>
      </c>
      <c r="BE39" s="479">
        <v>9774</v>
      </c>
      <c r="BF39" s="479">
        <v>11029</v>
      </c>
      <c r="BG39" s="478">
        <v>4.3784607343783132E-3</v>
      </c>
      <c r="BH39" s="478">
        <v>2.137560996912691E-3</v>
      </c>
      <c r="BI39" s="479">
        <v>9768</v>
      </c>
      <c r="BJ39" s="479">
        <v>11062</v>
      </c>
    </row>
    <row r="40" spans="1:62">
      <c r="A40" s="461" t="s">
        <v>1257</v>
      </c>
      <c r="B40" s="462" t="s">
        <v>104</v>
      </c>
      <c r="C40" s="478">
        <v>8.0996852269436016E-3</v>
      </c>
      <c r="D40" s="478">
        <v>5.5264803618258907E-3</v>
      </c>
      <c r="E40" s="479">
        <v>18653</v>
      </c>
      <c r="F40" s="479">
        <v>26034</v>
      </c>
      <c r="G40" s="478">
        <v>8.09737524817024E-3</v>
      </c>
      <c r="H40" s="478">
        <v>5.4482247153224157E-3</v>
      </c>
      <c r="I40" s="479">
        <v>18643</v>
      </c>
      <c r="J40" s="479">
        <v>26050</v>
      </c>
      <c r="K40" s="478">
        <v>8.0928129964607798E-3</v>
      </c>
      <c r="L40" s="471">
        <v>5.3674873615893676E-3</v>
      </c>
      <c r="M40" s="479">
        <v>18629</v>
      </c>
      <c r="N40" s="479">
        <v>26053</v>
      </c>
      <c r="O40" s="478">
        <v>8.087710515980796E-3</v>
      </c>
      <c r="P40" s="478">
        <v>5.3235922171533624E-3</v>
      </c>
      <c r="Q40" s="479">
        <v>18596</v>
      </c>
      <c r="R40" s="479">
        <v>26142</v>
      </c>
      <c r="S40" s="478">
        <v>8.0795297979987003E-3</v>
      </c>
      <c r="T40" s="478">
        <v>5.2917652496573837E-3</v>
      </c>
      <c r="U40" s="479">
        <v>18566</v>
      </c>
      <c r="V40" s="479">
        <v>26195</v>
      </c>
      <c r="W40" s="478">
        <v>8.0875994785620919E-3</v>
      </c>
      <c r="X40" s="478">
        <v>5.2739584314502137E-3</v>
      </c>
      <c r="Y40" s="479">
        <v>18575</v>
      </c>
      <c r="Z40" s="479">
        <v>26204</v>
      </c>
      <c r="AA40" s="133">
        <v>8.1807354998291084E-3</v>
      </c>
      <c r="AB40" s="478">
        <v>5.2566452014977194E-3</v>
      </c>
      <c r="AC40" s="479">
        <v>18574</v>
      </c>
      <c r="AD40" s="479">
        <v>26232</v>
      </c>
      <c r="AE40" s="478">
        <v>8.0385153359758821E-3</v>
      </c>
      <c r="AF40" s="478">
        <v>5.2448069674352997E-3</v>
      </c>
      <c r="AG40" s="479">
        <v>18126</v>
      </c>
      <c r="AH40" s="479">
        <v>26237</v>
      </c>
      <c r="AI40" s="478">
        <v>8.0691588676689158E-3</v>
      </c>
      <c r="AJ40" s="478">
        <v>5.2264794472711967E-3</v>
      </c>
      <c r="AK40" s="479">
        <v>18095</v>
      </c>
      <c r="AL40" s="479">
        <v>26222</v>
      </c>
      <c r="AM40" s="478">
        <v>8.0634537589484145E-3</v>
      </c>
      <c r="AN40" s="478">
        <v>5.2097537682223695E-3</v>
      </c>
      <c r="AO40" s="479">
        <v>18057</v>
      </c>
      <c r="AP40" s="479">
        <v>26228</v>
      </c>
      <c r="AQ40" s="478">
        <v>8.0669138499383231E-3</v>
      </c>
      <c r="AR40" s="478">
        <v>5.1849125256165024E-3</v>
      </c>
      <c r="AS40" s="479">
        <v>18043</v>
      </c>
      <c r="AT40" s="479">
        <v>26214</v>
      </c>
      <c r="AU40" s="478">
        <v>8.0681956442389593E-3</v>
      </c>
      <c r="AV40" s="478">
        <v>5.169752645947631E-3</v>
      </c>
      <c r="AW40" s="479">
        <v>18037</v>
      </c>
      <c r="AX40" s="479">
        <v>26263</v>
      </c>
      <c r="AY40" s="478">
        <v>8.0655053150771282E-3</v>
      </c>
      <c r="AZ40" s="478">
        <v>5.1725720768801787E-3</v>
      </c>
      <c r="BA40" s="479">
        <v>18017</v>
      </c>
      <c r="BB40" s="479">
        <v>26425</v>
      </c>
      <c r="BC40" s="478">
        <v>8.0661310749659629E-3</v>
      </c>
      <c r="BD40" s="478">
        <v>5.2043844658547491E-3</v>
      </c>
      <c r="BE40" s="479">
        <v>18005</v>
      </c>
      <c r="BF40" s="479">
        <v>26757</v>
      </c>
      <c r="BG40" s="478">
        <v>8.0572104525440391E-3</v>
      </c>
      <c r="BH40" s="478">
        <v>5.1748222290111971E-3</v>
      </c>
      <c r="BI40" s="479">
        <v>17975</v>
      </c>
      <c r="BJ40" s="479">
        <v>26780</v>
      </c>
    </row>
    <row r="41" spans="1:62">
      <c r="A41" s="461" t="s">
        <v>1258</v>
      </c>
      <c r="B41" s="462" t="s">
        <v>104</v>
      </c>
      <c r="C41" s="478">
        <v>5.0926450620058196E-3</v>
      </c>
      <c r="D41" s="478">
        <v>4.1649206690875006E-3</v>
      </c>
      <c r="E41" s="479">
        <v>11728</v>
      </c>
      <c r="F41" s="479">
        <v>19620</v>
      </c>
      <c r="G41" s="478">
        <v>5.0821964157506828E-3</v>
      </c>
      <c r="H41" s="478">
        <v>4.1151351055156949E-3</v>
      </c>
      <c r="I41" s="479">
        <v>11701</v>
      </c>
      <c r="J41" s="479">
        <v>19676</v>
      </c>
      <c r="K41" s="478">
        <v>5.0596915008738362E-3</v>
      </c>
      <c r="L41" s="471">
        <v>4.0549221299198534E-3</v>
      </c>
      <c r="M41" s="479">
        <v>11647</v>
      </c>
      <c r="N41" s="479">
        <v>19682</v>
      </c>
      <c r="O41" s="478">
        <v>5.0511222807378452E-3</v>
      </c>
      <c r="P41" s="478">
        <v>4.0007379962587013E-3</v>
      </c>
      <c r="Q41" s="479">
        <v>11614</v>
      </c>
      <c r="R41" s="479">
        <v>19646</v>
      </c>
      <c r="S41" s="478">
        <v>5.042852057481899E-3</v>
      </c>
      <c r="T41" s="478">
        <v>3.9744298347684434E-3</v>
      </c>
      <c r="U41" s="479">
        <v>11588</v>
      </c>
      <c r="V41" s="479">
        <v>19674</v>
      </c>
      <c r="W41" s="478">
        <v>5.0585050197542065E-3</v>
      </c>
      <c r="X41" s="478">
        <v>3.9675447473354478E-3</v>
      </c>
      <c r="Y41" s="479">
        <v>11618</v>
      </c>
      <c r="Z41" s="479">
        <v>19713</v>
      </c>
      <c r="AA41" s="133">
        <v>5.1143911179075919E-3</v>
      </c>
      <c r="AB41" s="478">
        <v>3.9579139743359812E-3</v>
      </c>
      <c r="AC41" s="479">
        <v>11612</v>
      </c>
      <c r="AD41" s="479">
        <v>19751</v>
      </c>
      <c r="AE41" s="478">
        <v>5.0126524794513625E-3</v>
      </c>
      <c r="AF41" s="478">
        <v>3.9654394867177671E-3</v>
      </c>
      <c r="AG41" s="479">
        <v>11303</v>
      </c>
      <c r="AH41" s="479">
        <v>19837</v>
      </c>
      <c r="AI41" s="478">
        <v>4.9400465286563279E-3</v>
      </c>
      <c r="AJ41" s="478">
        <v>3.9538430629059082E-3</v>
      </c>
      <c r="AK41" s="479">
        <v>11078</v>
      </c>
      <c r="AL41" s="479">
        <v>19837</v>
      </c>
      <c r="AM41" s="478">
        <v>4.9326527231181366E-3</v>
      </c>
      <c r="AN41" s="478">
        <v>3.936911685457044E-3</v>
      </c>
      <c r="AO41" s="479">
        <v>11046</v>
      </c>
      <c r="AP41" s="479">
        <v>19820</v>
      </c>
      <c r="AQ41" s="478">
        <v>4.9242913674677541E-3</v>
      </c>
      <c r="AR41" s="478">
        <v>3.9265615113503773E-3</v>
      </c>
      <c r="AS41" s="479">
        <v>11014</v>
      </c>
      <c r="AT41" s="479">
        <v>19852</v>
      </c>
      <c r="AU41" s="478">
        <v>4.9034518296916041E-3</v>
      </c>
      <c r="AV41" s="478">
        <v>3.9132879945717892E-3</v>
      </c>
      <c r="AW41" s="479">
        <v>10962</v>
      </c>
      <c r="AX41" s="479">
        <v>19880</v>
      </c>
      <c r="AY41" s="478">
        <v>4.8992002091471434E-3</v>
      </c>
      <c r="AZ41" s="478">
        <v>3.8972908250022461E-3</v>
      </c>
      <c r="BA41" s="479">
        <v>10944</v>
      </c>
      <c r="BB41" s="479">
        <v>19910</v>
      </c>
      <c r="BC41" s="478">
        <v>4.8885099855611553E-3</v>
      </c>
      <c r="BD41" s="478">
        <v>3.8803853232351249E-3</v>
      </c>
      <c r="BE41" s="479">
        <v>10912</v>
      </c>
      <c r="BF41" s="479">
        <v>19950</v>
      </c>
      <c r="BG41" s="478">
        <v>4.8849779978762135E-3</v>
      </c>
      <c r="BH41" s="478">
        <v>3.8552232371546827E-3</v>
      </c>
      <c r="BI41" s="479">
        <v>10898</v>
      </c>
      <c r="BJ41" s="479">
        <v>19951</v>
      </c>
    </row>
    <row r="42" spans="1:62">
      <c r="A42" s="461" t="s">
        <v>1259</v>
      </c>
      <c r="B42" s="462" t="s">
        <v>104</v>
      </c>
      <c r="C42" s="478">
        <v>1.085574066764542E-4</v>
      </c>
      <c r="D42" s="478">
        <v>8.3425780986309255E-5</v>
      </c>
      <c r="E42" s="479">
        <v>250</v>
      </c>
      <c r="F42" s="479">
        <v>393</v>
      </c>
      <c r="G42" s="478">
        <v>1.0728164385013406E-4</v>
      </c>
      <c r="H42" s="478">
        <v>8.2612236566309186E-5</v>
      </c>
      <c r="I42" s="479">
        <v>247</v>
      </c>
      <c r="J42" s="479">
        <v>395</v>
      </c>
      <c r="K42" s="478">
        <v>1.0947387809909906E-4</v>
      </c>
      <c r="L42" s="471">
        <v>8.2614763443647051E-5</v>
      </c>
      <c r="M42" s="479">
        <v>252</v>
      </c>
      <c r="N42" s="479">
        <v>401</v>
      </c>
      <c r="O42" s="478">
        <v>1.0959900247511081E-4</v>
      </c>
      <c r="P42" s="478">
        <v>8.1660182047222797E-5</v>
      </c>
      <c r="Q42" s="479">
        <v>252</v>
      </c>
      <c r="R42" s="479">
        <v>401</v>
      </c>
      <c r="S42" s="478">
        <v>1.0922988146599557E-4</v>
      </c>
      <c r="T42" s="478">
        <v>8.1613787396891889E-5</v>
      </c>
      <c r="U42" s="479">
        <v>251</v>
      </c>
      <c r="V42" s="479">
        <v>404</v>
      </c>
      <c r="W42" s="478">
        <v>1.066735866620572E-4</v>
      </c>
      <c r="X42" s="478">
        <v>8.1512485297562839E-5</v>
      </c>
      <c r="Y42" s="479">
        <v>245</v>
      </c>
      <c r="Z42" s="479">
        <v>405</v>
      </c>
      <c r="AA42" s="133">
        <v>1.0614607814465464E-4</v>
      </c>
      <c r="AB42" s="478">
        <v>8.1358567848737191E-5</v>
      </c>
      <c r="AC42" s="479">
        <v>241</v>
      </c>
      <c r="AD42" s="479">
        <v>406</v>
      </c>
      <c r="AE42" s="478">
        <v>1.0200036010561915E-4</v>
      </c>
      <c r="AF42" s="478">
        <v>8.1359775726880631E-5</v>
      </c>
      <c r="AG42" s="479">
        <v>230</v>
      </c>
      <c r="AH42" s="479">
        <v>407</v>
      </c>
      <c r="AI42" s="478">
        <v>1.0256460566807685E-4</v>
      </c>
      <c r="AJ42" s="478">
        <v>8.0723216236169425E-5</v>
      </c>
      <c r="AK42" s="479">
        <v>230</v>
      </c>
      <c r="AL42" s="479">
        <v>405</v>
      </c>
      <c r="AM42" s="478">
        <v>1.0181466783187897E-4</v>
      </c>
      <c r="AN42" s="478">
        <v>8.0645113233882948E-5</v>
      </c>
      <c r="AO42" s="479">
        <v>228</v>
      </c>
      <c r="AP42" s="479">
        <v>406</v>
      </c>
      <c r="AQ42" s="478">
        <v>1.0283157930974973E-4</v>
      </c>
      <c r="AR42" s="478">
        <v>8.1094611104858699E-5</v>
      </c>
      <c r="AS42" s="479">
        <v>230</v>
      </c>
      <c r="AT42" s="479">
        <v>410</v>
      </c>
      <c r="AU42" s="478">
        <v>1.0288213107362424E-4</v>
      </c>
      <c r="AV42" s="478">
        <v>8.0509798278665079E-5</v>
      </c>
      <c r="AW42" s="479">
        <v>230</v>
      </c>
      <c r="AX42" s="479">
        <v>409</v>
      </c>
      <c r="AY42" s="478">
        <v>1.0027602767260236E-4</v>
      </c>
      <c r="AZ42" s="478">
        <v>7.9472630585178896E-5</v>
      </c>
      <c r="BA42" s="479">
        <v>224</v>
      </c>
      <c r="BB42" s="479">
        <v>406</v>
      </c>
      <c r="BC42" s="478">
        <v>1.0079863881518144E-4</v>
      </c>
      <c r="BD42" s="478">
        <v>7.896924517460956E-5</v>
      </c>
      <c r="BE42" s="479">
        <v>225</v>
      </c>
      <c r="BF42" s="479">
        <v>406</v>
      </c>
      <c r="BG42" s="478">
        <v>1.0130345269958012E-4</v>
      </c>
      <c r="BH42" s="478">
        <v>7.9032945917310664E-5</v>
      </c>
      <c r="BI42" s="479">
        <v>226</v>
      </c>
      <c r="BJ42" s="479">
        <v>409</v>
      </c>
    </row>
    <row r="43" spans="1:62">
      <c r="A43" s="461" t="s">
        <v>1260</v>
      </c>
      <c r="B43" s="462" t="s">
        <v>104</v>
      </c>
      <c r="C43" s="478">
        <v>5.8924960343979338E-4</v>
      </c>
      <c r="D43" s="478">
        <v>2.0249326331511553E-3</v>
      </c>
      <c r="E43" s="479">
        <v>1357</v>
      </c>
      <c r="F43" s="479">
        <v>9539</v>
      </c>
      <c r="G43" s="478">
        <v>5.8375113090923145E-4</v>
      </c>
      <c r="H43" s="478">
        <v>2.0435548442769799E-3</v>
      </c>
      <c r="I43" s="479">
        <v>1344</v>
      </c>
      <c r="J43" s="479">
        <v>9771</v>
      </c>
      <c r="K43" s="478">
        <v>5.7864764138095221E-4</v>
      </c>
      <c r="L43" s="471">
        <v>2.0569221900782349E-3</v>
      </c>
      <c r="M43" s="479">
        <v>1332</v>
      </c>
      <c r="N43" s="479">
        <v>9984</v>
      </c>
      <c r="O43" s="478">
        <v>5.7669951302379734E-4</v>
      </c>
      <c r="P43" s="478">
        <v>2.0410972684770925E-3</v>
      </c>
      <c r="Q43" s="479">
        <v>1326</v>
      </c>
      <c r="R43" s="479">
        <v>10023</v>
      </c>
      <c r="S43" s="478">
        <v>5.7138977834602462E-4</v>
      </c>
      <c r="T43" s="478">
        <v>2.0264056964807487E-3</v>
      </c>
      <c r="U43" s="479">
        <v>1313</v>
      </c>
      <c r="V43" s="479">
        <v>10031</v>
      </c>
      <c r="W43" s="478">
        <v>5.6950633205702381E-4</v>
      </c>
      <c r="X43" s="478">
        <v>2.0190944506300011E-3</v>
      </c>
      <c r="Y43" s="479">
        <v>1308</v>
      </c>
      <c r="Z43" s="479">
        <v>10032</v>
      </c>
      <c r="AA43" s="133">
        <v>5.7829792781714329E-4</v>
      </c>
      <c r="AB43" s="478">
        <v>2.0157286551488853E-3</v>
      </c>
      <c r="AC43" s="479">
        <v>1313</v>
      </c>
      <c r="AD43" s="479">
        <v>10059</v>
      </c>
      <c r="AE43" s="478">
        <v>5.818455324285754E-4</v>
      </c>
      <c r="AF43" s="478">
        <v>2.0275975557684281E-3</v>
      </c>
      <c r="AG43" s="479">
        <v>1312</v>
      </c>
      <c r="AH43" s="479">
        <v>10143</v>
      </c>
      <c r="AI43" s="478">
        <v>5.431464769726853E-4</v>
      </c>
      <c r="AJ43" s="478">
        <v>2.0447888280663261E-3</v>
      </c>
      <c r="AK43" s="479">
        <v>1218</v>
      </c>
      <c r="AL43" s="479">
        <v>10259</v>
      </c>
      <c r="AM43" s="478">
        <v>5.3809945060269372E-4</v>
      </c>
      <c r="AN43" s="478">
        <v>2.0395665583386948E-3</v>
      </c>
      <c r="AO43" s="479">
        <v>1205</v>
      </c>
      <c r="AP43" s="479">
        <v>10268</v>
      </c>
      <c r="AQ43" s="478">
        <v>5.365125877030421E-4</v>
      </c>
      <c r="AR43" s="478">
        <v>2.0443753667800475E-3</v>
      </c>
      <c r="AS43" s="479">
        <v>1200</v>
      </c>
      <c r="AT43" s="479">
        <v>10336</v>
      </c>
      <c r="AU43" s="478">
        <v>5.3811827687639114E-4</v>
      </c>
      <c r="AV43" s="478">
        <v>2.0379411774548157E-3</v>
      </c>
      <c r="AW43" s="479">
        <v>1203</v>
      </c>
      <c r="AX43" s="479">
        <v>10353</v>
      </c>
      <c r="AY43" s="478">
        <v>5.3853598790241355E-4</v>
      </c>
      <c r="AZ43" s="478">
        <v>2.035752113511972E-3</v>
      </c>
      <c r="BA43" s="479">
        <v>1203</v>
      </c>
      <c r="BB43" s="479">
        <v>10400</v>
      </c>
      <c r="BC43" s="478">
        <v>5.3804073429792405E-4</v>
      </c>
      <c r="BD43" s="478">
        <v>2.0316102607113224E-3</v>
      </c>
      <c r="BE43" s="479">
        <v>1201</v>
      </c>
      <c r="BF43" s="479">
        <v>10445</v>
      </c>
      <c r="BG43" s="478">
        <v>5.3296374008761404E-4</v>
      </c>
      <c r="BH43" s="478">
        <v>2.0171758494640737E-3</v>
      </c>
      <c r="BI43" s="479">
        <v>1189</v>
      </c>
      <c r="BJ43" s="479">
        <v>10439</v>
      </c>
    </row>
    <row r="44" spans="1:62">
      <c r="A44" s="461" t="s">
        <v>1261</v>
      </c>
      <c r="B44" s="462" t="s">
        <v>104</v>
      </c>
      <c r="C44" s="478">
        <v>8.7054355561982152E-3</v>
      </c>
      <c r="D44" s="478">
        <v>6.2584195293597187E-3</v>
      </c>
      <c r="E44" s="479">
        <v>20048</v>
      </c>
      <c r="F44" s="479">
        <v>29482</v>
      </c>
      <c r="G44" s="478">
        <v>8.7080553747017723E-3</v>
      </c>
      <c r="H44" s="478">
        <v>6.1852513524355132E-3</v>
      </c>
      <c r="I44" s="479">
        <v>20049</v>
      </c>
      <c r="J44" s="479">
        <v>29574</v>
      </c>
      <c r="K44" s="478">
        <v>8.7075175103902436E-3</v>
      </c>
      <c r="L44" s="471">
        <v>6.0976288120738699E-3</v>
      </c>
      <c r="M44" s="479">
        <v>20044</v>
      </c>
      <c r="N44" s="479">
        <v>29597</v>
      </c>
      <c r="O44" s="478">
        <v>8.7009430298296293E-3</v>
      </c>
      <c r="P44" s="478">
        <v>6.0257475979484353E-3</v>
      </c>
      <c r="Q44" s="479">
        <v>20006</v>
      </c>
      <c r="R44" s="479">
        <v>29590</v>
      </c>
      <c r="S44" s="478">
        <v>8.694002278596253E-3</v>
      </c>
      <c r="T44" s="478">
        <v>5.9976033020453547E-3</v>
      </c>
      <c r="U44" s="479">
        <v>19978</v>
      </c>
      <c r="V44" s="479">
        <v>29689</v>
      </c>
      <c r="W44" s="478">
        <v>8.6867131734477687E-3</v>
      </c>
      <c r="X44" s="478">
        <v>5.9751670704050507E-3</v>
      </c>
      <c r="Y44" s="479">
        <v>19951</v>
      </c>
      <c r="Z44" s="479">
        <v>29688</v>
      </c>
      <c r="AA44" s="133">
        <v>8.7845789568262948E-3</v>
      </c>
      <c r="AB44" s="478">
        <v>5.9540043544868953E-3</v>
      </c>
      <c r="AC44" s="479">
        <v>19945</v>
      </c>
      <c r="AD44" s="479">
        <v>29712</v>
      </c>
      <c r="AE44" s="478">
        <v>8.6944219994376671E-3</v>
      </c>
      <c r="AF44" s="478">
        <v>5.9594536461173592E-3</v>
      </c>
      <c r="AG44" s="479">
        <v>19605</v>
      </c>
      <c r="AH44" s="479">
        <v>29812</v>
      </c>
      <c r="AI44" s="478">
        <v>8.7068431550834813E-3</v>
      </c>
      <c r="AJ44" s="478">
        <v>5.944019147148258E-3</v>
      </c>
      <c r="AK44" s="479">
        <v>19525</v>
      </c>
      <c r="AL44" s="479">
        <v>29822</v>
      </c>
      <c r="AM44" s="478">
        <v>8.6971160995336621E-3</v>
      </c>
      <c r="AN44" s="478">
        <v>5.951847716601154E-3</v>
      </c>
      <c r="AO44" s="479">
        <v>19476</v>
      </c>
      <c r="AP44" s="479">
        <v>29964</v>
      </c>
      <c r="AQ44" s="478">
        <v>8.6830091381506509E-3</v>
      </c>
      <c r="AR44" s="478">
        <v>5.9311807395156044E-3</v>
      </c>
      <c r="AS44" s="479">
        <v>19421</v>
      </c>
      <c r="AT44" s="479">
        <v>29987</v>
      </c>
      <c r="AU44" s="478">
        <v>8.6814626081604309E-3</v>
      </c>
      <c r="AV44" s="478">
        <v>5.9205212783066249E-3</v>
      </c>
      <c r="AW44" s="479">
        <v>19408</v>
      </c>
      <c r="AX44" s="479">
        <v>30077</v>
      </c>
      <c r="AY44" s="478">
        <v>8.6783530020583446E-3</v>
      </c>
      <c r="AZ44" s="478">
        <v>5.9177747976628782E-3</v>
      </c>
      <c r="BA44" s="479">
        <v>19386</v>
      </c>
      <c r="BB44" s="479">
        <v>30232</v>
      </c>
      <c r="BC44" s="478">
        <v>8.6798827868628456E-3</v>
      </c>
      <c r="BD44" s="478">
        <v>5.8904054701179208E-3</v>
      </c>
      <c r="BE44" s="479">
        <v>19375</v>
      </c>
      <c r="BF44" s="479">
        <v>30284</v>
      </c>
      <c r="BG44" s="478">
        <v>8.6843057194763949E-3</v>
      </c>
      <c r="BH44" s="478">
        <v>5.8803217046691468E-3</v>
      </c>
      <c r="BI44" s="479">
        <v>19374</v>
      </c>
      <c r="BJ44" s="479">
        <v>30431</v>
      </c>
    </row>
    <row r="45" spans="1:62">
      <c r="A45" s="461" t="s">
        <v>1262</v>
      </c>
      <c r="B45" s="462" t="s">
        <v>104</v>
      </c>
      <c r="C45" s="478">
        <v>8.0289057977905528E-4</v>
      </c>
      <c r="D45" s="478">
        <v>3.875583927397069E-3</v>
      </c>
      <c r="E45" s="479">
        <v>1849</v>
      </c>
      <c r="F45" s="479">
        <v>18257</v>
      </c>
      <c r="G45" s="478">
        <v>7.9701140269229143E-4</v>
      </c>
      <c r="H45" s="478">
        <v>3.8200316478066766E-3</v>
      </c>
      <c r="I45" s="479">
        <v>1835</v>
      </c>
      <c r="J45" s="479">
        <v>18265</v>
      </c>
      <c r="K45" s="478">
        <v>7.9542329682321571E-4</v>
      </c>
      <c r="L45" s="471">
        <v>3.7660794906480498E-3</v>
      </c>
      <c r="M45" s="479">
        <v>1831</v>
      </c>
      <c r="N45" s="479">
        <v>18280</v>
      </c>
      <c r="O45" s="478">
        <v>7.8502460106180552E-4</v>
      </c>
      <c r="P45" s="478">
        <v>3.7270440195218747E-3</v>
      </c>
      <c r="Q45" s="479">
        <v>1805</v>
      </c>
      <c r="R45" s="479">
        <v>18302</v>
      </c>
      <c r="S45" s="478">
        <v>7.8027560744434285E-4</v>
      </c>
      <c r="T45" s="478">
        <v>3.6980742378403537E-3</v>
      </c>
      <c r="U45" s="479">
        <v>1793</v>
      </c>
      <c r="V45" s="479">
        <v>18306</v>
      </c>
      <c r="W45" s="478">
        <v>8.0375282031901066E-4</v>
      </c>
      <c r="X45" s="478">
        <v>3.6845656008456366E-3</v>
      </c>
      <c r="Y45" s="479">
        <v>1846</v>
      </c>
      <c r="Z45" s="479">
        <v>18307</v>
      </c>
      <c r="AA45" s="133">
        <v>7.7209159745883645E-4</v>
      </c>
      <c r="AB45" s="478">
        <v>3.66995273788614E-3</v>
      </c>
      <c r="AC45" s="479">
        <v>1753</v>
      </c>
      <c r="AD45" s="479">
        <v>18314</v>
      </c>
      <c r="AE45" s="478">
        <v>7.8008101489471346E-4</v>
      </c>
      <c r="AF45" s="478">
        <v>3.6629890182293874E-3</v>
      </c>
      <c r="AG45" s="479">
        <v>1759</v>
      </c>
      <c r="AH45" s="479">
        <v>18324</v>
      </c>
      <c r="AI45" s="478">
        <v>7.6566707796559984E-4</v>
      </c>
      <c r="AJ45" s="478">
        <v>3.6484900572915585E-3</v>
      </c>
      <c r="AK45" s="479">
        <v>1717</v>
      </c>
      <c r="AL45" s="479">
        <v>18305</v>
      </c>
      <c r="AM45" s="478">
        <v>7.6003756425376326E-4</v>
      </c>
      <c r="AN45" s="478">
        <v>3.6357836271748607E-3</v>
      </c>
      <c r="AO45" s="479">
        <v>1702</v>
      </c>
      <c r="AP45" s="479">
        <v>18304</v>
      </c>
      <c r="AQ45" s="478">
        <v>7.5335309189968828E-4</v>
      </c>
      <c r="AR45" s="478">
        <v>3.6201821147615332E-3</v>
      </c>
      <c r="AS45" s="479">
        <v>1685</v>
      </c>
      <c r="AT45" s="479">
        <v>18303</v>
      </c>
      <c r="AU45" s="478">
        <v>7.5193418406418414E-4</v>
      </c>
      <c r="AV45" s="478">
        <v>3.6103428122958342E-3</v>
      </c>
      <c r="AW45" s="479">
        <v>1681</v>
      </c>
      <c r="AX45" s="479">
        <v>18341</v>
      </c>
      <c r="AY45" s="478">
        <v>7.5027956419322119E-4</v>
      </c>
      <c r="AZ45" s="478">
        <v>3.6299026147082699E-3</v>
      </c>
      <c r="BA45" s="479">
        <v>1676</v>
      </c>
      <c r="BB45" s="479">
        <v>18544</v>
      </c>
      <c r="BC45" s="478">
        <v>7.5083786068552932E-4</v>
      </c>
      <c r="BD45" s="478">
        <v>3.624027034712624E-3</v>
      </c>
      <c r="BE45" s="479">
        <v>1676</v>
      </c>
      <c r="BF45" s="479">
        <v>18632</v>
      </c>
      <c r="BG45" s="478">
        <v>7.4946625183052199E-4</v>
      </c>
      <c r="BH45" s="478">
        <v>3.6159988189502067E-3</v>
      </c>
      <c r="BI45" s="479">
        <v>1672</v>
      </c>
      <c r="BJ45" s="479">
        <v>18713</v>
      </c>
    </row>
    <row r="46" spans="1:62">
      <c r="A46" s="461" t="s">
        <v>1263</v>
      </c>
      <c r="B46" s="462" t="s">
        <v>104</v>
      </c>
      <c r="C46" s="478">
        <v>3.1420855788432903E-3</v>
      </c>
      <c r="D46" s="478">
        <v>2.6980704232467956E-3</v>
      </c>
      <c r="E46" s="479">
        <v>7236</v>
      </c>
      <c r="F46" s="479">
        <v>12710</v>
      </c>
      <c r="G46" s="478">
        <v>3.1372279899980499E-3</v>
      </c>
      <c r="H46" s="478">
        <v>2.68855772420229E-3</v>
      </c>
      <c r="I46" s="479">
        <v>7223</v>
      </c>
      <c r="J46" s="479">
        <v>12855</v>
      </c>
      <c r="K46" s="478">
        <v>3.1356446512670515E-3</v>
      </c>
      <c r="L46" s="471">
        <v>2.665510746717969E-3</v>
      </c>
      <c r="M46" s="479">
        <v>7218</v>
      </c>
      <c r="N46" s="479">
        <v>12938</v>
      </c>
      <c r="O46" s="478">
        <v>3.1396634875707338E-3</v>
      </c>
      <c r="P46" s="478">
        <v>2.6705526867014458E-3</v>
      </c>
      <c r="Q46" s="479">
        <v>7219</v>
      </c>
      <c r="R46" s="479">
        <v>13114</v>
      </c>
      <c r="S46" s="478">
        <v>3.1363336881491235E-3</v>
      </c>
      <c r="T46" s="478">
        <v>2.6613367207095387E-3</v>
      </c>
      <c r="U46" s="479">
        <v>7207</v>
      </c>
      <c r="V46" s="479">
        <v>13174</v>
      </c>
      <c r="W46" s="478">
        <v>3.1375096550480988E-3</v>
      </c>
      <c r="X46" s="478">
        <v>2.653080447388823E-3</v>
      </c>
      <c r="Y46" s="479">
        <v>7206</v>
      </c>
      <c r="Z46" s="479">
        <v>13182</v>
      </c>
      <c r="AA46" s="133">
        <v>3.0289069684680081E-3</v>
      </c>
      <c r="AB46" s="478">
        <v>2.6453557984511813E-3</v>
      </c>
      <c r="AC46" s="479">
        <v>6877</v>
      </c>
      <c r="AD46" s="479">
        <v>13201</v>
      </c>
      <c r="AE46" s="478">
        <v>3.0320715740961659E-3</v>
      </c>
      <c r="AF46" s="478">
        <v>2.6414940453439819E-3</v>
      </c>
      <c r="AG46" s="479">
        <v>6837</v>
      </c>
      <c r="AH46" s="479">
        <v>13214</v>
      </c>
      <c r="AI46" s="478">
        <v>3.0434931899331504E-3</v>
      </c>
      <c r="AJ46" s="478">
        <v>2.6495153417960497E-3</v>
      </c>
      <c r="AK46" s="479">
        <v>6825</v>
      </c>
      <c r="AL46" s="479">
        <v>13293</v>
      </c>
      <c r="AM46" s="478">
        <v>3.0423830348183835E-3</v>
      </c>
      <c r="AN46" s="478">
        <v>2.6398363420647888E-3</v>
      </c>
      <c r="AO46" s="479">
        <v>6813</v>
      </c>
      <c r="AP46" s="479">
        <v>13290</v>
      </c>
      <c r="AQ46" s="478">
        <v>3.0388967155146477E-3</v>
      </c>
      <c r="AR46" s="478">
        <v>2.6450688641592082E-3</v>
      </c>
      <c r="AS46" s="479">
        <v>6797</v>
      </c>
      <c r="AT46" s="479">
        <v>13373</v>
      </c>
      <c r="AU46" s="478">
        <v>3.03815406196546E-3</v>
      </c>
      <c r="AV46" s="478">
        <v>2.6408788599182656E-3</v>
      </c>
      <c r="AW46" s="479">
        <v>6792</v>
      </c>
      <c r="AX46" s="479">
        <v>13416</v>
      </c>
      <c r="AY46" s="478">
        <v>3.0440936972040001E-3</v>
      </c>
      <c r="AZ46" s="478">
        <v>2.6282734257812735E-3</v>
      </c>
      <c r="BA46" s="479">
        <v>6800</v>
      </c>
      <c r="BB46" s="479">
        <v>13427</v>
      </c>
      <c r="BC46" s="478">
        <v>3.0477028438207969E-3</v>
      </c>
      <c r="BD46" s="478">
        <v>2.6283532267105886E-3</v>
      </c>
      <c r="BE46" s="479">
        <v>6803</v>
      </c>
      <c r="BF46" s="479">
        <v>13513</v>
      </c>
      <c r="BG46" s="478">
        <v>3.03641410879184E-3</v>
      </c>
      <c r="BH46" s="478">
        <v>2.6105992648969858E-3</v>
      </c>
      <c r="BI46" s="479">
        <v>6774</v>
      </c>
      <c r="BJ46" s="479">
        <v>13510</v>
      </c>
    </row>
    <row r="47" spans="1:62">
      <c r="A47" s="461" t="s">
        <v>1264</v>
      </c>
      <c r="B47" s="462" t="s">
        <v>104</v>
      </c>
      <c r="C47" s="478">
        <v>2.0096147123945204E-3</v>
      </c>
      <c r="D47" s="478">
        <v>1.3460633008503485E-3</v>
      </c>
      <c r="E47" s="479">
        <v>4628</v>
      </c>
      <c r="F47" s="479">
        <v>6341</v>
      </c>
      <c r="G47" s="478">
        <v>1.9953517078846795E-3</v>
      </c>
      <c r="H47" s="478">
        <v>1.3289067117527305E-3</v>
      </c>
      <c r="I47" s="479">
        <v>4594</v>
      </c>
      <c r="J47" s="479">
        <v>6354</v>
      </c>
      <c r="K47" s="478">
        <v>1.9935540737966886E-3</v>
      </c>
      <c r="L47" s="471">
        <v>1.3102989912757985E-3</v>
      </c>
      <c r="M47" s="479">
        <v>4589</v>
      </c>
      <c r="N47" s="479">
        <v>6360</v>
      </c>
      <c r="O47" s="478">
        <v>1.9875692115526047E-3</v>
      </c>
      <c r="P47" s="478">
        <v>1.3016755203138358E-3</v>
      </c>
      <c r="Q47" s="479">
        <v>4570</v>
      </c>
      <c r="R47" s="479">
        <v>6392</v>
      </c>
      <c r="S47" s="478">
        <v>1.9852857340552661E-3</v>
      </c>
      <c r="T47" s="478">
        <v>1.2957198820882786E-3</v>
      </c>
      <c r="U47" s="479">
        <v>4562</v>
      </c>
      <c r="V47" s="479">
        <v>6414</v>
      </c>
      <c r="W47" s="478">
        <v>1.9780330783907181E-3</v>
      </c>
      <c r="X47" s="478">
        <v>1.2899099216594574E-3</v>
      </c>
      <c r="Y47" s="479">
        <v>4543</v>
      </c>
      <c r="Z47" s="479">
        <v>6409</v>
      </c>
      <c r="AA47" s="133">
        <v>1.9912299555683967E-3</v>
      </c>
      <c r="AB47" s="478">
        <v>1.2877097462955301E-3</v>
      </c>
      <c r="AC47" s="479">
        <v>4521</v>
      </c>
      <c r="AD47" s="479">
        <v>6426</v>
      </c>
      <c r="AE47" s="478">
        <v>1.9282502858227481E-3</v>
      </c>
      <c r="AF47" s="478">
        <v>1.284165108770224E-3</v>
      </c>
      <c r="AG47" s="479">
        <v>4348</v>
      </c>
      <c r="AH47" s="479">
        <v>6424</v>
      </c>
      <c r="AI47" s="478">
        <v>1.9259849212192345E-3</v>
      </c>
      <c r="AJ47" s="478">
        <v>1.2790145150308621E-3</v>
      </c>
      <c r="AK47" s="479">
        <v>4319</v>
      </c>
      <c r="AL47" s="479">
        <v>6417</v>
      </c>
      <c r="AM47" s="478">
        <v>1.9050060218017357E-3</v>
      </c>
      <c r="AN47" s="478">
        <v>1.2676776173858153E-3</v>
      </c>
      <c r="AO47" s="479">
        <v>4266</v>
      </c>
      <c r="AP47" s="479">
        <v>6382</v>
      </c>
      <c r="AQ47" s="478">
        <v>1.8898655901839656E-3</v>
      </c>
      <c r="AR47" s="478">
        <v>1.2538018043748763E-3</v>
      </c>
      <c r="AS47" s="479">
        <v>4227</v>
      </c>
      <c r="AT47" s="479">
        <v>6339</v>
      </c>
      <c r="AU47" s="478">
        <v>1.886768821167596E-3</v>
      </c>
      <c r="AV47" s="478">
        <v>1.2458349958573869E-3</v>
      </c>
      <c r="AW47" s="479">
        <v>4218</v>
      </c>
      <c r="AX47" s="479">
        <v>6329</v>
      </c>
      <c r="AY47" s="478">
        <v>1.8886810747799523E-3</v>
      </c>
      <c r="AZ47" s="478">
        <v>1.2402428260780628E-3</v>
      </c>
      <c r="BA47" s="479">
        <v>4219</v>
      </c>
      <c r="BB47" s="479">
        <v>6336</v>
      </c>
      <c r="BC47" s="478">
        <v>1.8865025246699069E-3</v>
      </c>
      <c r="BD47" s="478">
        <v>1.2353046209456781E-3</v>
      </c>
      <c r="BE47" s="479">
        <v>4211</v>
      </c>
      <c r="BF47" s="479">
        <v>6351</v>
      </c>
      <c r="BG47" s="478">
        <v>1.8812858007970698E-3</v>
      </c>
      <c r="BH47" s="478">
        <v>1.2245275752518282E-3</v>
      </c>
      <c r="BI47" s="479">
        <v>4197</v>
      </c>
      <c r="BJ47" s="479">
        <v>6337</v>
      </c>
    </row>
    <row r="48" spans="1:62">
      <c r="A48" s="461" t="s">
        <v>1265</v>
      </c>
      <c r="B48" s="462" t="s">
        <v>104</v>
      </c>
      <c r="C48" s="478">
        <v>1.0141432931714352E-2</v>
      </c>
      <c r="D48" s="478">
        <v>5.6234920206318538E-3</v>
      </c>
      <c r="E48" s="479">
        <v>23355</v>
      </c>
      <c r="F48" s="479">
        <v>26491</v>
      </c>
      <c r="G48" s="478">
        <v>1.0165695847418573E-2</v>
      </c>
      <c r="H48" s="478">
        <v>5.5668098751530419E-3</v>
      </c>
      <c r="I48" s="479">
        <v>23405</v>
      </c>
      <c r="J48" s="479">
        <v>26617</v>
      </c>
      <c r="K48" s="478">
        <v>1.0190627906542325E-2</v>
      </c>
      <c r="L48" s="471">
        <v>5.5082002878537343E-3</v>
      </c>
      <c r="M48" s="479">
        <v>23458</v>
      </c>
      <c r="N48" s="479">
        <v>26736</v>
      </c>
      <c r="O48" s="478">
        <v>1.0213148313980265E-2</v>
      </c>
      <c r="P48" s="478">
        <v>5.4514789860452724E-3</v>
      </c>
      <c r="Q48" s="479">
        <v>23483</v>
      </c>
      <c r="R48" s="479">
        <v>26770</v>
      </c>
      <c r="S48" s="478">
        <v>1.0240192592734428E-2</v>
      </c>
      <c r="T48" s="478">
        <v>5.4382256354562611E-3</v>
      </c>
      <c r="U48" s="479">
        <v>23531</v>
      </c>
      <c r="V48" s="479">
        <v>26920</v>
      </c>
      <c r="W48" s="478">
        <v>1.023718110040118E-2</v>
      </c>
      <c r="X48" s="478">
        <v>5.4277251938387025E-3</v>
      </c>
      <c r="Y48" s="479">
        <v>23512</v>
      </c>
      <c r="Z48" s="479">
        <v>26968</v>
      </c>
      <c r="AA48" s="133">
        <v>1.0360033402981604E-2</v>
      </c>
      <c r="AB48" s="478">
        <v>5.4193623371951933E-3</v>
      </c>
      <c r="AC48" s="479">
        <v>23522</v>
      </c>
      <c r="AD48" s="479">
        <v>27044</v>
      </c>
      <c r="AE48" s="478">
        <v>1.0153027148948021E-2</v>
      </c>
      <c r="AF48" s="478">
        <v>5.4229189088914444E-3</v>
      </c>
      <c r="AG48" s="479">
        <v>22894</v>
      </c>
      <c r="AH48" s="479">
        <v>27128</v>
      </c>
      <c r="AI48" s="478">
        <v>1.0121788780234819E-2</v>
      </c>
      <c r="AJ48" s="478">
        <v>5.4016787239911787E-3</v>
      </c>
      <c r="AK48" s="479">
        <v>22698</v>
      </c>
      <c r="AL48" s="479">
        <v>27101</v>
      </c>
      <c r="AM48" s="478">
        <v>1.013145256039329E-2</v>
      </c>
      <c r="AN48" s="478">
        <v>5.3801811257461907E-3</v>
      </c>
      <c r="AO48" s="479">
        <v>22688</v>
      </c>
      <c r="AP48" s="479">
        <v>27086</v>
      </c>
      <c r="AQ48" s="478">
        <v>1.0080177335293988E-2</v>
      </c>
      <c r="AR48" s="478">
        <v>5.3658919625944185E-3</v>
      </c>
      <c r="AS48" s="479">
        <v>22546</v>
      </c>
      <c r="AT48" s="479">
        <v>27129</v>
      </c>
      <c r="AU48" s="478">
        <v>1.0080659590761721E-2</v>
      </c>
      <c r="AV48" s="478">
        <v>5.3630549000054529E-3</v>
      </c>
      <c r="AW48" s="479">
        <v>22536</v>
      </c>
      <c r="AX48" s="479">
        <v>27245</v>
      </c>
      <c r="AY48" s="478">
        <v>1.0099228501312094E-2</v>
      </c>
      <c r="AZ48" s="478">
        <v>5.3389556630806766E-3</v>
      </c>
      <c r="BA48" s="479">
        <v>22560</v>
      </c>
      <c r="BB48" s="479">
        <v>27275</v>
      </c>
      <c r="BC48" s="478">
        <v>1.0113911421740162E-2</v>
      </c>
      <c r="BD48" s="478">
        <v>5.323421850206623E-3</v>
      </c>
      <c r="BE48" s="479">
        <v>22576</v>
      </c>
      <c r="BF48" s="479">
        <v>27369</v>
      </c>
      <c r="BG48" s="478">
        <v>1.0130793515323941E-2</v>
      </c>
      <c r="BH48" s="478">
        <v>5.3143376005327092E-3</v>
      </c>
      <c r="BI48" s="479">
        <v>22601</v>
      </c>
      <c r="BJ48" s="479">
        <v>27502</v>
      </c>
    </row>
    <row r="49" spans="1:62">
      <c r="A49" s="437" t="s">
        <v>1266</v>
      </c>
      <c r="B49" s="462" t="s">
        <v>104</v>
      </c>
      <c r="C49" s="478">
        <v>5.7561479316123078E-3</v>
      </c>
      <c r="D49" s="478">
        <v>4.1264981083787931E-3</v>
      </c>
      <c r="E49" s="479">
        <v>13256</v>
      </c>
      <c r="F49" s="479">
        <v>19439</v>
      </c>
      <c r="G49" s="478">
        <v>5.7654110950068E-3</v>
      </c>
      <c r="H49" s="478">
        <v>4.0779073128351809E-3</v>
      </c>
      <c r="I49" s="479">
        <v>13274</v>
      </c>
      <c r="J49" s="479">
        <v>19498</v>
      </c>
      <c r="K49" s="478">
        <v>5.7630177256454288E-3</v>
      </c>
      <c r="L49" s="471">
        <v>4.033907900814487E-3</v>
      </c>
      <c r="M49" s="479">
        <v>13266</v>
      </c>
      <c r="N49" s="479">
        <v>19580</v>
      </c>
      <c r="O49" s="478">
        <v>5.7548174632962943E-3</v>
      </c>
      <c r="P49" s="478">
        <v>3.9913704940787208E-3</v>
      </c>
      <c r="Q49" s="479">
        <v>13232</v>
      </c>
      <c r="R49" s="479">
        <v>19600</v>
      </c>
      <c r="S49" s="478">
        <v>5.7595915585755032E-3</v>
      </c>
      <c r="T49" s="478">
        <v>3.9612989036278542E-3</v>
      </c>
      <c r="U49" s="479">
        <v>13235</v>
      </c>
      <c r="V49" s="479">
        <v>19609</v>
      </c>
      <c r="W49" s="478">
        <v>5.7634214965128624E-3</v>
      </c>
      <c r="X49" s="478">
        <v>3.9488270655263771E-3</v>
      </c>
      <c r="Y49" s="479">
        <v>13237</v>
      </c>
      <c r="Z49" s="479">
        <v>19620</v>
      </c>
      <c r="AA49" s="133">
        <v>5.7539102277251791E-3</v>
      </c>
      <c r="AB49" s="478">
        <v>3.9292581240838393E-3</v>
      </c>
      <c r="AC49" s="479">
        <v>13064</v>
      </c>
      <c r="AD49" s="479">
        <v>19608</v>
      </c>
      <c r="AE49" s="478">
        <v>5.7807595390293289E-3</v>
      </c>
      <c r="AF49" s="478">
        <v>3.920861526061515E-3</v>
      </c>
      <c r="AG49" s="479">
        <v>13035</v>
      </c>
      <c r="AH49" s="479">
        <v>19614</v>
      </c>
      <c r="AI49" s="478">
        <v>5.8056026138812722E-3</v>
      </c>
      <c r="AJ49" s="478">
        <v>3.9165708618289609E-3</v>
      </c>
      <c r="AK49" s="479">
        <v>13019</v>
      </c>
      <c r="AL49" s="479">
        <v>19650</v>
      </c>
      <c r="AM49" s="478">
        <v>5.8079016220237631E-3</v>
      </c>
      <c r="AN49" s="478">
        <v>3.9041371936255403E-3</v>
      </c>
      <c r="AO49" s="479">
        <v>13006</v>
      </c>
      <c r="AP49" s="479">
        <v>19655</v>
      </c>
      <c r="AQ49" s="478">
        <v>5.8077487618854303E-3</v>
      </c>
      <c r="AR49" s="478">
        <v>3.8929369165020215E-3</v>
      </c>
      <c r="AS49" s="479">
        <v>12990</v>
      </c>
      <c r="AT49" s="479">
        <v>19682</v>
      </c>
      <c r="AU49" s="478">
        <v>5.8079199559127699E-3</v>
      </c>
      <c r="AV49" s="478">
        <v>3.8778558095102738E-3</v>
      </c>
      <c r="AW49" s="479">
        <v>12984</v>
      </c>
      <c r="AX49" s="479">
        <v>19700</v>
      </c>
      <c r="AY49" s="478">
        <v>5.8092946924435743E-3</v>
      </c>
      <c r="AZ49" s="478">
        <v>3.8571630189185965E-3</v>
      </c>
      <c r="BA49" s="479">
        <v>12977</v>
      </c>
      <c r="BB49" s="479">
        <v>19705</v>
      </c>
      <c r="BC49" s="478">
        <v>5.8207853961140107E-3</v>
      </c>
      <c r="BD49" s="478">
        <v>3.8436237780676342E-3</v>
      </c>
      <c r="BE49" s="479">
        <v>12993</v>
      </c>
      <c r="BF49" s="479">
        <v>19761</v>
      </c>
      <c r="BG49" s="478">
        <v>5.8231555487621477E-3</v>
      </c>
      <c r="BH49" s="478">
        <v>3.8295230371375622E-3</v>
      </c>
      <c r="BI49" s="479">
        <v>12991</v>
      </c>
      <c r="BJ49" s="479">
        <v>19818</v>
      </c>
    </row>
    <row r="50" spans="1:62">
      <c r="A50" s="437" t="s">
        <v>1267</v>
      </c>
      <c r="B50" s="462" t="s">
        <v>104</v>
      </c>
      <c r="C50" s="478">
        <v>2.1229486449647382E-3</v>
      </c>
      <c r="D50" s="478">
        <v>1.2613638438184469E-3</v>
      </c>
      <c r="E50" s="479">
        <v>4889</v>
      </c>
      <c r="F50" s="479">
        <v>5942</v>
      </c>
      <c r="G50" s="478">
        <v>2.1213099132147964E-3</v>
      </c>
      <c r="H50" s="478">
        <v>1.2442030261594261E-3</v>
      </c>
      <c r="I50" s="479">
        <v>4884</v>
      </c>
      <c r="J50" s="479">
        <v>5949</v>
      </c>
      <c r="K50" s="478">
        <v>2.1182326571873296E-3</v>
      </c>
      <c r="L50" s="471">
        <v>1.2283022933940741E-3</v>
      </c>
      <c r="M50" s="479">
        <v>4876</v>
      </c>
      <c r="N50" s="479">
        <v>5962</v>
      </c>
      <c r="O50" s="478">
        <v>2.1163045477932112E-3</v>
      </c>
      <c r="P50" s="478">
        <v>1.2159425112318388E-3</v>
      </c>
      <c r="Q50" s="479">
        <v>4866</v>
      </c>
      <c r="R50" s="479">
        <v>5971</v>
      </c>
      <c r="S50" s="478">
        <v>2.1232374170222805E-3</v>
      </c>
      <c r="T50" s="478">
        <v>1.2175403382204638E-3</v>
      </c>
      <c r="U50" s="479">
        <v>4879</v>
      </c>
      <c r="V50" s="479">
        <v>6027</v>
      </c>
      <c r="W50" s="478">
        <v>2.1304239164793709E-3</v>
      </c>
      <c r="X50" s="478">
        <v>1.216246786797956E-3</v>
      </c>
      <c r="Y50" s="479">
        <v>4893</v>
      </c>
      <c r="Z50" s="479">
        <v>6043</v>
      </c>
      <c r="AA50" s="133">
        <v>2.1533119338141764E-3</v>
      </c>
      <c r="AB50" s="478">
        <v>1.2129640669665178E-3</v>
      </c>
      <c r="AC50" s="479">
        <v>4889</v>
      </c>
      <c r="AD50" s="479">
        <v>6053</v>
      </c>
      <c r="AE50" s="478">
        <v>2.1570858763205721E-3</v>
      </c>
      <c r="AF50" s="478">
        <v>1.210801379797828E-3</v>
      </c>
      <c r="AG50" s="479">
        <v>4864</v>
      </c>
      <c r="AH50" s="479">
        <v>6057</v>
      </c>
      <c r="AI50" s="478">
        <v>2.159207915847079E-3</v>
      </c>
      <c r="AJ50" s="478">
        <v>1.2072605450431559E-3</v>
      </c>
      <c r="AK50" s="479">
        <v>4842</v>
      </c>
      <c r="AL50" s="479">
        <v>6057</v>
      </c>
      <c r="AM50" s="478">
        <v>2.1586495802601007E-3</v>
      </c>
      <c r="AN50" s="478">
        <v>1.2017313671551524E-3</v>
      </c>
      <c r="AO50" s="479">
        <v>4834</v>
      </c>
      <c r="AP50" s="479">
        <v>6050</v>
      </c>
      <c r="AQ50" s="478">
        <v>2.1608044469740018E-3</v>
      </c>
      <c r="AR50" s="478">
        <v>1.1962444096638668E-3</v>
      </c>
      <c r="AS50" s="479">
        <v>4833</v>
      </c>
      <c r="AT50" s="479">
        <v>6048</v>
      </c>
      <c r="AU50" s="478">
        <v>2.1569462436392003E-3</v>
      </c>
      <c r="AV50" s="478">
        <v>1.1883561178687068E-3</v>
      </c>
      <c r="AW50" s="479">
        <v>4822</v>
      </c>
      <c r="AX50" s="479">
        <v>6037</v>
      </c>
      <c r="AY50" s="478">
        <v>2.1563822557987746E-3</v>
      </c>
      <c r="AZ50" s="478">
        <v>1.1807362258369437E-3</v>
      </c>
      <c r="BA50" s="479">
        <v>4817</v>
      </c>
      <c r="BB50" s="479">
        <v>6032</v>
      </c>
      <c r="BC50" s="478">
        <v>2.1548509008934343E-3</v>
      </c>
      <c r="BD50" s="478">
        <v>1.1845386776191435E-3</v>
      </c>
      <c r="BE50" s="479">
        <v>4810</v>
      </c>
      <c r="BF50" s="479">
        <v>6090</v>
      </c>
      <c r="BG50" s="478">
        <v>2.155163719378678E-3</v>
      </c>
      <c r="BH50" s="478">
        <v>1.1767986323628899E-3</v>
      </c>
      <c r="BI50" s="479">
        <v>4808</v>
      </c>
      <c r="BJ50" s="479">
        <v>6090</v>
      </c>
    </row>
    <row r="51" spans="1:62">
      <c r="A51" s="461" t="s">
        <v>1268</v>
      </c>
      <c r="B51" s="462" t="s">
        <v>104</v>
      </c>
      <c r="C51" s="478">
        <v>5.38010507488507E-3</v>
      </c>
      <c r="D51" s="478">
        <v>4.1842380891123198E-3</v>
      </c>
      <c r="E51" s="479">
        <v>12390</v>
      </c>
      <c r="F51" s="479">
        <v>19711</v>
      </c>
      <c r="G51" s="478">
        <v>5.3818900767085469E-3</v>
      </c>
      <c r="H51" s="478">
        <v>4.1316575528289566E-3</v>
      </c>
      <c r="I51" s="479">
        <v>12391</v>
      </c>
      <c r="J51" s="479">
        <v>19755</v>
      </c>
      <c r="K51" s="478">
        <v>5.3659577074606016E-3</v>
      </c>
      <c r="L51" s="471">
        <v>4.0652232226185622E-3</v>
      </c>
      <c r="M51" s="479">
        <v>12352</v>
      </c>
      <c r="N51" s="479">
        <v>19732</v>
      </c>
      <c r="O51" s="478">
        <v>5.3620877044271474E-3</v>
      </c>
      <c r="P51" s="478">
        <v>4.0180475111564916E-3</v>
      </c>
      <c r="Q51" s="479">
        <v>12329</v>
      </c>
      <c r="R51" s="479">
        <v>19731</v>
      </c>
      <c r="S51" s="478">
        <v>5.3518290130231613E-3</v>
      </c>
      <c r="T51" s="478">
        <v>3.9800862358751587E-3</v>
      </c>
      <c r="U51" s="479">
        <v>12298</v>
      </c>
      <c r="V51" s="479">
        <v>19702</v>
      </c>
      <c r="W51" s="478">
        <v>5.3663345126932858E-3</v>
      </c>
      <c r="X51" s="478">
        <v>3.9818345904369954E-3</v>
      </c>
      <c r="Y51" s="479">
        <v>12325</v>
      </c>
      <c r="Z51" s="479">
        <v>19784</v>
      </c>
      <c r="AA51" s="133">
        <v>5.4359124334494918E-3</v>
      </c>
      <c r="AB51" s="478">
        <v>3.9769510776503404E-3</v>
      </c>
      <c r="AC51" s="479">
        <v>12342</v>
      </c>
      <c r="AD51" s="479">
        <v>19846</v>
      </c>
      <c r="AE51" s="478">
        <v>5.138600750190475E-3</v>
      </c>
      <c r="AF51" s="478">
        <v>3.9712366206147683E-3</v>
      </c>
      <c r="AG51" s="479">
        <v>11587</v>
      </c>
      <c r="AH51" s="479">
        <v>19866</v>
      </c>
      <c r="AI51" s="478">
        <v>5.0814073112510254E-3</v>
      </c>
      <c r="AJ51" s="478">
        <v>3.9566334950720964E-3</v>
      </c>
      <c r="AK51" s="479">
        <v>11395</v>
      </c>
      <c r="AL51" s="479">
        <v>19851</v>
      </c>
      <c r="AM51" s="478">
        <v>5.0858212804266211E-3</v>
      </c>
      <c r="AN51" s="478">
        <v>3.9589599799618744E-3</v>
      </c>
      <c r="AO51" s="479">
        <v>11389</v>
      </c>
      <c r="AP51" s="479">
        <v>19931</v>
      </c>
      <c r="AQ51" s="478">
        <v>5.0861393314248389E-3</v>
      </c>
      <c r="AR51" s="478">
        <v>3.9542523541666709E-3</v>
      </c>
      <c r="AS51" s="479">
        <v>11376</v>
      </c>
      <c r="AT51" s="479">
        <v>19992</v>
      </c>
      <c r="AU51" s="478">
        <v>5.0810353341969464E-3</v>
      </c>
      <c r="AV51" s="478">
        <v>3.9436021973466408E-3</v>
      </c>
      <c r="AW51" s="479">
        <v>11359</v>
      </c>
      <c r="AX51" s="479">
        <v>20034</v>
      </c>
      <c r="AY51" s="478">
        <v>5.0813981701415597E-3</v>
      </c>
      <c r="AZ51" s="478">
        <v>3.9548399712880655E-3</v>
      </c>
      <c r="BA51" s="479">
        <v>11351</v>
      </c>
      <c r="BB51" s="479">
        <v>20204</v>
      </c>
      <c r="BC51" s="478">
        <v>5.0820433720863032E-3</v>
      </c>
      <c r="BD51" s="478">
        <v>3.9576040186398535E-3</v>
      </c>
      <c r="BE51" s="479">
        <v>11344</v>
      </c>
      <c r="BF51" s="479">
        <v>20347</v>
      </c>
      <c r="BG51" s="478">
        <v>5.0759305237612629E-3</v>
      </c>
      <c r="BH51" s="478">
        <v>3.8996671920715075E-3</v>
      </c>
      <c r="BI51" s="479">
        <v>11324</v>
      </c>
      <c r="BJ51" s="479">
        <v>20181</v>
      </c>
    </row>
    <row r="52" spans="1:62">
      <c r="A52" s="461" t="s">
        <v>1269</v>
      </c>
      <c r="B52" s="462" t="s">
        <v>104</v>
      </c>
      <c r="C52" s="478">
        <v>1.5462917006994136E-3</v>
      </c>
      <c r="D52" s="478">
        <v>4.2810374685773502E-3</v>
      </c>
      <c r="E52" s="479">
        <v>3561</v>
      </c>
      <c r="F52" s="479">
        <v>20167</v>
      </c>
      <c r="G52" s="478">
        <v>1.5440738618916056E-3</v>
      </c>
      <c r="H52" s="478">
        <v>4.2230538753086459E-3</v>
      </c>
      <c r="I52" s="479">
        <v>3555</v>
      </c>
      <c r="J52" s="479">
        <v>20192</v>
      </c>
      <c r="K52" s="478">
        <v>1.5443636374694331E-3</v>
      </c>
      <c r="L52" s="471">
        <v>4.1628775814023244E-3</v>
      </c>
      <c r="M52" s="479">
        <v>3555</v>
      </c>
      <c r="N52" s="479">
        <v>20206</v>
      </c>
      <c r="O52" s="478">
        <v>1.5413447014753679E-3</v>
      </c>
      <c r="P52" s="478">
        <v>4.1485816176210048E-3</v>
      </c>
      <c r="Q52" s="479">
        <v>3544</v>
      </c>
      <c r="R52" s="479">
        <v>20372</v>
      </c>
      <c r="S52" s="478">
        <v>1.5383570955469893E-3</v>
      </c>
      <c r="T52" s="478">
        <v>4.1271526646497556E-3</v>
      </c>
      <c r="U52" s="479">
        <v>3535</v>
      </c>
      <c r="V52" s="479">
        <v>20430</v>
      </c>
      <c r="W52" s="478">
        <v>1.5378412575117798E-3</v>
      </c>
      <c r="X52" s="478">
        <v>4.1160786094332283E-3</v>
      </c>
      <c r="Y52" s="479">
        <v>3532</v>
      </c>
      <c r="Z52" s="479">
        <v>20451</v>
      </c>
      <c r="AA52" s="133">
        <v>1.4486076805716561E-3</v>
      </c>
      <c r="AB52" s="478">
        <v>4.1931724931892258E-3</v>
      </c>
      <c r="AC52" s="479">
        <v>3289</v>
      </c>
      <c r="AD52" s="479">
        <v>20925</v>
      </c>
      <c r="AE52" s="478">
        <v>1.4404224766219609E-3</v>
      </c>
      <c r="AF52" s="478">
        <v>4.1849309701283682E-3</v>
      </c>
      <c r="AG52" s="479">
        <v>3248</v>
      </c>
      <c r="AH52" s="479">
        <v>20935</v>
      </c>
      <c r="AI52" s="478">
        <v>1.4448231407155174E-3</v>
      </c>
      <c r="AJ52" s="478">
        <v>4.1778749025341904E-3</v>
      </c>
      <c r="AK52" s="479">
        <v>3240</v>
      </c>
      <c r="AL52" s="479">
        <v>20961</v>
      </c>
      <c r="AM52" s="478">
        <v>1.4379089053449575E-3</v>
      </c>
      <c r="AN52" s="478">
        <v>4.1687167276835005E-3</v>
      </c>
      <c r="AO52" s="479">
        <v>3220</v>
      </c>
      <c r="AP52" s="479">
        <v>20987</v>
      </c>
      <c r="AQ52" s="478">
        <v>1.4374066412210669E-3</v>
      </c>
      <c r="AR52" s="478">
        <v>4.1520440885687649E-3</v>
      </c>
      <c r="AS52" s="479">
        <v>3215</v>
      </c>
      <c r="AT52" s="479">
        <v>20992</v>
      </c>
      <c r="AU52" s="478">
        <v>1.4381132669639214E-3</v>
      </c>
      <c r="AV52" s="478">
        <v>4.1605259081121393E-3</v>
      </c>
      <c r="AW52" s="479">
        <v>3215</v>
      </c>
      <c r="AX52" s="479">
        <v>21136</v>
      </c>
      <c r="AY52" s="478">
        <v>1.4374389502532416E-3</v>
      </c>
      <c r="AZ52" s="478">
        <v>4.1494108944448828E-3</v>
      </c>
      <c r="BA52" s="479">
        <v>3211</v>
      </c>
      <c r="BB52" s="479">
        <v>21198</v>
      </c>
      <c r="BC52" s="478">
        <v>1.4362686046287632E-3</v>
      </c>
      <c r="BD52" s="478">
        <v>4.133242512217865E-3</v>
      </c>
      <c r="BE52" s="479">
        <v>3206</v>
      </c>
      <c r="BF52" s="479">
        <v>21250</v>
      </c>
      <c r="BG52" s="478">
        <v>1.4361781524312156E-3</v>
      </c>
      <c r="BH52" s="478">
        <v>4.11860197868352E-3</v>
      </c>
      <c r="BI52" s="479">
        <v>3204</v>
      </c>
      <c r="BJ52" s="479">
        <v>21314</v>
      </c>
    </row>
    <row r="53" spans="1:62">
      <c r="A53" s="461" t="s">
        <v>1270</v>
      </c>
      <c r="B53" s="462" t="s">
        <v>104</v>
      </c>
      <c r="C53" s="478">
        <v>1.3591821545518771E-2</v>
      </c>
      <c r="D53" s="478">
        <v>8.1353934618812115E-3</v>
      </c>
      <c r="E53" s="479">
        <v>31301</v>
      </c>
      <c r="F53" s="479">
        <v>38324</v>
      </c>
      <c r="G53" s="478">
        <v>1.3602183159735418E-2</v>
      </c>
      <c r="H53" s="478">
        <v>8.0292819595371538E-3</v>
      </c>
      <c r="I53" s="479">
        <v>31317</v>
      </c>
      <c r="J53" s="479">
        <v>38391</v>
      </c>
      <c r="K53" s="478">
        <v>1.3591703270184573E-2</v>
      </c>
      <c r="L53" s="471">
        <v>7.9192740449135889E-3</v>
      </c>
      <c r="M53" s="479">
        <v>31287</v>
      </c>
      <c r="N53" s="479">
        <v>38439</v>
      </c>
      <c r="O53" s="478">
        <v>1.3618110974209006E-2</v>
      </c>
      <c r="P53" s="478">
        <v>7.8365264976090476E-3</v>
      </c>
      <c r="Q53" s="479">
        <v>31312</v>
      </c>
      <c r="R53" s="479">
        <v>38482</v>
      </c>
      <c r="S53" s="478">
        <v>1.3624143024127183E-2</v>
      </c>
      <c r="T53" s="478">
        <v>7.7991670545341715E-3</v>
      </c>
      <c r="U53" s="479">
        <v>31307</v>
      </c>
      <c r="V53" s="479">
        <v>38607</v>
      </c>
      <c r="W53" s="478">
        <v>1.356713861383552E-2</v>
      </c>
      <c r="X53" s="478">
        <v>7.773473381846344E-3</v>
      </c>
      <c r="Y53" s="479">
        <v>31160</v>
      </c>
      <c r="Z53" s="479">
        <v>38623</v>
      </c>
      <c r="AA53" s="133">
        <v>1.3462493877881799E-2</v>
      </c>
      <c r="AB53" s="478">
        <v>7.7483014395055968E-3</v>
      </c>
      <c r="AC53" s="479">
        <v>30566</v>
      </c>
      <c r="AD53" s="479">
        <v>38666</v>
      </c>
      <c r="AE53" s="478">
        <v>1.354963914046514E-2</v>
      </c>
      <c r="AF53" s="478">
        <v>7.7291786940536598E-3</v>
      </c>
      <c r="AG53" s="479">
        <v>30553</v>
      </c>
      <c r="AH53" s="479">
        <v>38665</v>
      </c>
      <c r="AI53" s="478">
        <v>1.3608985372949432E-2</v>
      </c>
      <c r="AJ53" s="478">
        <v>7.7019914118470591E-3</v>
      </c>
      <c r="AK53" s="479">
        <v>30518</v>
      </c>
      <c r="AL53" s="479">
        <v>38642</v>
      </c>
      <c r="AM53" s="478">
        <v>1.3631108489333797E-2</v>
      </c>
      <c r="AN53" s="478">
        <v>7.6777723197765458E-3</v>
      </c>
      <c r="AO53" s="479">
        <v>30525</v>
      </c>
      <c r="AP53" s="479">
        <v>38653</v>
      </c>
      <c r="AQ53" s="478">
        <v>1.3640385448526759E-2</v>
      </c>
      <c r="AR53" s="478">
        <v>7.6636385411435488E-3</v>
      </c>
      <c r="AS53" s="479">
        <v>30509</v>
      </c>
      <c r="AT53" s="479">
        <v>38746</v>
      </c>
      <c r="AU53" s="478">
        <v>1.3643065207589301E-2</v>
      </c>
      <c r="AV53" s="478">
        <v>7.6356358807565241E-3</v>
      </c>
      <c r="AW53" s="479">
        <v>30500</v>
      </c>
      <c r="AX53" s="479">
        <v>38790</v>
      </c>
      <c r="AY53" s="478">
        <v>1.3658579822851654E-2</v>
      </c>
      <c r="AZ53" s="478">
        <v>7.6088192696465249E-3</v>
      </c>
      <c r="BA53" s="479">
        <v>30511</v>
      </c>
      <c r="BB53" s="479">
        <v>38871</v>
      </c>
      <c r="BC53" s="478">
        <v>1.3656199586680781E-2</v>
      </c>
      <c r="BD53" s="478">
        <v>7.5705442381432345E-3</v>
      </c>
      <c r="BE53" s="479">
        <v>30483</v>
      </c>
      <c r="BF53" s="479">
        <v>38922</v>
      </c>
      <c r="BG53" s="478">
        <v>1.3663415244197352E-2</v>
      </c>
      <c r="BH53" s="478">
        <v>7.5479361869830609E-3</v>
      </c>
      <c r="BI53" s="479">
        <v>30482</v>
      </c>
      <c r="BJ53" s="479">
        <v>39061</v>
      </c>
    </row>
    <row r="54" spans="1:62">
      <c r="A54" s="461" t="s">
        <v>1271</v>
      </c>
      <c r="B54" s="462" t="s">
        <v>104</v>
      </c>
      <c r="C54" s="478">
        <v>1.7720911065864384E-3</v>
      </c>
      <c r="D54" s="478">
        <v>1.5867880734673325E-3</v>
      </c>
      <c r="E54" s="479">
        <v>4081</v>
      </c>
      <c r="F54" s="479">
        <v>7475</v>
      </c>
      <c r="G54" s="478">
        <v>1.7716673087639547E-3</v>
      </c>
      <c r="H54" s="478">
        <v>1.5696324947598744E-3</v>
      </c>
      <c r="I54" s="479">
        <v>4079</v>
      </c>
      <c r="J54" s="479">
        <v>7505</v>
      </c>
      <c r="K54" s="478">
        <v>1.7693932757842478E-3</v>
      </c>
      <c r="L54" s="471">
        <v>1.5647359809339136E-3</v>
      </c>
      <c r="M54" s="479">
        <v>4073</v>
      </c>
      <c r="N54" s="479">
        <v>7595</v>
      </c>
      <c r="O54" s="478">
        <v>1.7683712066023831E-3</v>
      </c>
      <c r="P54" s="478">
        <v>1.5456378596968106E-3</v>
      </c>
      <c r="Q54" s="479">
        <v>4066</v>
      </c>
      <c r="R54" s="479">
        <v>7590</v>
      </c>
      <c r="S54" s="478">
        <v>1.7655204346914103E-3</v>
      </c>
      <c r="T54" s="478">
        <v>1.5377330437255966E-3</v>
      </c>
      <c r="U54" s="479">
        <v>4057</v>
      </c>
      <c r="V54" s="479">
        <v>7612</v>
      </c>
      <c r="W54" s="478">
        <v>1.7672983194338375E-3</v>
      </c>
      <c r="X54" s="478">
        <v>1.537667623884889E-3</v>
      </c>
      <c r="Y54" s="479">
        <v>4059</v>
      </c>
      <c r="Z54" s="479">
        <v>7640</v>
      </c>
      <c r="AA54" s="133">
        <v>1.7824613205453001E-3</v>
      </c>
      <c r="AB54" s="478">
        <v>1.5315850592805377E-3</v>
      </c>
      <c r="AC54" s="479">
        <v>4047</v>
      </c>
      <c r="AD54" s="479">
        <v>7643</v>
      </c>
      <c r="AE54" s="478">
        <v>1.7854497816748814E-3</v>
      </c>
      <c r="AF54" s="478">
        <v>1.530243447639487E-3</v>
      </c>
      <c r="AG54" s="479">
        <v>4026</v>
      </c>
      <c r="AH54" s="479">
        <v>7655</v>
      </c>
      <c r="AI54" s="478">
        <v>1.7966643314638333E-3</v>
      </c>
      <c r="AJ54" s="478">
        <v>1.52616707832185E-3</v>
      </c>
      <c r="AK54" s="479">
        <v>4029</v>
      </c>
      <c r="AL54" s="479">
        <v>7657</v>
      </c>
      <c r="AM54" s="478">
        <v>1.7964930205598645E-3</v>
      </c>
      <c r="AN54" s="478">
        <v>1.5203391544141381E-3</v>
      </c>
      <c r="AO54" s="479">
        <v>4023</v>
      </c>
      <c r="AP54" s="479">
        <v>7654</v>
      </c>
      <c r="AQ54" s="478">
        <v>1.7941875120435899E-3</v>
      </c>
      <c r="AR54" s="478">
        <v>1.5176559780672701E-3</v>
      </c>
      <c r="AS54" s="479">
        <v>4013</v>
      </c>
      <c r="AT54" s="479">
        <v>7673</v>
      </c>
      <c r="AU54" s="478">
        <v>1.7919383351345161E-3</v>
      </c>
      <c r="AV54" s="478">
        <v>1.5198438936664378E-3</v>
      </c>
      <c r="AW54" s="479">
        <v>4006</v>
      </c>
      <c r="AX54" s="479">
        <v>7721</v>
      </c>
      <c r="AY54" s="478">
        <v>1.7928816554855912E-3</v>
      </c>
      <c r="AZ54" s="478">
        <v>1.5121331804692291E-3</v>
      </c>
      <c r="BA54" s="479">
        <v>4005</v>
      </c>
      <c r="BB54" s="479">
        <v>7725</v>
      </c>
      <c r="BC54" s="478">
        <v>1.7946637648605193E-3</v>
      </c>
      <c r="BD54" s="478">
        <v>1.5058618131572098E-3</v>
      </c>
      <c r="BE54" s="479">
        <v>4006</v>
      </c>
      <c r="BF54" s="479">
        <v>7742</v>
      </c>
      <c r="BG54" s="478">
        <v>1.7961191812708743E-3</v>
      </c>
      <c r="BH54" s="478">
        <v>1.5130268130380013E-3</v>
      </c>
      <c r="BI54" s="479">
        <v>4007</v>
      </c>
      <c r="BJ54" s="479">
        <v>7830</v>
      </c>
    </row>
    <row r="55" spans="1:62">
      <c r="A55" s="461" t="s">
        <v>1272</v>
      </c>
      <c r="B55" s="462" t="s">
        <v>104</v>
      </c>
      <c r="C55" s="478">
        <v>1.0739801357314968E-2</v>
      </c>
      <c r="D55" s="478">
        <v>6.6853132839741411E-3</v>
      </c>
      <c r="E55" s="479">
        <v>24733</v>
      </c>
      <c r="F55" s="479">
        <v>31493</v>
      </c>
      <c r="G55" s="478">
        <v>1.0744234914658972E-2</v>
      </c>
      <c r="H55" s="478">
        <v>6.6200636051478093E-3</v>
      </c>
      <c r="I55" s="479">
        <v>24737</v>
      </c>
      <c r="J55" s="479">
        <v>31653</v>
      </c>
      <c r="K55" s="478">
        <v>1.0725833532804586E-2</v>
      </c>
      <c r="L55" s="471">
        <v>6.5659164861571855E-3</v>
      </c>
      <c r="M55" s="479">
        <v>24690</v>
      </c>
      <c r="N55" s="479">
        <v>31870</v>
      </c>
      <c r="O55" s="478">
        <v>1.0723740492177806E-2</v>
      </c>
      <c r="P55" s="478">
        <v>6.5081739602174402E-3</v>
      </c>
      <c r="Q55" s="479">
        <v>24657</v>
      </c>
      <c r="R55" s="479">
        <v>31959</v>
      </c>
      <c r="S55" s="478">
        <v>1.0724981787766775E-2</v>
      </c>
      <c r="T55" s="478">
        <v>6.4729430093346781E-3</v>
      </c>
      <c r="U55" s="479">
        <v>24645</v>
      </c>
      <c r="V55" s="479">
        <v>32042</v>
      </c>
      <c r="W55" s="478">
        <v>1.0705238674530614E-2</v>
      </c>
      <c r="X55" s="478">
        <v>6.4394863385074637E-3</v>
      </c>
      <c r="Y55" s="479">
        <v>24587</v>
      </c>
      <c r="Z55" s="479">
        <v>31995</v>
      </c>
      <c r="AA55" s="133">
        <v>1.0654687868868633E-2</v>
      </c>
      <c r="AB55" s="478">
        <v>6.4088909284194893E-3</v>
      </c>
      <c r="AC55" s="479">
        <v>24191</v>
      </c>
      <c r="AD55" s="479">
        <v>31982</v>
      </c>
      <c r="AE55" s="478">
        <v>1.0718463927794389E-2</v>
      </c>
      <c r="AF55" s="478">
        <v>6.3994361187828738E-3</v>
      </c>
      <c r="AG55" s="479">
        <v>24169</v>
      </c>
      <c r="AH55" s="479">
        <v>32013</v>
      </c>
      <c r="AI55" s="478">
        <v>1.0770175461284314E-2</v>
      </c>
      <c r="AJ55" s="478">
        <v>6.3946739419877127E-3</v>
      </c>
      <c r="AK55" s="479">
        <v>24152</v>
      </c>
      <c r="AL55" s="479">
        <v>32083</v>
      </c>
      <c r="AM55" s="478">
        <v>1.0777618456677188E-2</v>
      </c>
      <c r="AN55" s="478">
        <v>6.3737448114503346E-3</v>
      </c>
      <c r="AO55" s="479">
        <v>24135</v>
      </c>
      <c r="AP55" s="479">
        <v>32088</v>
      </c>
      <c r="AQ55" s="478">
        <v>1.0785691388123488E-2</v>
      </c>
      <c r="AR55" s="478">
        <v>6.369487222950645E-3</v>
      </c>
      <c r="AS55" s="479">
        <v>24124</v>
      </c>
      <c r="AT55" s="479">
        <v>32203</v>
      </c>
      <c r="AU55" s="478">
        <v>1.0795019431303364E-2</v>
      </c>
      <c r="AV55" s="478">
        <v>6.3695258012250481E-3</v>
      </c>
      <c r="AW55" s="479">
        <v>24133</v>
      </c>
      <c r="AX55" s="479">
        <v>32358</v>
      </c>
      <c r="AY55" s="478">
        <v>1.0787730869885586E-2</v>
      </c>
      <c r="AZ55" s="478">
        <v>6.3341252539551827E-3</v>
      </c>
      <c r="BA55" s="479">
        <v>24098</v>
      </c>
      <c r="BB55" s="479">
        <v>32359</v>
      </c>
      <c r="BC55" s="478">
        <v>1.0791278274578179E-2</v>
      </c>
      <c r="BD55" s="478">
        <v>6.3054802711095875E-3</v>
      </c>
      <c r="BE55" s="479">
        <v>24088</v>
      </c>
      <c r="BF55" s="479">
        <v>32418</v>
      </c>
      <c r="BG55" s="478">
        <v>1.0787024731041574E-2</v>
      </c>
      <c r="BH55" s="478">
        <v>6.3297853530888647E-3</v>
      </c>
      <c r="BI55" s="479">
        <v>24065</v>
      </c>
      <c r="BJ55" s="479">
        <v>32757</v>
      </c>
    </row>
    <row r="56" spans="1:62">
      <c r="A56" s="461" t="s">
        <v>1273</v>
      </c>
      <c r="B56" s="462" t="s">
        <v>104</v>
      </c>
      <c r="C56" s="478">
        <v>3.0443839128344815E-3</v>
      </c>
      <c r="D56" s="478">
        <v>1.8958667938644477E-3</v>
      </c>
      <c r="E56" s="479">
        <v>7011</v>
      </c>
      <c r="F56" s="479">
        <v>8931</v>
      </c>
      <c r="G56" s="478">
        <v>3.0264716370353609E-3</v>
      </c>
      <c r="H56" s="478">
        <v>1.8674548362039866E-3</v>
      </c>
      <c r="I56" s="479">
        <v>6968</v>
      </c>
      <c r="J56" s="479">
        <v>8929</v>
      </c>
      <c r="K56" s="478">
        <v>3.0118349081787849E-3</v>
      </c>
      <c r="L56" s="471">
        <v>1.849252161272259E-3</v>
      </c>
      <c r="M56" s="479">
        <v>6933</v>
      </c>
      <c r="N56" s="479">
        <v>8976</v>
      </c>
      <c r="O56" s="478">
        <v>2.9930965675940974E-3</v>
      </c>
      <c r="P56" s="478">
        <v>1.8423433091801114E-3</v>
      </c>
      <c r="Q56" s="479">
        <v>6882</v>
      </c>
      <c r="R56" s="479">
        <v>9047</v>
      </c>
      <c r="S56" s="478">
        <v>2.982280389189114E-3</v>
      </c>
      <c r="T56" s="478">
        <v>1.84519884674062E-3</v>
      </c>
      <c r="U56" s="479">
        <v>6853</v>
      </c>
      <c r="V56" s="479">
        <v>9134</v>
      </c>
      <c r="W56" s="478">
        <v>2.9707505379396584E-3</v>
      </c>
      <c r="X56" s="478">
        <v>1.8441948216828847E-3</v>
      </c>
      <c r="Y56" s="479">
        <v>6823</v>
      </c>
      <c r="Z56" s="479">
        <v>9163</v>
      </c>
      <c r="AA56" s="133">
        <v>2.809127329487997E-3</v>
      </c>
      <c r="AB56" s="478">
        <v>1.8417896480239988E-3</v>
      </c>
      <c r="AC56" s="479">
        <v>6378</v>
      </c>
      <c r="AD56" s="479">
        <v>9191</v>
      </c>
      <c r="AE56" s="478">
        <v>2.820975176660189E-3</v>
      </c>
      <c r="AF56" s="478">
        <v>1.8392906547003162E-3</v>
      </c>
      <c r="AG56" s="479">
        <v>6361</v>
      </c>
      <c r="AH56" s="479">
        <v>9201</v>
      </c>
      <c r="AI56" s="478">
        <v>2.8214185220083576E-3</v>
      </c>
      <c r="AJ56" s="478">
        <v>1.8394927472681669E-3</v>
      </c>
      <c r="AK56" s="479">
        <v>6327</v>
      </c>
      <c r="AL56" s="479">
        <v>9229</v>
      </c>
      <c r="AM56" s="478">
        <v>2.8222311434099785E-3</v>
      </c>
      <c r="AN56" s="478">
        <v>1.8331865764421322E-3</v>
      </c>
      <c r="AO56" s="479">
        <v>6320</v>
      </c>
      <c r="AP56" s="479">
        <v>9229</v>
      </c>
      <c r="AQ56" s="478">
        <v>2.8149027101486276E-3</v>
      </c>
      <c r="AR56" s="478">
        <v>1.8272000424065479E-3</v>
      </c>
      <c r="AS56" s="479">
        <v>6296</v>
      </c>
      <c r="AT56" s="479">
        <v>9238</v>
      </c>
      <c r="AU56" s="478">
        <v>2.8118133736034869E-3</v>
      </c>
      <c r="AV56" s="478">
        <v>1.8277102127564921E-3</v>
      </c>
      <c r="AW56" s="479">
        <v>6286</v>
      </c>
      <c r="AX56" s="479">
        <v>9285</v>
      </c>
      <c r="AY56" s="478">
        <v>2.8108624006976347E-3</v>
      </c>
      <c r="AZ56" s="478">
        <v>1.8300237028099446E-3</v>
      </c>
      <c r="BA56" s="479">
        <v>6279</v>
      </c>
      <c r="BB56" s="479">
        <v>9349</v>
      </c>
      <c r="BC56" s="478">
        <v>2.8071300925152308E-3</v>
      </c>
      <c r="BD56" s="478">
        <v>1.8221278049156216E-3</v>
      </c>
      <c r="BE56" s="479">
        <v>6266</v>
      </c>
      <c r="BF56" s="479">
        <v>9368</v>
      </c>
      <c r="BG56" s="478">
        <v>2.8127396711940941E-3</v>
      </c>
      <c r="BH56" s="478">
        <v>1.8216224478300432E-3</v>
      </c>
      <c r="BI56" s="479">
        <v>6275</v>
      </c>
      <c r="BJ56" s="479">
        <v>9427</v>
      </c>
    </row>
    <row r="57" spans="1:62">
      <c r="A57" s="461" t="s">
        <v>1274</v>
      </c>
      <c r="B57" s="462" t="s">
        <v>104</v>
      </c>
      <c r="C57" s="478">
        <v>8.9694471692353516E-3</v>
      </c>
      <c r="D57" s="478">
        <v>5.2188875968153005E-3</v>
      </c>
      <c r="E57" s="479">
        <v>20656</v>
      </c>
      <c r="F57" s="479">
        <v>24585</v>
      </c>
      <c r="G57" s="478">
        <v>8.9786483468419897E-3</v>
      </c>
      <c r="H57" s="478">
        <v>5.1717351539536547E-3</v>
      </c>
      <c r="I57" s="479">
        <v>20672</v>
      </c>
      <c r="J57" s="479">
        <v>24728</v>
      </c>
      <c r="K57" s="478">
        <v>8.9673007608000108E-3</v>
      </c>
      <c r="L57" s="471">
        <v>5.0949204487815251E-3</v>
      </c>
      <c r="M57" s="479">
        <v>20642</v>
      </c>
      <c r="N57" s="479">
        <v>24730</v>
      </c>
      <c r="O57" s="478">
        <v>8.909268117867639E-3</v>
      </c>
      <c r="P57" s="478">
        <v>5.0046898603305426E-3</v>
      </c>
      <c r="Q57" s="479">
        <v>20485</v>
      </c>
      <c r="R57" s="479">
        <v>24576</v>
      </c>
      <c r="S57" s="478">
        <v>8.9072398958007851E-3</v>
      </c>
      <c r="T57" s="478">
        <v>4.9830873606909213E-3</v>
      </c>
      <c r="U57" s="479">
        <v>20468</v>
      </c>
      <c r="V57" s="479">
        <v>24667</v>
      </c>
      <c r="W57" s="478">
        <v>8.9074621874790458E-3</v>
      </c>
      <c r="X57" s="478">
        <v>4.9726641339429261E-3</v>
      </c>
      <c r="Y57" s="479">
        <v>20458</v>
      </c>
      <c r="Z57" s="479">
        <v>24707</v>
      </c>
      <c r="AA57" s="133">
        <v>8.8110053663228889E-3</v>
      </c>
      <c r="AB57" s="478">
        <v>4.9550574068860211E-3</v>
      </c>
      <c r="AC57" s="479">
        <v>20005</v>
      </c>
      <c r="AD57" s="479">
        <v>24727</v>
      </c>
      <c r="AE57" s="478">
        <v>8.8593964949128436E-3</v>
      </c>
      <c r="AF57" s="478">
        <v>4.946754324661887E-3</v>
      </c>
      <c r="AG57" s="479">
        <v>19977</v>
      </c>
      <c r="AH57" s="479">
        <v>24746</v>
      </c>
      <c r="AI57" s="478">
        <v>8.9088508349427793E-3</v>
      </c>
      <c r="AJ57" s="478">
        <v>4.9466389643191425E-3</v>
      </c>
      <c r="AK57" s="479">
        <v>19978</v>
      </c>
      <c r="AL57" s="479">
        <v>24818</v>
      </c>
      <c r="AM57" s="478">
        <v>8.8958333240300932E-3</v>
      </c>
      <c r="AN57" s="478">
        <v>4.9388179690819352E-3</v>
      </c>
      <c r="AO57" s="479">
        <v>19921</v>
      </c>
      <c r="AP57" s="479">
        <v>24864</v>
      </c>
      <c r="AQ57" s="478">
        <v>8.9110269879244426E-3</v>
      </c>
      <c r="AR57" s="478">
        <v>4.9260031452841605E-3</v>
      </c>
      <c r="AS57" s="479">
        <v>19931</v>
      </c>
      <c r="AT57" s="479">
        <v>24905</v>
      </c>
      <c r="AU57" s="478">
        <v>8.9100398645892229E-3</v>
      </c>
      <c r="AV57" s="478">
        <v>4.9171999046480532E-3</v>
      </c>
      <c r="AW57" s="479">
        <v>19919</v>
      </c>
      <c r="AX57" s="479">
        <v>24980</v>
      </c>
      <c r="AY57" s="478">
        <v>8.9142702635916539E-3</v>
      </c>
      <c r="AZ57" s="478">
        <v>4.9044008850040819E-3</v>
      </c>
      <c r="BA57" s="479">
        <v>19913</v>
      </c>
      <c r="BB57" s="479">
        <v>25055</v>
      </c>
      <c r="BC57" s="478">
        <v>8.9128396410134876E-3</v>
      </c>
      <c r="BD57" s="478">
        <v>4.8894800128062438E-3</v>
      </c>
      <c r="BE57" s="479">
        <v>19895</v>
      </c>
      <c r="BF57" s="479">
        <v>25138</v>
      </c>
      <c r="BG57" s="478">
        <v>8.910221383903778E-3</v>
      </c>
      <c r="BH57" s="478">
        <v>4.8874823987445932E-3</v>
      </c>
      <c r="BI57" s="479">
        <v>19878</v>
      </c>
      <c r="BJ57" s="479">
        <v>25293</v>
      </c>
    </row>
    <row r="58" spans="1:62">
      <c r="A58" s="461" t="s">
        <v>1275</v>
      </c>
      <c r="B58" s="462" t="s">
        <v>104</v>
      </c>
      <c r="C58" s="478">
        <v>0</v>
      </c>
      <c r="D58" s="478">
        <v>0</v>
      </c>
      <c r="E58" s="479">
        <v>0</v>
      </c>
      <c r="F58" s="479">
        <v>0</v>
      </c>
      <c r="G58" s="478">
        <v>0</v>
      </c>
      <c r="H58" s="478">
        <v>0</v>
      </c>
      <c r="I58" s="479">
        <v>0</v>
      </c>
      <c r="J58" s="479">
        <v>0</v>
      </c>
      <c r="K58" s="478">
        <v>2.102593531744601E-4</v>
      </c>
      <c r="L58" s="471">
        <v>1.028049051331169E-4</v>
      </c>
      <c r="M58" s="479">
        <v>484</v>
      </c>
      <c r="N58" s="479">
        <v>499</v>
      </c>
      <c r="O58" s="478">
        <v>2.0962983806747384E-4</v>
      </c>
      <c r="P58" s="478">
        <v>1.0120975181413898E-4</v>
      </c>
      <c r="Q58" s="479">
        <v>482</v>
      </c>
      <c r="R58" s="479">
        <v>497</v>
      </c>
      <c r="S58" s="478">
        <v>2.0975618671956119E-4</v>
      </c>
      <c r="T58" s="478">
        <v>1.0060313396943603E-4</v>
      </c>
      <c r="U58" s="479">
        <v>482</v>
      </c>
      <c r="V58" s="479">
        <v>498</v>
      </c>
      <c r="W58" s="478">
        <v>2.0986395416780235E-4</v>
      </c>
      <c r="X58" s="478">
        <v>1.0023016710663282E-4</v>
      </c>
      <c r="Y58" s="479">
        <v>482</v>
      </c>
      <c r="Z58" s="479">
        <v>498</v>
      </c>
      <c r="AA58" s="133">
        <v>2.1273259644758586E-4</v>
      </c>
      <c r="AB58" s="478">
        <v>9.9794499479485523E-5</v>
      </c>
      <c r="AC58" s="479">
        <v>483</v>
      </c>
      <c r="AD58" s="479">
        <v>498</v>
      </c>
      <c r="AE58" s="478">
        <v>2.1287031674216173E-4</v>
      </c>
      <c r="AF58" s="478">
        <v>9.9550782093333056E-5</v>
      </c>
      <c r="AG58" s="479">
        <v>480</v>
      </c>
      <c r="AH58" s="479">
        <v>498</v>
      </c>
      <c r="AI58" s="478">
        <v>2.1404787269859517E-4</v>
      </c>
      <c r="AJ58" s="478">
        <v>9.9259658482993507E-5</v>
      </c>
      <c r="AK58" s="479">
        <v>480</v>
      </c>
      <c r="AL58" s="479">
        <v>498</v>
      </c>
      <c r="AM58" s="478">
        <v>2.1300700243774681E-4</v>
      </c>
      <c r="AN58" s="478">
        <v>9.891937534599435E-5</v>
      </c>
      <c r="AO58" s="479">
        <v>477</v>
      </c>
      <c r="AP58" s="479">
        <v>498</v>
      </c>
      <c r="AQ58" s="478">
        <v>2.1281665978887336E-4</v>
      </c>
      <c r="AR58" s="478">
        <v>9.83024919978409E-5</v>
      </c>
      <c r="AS58" s="479">
        <v>476</v>
      </c>
      <c r="AT58" s="479">
        <v>497</v>
      </c>
      <c r="AU58" s="478">
        <v>2.1247396634770224E-4</v>
      </c>
      <c r="AV58" s="478">
        <v>9.7635354391730761E-5</v>
      </c>
      <c r="AW58" s="479">
        <v>475</v>
      </c>
      <c r="AX58" s="479">
        <v>496</v>
      </c>
      <c r="AY58" s="478">
        <v>2.1174357629080763E-4</v>
      </c>
      <c r="AZ58" s="478">
        <v>9.6893970787348657E-5</v>
      </c>
      <c r="BA58" s="479">
        <v>473</v>
      </c>
      <c r="BB58" s="479">
        <v>495</v>
      </c>
      <c r="BC58" s="478">
        <v>2.1145314453673619E-4</v>
      </c>
      <c r="BD58" s="478">
        <v>9.6474742873414637E-5</v>
      </c>
      <c r="BE58" s="479">
        <v>472</v>
      </c>
      <c r="BF58" s="479">
        <v>496</v>
      </c>
      <c r="BG58" s="478">
        <v>2.1112356735177983E-4</v>
      </c>
      <c r="BH58" s="478">
        <v>9.5651120364471343E-5</v>
      </c>
      <c r="BI58" s="479">
        <v>471</v>
      </c>
      <c r="BJ58" s="479">
        <v>495</v>
      </c>
    </row>
    <row r="59" spans="1:62">
      <c r="A59" s="461" t="s">
        <v>1276</v>
      </c>
      <c r="B59" s="462" t="s">
        <v>104</v>
      </c>
      <c r="C59" s="478">
        <v>5.4018165562203608E-3</v>
      </c>
      <c r="D59" s="478">
        <v>4.0558090878484087E-3</v>
      </c>
      <c r="E59" s="479">
        <v>12440</v>
      </c>
      <c r="F59" s="479">
        <v>19106</v>
      </c>
      <c r="G59" s="478">
        <v>5.4036070086620151E-3</v>
      </c>
      <c r="H59" s="478">
        <v>4.0024060029606552E-3</v>
      </c>
      <c r="I59" s="479">
        <v>12441</v>
      </c>
      <c r="J59" s="479">
        <v>19137</v>
      </c>
      <c r="K59" s="478">
        <v>5.4033178404626746E-3</v>
      </c>
      <c r="L59" s="471">
        <v>3.9459365691675106E-3</v>
      </c>
      <c r="M59" s="479">
        <v>12438</v>
      </c>
      <c r="N59" s="479">
        <v>19153</v>
      </c>
      <c r="O59" s="478">
        <v>5.409058705487909E-3</v>
      </c>
      <c r="P59" s="478">
        <v>3.9198923796184334E-3</v>
      </c>
      <c r="Q59" s="479">
        <v>12437</v>
      </c>
      <c r="R59" s="479">
        <v>19249</v>
      </c>
      <c r="S59" s="478">
        <v>5.4127540465101704E-3</v>
      </c>
      <c r="T59" s="478">
        <v>3.9225121531818062E-3</v>
      </c>
      <c r="U59" s="479">
        <v>12438</v>
      </c>
      <c r="V59" s="479">
        <v>19417</v>
      </c>
      <c r="W59" s="478">
        <v>5.4194536048270455E-3</v>
      </c>
      <c r="X59" s="478">
        <v>3.9293043221341212E-3</v>
      </c>
      <c r="Y59" s="479">
        <v>12447</v>
      </c>
      <c r="Z59" s="479">
        <v>19523</v>
      </c>
      <c r="AA59" s="133">
        <v>5.4160926263270466E-3</v>
      </c>
      <c r="AB59" s="478">
        <v>3.924649141176152E-3</v>
      </c>
      <c r="AC59" s="479">
        <v>12297</v>
      </c>
      <c r="AD59" s="479">
        <v>19585</v>
      </c>
      <c r="AE59" s="478">
        <v>5.4401670322418707E-3</v>
      </c>
      <c r="AF59" s="478">
        <v>3.9168635026842731E-3</v>
      </c>
      <c r="AG59" s="479">
        <v>12267</v>
      </c>
      <c r="AH59" s="479">
        <v>19594</v>
      </c>
      <c r="AI59" s="478">
        <v>5.4662475490403744E-3</v>
      </c>
      <c r="AJ59" s="478">
        <v>3.9054091331642065E-3</v>
      </c>
      <c r="AK59" s="479">
        <v>12258</v>
      </c>
      <c r="AL59" s="479">
        <v>19594</v>
      </c>
      <c r="AM59" s="478">
        <v>5.4618210625075074E-3</v>
      </c>
      <c r="AN59" s="478">
        <v>3.8995686280975123E-3</v>
      </c>
      <c r="AO59" s="479">
        <v>12231</v>
      </c>
      <c r="AP59" s="479">
        <v>19632</v>
      </c>
      <c r="AQ59" s="478">
        <v>5.4634865181093116E-3</v>
      </c>
      <c r="AR59" s="478">
        <v>3.8877943314075672E-3</v>
      </c>
      <c r="AS59" s="479">
        <v>12220</v>
      </c>
      <c r="AT59" s="479">
        <v>19656</v>
      </c>
      <c r="AU59" s="478">
        <v>5.4684089233698104E-3</v>
      </c>
      <c r="AV59" s="478">
        <v>3.9203744315840922E-3</v>
      </c>
      <c r="AW59" s="479">
        <v>12225</v>
      </c>
      <c r="AX59" s="479">
        <v>19916</v>
      </c>
      <c r="AY59" s="478">
        <v>5.4668341515081249E-3</v>
      </c>
      <c r="AZ59" s="478">
        <v>3.9252824165630362E-3</v>
      </c>
      <c r="BA59" s="479">
        <v>12212</v>
      </c>
      <c r="BB59" s="479">
        <v>20053</v>
      </c>
      <c r="BC59" s="478">
        <v>5.4659741874845723E-3</v>
      </c>
      <c r="BD59" s="478">
        <v>3.9379589601111946E-3</v>
      </c>
      <c r="BE59" s="479">
        <v>12201</v>
      </c>
      <c r="BF59" s="479">
        <v>20246</v>
      </c>
      <c r="BG59" s="478">
        <v>5.4717311818751092E-3</v>
      </c>
      <c r="BH59" s="478">
        <v>3.9375411710441061E-3</v>
      </c>
      <c r="BI59" s="479">
        <v>12207</v>
      </c>
      <c r="BJ59" s="479">
        <v>20377</v>
      </c>
    </row>
    <row r="60" spans="1:62">
      <c r="A60" s="461" t="s">
        <v>1277</v>
      </c>
      <c r="B60" s="462" t="s">
        <v>104</v>
      </c>
      <c r="C60" s="478">
        <v>1.13768162196924E-3</v>
      </c>
      <c r="D60" s="478">
        <v>8.2491751886208079E-4</v>
      </c>
      <c r="E60" s="479">
        <v>2620</v>
      </c>
      <c r="F60" s="479">
        <v>3886</v>
      </c>
      <c r="G60" s="478">
        <v>1.1262400911068728E-3</v>
      </c>
      <c r="H60" s="478">
        <v>8.0876333873903194E-4</v>
      </c>
      <c r="I60" s="479">
        <v>2593</v>
      </c>
      <c r="J60" s="479">
        <v>3867</v>
      </c>
      <c r="K60" s="478">
        <v>1.127754712481195E-3</v>
      </c>
      <c r="L60" s="471">
        <v>7.9812866229598167E-4</v>
      </c>
      <c r="M60" s="479">
        <v>2596</v>
      </c>
      <c r="N60" s="479">
        <v>3874</v>
      </c>
      <c r="O60" s="478">
        <v>1.1225199420169087E-3</v>
      </c>
      <c r="P60" s="478">
        <v>7.805573012144763E-4</v>
      </c>
      <c r="Q60" s="479">
        <v>2581</v>
      </c>
      <c r="R60" s="479">
        <v>3833</v>
      </c>
      <c r="S60" s="478">
        <v>1.1258075830778108E-3</v>
      </c>
      <c r="T60" s="478">
        <v>7.7472493729475349E-4</v>
      </c>
      <c r="U60" s="479">
        <v>2587</v>
      </c>
      <c r="V60" s="479">
        <v>3835</v>
      </c>
      <c r="W60" s="478">
        <v>1.1194195563597922E-3</v>
      </c>
      <c r="X60" s="478">
        <v>7.7124899669200192E-4</v>
      </c>
      <c r="Y60" s="479">
        <v>2571</v>
      </c>
      <c r="Z60" s="479">
        <v>3832</v>
      </c>
      <c r="AA60" s="133">
        <v>1.1323716469290751E-3</v>
      </c>
      <c r="AB60" s="478">
        <v>7.690989739001314E-4</v>
      </c>
      <c r="AC60" s="479">
        <v>2571</v>
      </c>
      <c r="AD60" s="479">
        <v>3838</v>
      </c>
      <c r="AE60" s="478">
        <v>1.1406301138767499E-3</v>
      </c>
      <c r="AF60" s="478">
        <v>7.6782038959938206E-4</v>
      </c>
      <c r="AG60" s="479">
        <v>2572</v>
      </c>
      <c r="AH60" s="479">
        <v>3841</v>
      </c>
      <c r="AI60" s="478">
        <v>1.1380211898475311E-3</v>
      </c>
      <c r="AJ60" s="478">
        <v>7.6577431303546397E-4</v>
      </c>
      <c r="AK60" s="479">
        <v>2552</v>
      </c>
      <c r="AL60" s="479">
        <v>3842</v>
      </c>
      <c r="AM60" s="478">
        <v>1.1369304574559819E-3</v>
      </c>
      <c r="AN60" s="478">
        <v>7.6235454332916933E-4</v>
      </c>
      <c r="AO60" s="479">
        <v>2546</v>
      </c>
      <c r="AP60" s="479">
        <v>3838</v>
      </c>
      <c r="AQ60" s="478">
        <v>1.1360654044611917E-3</v>
      </c>
      <c r="AR60" s="478">
        <v>7.5813571796322777E-4</v>
      </c>
      <c r="AS60" s="479">
        <v>2541</v>
      </c>
      <c r="AT60" s="479">
        <v>3833</v>
      </c>
      <c r="AU60" s="478">
        <v>1.138860459623684E-3</v>
      </c>
      <c r="AV60" s="478">
        <v>7.5628030559078544E-4</v>
      </c>
      <c r="AW60" s="479">
        <v>2546</v>
      </c>
      <c r="AX60" s="479">
        <v>3842</v>
      </c>
      <c r="AY60" s="478">
        <v>1.1419827972893241E-3</v>
      </c>
      <c r="AZ60" s="478">
        <v>7.6262406098486944E-4</v>
      </c>
      <c r="BA60" s="479">
        <v>2551</v>
      </c>
      <c r="BB60" s="479">
        <v>3896</v>
      </c>
      <c r="BC60" s="478">
        <v>1.1419365792884333E-3</v>
      </c>
      <c r="BD60" s="478">
        <v>7.5798805035825968E-4</v>
      </c>
      <c r="BE60" s="479">
        <v>2549</v>
      </c>
      <c r="BF60" s="479">
        <v>3897</v>
      </c>
      <c r="BG60" s="478">
        <v>1.1389914748213853E-3</v>
      </c>
      <c r="BH60" s="478">
        <v>7.5206901102731812E-4</v>
      </c>
      <c r="BI60" s="479">
        <v>2541</v>
      </c>
      <c r="BJ60" s="479">
        <v>3892</v>
      </c>
    </row>
    <row r="61" spans="1:62">
      <c r="A61" s="461" t="s">
        <v>1278</v>
      </c>
      <c r="B61" s="462" t="s">
        <v>104</v>
      </c>
      <c r="C61" s="478">
        <v>9.7862330970689936E-3</v>
      </c>
      <c r="D61" s="478">
        <v>5.9200462599139757E-3</v>
      </c>
      <c r="E61" s="479">
        <v>22537</v>
      </c>
      <c r="F61" s="479">
        <v>27888</v>
      </c>
      <c r="G61" s="478">
        <v>9.7978110201268186E-3</v>
      </c>
      <c r="H61" s="478">
        <v>5.8441360161326011E-3</v>
      </c>
      <c r="I61" s="479">
        <v>22558</v>
      </c>
      <c r="J61" s="479">
        <v>27943</v>
      </c>
      <c r="K61" s="478">
        <v>9.810944694404973E-3</v>
      </c>
      <c r="L61" s="471">
        <v>5.7772648291440163E-3</v>
      </c>
      <c r="M61" s="479">
        <v>22584</v>
      </c>
      <c r="N61" s="479">
        <v>28042</v>
      </c>
      <c r="O61" s="478">
        <v>9.809980554875395E-3</v>
      </c>
      <c r="P61" s="478">
        <v>5.7799524863998124E-3</v>
      </c>
      <c r="Q61" s="479">
        <v>22556</v>
      </c>
      <c r="R61" s="479">
        <v>28383</v>
      </c>
      <c r="S61" s="478">
        <v>9.8267727226440064E-3</v>
      </c>
      <c r="T61" s="478">
        <v>5.7834681172911333E-3</v>
      </c>
      <c r="U61" s="479">
        <v>22581</v>
      </c>
      <c r="V61" s="479">
        <v>28629</v>
      </c>
      <c r="W61" s="478">
        <v>9.8527207860232349E-3</v>
      </c>
      <c r="X61" s="478">
        <v>5.7747067361917847E-3</v>
      </c>
      <c r="Y61" s="479">
        <v>22629</v>
      </c>
      <c r="Z61" s="479">
        <v>28692</v>
      </c>
      <c r="AA61" s="133">
        <v>9.5377316274792377E-3</v>
      </c>
      <c r="AB61" s="478">
        <v>5.7538141838443125E-3</v>
      </c>
      <c r="AC61" s="479">
        <v>21655</v>
      </c>
      <c r="AD61" s="479">
        <v>28713</v>
      </c>
      <c r="AE61" s="478">
        <v>9.6084339219493237E-3</v>
      </c>
      <c r="AF61" s="478">
        <v>5.7549547503714165E-3</v>
      </c>
      <c r="AG61" s="479">
        <v>21666</v>
      </c>
      <c r="AH61" s="479">
        <v>28789</v>
      </c>
      <c r="AI61" s="478">
        <v>9.6571265232516194E-3</v>
      </c>
      <c r="AJ61" s="478">
        <v>5.7638369558457962E-3</v>
      </c>
      <c r="AK61" s="479">
        <v>21656</v>
      </c>
      <c r="AL61" s="479">
        <v>28918</v>
      </c>
      <c r="AM61" s="478">
        <v>9.6536381104805249E-3</v>
      </c>
      <c r="AN61" s="478">
        <v>5.7603652309916389E-3</v>
      </c>
      <c r="AO61" s="479">
        <v>21618</v>
      </c>
      <c r="AP61" s="479">
        <v>29000</v>
      </c>
      <c r="AQ61" s="478">
        <v>9.650073077485383E-3</v>
      </c>
      <c r="AR61" s="478">
        <v>5.7883751072772922E-3</v>
      </c>
      <c r="AS61" s="479">
        <v>21584</v>
      </c>
      <c r="AT61" s="479">
        <v>29265</v>
      </c>
      <c r="AU61" s="478">
        <v>9.6507912083193172E-3</v>
      </c>
      <c r="AV61" s="478">
        <v>5.7827294475118439E-3</v>
      </c>
      <c r="AW61" s="479">
        <v>21575</v>
      </c>
      <c r="AX61" s="479">
        <v>29377</v>
      </c>
      <c r="AY61" s="478">
        <v>9.6703694186765898E-3</v>
      </c>
      <c r="AZ61" s="478">
        <v>5.7582423003059305E-3</v>
      </c>
      <c r="BA61" s="479">
        <v>21602</v>
      </c>
      <c r="BB61" s="479">
        <v>29417</v>
      </c>
      <c r="BC61" s="478">
        <v>9.6860771992135011E-3</v>
      </c>
      <c r="BD61" s="478">
        <v>5.7729241300059405E-3</v>
      </c>
      <c r="BE61" s="479">
        <v>21621</v>
      </c>
      <c r="BF61" s="479">
        <v>29680</v>
      </c>
      <c r="BG61" s="478">
        <v>9.6480332562201895E-3</v>
      </c>
      <c r="BH61" s="478">
        <v>5.7187775902758173E-3</v>
      </c>
      <c r="BI61" s="479">
        <v>21524</v>
      </c>
      <c r="BJ61" s="479">
        <v>29595</v>
      </c>
    </row>
    <row r="62" spans="1:62">
      <c r="A62" s="461" t="s">
        <v>1279</v>
      </c>
      <c r="B62" s="462" t="s">
        <v>104</v>
      </c>
      <c r="C62" s="478">
        <v>3.0009609501638998E-3</v>
      </c>
      <c r="D62" s="478">
        <v>2.3149062128643826E-3</v>
      </c>
      <c r="E62" s="479">
        <v>6911</v>
      </c>
      <c r="F62" s="479">
        <v>10905</v>
      </c>
      <c r="G62" s="478">
        <v>2.9647955502875105E-3</v>
      </c>
      <c r="H62" s="478">
        <v>2.2769605556896408E-3</v>
      </c>
      <c r="I62" s="479">
        <v>6826</v>
      </c>
      <c r="J62" s="479">
        <v>10887</v>
      </c>
      <c r="K62" s="478">
        <v>2.9262541383949653E-3</v>
      </c>
      <c r="L62" s="471">
        <v>2.2404876619692309E-3</v>
      </c>
      <c r="M62" s="479">
        <v>6736</v>
      </c>
      <c r="N62" s="479">
        <v>10875</v>
      </c>
      <c r="O62" s="478">
        <v>2.8895863985898261E-3</v>
      </c>
      <c r="P62" s="478">
        <v>2.2225417128762834E-3</v>
      </c>
      <c r="Q62" s="479">
        <v>6644</v>
      </c>
      <c r="R62" s="479">
        <v>10914</v>
      </c>
      <c r="S62" s="478">
        <v>2.8530322824345295E-3</v>
      </c>
      <c r="T62" s="478">
        <v>2.2092286608227964E-3</v>
      </c>
      <c r="U62" s="479">
        <v>6556</v>
      </c>
      <c r="V62" s="479">
        <v>10936</v>
      </c>
      <c r="W62" s="478">
        <v>2.8331633812653315E-3</v>
      </c>
      <c r="X62" s="478">
        <v>2.2173408654895055E-3</v>
      </c>
      <c r="Y62" s="479">
        <v>6507</v>
      </c>
      <c r="Z62" s="479">
        <v>11017</v>
      </c>
      <c r="AA62" s="133">
        <v>2.7170753364081928E-3</v>
      </c>
      <c r="AB62" s="478">
        <v>2.2093059372717428E-3</v>
      </c>
      <c r="AC62" s="479">
        <v>6169</v>
      </c>
      <c r="AD62" s="479">
        <v>11025</v>
      </c>
      <c r="AE62" s="478">
        <v>2.719861776207662E-3</v>
      </c>
      <c r="AF62" s="478">
        <v>2.2049098925491237E-3</v>
      </c>
      <c r="AG62" s="479">
        <v>6133</v>
      </c>
      <c r="AH62" s="479">
        <v>11030</v>
      </c>
      <c r="AI62" s="478">
        <v>2.7219754478171355E-3</v>
      </c>
      <c r="AJ62" s="478">
        <v>2.1996578132897921E-3</v>
      </c>
      <c r="AK62" s="479">
        <v>6104</v>
      </c>
      <c r="AL62" s="479">
        <v>11036</v>
      </c>
      <c r="AM62" s="478">
        <v>2.711931919925443E-3</v>
      </c>
      <c r="AN62" s="478">
        <v>2.1919182870342321E-3</v>
      </c>
      <c r="AO62" s="479">
        <v>6073</v>
      </c>
      <c r="AP62" s="479">
        <v>11035</v>
      </c>
      <c r="AQ62" s="478">
        <v>2.6941873779154431E-3</v>
      </c>
      <c r="AR62" s="478">
        <v>2.1812472469862967E-3</v>
      </c>
      <c r="AS62" s="479">
        <v>6026</v>
      </c>
      <c r="AT62" s="479">
        <v>11028</v>
      </c>
      <c r="AU62" s="478">
        <v>2.6758300351409576E-3</v>
      </c>
      <c r="AV62" s="478">
        <v>2.1710087169080614E-3</v>
      </c>
      <c r="AW62" s="479">
        <v>5982</v>
      </c>
      <c r="AX62" s="479">
        <v>11029</v>
      </c>
      <c r="AY62" s="478">
        <v>2.6483615165674799E-3</v>
      </c>
      <c r="AZ62" s="478">
        <v>2.15907171269587E-3</v>
      </c>
      <c r="BA62" s="479">
        <v>5916</v>
      </c>
      <c r="BB62" s="479">
        <v>11030</v>
      </c>
      <c r="BC62" s="478">
        <v>2.6167326636421101E-3</v>
      </c>
      <c r="BD62" s="478">
        <v>2.1378102800840731E-3</v>
      </c>
      <c r="BE62" s="479">
        <v>5841</v>
      </c>
      <c r="BF62" s="479">
        <v>10991</v>
      </c>
      <c r="BG62" s="478">
        <v>2.6060985575015877E-3</v>
      </c>
      <c r="BH62" s="478">
        <v>2.133696305180793E-3</v>
      </c>
      <c r="BI62" s="479">
        <v>5814</v>
      </c>
      <c r="BJ62" s="479">
        <v>11042</v>
      </c>
    </row>
    <row r="63" spans="1:62">
      <c r="A63" s="461" t="s">
        <v>1280</v>
      </c>
      <c r="B63" s="462" t="s">
        <v>104</v>
      </c>
      <c r="C63" s="478">
        <v>1.320058065185683E-4</v>
      </c>
      <c r="D63" s="478">
        <v>1.4010436501517585E-4</v>
      </c>
      <c r="E63" s="479">
        <v>304</v>
      </c>
      <c r="F63" s="479">
        <v>660</v>
      </c>
      <c r="G63" s="478">
        <v>1.2899857580360248E-4</v>
      </c>
      <c r="H63" s="478">
        <v>1.3824478068438068E-4</v>
      </c>
      <c r="I63" s="479">
        <v>297</v>
      </c>
      <c r="J63" s="479">
        <v>661</v>
      </c>
      <c r="K63" s="478">
        <v>1.259818438442013E-4</v>
      </c>
      <c r="L63" s="471">
        <v>1.3597442362296022E-4</v>
      </c>
      <c r="M63" s="479">
        <v>290</v>
      </c>
      <c r="N63" s="479">
        <v>660</v>
      </c>
      <c r="O63" s="478">
        <v>1.2308141944625538E-4</v>
      </c>
      <c r="P63" s="478">
        <v>1.3460693349928745E-4</v>
      </c>
      <c r="Q63" s="479">
        <v>283</v>
      </c>
      <c r="R63" s="479">
        <v>661</v>
      </c>
      <c r="S63" s="478">
        <v>1.2097970935277596E-4</v>
      </c>
      <c r="T63" s="478">
        <v>1.3393549763400823E-4</v>
      </c>
      <c r="U63" s="479">
        <v>278</v>
      </c>
      <c r="V63" s="479">
        <v>663</v>
      </c>
      <c r="W63" s="478">
        <v>1.206064632873055E-4</v>
      </c>
      <c r="X63" s="478">
        <v>1.330364266214544E-4</v>
      </c>
      <c r="Y63" s="479">
        <v>277</v>
      </c>
      <c r="Z63" s="479">
        <v>661</v>
      </c>
      <c r="AA63" s="133">
        <v>1.2156148368433478E-4</v>
      </c>
      <c r="AB63" s="478">
        <v>1.334601137617216E-4</v>
      </c>
      <c r="AC63" s="479">
        <v>276</v>
      </c>
      <c r="AD63" s="479">
        <v>666</v>
      </c>
      <c r="AE63" s="478">
        <v>1.2062651282055831E-4</v>
      </c>
      <c r="AF63" s="478">
        <v>1.3293427729330618E-4</v>
      </c>
      <c r="AG63" s="479">
        <v>272</v>
      </c>
      <c r="AH63" s="479">
        <v>665</v>
      </c>
      <c r="AI63" s="478">
        <v>1.1594259771173905E-4</v>
      </c>
      <c r="AJ63" s="478">
        <v>1.3354211081045313E-4</v>
      </c>
      <c r="AK63" s="479">
        <v>260</v>
      </c>
      <c r="AL63" s="479">
        <v>670</v>
      </c>
      <c r="AM63" s="478">
        <v>1.1387166796986465E-4</v>
      </c>
      <c r="AN63" s="478">
        <v>1.3308430016428958E-4</v>
      </c>
      <c r="AO63" s="479">
        <v>255</v>
      </c>
      <c r="AP63" s="479">
        <v>670</v>
      </c>
      <c r="AQ63" s="478">
        <v>1.1445601870998231E-4</v>
      </c>
      <c r="AR63" s="478">
        <v>1.3350942072141371E-4</v>
      </c>
      <c r="AS63" s="479">
        <v>256</v>
      </c>
      <c r="AT63" s="479">
        <v>675</v>
      </c>
      <c r="AU63" s="478">
        <v>1.1272303056762308E-4</v>
      </c>
      <c r="AV63" s="478">
        <v>1.3306753945324594E-4</v>
      </c>
      <c r="AW63" s="479">
        <v>252</v>
      </c>
      <c r="AX63" s="479">
        <v>676</v>
      </c>
      <c r="AY63" s="478">
        <v>1.1101988778038118E-4</v>
      </c>
      <c r="AZ63" s="478">
        <v>1.3291112356486815E-4</v>
      </c>
      <c r="BA63" s="479">
        <v>248</v>
      </c>
      <c r="BB63" s="479">
        <v>679</v>
      </c>
      <c r="BC63" s="478">
        <v>1.1065450572155474E-4</v>
      </c>
      <c r="BD63" s="478">
        <v>1.3304178251091856E-4</v>
      </c>
      <c r="BE63" s="479">
        <v>247</v>
      </c>
      <c r="BF63" s="479">
        <v>684</v>
      </c>
      <c r="BG63" s="478">
        <v>1.0892362392034501E-4</v>
      </c>
      <c r="BH63" s="478">
        <v>1.3391156851025988E-4</v>
      </c>
      <c r="BI63" s="479">
        <v>243</v>
      </c>
      <c r="BJ63" s="479">
        <v>693</v>
      </c>
    </row>
    <row r="64" spans="1:62">
      <c r="A64" s="461" t="s">
        <v>1281</v>
      </c>
      <c r="B64" s="462" t="s">
        <v>104</v>
      </c>
      <c r="C64" s="478">
        <v>6.2576831504575258E-3</v>
      </c>
      <c r="D64" s="478">
        <v>3.6970570016731856E-3</v>
      </c>
      <c r="E64" s="479">
        <v>14411</v>
      </c>
      <c r="F64" s="479">
        <v>17416</v>
      </c>
      <c r="G64" s="478">
        <v>6.2531733866817004E-3</v>
      </c>
      <c r="H64" s="478">
        <v>3.6416310458039884E-3</v>
      </c>
      <c r="I64" s="479">
        <v>14397</v>
      </c>
      <c r="J64" s="479">
        <v>17412</v>
      </c>
      <c r="K64" s="478">
        <v>6.2626008995103647E-3</v>
      </c>
      <c r="L64" s="471">
        <v>3.5952873737034531E-3</v>
      </c>
      <c r="M64" s="479">
        <v>14416</v>
      </c>
      <c r="N64" s="479">
        <v>17451</v>
      </c>
      <c r="O64" s="478">
        <v>6.261930308081926E-3</v>
      </c>
      <c r="P64" s="478">
        <v>3.5755348538282741E-3</v>
      </c>
      <c r="Q64" s="479">
        <v>14398</v>
      </c>
      <c r="R64" s="479">
        <v>17558</v>
      </c>
      <c r="S64" s="478">
        <v>6.2561305814946306E-3</v>
      </c>
      <c r="T64" s="478">
        <v>3.5493916944638378E-3</v>
      </c>
      <c r="U64" s="479">
        <v>14376</v>
      </c>
      <c r="V64" s="479">
        <v>17570</v>
      </c>
      <c r="W64" s="478">
        <v>6.2219002179624387E-3</v>
      </c>
      <c r="X64" s="478">
        <v>3.525163407374847E-3</v>
      </c>
      <c r="Y64" s="479">
        <v>14290</v>
      </c>
      <c r="Z64" s="479">
        <v>17515</v>
      </c>
      <c r="AA64" s="133">
        <v>6.2797957767074105E-3</v>
      </c>
      <c r="AB64" s="478">
        <v>3.5058328682602393E-3</v>
      </c>
      <c r="AC64" s="479">
        <v>14258</v>
      </c>
      <c r="AD64" s="479">
        <v>17495</v>
      </c>
      <c r="AE64" s="478">
        <v>6.2206915269631298E-3</v>
      </c>
      <c r="AF64" s="478">
        <v>3.5010690714510745E-3</v>
      </c>
      <c r="AG64" s="479">
        <v>14027</v>
      </c>
      <c r="AH64" s="479">
        <v>17514</v>
      </c>
      <c r="AI64" s="478">
        <v>6.218982568030434E-3</v>
      </c>
      <c r="AJ64" s="478">
        <v>3.4878408911524165E-3</v>
      </c>
      <c r="AK64" s="479">
        <v>13946</v>
      </c>
      <c r="AL64" s="479">
        <v>17499</v>
      </c>
      <c r="AM64" s="478">
        <v>6.2138206266692808E-3</v>
      </c>
      <c r="AN64" s="478">
        <v>3.4727057011526489E-3</v>
      </c>
      <c r="AO64" s="479">
        <v>13915</v>
      </c>
      <c r="AP64" s="479">
        <v>17483</v>
      </c>
      <c r="AQ64" s="478">
        <v>6.2266756741168891E-3</v>
      </c>
      <c r="AR64" s="478">
        <v>3.4661023536623017E-3</v>
      </c>
      <c r="AS64" s="479">
        <v>13927</v>
      </c>
      <c r="AT64" s="479">
        <v>17524</v>
      </c>
      <c r="AU64" s="478">
        <v>6.2243689299542665E-3</v>
      </c>
      <c r="AV64" s="478">
        <v>3.4473547610128644E-3</v>
      </c>
      <c r="AW64" s="479">
        <v>13915</v>
      </c>
      <c r="AX64" s="479">
        <v>17513</v>
      </c>
      <c r="AY64" s="478">
        <v>6.226514593295652E-3</v>
      </c>
      <c r="AZ64" s="478">
        <v>3.4265231487526026E-3</v>
      </c>
      <c r="BA64" s="479">
        <v>13909</v>
      </c>
      <c r="BB64" s="479">
        <v>17505</v>
      </c>
      <c r="BC64" s="478">
        <v>6.2333878243308206E-3</v>
      </c>
      <c r="BD64" s="478">
        <v>3.4073478743074145E-3</v>
      </c>
      <c r="BE64" s="479">
        <v>13914</v>
      </c>
      <c r="BF64" s="479">
        <v>17518</v>
      </c>
      <c r="BG64" s="478">
        <v>6.2350930400493785E-3</v>
      </c>
      <c r="BH64" s="478">
        <v>3.3858564263156907E-3</v>
      </c>
      <c r="BI64" s="479">
        <v>13910</v>
      </c>
      <c r="BJ64" s="479">
        <v>17522</v>
      </c>
    </row>
    <row r="65" spans="1:62">
      <c r="A65" s="461" t="s">
        <v>1282</v>
      </c>
      <c r="B65" s="462" t="s">
        <v>104</v>
      </c>
      <c r="C65" s="478">
        <v>5.3540512972827215E-4</v>
      </c>
      <c r="D65" s="478">
        <v>6.9500256221164509E-4</v>
      </c>
      <c r="E65" s="479">
        <v>1233</v>
      </c>
      <c r="F65" s="479">
        <v>3274</v>
      </c>
      <c r="G65" s="478">
        <v>5.1251959410185497E-4</v>
      </c>
      <c r="H65" s="478">
        <v>6.826489624112232E-4</v>
      </c>
      <c r="I65" s="479">
        <v>1180</v>
      </c>
      <c r="J65" s="479">
        <v>3264</v>
      </c>
      <c r="K65" s="478">
        <v>4.930668715971327E-4</v>
      </c>
      <c r="L65" s="471">
        <v>6.6812887243827281E-4</v>
      </c>
      <c r="M65" s="479">
        <v>1135</v>
      </c>
      <c r="N65" s="479">
        <v>3243</v>
      </c>
      <c r="O65" s="478">
        <v>4.7188459399006042E-4</v>
      </c>
      <c r="P65" s="478">
        <v>6.5328145637778238E-4</v>
      </c>
      <c r="Q65" s="479">
        <v>1085</v>
      </c>
      <c r="R65" s="479">
        <v>3208</v>
      </c>
      <c r="S65" s="478">
        <v>4.4823417494014114E-4</v>
      </c>
      <c r="T65" s="478">
        <v>6.442236831898224E-4</v>
      </c>
      <c r="U65" s="479">
        <v>1030</v>
      </c>
      <c r="V65" s="479">
        <v>3189</v>
      </c>
      <c r="W65" s="478">
        <v>4.3017756580454087E-4</v>
      </c>
      <c r="X65" s="478">
        <v>6.390176316537333E-4</v>
      </c>
      <c r="Y65" s="479">
        <v>988</v>
      </c>
      <c r="Z65" s="479">
        <v>3175</v>
      </c>
      <c r="AA65" s="133">
        <v>4.118115479885979E-4</v>
      </c>
      <c r="AB65" s="478">
        <v>6.3062909610831505E-4</v>
      </c>
      <c r="AC65" s="479">
        <v>935</v>
      </c>
      <c r="AD65" s="479">
        <v>3147</v>
      </c>
      <c r="AE65" s="478">
        <v>3.6365345776785961E-4</v>
      </c>
      <c r="AF65" s="478">
        <v>6.2229233866776265E-4</v>
      </c>
      <c r="AG65" s="479">
        <v>820</v>
      </c>
      <c r="AH65" s="479">
        <v>3113</v>
      </c>
      <c r="AI65" s="478">
        <v>3.6165171824700142E-4</v>
      </c>
      <c r="AJ65" s="478">
        <v>6.1748277506087131E-4</v>
      </c>
      <c r="AK65" s="479">
        <v>811</v>
      </c>
      <c r="AL65" s="479">
        <v>3098</v>
      </c>
      <c r="AM65" s="478">
        <v>3.4295467059159232E-4</v>
      </c>
      <c r="AN65" s="478">
        <v>6.1099598105276835E-4</v>
      </c>
      <c r="AO65" s="479">
        <v>768</v>
      </c>
      <c r="AP65" s="479">
        <v>3076</v>
      </c>
      <c r="AQ65" s="478">
        <v>3.2190755262182522E-4</v>
      </c>
      <c r="AR65" s="478">
        <v>5.9456195361269571E-4</v>
      </c>
      <c r="AS65" s="479">
        <v>720</v>
      </c>
      <c r="AT65" s="479">
        <v>3006</v>
      </c>
      <c r="AU65" s="478">
        <v>3.207238607816895E-4</v>
      </c>
      <c r="AV65" s="478">
        <v>5.9230802694499565E-4</v>
      </c>
      <c r="AW65" s="479">
        <v>717</v>
      </c>
      <c r="AX65" s="479">
        <v>3009</v>
      </c>
      <c r="AY65" s="478">
        <v>3.2410644658466118E-4</v>
      </c>
      <c r="AZ65" s="478">
        <v>6.0818094391170156E-4</v>
      </c>
      <c r="BA65" s="479">
        <v>724</v>
      </c>
      <c r="BB65" s="479">
        <v>3107</v>
      </c>
      <c r="BC65" s="478">
        <v>3.3420348691611267E-4</v>
      </c>
      <c r="BD65" s="478">
        <v>6.298089060970092E-4</v>
      </c>
      <c r="BE65" s="479">
        <v>746</v>
      </c>
      <c r="BF65" s="479">
        <v>3238</v>
      </c>
      <c r="BG65" s="478">
        <v>3.3125332542030848E-4</v>
      </c>
      <c r="BH65" s="478">
        <v>6.3612825907038322E-4</v>
      </c>
      <c r="BI65" s="479">
        <v>739</v>
      </c>
      <c r="BJ65" s="479">
        <v>3292</v>
      </c>
    </row>
    <row r="66" spans="1:62">
      <c r="A66" s="461" t="s">
        <v>1283</v>
      </c>
      <c r="B66" s="462" t="s">
        <v>104</v>
      </c>
      <c r="C66" s="478">
        <v>1.5921029263168775E-2</v>
      </c>
      <c r="D66" s="478">
        <v>9.1284362187615022E-3</v>
      </c>
      <c r="E66" s="479">
        <v>36665</v>
      </c>
      <c r="F66" s="479">
        <v>43002</v>
      </c>
      <c r="G66" s="478">
        <v>1.5914167735501666E-2</v>
      </c>
      <c r="H66" s="478">
        <v>9.0124721471275832E-3</v>
      </c>
      <c r="I66" s="479">
        <v>36640</v>
      </c>
      <c r="J66" s="479">
        <v>43092</v>
      </c>
      <c r="K66" s="478">
        <v>1.5903252894650072E-2</v>
      </c>
      <c r="L66" s="471">
        <v>8.9320774790506673E-3</v>
      </c>
      <c r="M66" s="479">
        <v>36608</v>
      </c>
      <c r="N66" s="479">
        <v>43355</v>
      </c>
      <c r="O66" s="478">
        <v>1.5893595025597021E-2</v>
      </c>
      <c r="P66" s="478">
        <v>8.8302962940939519E-3</v>
      </c>
      <c r="Q66" s="479">
        <v>36544</v>
      </c>
      <c r="R66" s="479">
        <v>43362</v>
      </c>
      <c r="S66" s="478">
        <v>1.5894906057950152E-2</v>
      </c>
      <c r="T66" s="478">
        <v>8.7726740878649179E-3</v>
      </c>
      <c r="U66" s="479">
        <v>36525</v>
      </c>
      <c r="V66" s="479">
        <v>43426</v>
      </c>
      <c r="W66" s="478">
        <v>1.591352211800624E-2</v>
      </c>
      <c r="X66" s="478">
        <v>8.7514219400213027E-3</v>
      </c>
      <c r="Y66" s="479">
        <v>36549</v>
      </c>
      <c r="Z66" s="479">
        <v>43482</v>
      </c>
      <c r="AA66" s="133">
        <v>1.5359910079737285E-2</v>
      </c>
      <c r="AB66" s="478">
        <v>8.7213980047111828E-3</v>
      </c>
      <c r="AC66" s="479">
        <v>34874</v>
      </c>
      <c r="AD66" s="479">
        <v>43522</v>
      </c>
      <c r="AE66" s="478">
        <v>1.5467689390277326E-2</v>
      </c>
      <c r="AF66" s="478">
        <v>8.6971001536840179E-3</v>
      </c>
      <c r="AG66" s="479">
        <v>34878</v>
      </c>
      <c r="AH66" s="479">
        <v>43507</v>
      </c>
      <c r="AI66" s="478">
        <v>1.5494836318037681E-2</v>
      </c>
      <c r="AJ66" s="478">
        <v>8.6587110116831401E-3</v>
      </c>
      <c r="AK66" s="479">
        <v>34747</v>
      </c>
      <c r="AL66" s="479">
        <v>43442</v>
      </c>
      <c r="AM66" s="478">
        <v>1.5488779621704923E-2</v>
      </c>
      <c r="AN66" s="478">
        <v>8.6453150452993135E-3</v>
      </c>
      <c r="AO66" s="479">
        <v>34685</v>
      </c>
      <c r="AP66" s="479">
        <v>43524</v>
      </c>
      <c r="AQ66" s="478">
        <v>1.5510578910494946E-2</v>
      </c>
      <c r="AR66" s="478">
        <v>8.5995890283342598E-3</v>
      </c>
      <c r="AS66" s="479">
        <v>34692</v>
      </c>
      <c r="AT66" s="479">
        <v>43478</v>
      </c>
      <c r="AU66" s="478">
        <v>1.5540122241864259E-2</v>
      </c>
      <c r="AV66" s="478">
        <v>8.5564790014107921E-3</v>
      </c>
      <c r="AW66" s="479">
        <v>34741</v>
      </c>
      <c r="AX66" s="479">
        <v>43468</v>
      </c>
      <c r="AY66" s="478">
        <v>1.5549499201820726E-2</v>
      </c>
      <c r="AZ66" s="478">
        <v>8.5153161963459432E-3</v>
      </c>
      <c r="BA66" s="479">
        <v>34735</v>
      </c>
      <c r="BB66" s="479">
        <v>43502</v>
      </c>
      <c r="BC66" s="478">
        <v>1.555434995405822E-2</v>
      </c>
      <c r="BD66" s="478">
        <v>8.4642971484322274E-3</v>
      </c>
      <c r="BE66" s="479">
        <v>34720</v>
      </c>
      <c r="BF66" s="479">
        <v>43517</v>
      </c>
      <c r="BG66" s="478">
        <v>1.5566665067924862E-2</v>
      </c>
      <c r="BH66" s="478">
        <v>8.4232888642579197E-3</v>
      </c>
      <c r="BI66" s="479">
        <v>34728</v>
      </c>
      <c r="BJ66" s="479">
        <v>43591</v>
      </c>
    </row>
    <row r="67" spans="1:62">
      <c r="A67" s="461" t="s">
        <v>1284</v>
      </c>
      <c r="B67" s="462" t="s">
        <v>104</v>
      </c>
      <c r="C67" s="478">
        <v>3.4477832360441856E-4</v>
      </c>
      <c r="D67" s="478">
        <v>3.5705385144776632E-4</v>
      </c>
      <c r="E67" s="479">
        <v>794</v>
      </c>
      <c r="F67" s="479">
        <v>1682</v>
      </c>
      <c r="G67" s="478">
        <v>3.4356186350387061E-4</v>
      </c>
      <c r="H67" s="478">
        <v>3.5324574065948407E-4</v>
      </c>
      <c r="I67" s="479">
        <v>791</v>
      </c>
      <c r="J67" s="479">
        <v>1689</v>
      </c>
      <c r="K67" s="478">
        <v>3.4058539853053037E-4</v>
      </c>
      <c r="L67" s="471">
        <v>3.5312145771174825E-4</v>
      </c>
      <c r="M67" s="479">
        <v>784</v>
      </c>
      <c r="N67" s="479">
        <v>1714</v>
      </c>
      <c r="O67" s="478">
        <v>3.3488584089617191E-4</v>
      </c>
      <c r="P67" s="478">
        <v>3.5739057230143646E-4</v>
      </c>
      <c r="Q67" s="479">
        <v>770</v>
      </c>
      <c r="R67" s="479">
        <v>1755</v>
      </c>
      <c r="S67" s="478">
        <v>3.294303596404727E-4</v>
      </c>
      <c r="T67" s="478">
        <v>3.5796938432498126E-4</v>
      </c>
      <c r="U67" s="479">
        <v>757</v>
      </c>
      <c r="V67" s="479">
        <v>1772</v>
      </c>
      <c r="W67" s="478">
        <v>3.2655179590425674E-4</v>
      </c>
      <c r="X67" s="478">
        <v>3.5664228135131199E-4</v>
      </c>
      <c r="Y67" s="479">
        <v>750</v>
      </c>
      <c r="Z67" s="479">
        <v>1772</v>
      </c>
      <c r="AA67" s="133">
        <v>3.166764738008576E-4</v>
      </c>
      <c r="AB67" s="478">
        <v>3.5328855940227504E-4</v>
      </c>
      <c r="AC67" s="479">
        <v>719</v>
      </c>
      <c r="AD67" s="479">
        <v>1763</v>
      </c>
      <c r="AE67" s="478">
        <v>2.9668800395938791E-4</v>
      </c>
      <c r="AF67" s="478">
        <v>3.5122635369073528E-4</v>
      </c>
      <c r="AG67" s="479">
        <v>669</v>
      </c>
      <c r="AH67" s="479">
        <v>1757</v>
      </c>
      <c r="AI67" s="478">
        <v>2.934239588243242E-4</v>
      </c>
      <c r="AJ67" s="478">
        <v>3.5159445293976013E-4</v>
      </c>
      <c r="AK67" s="479">
        <v>658</v>
      </c>
      <c r="AL67" s="479">
        <v>1764</v>
      </c>
      <c r="AM67" s="478">
        <v>2.9070766999365444E-4</v>
      </c>
      <c r="AN67" s="478">
        <v>3.4959457953604432E-4</v>
      </c>
      <c r="AO67" s="479">
        <v>651</v>
      </c>
      <c r="AP67" s="479">
        <v>1760</v>
      </c>
      <c r="AQ67" s="478">
        <v>2.8479876530569816E-4</v>
      </c>
      <c r="AR67" s="478">
        <v>3.4494878479725261E-4</v>
      </c>
      <c r="AS67" s="479">
        <v>637</v>
      </c>
      <c r="AT67" s="479">
        <v>1744</v>
      </c>
      <c r="AU67" s="478">
        <v>2.7733444028542185E-4</v>
      </c>
      <c r="AV67" s="478">
        <v>3.4014897659054587E-4</v>
      </c>
      <c r="AW67" s="479">
        <v>620</v>
      </c>
      <c r="AX67" s="479">
        <v>1728</v>
      </c>
      <c r="AY67" s="478">
        <v>2.766543977753047E-4</v>
      </c>
      <c r="AZ67" s="478">
        <v>3.4314167836408527E-4</v>
      </c>
      <c r="BA67" s="479">
        <v>618</v>
      </c>
      <c r="BB67" s="479">
        <v>1753</v>
      </c>
      <c r="BC67" s="478">
        <v>2.768602612790317E-4</v>
      </c>
      <c r="BD67" s="478">
        <v>3.4874841526619444E-4</v>
      </c>
      <c r="BE67" s="479">
        <v>618</v>
      </c>
      <c r="BF67" s="479">
        <v>1793</v>
      </c>
      <c r="BG67" s="478">
        <v>2.7925686297273637E-4</v>
      </c>
      <c r="BH67" s="478">
        <v>3.5130047842951294E-4</v>
      </c>
      <c r="BI67" s="479">
        <v>623</v>
      </c>
      <c r="BJ67" s="479">
        <v>1818</v>
      </c>
    </row>
    <row r="68" spans="1:62">
      <c r="A68" s="437" t="s">
        <v>1285</v>
      </c>
      <c r="B68" s="462" t="s">
        <v>104</v>
      </c>
      <c r="C68" s="478">
        <v>2.694829063336299E-3</v>
      </c>
      <c r="D68" s="478">
        <v>1.6116247563563865E-3</v>
      </c>
      <c r="E68" s="479">
        <v>6206</v>
      </c>
      <c r="F68" s="479">
        <v>7592</v>
      </c>
      <c r="G68" s="478">
        <v>2.6898591917565999E-3</v>
      </c>
      <c r="H68" s="478">
        <v>1.5880372461974321E-3</v>
      </c>
      <c r="I68" s="479">
        <v>6193</v>
      </c>
      <c r="J68" s="479">
        <v>7593</v>
      </c>
      <c r="K68" s="478">
        <v>2.6790690723696186E-3</v>
      </c>
      <c r="L68" s="471">
        <v>1.5616456531243009E-3</v>
      </c>
      <c r="M68" s="479">
        <v>6167</v>
      </c>
      <c r="N68" s="479">
        <v>7580</v>
      </c>
      <c r="O68" s="478">
        <v>2.6660392268747194E-3</v>
      </c>
      <c r="P68" s="478">
        <v>1.5409541086068203E-3</v>
      </c>
      <c r="Q68" s="479">
        <v>6130</v>
      </c>
      <c r="R68" s="479">
        <v>7567</v>
      </c>
      <c r="S68" s="478">
        <v>2.6572018176548562E-3</v>
      </c>
      <c r="T68" s="478">
        <v>1.5338947715460398E-3</v>
      </c>
      <c r="U68" s="479">
        <v>6106</v>
      </c>
      <c r="V68" s="479">
        <v>7593</v>
      </c>
      <c r="W68" s="478">
        <v>2.7234419778415014E-3</v>
      </c>
      <c r="X68" s="478">
        <v>1.5863738496676304E-3</v>
      </c>
      <c r="Y68" s="479">
        <v>6255</v>
      </c>
      <c r="Z68" s="479">
        <v>7882</v>
      </c>
      <c r="AA68" s="133">
        <v>2.5972756133569646E-3</v>
      </c>
      <c r="AB68" s="478">
        <v>1.5796787939694466E-3</v>
      </c>
      <c r="AC68" s="479">
        <v>5897</v>
      </c>
      <c r="AD68" s="479">
        <v>7883</v>
      </c>
      <c r="AE68" s="478">
        <v>2.6041135414791115E-3</v>
      </c>
      <c r="AF68" s="478">
        <v>1.5760208153089113E-3</v>
      </c>
      <c r="AG68" s="479">
        <v>5872</v>
      </c>
      <c r="AH68" s="479">
        <v>7884</v>
      </c>
      <c r="AI68" s="478">
        <v>2.6011275863560535E-3</v>
      </c>
      <c r="AJ68" s="478">
        <v>1.5708139929808671E-3</v>
      </c>
      <c r="AK68" s="479">
        <v>5833</v>
      </c>
      <c r="AL68" s="479">
        <v>7881</v>
      </c>
      <c r="AM68" s="478">
        <v>2.5989533630769108E-3</v>
      </c>
      <c r="AN68" s="478">
        <v>1.5672166093973804E-3</v>
      </c>
      <c r="AO68" s="479">
        <v>5820</v>
      </c>
      <c r="AP68" s="479">
        <v>7890</v>
      </c>
      <c r="AQ68" s="478">
        <v>2.5953796430134659E-3</v>
      </c>
      <c r="AR68" s="478">
        <v>1.5619613265733393E-3</v>
      </c>
      <c r="AS68" s="479">
        <v>5805</v>
      </c>
      <c r="AT68" s="479">
        <v>7897</v>
      </c>
      <c r="AU68" s="478">
        <v>2.5917350758286038E-3</v>
      </c>
      <c r="AV68" s="478">
        <v>1.5546855423102612E-3</v>
      </c>
      <c r="AW68" s="479">
        <v>5794</v>
      </c>
      <c r="AX68" s="479">
        <v>7898</v>
      </c>
      <c r="AY68" s="478">
        <v>2.5879273034612239E-3</v>
      </c>
      <c r="AZ68" s="478">
        <v>1.5459971338959186E-3</v>
      </c>
      <c r="BA68" s="479">
        <v>5781</v>
      </c>
      <c r="BB68" s="479">
        <v>7898</v>
      </c>
      <c r="BC68" s="478">
        <v>2.586269075022411E-3</v>
      </c>
      <c r="BD68" s="478">
        <v>1.5391222587849394E-3</v>
      </c>
      <c r="BE68" s="479">
        <v>5773</v>
      </c>
      <c r="BF68" s="479">
        <v>7913</v>
      </c>
      <c r="BG68" s="478">
        <v>2.5886169882304213E-3</v>
      </c>
      <c r="BH68" s="478">
        <v>1.5317705679377058E-3</v>
      </c>
      <c r="BI68" s="479">
        <v>5775</v>
      </c>
      <c r="BJ68" s="479">
        <v>7927</v>
      </c>
    </row>
    <row r="69" spans="1:62">
      <c r="A69" s="461" t="s">
        <v>1286</v>
      </c>
      <c r="B69" s="462" t="s">
        <v>104</v>
      </c>
      <c r="C69" s="478">
        <v>6.1573761066884827E-4</v>
      </c>
      <c r="D69" s="478">
        <v>4.1203420074917627E-4</v>
      </c>
      <c r="E69" s="479">
        <v>1418</v>
      </c>
      <c r="F69" s="479">
        <v>1941</v>
      </c>
      <c r="G69" s="478">
        <v>6.2414462434268278E-4</v>
      </c>
      <c r="H69" s="478">
        <v>4.080417051667575E-4</v>
      </c>
      <c r="I69" s="479">
        <v>1437</v>
      </c>
      <c r="J69" s="479">
        <v>1951</v>
      </c>
      <c r="K69" s="478">
        <v>6.1817987513896016E-4</v>
      </c>
      <c r="L69" s="471">
        <v>4.0091852783375847E-4</v>
      </c>
      <c r="M69" s="479">
        <v>1423</v>
      </c>
      <c r="N69" s="479">
        <v>1946</v>
      </c>
      <c r="O69" s="478">
        <v>6.2149593070211641E-4</v>
      </c>
      <c r="P69" s="478">
        <v>3.983224840009172E-4</v>
      </c>
      <c r="Q69" s="479">
        <v>1429</v>
      </c>
      <c r="R69" s="479">
        <v>1956</v>
      </c>
      <c r="S69" s="478">
        <v>6.188242687037677E-4</v>
      </c>
      <c r="T69" s="478">
        <v>3.9514002016911024E-4</v>
      </c>
      <c r="U69" s="479">
        <v>1422</v>
      </c>
      <c r="V69" s="479">
        <v>1956</v>
      </c>
      <c r="W69" s="478">
        <v>6.1652979066723675E-4</v>
      </c>
      <c r="X69" s="478">
        <v>3.9407764496945193E-4</v>
      </c>
      <c r="Y69" s="479">
        <v>1416</v>
      </c>
      <c r="Z69" s="479">
        <v>1958</v>
      </c>
      <c r="AA69" s="133">
        <v>6.2454414443618371E-4</v>
      </c>
      <c r="AB69" s="478">
        <v>3.9356706220423606E-4</v>
      </c>
      <c r="AC69" s="479">
        <v>1418</v>
      </c>
      <c r="AD69" s="479">
        <v>1964</v>
      </c>
      <c r="AE69" s="478">
        <v>6.270804747362847E-4</v>
      </c>
      <c r="AF69" s="478">
        <v>3.924059944763309E-4</v>
      </c>
      <c r="AG69" s="479">
        <v>1414</v>
      </c>
      <c r="AH69" s="479">
        <v>1963</v>
      </c>
      <c r="AI69" s="478">
        <v>6.2876562605212332E-4</v>
      </c>
      <c r="AJ69" s="478">
        <v>3.9165708618289606E-4</v>
      </c>
      <c r="AK69" s="479">
        <v>1410</v>
      </c>
      <c r="AL69" s="479">
        <v>1965</v>
      </c>
      <c r="AM69" s="478">
        <v>6.2875022941791931E-4</v>
      </c>
      <c r="AN69" s="478">
        <v>3.9289663541039525E-4</v>
      </c>
      <c r="AO69" s="479">
        <v>1408</v>
      </c>
      <c r="AP69" s="479">
        <v>1978</v>
      </c>
      <c r="AQ69" s="478">
        <v>6.2593135232021579E-4</v>
      </c>
      <c r="AR69" s="478">
        <v>3.9123205064734269E-4</v>
      </c>
      <c r="AS69" s="479">
        <v>1400</v>
      </c>
      <c r="AT69" s="479">
        <v>1978</v>
      </c>
      <c r="AU69" s="478">
        <v>6.2623905870901715E-4</v>
      </c>
      <c r="AV69" s="478">
        <v>3.8975403567666716E-4</v>
      </c>
      <c r="AW69" s="479">
        <v>1400</v>
      </c>
      <c r="AX69" s="479">
        <v>1980</v>
      </c>
      <c r="AY69" s="478">
        <v>6.2851581630506115E-4</v>
      </c>
      <c r="AZ69" s="478">
        <v>3.8914184631363464E-4</v>
      </c>
      <c r="BA69" s="479">
        <v>1404</v>
      </c>
      <c r="BB69" s="479">
        <v>1988</v>
      </c>
      <c r="BC69" s="478">
        <v>6.2808751830615282E-4</v>
      </c>
      <c r="BD69" s="478">
        <v>3.8687149914359213E-4</v>
      </c>
      <c r="BE69" s="479">
        <v>1402</v>
      </c>
      <c r="BF69" s="479">
        <v>1989</v>
      </c>
      <c r="BG69" s="478">
        <v>6.2978473912792075E-4</v>
      </c>
      <c r="BH69" s="478">
        <v>3.8550300025680877E-4</v>
      </c>
      <c r="BI69" s="479">
        <v>1405</v>
      </c>
      <c r="BJ69" s="479">
        <v>1995</v>
      </c>
    </row>
    <row r="70" spans="1:62">
      <c r="A70" s="461" t="s">
        <v>1287</v>
      </c>
      <c r="B70" s="462" t="s">
        <v>104</v>
      </c>
      <c r="C70" s="478">
        <v>4.8412261081431512E-3</v>
      </c>
      <c r="D70" s="478">
        <v>3.4841408227183051E-3</v>
      </c>
      <c r="E70" s="479">
        <v>11149</v>
      </c>
      <c r="F70" s="479">
        <v>16413</v>
      </c>
      <c r="G70" s="478">
        <v>4.840704132428114E-3</v>
      </c>
      <c r="H70" s="478">
        <v>3.4306038389801761E-3</v>
      </c>
      <c r="I70" s="479">
        <v>11145</v>
      </c>
      <c r="J70" s="479">
        <v>16403</v>
      </c>
      <c r="K70" s="478">
        <v>4.8433502655827595E-3</v>
      </c>
      <c r="L70" s="471">
        <v>3.3816427111322263E-3</v>
      </c>
      <c r="M70" s="479">
        <v>11149</v>
      </c>
      <c r="N70" s="479">
        <v>16414</v>
      </c>
      <c r="O70" s="478">
        <v>4.8493209428471648E-3</v>
      </c>
      <c r="P70" s="478">
        <v>3.3429764301426673E-3</v>
      </c>
      <c r="Q70" s="479">
        <v>11150</v>
      </c>
      <c r="R70" s="479">
        <v>16416</v>
      </c>
      <c r="S70" s="478">
        <v>4.8652991027483281E-3</v>
      </c>
      <c r="T70" s="478">
        <v>3.3215195355933082E-3</v>
      </c>
      <c r="U70" s="479">
        <v>11180</v>
      </c>
      <c r="V70" s="479">
        <v>16442</v>
      </c>
      <c r="W70" s="478">
        <v>4.8704111853133548E-3</v>
      </c>
      <c r="X70" s="478">
        <v>3.3102119646642369E-3</v>
      </c>
      <c r="Y70" s="479">
        <v>11186</v>
      </c>
      <c r="Z70" s="479">
        <v>16447</v>
      </c>
      <c r="AA70" s="133">
        <v>4.9065033632010487E-3</v>
      </c>
      <c r="AB70" s="478">
        <v>3.2964247318022825E-3</v>
      </c>
      <c r="AC70" s="479">
        <v>11140</v>
      </c>
      <c r="AD70" s="479">
        <v>16450</v>
      </c>
      <c r="AE70" s="478">
        <v>4.9177477965704815E-3</v>
      </c>
      <c r="AF70" s="478">
        <v>3.2891738324572332E-3</v>
      </c>
      <c r="AG70" s="479">
        <v>11089</v>
      </c>
      <c r="AH70" s="479">
        <v>16454</v>
      </c>
      <c r="AI70" s="478">
        <v>4.9311278672938864E-3</v>
      </c>
      <c r="AJ70" s="478">
        <v>3.2773625791884787E-3</v>
      </c>
      <c r="AK70" s="479">
        <v>11058</v>
      </c>
      <c r="AL70" s="479">
        <v>16443</v>
      </c>
      <c r="AM70" s="478">
        <v>4.9353320564821338E-3</v>
      </c>
      <c r="AN70" s="478">
        <v>3.2663257192560866E-3</v>
      </c>
      <c r="AO70" s="479">
        <v>11052</v>
      </c>
      <c r="AP70" s="479">
        <v>16444</v>
      </c>
      <c r="AQ70" s="478">
        <v>4.9305506809909569E-3</v>
      </c>
      <c r="AR70" s="478">
        <v>3.2540696143832566E-3</v>
      </c>
      <c r="AS70" s="479">
        <v>11028</v>
      </c>
      <c r="AT70" s="479">
        <v>16452</v>
      </c>
      <c r="AU70" s="478">
        <v>4.923133628679602E-3</v>
      </c>
      <c r="AV70" s="478">
        <v>3.2308247411924939E-3</v>
      </c>
      <c r="AW70" s="479">
        <v>11006</v>
      </c>
      <c r="AX70" s="479">
        <v>16413</v>
      </c>
      <c r="AY70" s="478">
        <v>4.920240268524877E-3</v>
      </c>
      <c r="AZ70" s="478">
        <v>3.2055265971992356E-3</v>
      </c>
      <c r="BA70" s="479">
        <v>10991</v>
      </c>
      <c r="BB70" s="479">
        <v>16376</v>
      </c>
      <c r="BC70" s="478">
        <v>4.9216615378825926E-3</v>
      </c>
      <c r="BD70" s="478">
        <v>3.185806075652537E-3</v>
      </c>
      <c r="BE70" s="479">
        <v>10986</v>
      </c>
      <c r="BF70" s="479">
        <v>16379</v>
      </c>
      <c r="BG70" s="478">
        <v>4.9248718354437471E-3</v>
      </c>
      <c r="BH70" s="478">
        <v>3.1707863314355766E-3</v>
      </c>
      <c r="BI70" s="479">
        <v>10987</v>
      </c>
      <c r="BJ70" s="479">
        <v>16409</v>
      </c>
    </row>
    <row r="71" spans="1:62">
      <c r="A71" s="461" t="s">
        <v>1288</v>
      </c>
      <c r="B71" s="462" t="s">
        <v>104</v>
      </c>
      <c r="C71" s="478">
        <v>3.4925088875948848E-3</v>
      </c>
      <c r="D71" s="478">
        <v>2.3272184146384436E-3</v>
      </c>
      <c r="E71" s="479">
        <v>8043</v>
      </c>
      <c r="F71" s="479">
        <v>10963</v>
      </c>
      <c r="G71" s="478">
        <v>3.5016381081772502E-3</v>
      </c>
      <c r="H71" s="478">
        <v>2.2964110316406956E-3</v>
      </c>
      <c r="I71" s="479">
        <v>8062</v>
      </c>
      <c r="J71" s="479">
        <v>10980</v>
      </c>
      <c r="K71" s="478">
        <v>3.4931724356938709E-3</v>
      </c>
      <c r="L71" s="471">
        <v>2.2588236069729334E-3</v>
      </c>
      <c r="M71" s="479">
        <v>8041</v>
      </c>
      <c r="N71" s="479">
        <v>10964</v>
      </c>
      <c r="O71" s="478">
        <v>3.4854222453791191E-3</v>
      </c>
      <c r="P71" s="478">
        <v>2.2315019323527864E-3</v>
      </c>
      <c r="Q71" s="479">
        <v>8014</v>
      </c>
      <c r="R71" s="479">
        <v>10958</v>
      </c>
      <c r="S71" s="478">
        <v>3.4857822730781853E-3</v>
      </c>
      <c r="T71" s="478">
        <v>2.2146830476042719E-3</v>
      </c>
      <c r="U71" s="479">
        <v>8010</v>
      </c>
      <c r="V71" s="479">
        <v>10963</v>
      </c>
      <c r="W71" s="478">
        <v>3.4897501922301574E-3</v>
      </c>
      <c r="X71" s="478">
        <v>2.2088877188660544E-3</v>
      </c>
      <c r="Y71" s="479">
        <v>8015</v>
      </c>
      <c r="Z71" s="479">
        <v>10975</v>
      </c>
      <c r="AA71" s="133">
        <v>3.5213190654212194E-3</v>
      </c>
      <c r="AB71" s="478">
        <v>2.1988856280891456E-3</v>
      </c>
      <c r="AC71" s="479">
        <v>7995</v>
      </c>
      <c r="AD71" s="479">
        <v>10973</v>
      </c>
      <c r="AE71" s="478">
        <v>3.5340907377464305E-3</v>
      </c>
      <c r="AF71" s="478">
        <v>2.1949148341060178E-3</v>
      </c>
      <c r="AG71" s="479">
        <v>7969</v>
      </c>
      <c r="AH71" s="479">
        <v>10980</v>
      </c>
      <c r="AI71" s="478">
        <v>3.5491812891835814E-3</v>
      </c>
      <c r="AJ71" s="478">
        <v>2.1900906172914311E-3</v>
      </c>
      <c r="AK71" s="479">
        <v>7959</v>
      </c>
      <c r="AL71" s="479">
        <v>10988</v>
      </c>
      <c r="AM71" s="478">
        <v>3.5443114850071205E-3</v>
      </c>
      <c r="AN71" s="478">
        <v>2.1805961898560761E-3</v>
      </c>
      <c r="AO71" s="479">
        <v>7937</v>
      </c>
      <c r="AP71" s="479">
        <v>10978</v>
      </c>
      <c r="AQ71" s="478">
        <v>3.5508191429479666E-3</v>
      </c>
      <c r="AR71" s="478">
        <v>2.1737311610790172E-3</v>
      </c>
      <c r="AS71" s="479">
        <v>7942</v>
      </c>
      <c r="AT71" s="479">
        <v>10990</v>
      </c>
      <c r="AU71" s="478">
        <v>3.5543539717870359E-3</v>
      </c>
      <c r="AV71" s="478">
        <v>2.1651033527311423E-3</v>
      </c>
      <c r="AW71" s="479">
        <v>7946</v>
      </c>
      <c r="AX71" s="479">
        <v>10999</v>
      </c>
      <c r="AY71" s="478">
        <v>3.5606943040530315E-3</v>
      </c>
      <c r="AZ71" s="478">
        <v>2.1569185133450404E-3</v>
      </c>
      <c r="BA71" s="479">
        <v>7954</v>
      </c>
      <c r="BB71" s="479">
        <v>11019</v>
      </c>
      <c r="BC71" s="478">
        <v>3.57230375961003E-3</v>
      </c>
      <c r="BD71" s="478">
        <v>2.1518146782431172E-3</v>
      </c>
      <c r="BE71" s="479">
        <v>7974</v>
      </c>
      <c r="BF71" s="479">
        <v>11063</v>
      </c>
      <c r="BG71" s="478">
        <v>3.5792392469298556E-3</v>
      </c>
      <c r="BH71" s="478">
        <v>2.1398798119518299E-3</v>
      </c>
      <c r="BI71" s="479">
        <v>7985</v>
      </c>
      <c r="BJ71" s="479">
        <v>11074</v>
      </c>
    </row>
    <row r="72" spans="1:62">
      <c r="A72" s="461" t="s">
        <v>1289</v>
      </c>
      <c r="B72" s="462" t="s">
        <v>104</v>
      </c>
      <c r="C72" s="478">
        <v>1.6248872631331665E-3</v>
      </c>
      <c r="D72" s="478">
        <v>2.4753893946090387E-3</v>
      </c>
      <c r="E72" s="479">
        <v>3742</v>
      </c>
      <c r="F72" s="479">
        <v>11661</v>
      </c>
      <c r="G72" s="478">
        <v>1.6231234942022308E-3</v>
      </c>
      <c r="H72" s="478">
        <v>2.4442764778492541E-3</v>
      </c>
      <c r="I72" s="479">
        <v>3737</v>
      </c>
      <c r="J72" s="479">
        <v>11687</v>
      </c>
      <c r="K72" s="478">
        <v>1.6225592646830754E-3</v>
      </c>
      <c r="L72" s="471">
        <v>2.4110737570598537E-3</v>
      </c>
      <c r="M72" s="479">
        <v>3735</v>
      </c>
      <c r="N72" s="479">
        <v>11703</v>
      </c>
      <c r="O72" s="478">
        <v>1.6191947865668156E-3</v>
      </c>
      <c r="P72" s="478">
        <v>2.4005242542959162E-3</v>
      </c>
      <c r="Q72" s="479">
        <v>3723</v>
      </c>
      <c r="R72" s="479">
        <v>11788</v>
      </c>
      <c r="S72" s="478">
        <v>1.6184299967013445E-3</v>
      </c>
      <c r="T72" s="478">
        <v>2.3859911954076489E-3</v>
      </c>
      <c r="U72" s="479">
        <v>3719</v>
      </c>
      <c r="V72" s="479">
        <v>11811</v>
      </c>
      <c r="W72" s="478">
        <v>1.6205677124741915E-3</v>
      </c>
      <c r="X72" s="478">
        <v>2.3779506513350738E-3</v>
      </c>
      <c r="Y72" s="479">
        <v>3722</v>
      </c>
      <c r="Z72" s="479">
        <v>11815</v>
      </c>
      <c r="AA72" s="133">
        <v>1.612451419450542E-3</v>
      </c>
      <c r="AB72" s="478">
        <v>2.3696183862347716E-3</v>
      </c>
      <c r="AC72" s="479">
        <v>3661</v>
      </c>
      <c r="AD72" s="479">
        <v>11825</v>
      </c>
      <c r="AE72" s="478">
        <v>1.6116056896687827E-3</v>
      </c>
      <c r="AF72" s="478">
        <v>2.3860203515381996E-3</v>
      </c>
      <c r="AG72" s="479">
        <v>3634</v>
      </c>
      <c r="AH72" s="479">
        <v>11936</v>
      </c>
      <c r="AI72" s="478">
        <v>1.6165073719425157E-3</v>
      </c>
      <c r="AJ72" s="478">
        <v>2.3786441050924591E-3</v>
      </c>
      <c r="AK72" s="479">
        <v>3625</v>
      </c>
      <c r="AL72" s="479">
        <v>11934</v>
      </c>
      <c r="AM72" s="478">
        <v>1.6187639074147426E-3</v>
      </c>
      <c r="AN72" s="478">
        <v>2.371880042181764E-3</v>
      </c>
      <c r="AO72" s="479">
        <v>3625</v>
      </c>
      <c r="AP72" s="479">
        <v>11941</v>
      </c>
      <c r="AQ72" s="478">
        <v>1.6162441704554143E-3</v>
      </c>
      <c r="AR72" s="478">
        <v>2.4158282439871808E-3</v>
      </c>
      <c r="AS72" s="479">
        <v>3615</v>
      </c>
      <c r="AT72" s="479">
        <v>12214</v>
      </c>
      <c r="AU72" s="478">
        <v>1.6161440850826277E-3</v>
      </c>
      <c r="AV72" s="478">
        <v>2.4103728115458531E-3</v>
      </c>
      <c r="AW72" s="479">
        <v>3613</v>
      </c>
      <c r="AX72" s="479">
        <v>12245</v>
      </c>
      <c r="AY72" s="478">
        <v>1.6147126420315923E-3</v>
      </c>
      <c r="AZ72" s="478">
        <v>2.399055567615647E-3</v>
      </c>
      <c r="BA72" s="479">
        <v>3607</v>
      </c>
      <c r="BB72" s="479">
        <v>12256</v>
      </c>
      <c r="BC72" s="478">
        <v>1.6163621726452207E-3</v>
      </c>
      <c r="BD72" s="478">
        <v>2.3904729635368261E-3</v>
      </c>
      <c r="BE72" s="479">
        <v>3608</v>
      </c>
      <c r="BF72" s="479">
        <v>12290</v>
      </c>
      <c r="BG72" s="478">
        <v>1.6177175256317906E-3</v>
      </c>
      <c r="BH72" s="478">
        <v>2.3785245263965209E-3</v>
      </c>
      <c r="BI72" s="479">
        <v>3609</v>
      </c>
      <c r="BJ72" s="479">
        <v>12309</v>
      </c>
    </row>
    <row r="73" spans="1:62">
      <c r="A73" s="461" t="s">
        <v>1290</v>
      </c>
      <c r="B73" s="462" t="s">
        <v>104</v>
      </c>
      <c r="C73" s="478">
        <v>1.0670324617042036E-2</v>
      </c>
      <c r="D73" s="478">
        <v>6.2331582877888005E-3</v>
      </c>
      <c r="E73" s="479">
        <v>24573</v>
      </c>
      <c r="F73" s="479">
        <v>29363</v>
      </c>
      <c r="G73" s="478">
        <v>1.0675609409686012E-2</v>
      </c>
      <c r="H73" s="478">
        <v>6.143004082090211E-3</v>
      </c>
      <c r="I73" s="479">
        <v>24579</v>
      </c>
      <c r="J73" s="479">
        <v>29372</v>
      </c>
      <c r="K73" s="478">
        <v>1.0671531013906223E-2</v>
      </c>
      <c r="L73" s="471">
        <v>6.0562184194250593E-3</v>
      </c>
      <c r="M73" s="479">
        <v>24565</v>
      </c>
      <c r="N73" s="479">
        <v>29396</v>
      </c>
      <c r="O73" s="478">
        <v>1.0684597991293837E-2</v>
      </c>
      <c r="P73" s="478">
        <v>5.9956086778911065E-3</v>
      </c>
      <c r="Q73" s="479">
        <v>24567</v>
      </c>
      <c r="R73" s="479">
        <v>29442</v>
      </c>
      <c r="S73" s="478">
        <v>1.0688861946485191E-2</v>
      </c>
      <c r="T73" s="478">
        <v>5.9531601504925914E-3</v>
      </c>
      <c r="U73" s="479">
        <v>24562</v>
      </c>
      <c r="V73" s="479">
        <v>29469</v>
      </c>
      <c r="W73" s="478">
        <v>1.0683468554803665E-2</v>
      </c>
      <c r="X73" s="478">
        <v>5.9343101950583713E-3</v>
      </c>
      <c r="Y73" s="479">
        <v>24537</v>
      </c>
      <c r="Z73" s="479">
        <v>29485</v>
      </c>
      <c r="AA73" s="133">
        <v>1.0629582779846868E-2</v>
      </c>
      <c r="AB73" s="478">
        <v>5.9077141348488202E-3</v>
      </c>
      <c r="AC73" s="479">
        <v>24134</v>
      </c>
      <c r="AD73" s="479">
        <v>29481</v>
      </c>
      <c r="AE73" s="478">
        <v>1.0681655102191056E-2</v>
      </c>
      <c r="AF73" s="478">
        <v>5.898483789614415E-3</v>
      </c>
      <c r="AG73" s="479">
        <v>24086</v>
      </c>
      <c r="AH73" s="479">
        <v>29507</v>
      </c>
      <c r="AI73" s="478">
        <v>1.0731379284357693E-2</v>
      </c>
      <c r="AJ73" s="478">
        <v>5.8842241721585031E-3</v>
      </c>
      <c r="AK73" s="479">
        <v>24065</v>
      </c>
      <c r="AL73" s="479">
        <v>29522</v>
      </c>
      <c r="AM73" s="478">
        <v>1.0740107789581234E-2</v>
      </c>
      <c r="AN73" s="478">
        <v>5.8596818729052882E-3</v>
      </c>
      <c r="AO73" s="479">
        <v>24051</v>
      </c>
      <c r="AP73" s="479">
        <v>29500</v>
      </c>
      <c r="AQ73" s="478">
        <v>1.0752606445215135E-2</v>
      </c>
      <c r="AR73" s="478">
        <v>5.8449435433162913E-3</v>
      </c>
      <c r="AS73" s="479">
        <v>24050</v>
      </c>
      <c r="AT73" s="479">
        <v>29551</v>
      </c>
      <c r="AU73" s="478">
        <v>1.0761023596687732E-2</v>
      </c>
      <c r="AV73" s="478">
        <v>5.8287912880918133E-3</v>
      </c>
      <c r="AW73" s="479">
        <v>24057</v>
      </c>
      <c r="AX73" s="479">
        <v>29611</v>
      </c>
      <c r="AY73" s="478">
        <v>1.076848145385915E-2</v>
      </c>
      <c r="AZ73" s="478">
        <v>5.8028722504867699E-3</v>
      </c>
      <c r="BA73" s="479">
        <v>24055</v>
      </c>
      <c r="BB73" s="479">
        <v>29645</v>
      </c>
      <c r="BC73" s="478">
        <v>1.0775150492367751E-2</v>
      </c>
      <c r="BD73" s="478">
        <v>5.766699953046365E-3</v>
      </c>
      <c r="BE73" s="479">
        <v>24052</v>
      </c>
      <c r="BF73" s="479">
        <v>29648</v>
      </c>
      <c r="BG73" s="478">
        <v>1.0782094032016373E-2</v>
      </c>
      <c r="BH73" s="478">
        <v>5.7344295917900034E-3</v>
      </c>
      <c r="BI73" s="479">
        <v>24054</v>
      </c>
      <c r="BJ73" s="479">
        <v>29676</v>
      </c>
    </row>
    <row r="74" spans="1:62">
      <c r="A74" s="461" t="s">
        <v>1291</v>
      </c>
      <c r="B74" s="462" t="s">
        <v>104</v>
      </c>
      <c r="C74" s="478">
        <v>5.2693765200750873E-3</v>
      </c>
      <c r="D74" s="478">
        <v>1.0112987802004512E-2</v>
      </c>
      <c r="E74" s="479">
        <v>12135</v>
      </c>
      <c r="F74" s="479">
        <v>47640</v>
      </c>
      <c r="G74" s="478">
        <v>5.2307402303124065E-3</v>
      </c>
      <c r="H74" s="478">
        <v>1.0435912354900495E-2</v>
      </c>
      <c r="I74" s="479">
        <v>12043</v>
      </c>
      <c r="J74" s="479">
        <v>49898</v>
      </c>
      <c r="K74" s="478">
        <v>5.1974026888000841E-3</v>
      </c>
      <c r="L74" s="471">
        <v>1.0905354796415384E-2</v>
      </c>
      <c r="M74" s="479">
        <v>11964</v>
      </c>
      <c r="N74" s="479">
        <v>52933</v>
      </c>
      <c r="O74" s="478">
        <v>5.1202740322995217E-3</v>
      </c>
      <c r="P74" s="478">
        <v>1.1026160989892465E-2</v>
      </c>
      <c r="Q74" s="479">
        <v>11773</v>
      </c>
      <c r="R74" s="479">
        <v>54145</v>
      </c>
      <c r="S74" s="478">
        <v>5.1050826274007723E-3</v>
      </c>
      <c r="T74" s="478">
        <v>1.1065334665011766E-2</v>
      </c>
      <c r="U74" s="479">
        <v>11731</v>
      </c>
      <c r="V74" s="479">
        <v>54775</v>
      </c>
      <c r="W74" s="478">
        <v>5.108140892731654E-3</v>
      </c>
      <c r="X74" s="478">
        <v>1.1071609422762795E-2</v>
      </c>
      <c r="Y74" s="479">
        <v>11732</v>
      </c>
      <c r="Z74" s="479">
        <v>55010</v>
      </c>
      <c r="AA74" s="133">
        <v>5.1729696589583769E-3</v>
      </c>
      <c r="AB74" s="478">
        <v>1.1080195300640949E-2</v>
      </c>
      <c r="AC74" s="479">
        <v>11745</v>
      </c>
      <c r="AD74" s="479">
        <v>55293</v>
      </c>
      <c r="AE74" s="478">
        <v>5.1989140066007536E-3</v>
      </c>
      <c r="AF74" s="478">
        <v>1.1111306570031777E-2</v>
      </c>
      <c r="AG74" s="479">
        <v>11723</v>
      </c>
      <c r="AH74" s="479">
        <v>55584</v>
      </c>
      <c r="AI74" s="478">
        <v>5.1857556491915905E-3</v>
      </c>
      <c r="AJ74" s="478">
        <v>1.1101535056597937E-2</v>
      </c>
      <c r="AK74" s="479">
        <v>11629</v>
      </c>
      <c r="AL74" s="479">
        <v>55698</v>
      </c>
      <c r="AM74" s="478">
        <v>5.1733461703171836E-3</v>
      </c>
      <c r="AN74" s="478">
        <v>1.1090888035781005E-2</v>
      </c>
      <c r="AO74" s="479">
        <v>11585</v>
      </c>
      <c r="AP74" s="479">
        <v>55836</v>
      </c>
      <c r="AQ74" s="478">
        <v>5.1804761280959573E-3</v>
      </c>
      <c r="AR74" s="478">
        <v>1.1076534918251687E-2</v>
      </c>
      <c r="AS74" s="479">
        <v>11587</v>
      </c>
      <c r="AT74" s="479">
        <v>56001</v>
      </c>
      <c r="AU74" s="478">
        <v>5.1145838551992159E-3</v>
      </c>
      <c r="AV74" s="478">
        <v>1.0878271350302856E-2</v>
      </c>
      <c r="AW74" s="479">
        <v>11434</v>
      </c>
      <c r="AX74" s="479">
        <v>55263</v>
      </c>
      <c r="AY74" s="478">
        <v>5.1651107468146697E-3</v>
      </c>
      <c r="AZ74" s="478">
        <v>1.0979359235277548E-2</v>
      </c>
      <c r="BA74" s="479">
        <v>11538</v>
      </c>
      <c r="BB74" s="479">
        <v>56090</v>
      </c>
      <c r="BC74" s="478">
        <v>5.1698501863430835E-3</v>
      </c>
      <c r="BD74" s="478">
        <v>1.0958247053921989E-2</v>
      </c>
      <c r="BE74" s="479">
        <v>11540</v>
      </c>
      <c r="BF74" s="479">
        <v>56339</v>
      </c>
      <c r="BG74" s="478">
        <v>5.167372578410441E-3</v>
      </c>
      <c r="BH74" s="478">
        <v>1.1016497016361365E-2</v>
      </c>
      <c r="BI74" s="479">
        <v>11528</v>
      </c>
      <c r="BJ74" s="479">
        <v>57011</v>
      </c>
    </row>
    <row r="75" spans="1:62">
      <c r="A75" s="461" t="s">
        <v>1292</v>
      </c>
      <c r="B75" s="462" t="s">
        <v>104</v>
      </c>
      <c r="C75" s="478">
        <v>3.5793548129360478E-3</v>
      </c>
      <c r="D75" s="478">
        <v>2.2501610138800968E-3</v>
      </c>
      <c r="E75" s="479">
        <v>8243</v>
      </c>
      <c r="F75" s="479">
        <v>10600</v>
      </c>
      <c r="G75" s="478">
        <v>3.582859433683222E-3</v>
      </c>
      <c r="H75" s="478">
        <v>2.2230011707931653E-3</v>
      </c>
      <c r="I75" s="479">
        <v>8249</v>
      </c>
      <c r="J75" s="479">
        <v>10629</v>
      </c>
      <c r="K75" s="478">
        <v>3.5735401636634479E-3</v>
      </c>
      <c r="L75" s="471">
        <v>2.1941327448250399E-3</v>
      </c>
      <c r="M75" s="479">
        <v>8226</v>
      </c>
      <c r="N75" s="479">
        <v>10650</v>
      </c>
      <c r="O75" s="478">
        <v>3.55935808038217E-3</v>
      </c>
      <c r="P75" s="478">
        <v>2.1726495817002995E-3</v>
      </c>
      <c r="Q75" s="479">
        <v>8184</v>
      </c>
      <c r="R75" s="479">
        <v>10669</v>
      </c>
      <c r="S75" s="478">
        <v>3.550623915860788E-3</v>
      </c>
      <c r="T75" s="478">
        <v>2.1625633516923954E-3</v>
      </c>
      <c r="U75" s="479">
        <v>8159</v>
      </c>
      <c r="V75" s="479">
        <v>10705</v>
      </c>
      <c r="W75" s="478">
        <v>3.5472233083093064E-3</v>
      </c>
      <c r="X75" s="478">
        <v>2.1547473273968091E-3</v>
      </c>
      <c r="Y75" s="479">
        <v>8147</v>
      </c>
      <c r="Z75" s="479">
        <v>10706</v>
      </c>
      <c r="AA75" s="133">
        <v>3.4402780762983294E-3</v>
      </c>
      <c r="AB75" s="478">
        <v>2.1471848632985688E-3</v>
      </c>
      <c r="AC75" s="479">
        <v>7811</v>
      </c>
      <c r="AD75" s="479">
        <v>10715</v>
      </c>
      <c r="AE75" s="478">
        <v>3.4498295707026585E-3</v>
      </c>
      <c r="AF75" s="478">
        <v>2.1421409255264197E-3</v>
      </c>
      <c r="AG75" s="479">
        <v>7779</v>
      </c>
      <c r="AH75" s="479">
        <v>10716</v>
      </c>
      <c r="AI75" s="478">
        <v>3.4653458723766313E-3</v>
      </c>
      <c r="AJ75" s="478">
        <v>2.1356771900507541E-3</v>
      </c>
      <c r="AK75" s="479">
        <v>7771</v>
      </c>
      <c r="AL75" s="479">
        <v>10715</v>
      </c>
      <c r="AM75" s="478">
        <v>3.4666108174512128E-3</v>
      </c>
      <c r="AN75" s="478">
        <v>2.1279583696418424E-3</v>
      </c>
      <c r="AO75" s="479">
        <v>7763</v>
      </c>
      <c r="AP75" s="479">
        <v>10713</v>
      </c>
      <c r="AQ75" s="478">
        <v>3.4694480671463388E-3</v>
      </c>
      <c r="AR75" s="478">
        <v>2.1199318093216477E-3</v>
      </c>
      <c r="AS75" s="479">
        <v>7760</v>
      </c>
      <c r="AT75" s="479">
        <v>10718</v>
      </c>
      <c r="AU75" s="478">
        <v>3.4684697580212279E-3</v>
      </c>
      <c r="AV75" s="478">
        <v>2.1091992385229739E-3</v>
      </c>
      <c r="AW75" s="479">
        <v>7754</v>
      </c>
      <c r="AX75" s="479">
        <v>10715</v>
      </c>
      <c r="AY75" s="478">
        <v>3.4948881608928865E-3</v>
      </c>
      <c r="AZ75" s="478">
        <v>2.1075906736714809E-3</v>
      </c>
      <c r="BA75" s="479">
        <v>7807</v>
      </c>
      <c r="BB75" s="479">
        <v>10767</v>
      </c>
      <c r="BC75" s="478">
        <v>3.5006247275636789E-3</v>
      </c>
      <c r="BD75" s="478">
        <v>2.0967696132568746E-3</v>
      </c>
      <c r="BE75" s="479">
        <v>7814</v>
      </c>
      <c r="BF75" s="479">
        <v>10780</v>
      </c>
      <c r="BG75" s="478">
        <v>3.5030375347222067E-3</v>
      </c>
      <c r="BH75" s="478">
        <v>2.0850011893588805E-3</v>
      </c>
      <c r="BI75" s="479">
        <v>7815</v>
      </c>
      <c r="BJ75" s="479">
        <v>10790</v>
      </c>
    </row>
    <row r="76" spans="1:62">
      <c r="A76" s="461" t="s">
        <v>1293</v>
      </c>
      <c r="B76" s="462" t="s">
        <v>104</v>
      </c>
      <c r="C76" s="478">
        <v>2.896311610127798E-3</v>
      </c>
      <c r="D76" s="478">
        <v>1.9170947279576562E-3</v>
      </c>
      <c r="E76" s="479">
        <v>6670</v>
      </c>
      <c r="F76" s="479">
        <v>9031</v>
      </c>
      <c r="G76" s="478">
        <v>2.8935640134801341E-3</v>
      </c>
      <c r="H76" s="478">
        <v>1.8873236019604407E-3</v>
      </c>
      <c r="I76" s="479">
        <v>6662</v>
      </c>
      <c r="J76" s="479">
        <v>9024</v>
      </c>
      <c r="K76" s="478">
        <v>2.892369366602387E-3</v>
      </c>
      <c r="L76" s="471">
        <v>1.8599652976789166E-3</v>
      </c>
      <c r="M76" s="479">
        <v>6658</v>
      </c>
      <c r="N76" s="479">
        <v>9028</v>
      </c>
      <c r="O76" s="478">
        <v>2.8969799820901311E-3</v>
      </c>
      <c r="P76" s="478">
        <v>1.8411214610696792E-3</v>
      </c>
      <c r="Q76" s="479">
        <v>6661</v>
      </c>
      <c r="R76" s="479">
        <v>9041</v>
      </c>
      <c r="S76" s="478">
        <v>2.8995964151710294E-3</v>
      </c>
      <c r="T76" s="478">
        <v>1.8316638869495514E-3</v>
      </c>
      <c r="U76" s="479">
        <v>6663</v>
      </c>
      <c r="V76" s="479">
        <v>9067</v>
      </c>
      <c r="W76" s="478">
        <v>2.9036985691806511E-3</v>
      </c>
      <c r="X76" s="478">
        <v>1.8423834331207165E-3</v>
      </c>
      <c r="Y76" s="479">
        <v>6669</v>
      </c>
      <c r="Z76" s="479">
        <v>9154</v>
      </c>
      <c r="AA76" s="133">
        <v>2.7192775371995756E-3</v>
      </c>
      <c r="AB76" s="478">
        <v>1.83497636894307E-3</v>
      </c>
      <c r="AC76" s="479">
        <v>6174</v>
      </c>
      <c r="AD76" s="479">
        <v>9157</v>
      </c>
      <c r="AE76" s="478">
        <v>2.737600969269509E-3</v>
      </c>
      <c r="AF76" s="478">
        <v>1.8318943114524178E-3</v>
      </c>
      <c r="AG76" s="479">
        <v>6173</v>
      </c>
      <c r="AH76" s="479">
        <v>9164</v>
      </c>
      <c r="AI76" s="478">
        <v>2.7496232980407037E-3</v>
      </c>
      <c r="AJ76" s="478">
        <v>1.8333139331858923E-3</v>
      </c>
      <c r="AK76" s="479">
        <v>6166</v>
      </c>
      <c r="AL76" s="479">
        <v>9198</v>
      </c>
      <c r="AM76" s="478">
        <v>2.7539081426280598E-3</v>
      </c>
      <c r="AN76" s="478">
        <v>1.8298098106170682E-3</v>
      </c>
      <c r="AO76" s="479">
        <v>6167</v>
      </c>
      <c r="AP76" s="479">
        <v>9212</v>
      </c>
      <c r="AQ76" s="478">
        <v>2.7558863255012929E-3</v>
      </c>
      <c r="AR76" s="478">
        <v>1.8226508325152996E-3</v>
      </c>
      <c r="AS76" s="479">
        <v>6164</v>
      </c>
      <c r="AT76" s="479">
        <v>9215</v>
      </c>
      <c r="AU76" s="478">
        <v>2.7581357399998571E-3</v>
      </c>
      <c r="AV76" s="478">
        <v>1.8137341842044501E-3</v>
      </c>
      <c r="AW76" s="479">
        <v>6166</v>
      </c>
      <c r="AX76" s="479">
        <v>9214</v>
      </c>
      <c r="AY76" s="478">
        <v>2.7593814043478612E-3</v>
      </c>
      <c r="AZ76" s="478">
        <v>1.8035980744133952E-3</v>
      </c>
      <c r="BA76" s="479">
        <v>6164</v>
      </c>
      <c r="BB76" s="479">
        <v>9214</v>
      </c>
      <c r="BC76" s="478">
        <v>2.7650186611879995E-3</v>
      </c>
      <c r="BD76" s="478">
        <v>1.800732196617082E-3</v>
      </c>
      <c r="BE76" s="479">
        <v>6172</v>
      </c>
      <c r="BF76" s="479">
        <v>9258</v>
      </c>
      <c r="BG76" s="478">
        <v>2.7638809263080136E-3</v>
      </c>
      <c r="BH76" s="478">
        <v>1.802492223757149E-3</v>
      </c>
      <c r="BI76" s="479">
        <v>6166</v>
      </c>
      <c r="BJ76" s="479">
        <v>9328</v>
      </c>
    </row>
    <row r="77" spans="1:62">
      <c r="A77" s="461" t="s">
        <v>1294</v>
      </c>
      <c r="B77" s="462" t="s">
        <v>104</v>
      </c>
      <c r="C77" s="478">
        <v>6.4697609001406475E-2</v>
      </c>
      <c r="D77" s="478">
        <v>3.9582879586242091E-2</v>
      </c>
      <c r="E77" s="479">
        <v>148994</v>
      </c>
      <c r="F77" s="479">
        <v>186466</v>
      </c>
      <c r="G77" s="478">
        <v>6.4808537012818634E-2</v>
      </c>
      <c r="H77" s="478">
        <v>3.9128919846052622E-2</v>
      </c>
      <c r="I77" s="479">
        <v>149212</v>
      </c>
      <c r="J77" s="479">
        <v>187090</v>
      </c>
      <c r="K77" s="478">
        <v>6.4837207564644977E-2</v>
      </c>
      <c r="L77" s="471">
        <v>3.8642076996959526E-2</v>
      </c>
      <c r="M77" s="479">
        <v>149250</v>
      </c>
      <c r="N77" s="479">
        <v>187563</v>
      </c>
      <c r="O77" s="478">
        <v>6.4936974049826665E-2</v>
      </c>
      <c r="P77" s="478">
        <v>3.8282334072008393E-2</v>
      </c>
      <c r="Q77" s="479">
        <v>149309</v>
      </c>
      <c r="R77" s="479">
        <v>187989</v>
      </c>
      <c r="S77" s="478">
        <v>6.5026158598306461E-2</v>
      </c>
      <c r="T77" s="478">
        <v>3.8087174837742092E-2</v>
      </c>
      <c r="U77" s="479">
        <v>149424</v>
      </c>
      <c r="V77" s="479">
        <v>188537</v>
      </c>
      <c r="W77" s="478">
        <v>6.5060002803991421E-2</v>
      </c>
      <c r="X77" s="478">
        <v>3.8014806692637952E-2</v>
      </c>
      <c r="Y77" s="479">
        <v>149425</v>
      </c>
      <c r="Z77" s="479">
        <v>188879</v>
      </c>
      <c r="AA77" s="133">
        <v>6.4926605052024786E-2</v>
      </c>
      <c r="AB77" s="478">
        <v>3.7942550030008487E-2</v>
      </c>
      <c r="AC77" s="479">
        <v>147413</v>
      </c>
      <c r="AD77" s="479">
        <v>189343</v>
      </c>
      <c r="AE77" s="478">
        <v>6.5333448046781803E-2</v>
      </c>
      <c r="AF77" s="478">
        <v>3.7899662406906023E-2</v>
      </c>
      <c r="AG77" s="479">
        <v>147320</v>
      </c>
      <c r="AH77" s="479">
        <v>189592</v>
      </c>
      <c r="AI77" s="478">
        <v>6.5452272006685422E-2</v>
      </c>
      <c r="AJ77" s="478">
        <v>3.7817331932270631E-2</v>
      </c>
      <c r="AK77" s="479">
        <v>146776</v>
      </c>
      <c r="AL77" s="479">
        <v>189735</v>
      </c>
      <c r="AM77" s="478">
        <v>6.54757625271115E-2</v>
      </c>
      <c r="AN77" s="478">
        <v>3.771470023357288E-2</v>
      </c>
      <c r="AO77" s="479">
        <v>146624</v>
      </c>
      <c r="AP77" s="479">
        <v>189871</v>
      </c>
      <c r="AQ77" s="478">
        <v>6.5587322565227632E-2</v>
      </c>
      <c r="AR77" s="478">
        <v>3.7570342157943422E-2</v>
      </c>
      <c r="AS77" s="479">
        <v>146697</v>
      </c>
      <c r="AT77" s="479">
        <v>189949</v>
      </c>
      <c r="AU77" s="478">
        <v>6.5626274843798085E-2</v>
      </c>
      <c r="AV77" s="478">
        <v>3.7461858729122326E-2</v>
      </c>
      <c r="AW77" s="479">
        <v>146712</v>
      </c>
      <c r="AX77" s="479">
        <v>190311</v>
      </c>
      <c r="AY77" s="478">
        <v>6.5744813625363385E-2</v>
      </c>
      <c r="AZ77" s="478">
        <v>3.7386783310042894E-2</v>
      </c>
      <c r="BA77" s="479">
        <v>146863</v>
      </c>
      <c r="BB77" s="479">
        <v>190997</v>
      </c>
      <c r="BC77" s="478">
        <v>6.579821546089841E-2</v>
      </c>
      <c r="BD77" s="478">
        <v>3.7197043049130928E-2</v>
      </c>
      <c r="BE77" s="479">
        <v>146873</v>
      </c>
      <c r="BF77" s="479">
        <v>191239</v>
      </c>
      <c r="BG77" s="478">
        <v>6.58588986342412E-2</v>
      </c>
      <c r="BH77" s="478">
        <v>3.6992249553966267E-2</v>
      </c>
      <c r="BI77" s="479">
        <v>146926</v>
      </c>
      <c r="BJ77" s="479">
        <v>191437</v>
      </c>
    </row>
    <row r="78" spans="1:62">
      <c r="A78" s="461" t="s">
        <v>1295</v>
      </c>
      <c r="B78" s="462" t="s">
        <v>104</v>
      </c>
      <c r="C78" s="478">
        <v>0</v>
      </c>
      <c r="D78" s="478">
        <v>0</v>
      </c>
      <c r="E78" s="479">
        <v>0</v>
      </c>
      <c r="F78" s="479">
        <v>0</v>
      </c>
      <c r="G78" s="478">
        <v>0</v>
      </c>
      <c r="H78" s="478">
        <v>0</v>
      </c>
      <c r="I78" s="479">
        <v>0</v>
      </c>
      <c r="J78" s="479">
        <v>0</v>
      </c>
      <c r="K78" s="478">
        <v>2.0548073151140418E-4</v>
      </c>
      <c r="L78" s="471">
        <v>1.7965105666548686E-4</v>
      </c>
      <c r="M78" s="479">
        <v>473</v>
      </c>
      <c r="N78" s="479">
        <v>872</v>
      </c>
      <c r="O78" s="478">
        <v>2.4485808886304516E-4</v>
      </c>
      <c r="P78" s="478">
        <v>1.930520014482973E-4</v>
      </c>
      <c r="Q78" s="479">
        <v>563</v>
      </c>
      <c r="R78" s="479">
        <v>948</v>
      </c>
      <c r="S78" s="478">
        <v>2.5632031945606131E-4</v>
      </c>
      <c r="T78" s="478">
        <v>2.0625662606986786E-4</v>
      </c>
      <c r="U78" s="479">
        <v>589</v>
      </c>
      <c r="V78" s="479">
        <v>1021</v>
      </c>
      <c r="W78" s="478">
        <v>1.9593107754255405E-4</v>
      </c>
      <c r="X78" s="478">
        <v>1.4531361576503794E-4</v>
      </c>
      <c r="Y78" s="479">
        <v>450</v>
      </c>
      <c r="Z78" s="479">
        <v>722</v>
      </c>
      <c r="AA78" s="133">
        <v>2.0568555391516067E-4</v>
      </c>
      <c r="AB78" s="478">
        <v>1.492909680968207E-4</v>
      </c>
      <c r="AC78" s="479">
        <v>467</v>
      </c>
      <c r="AD78" s="479">
        <v>745</v>
      </c>
      <c r="AE78" s="478">
        <v>2.2173991327308513E-4</v>
      </c>
      <c r="AF78" s="478">
        <v>1.5612281288131149E-4</v>
      </c>
      <c r="AG78" s="479">
        <v>500</v>
      </c>
      <c r="AH78" s="479">
        <v>781</v>
      </c>
      <c r="AI78" s="478">
        <v>2.3634452610469885E-4</v>
      </c>
      <c r="AJ78" s="478">
        <v>1.8257399030205233E-4</v>
      </c>
      <c r="AK78" s="479">
        <v>530</v>
      </c>
      <c r="AL78" s="479">
        <v>916</v>
      </c>
      <c r="AM78" s="478">
        <v>2.6257466967168791E-4</v>
      </c>
      <c r="AN78" s="478">
        <v>2.1333214683051793E-4</v>
      </c>
      <c r="AO78" s="479">
        <v>588</v>
      </c>
      <c r="AP78" s="479">
        <v>1074</v>
      </c>
      <c r="AQ78" s="478">
        <v>2.7585688884398078E-4</v>
      </c>
      <c r="AR78" s="478">
        <v>2.4130591597055514E-4</v>
      </c>
      <c r="AS78" s="479">
        <v>617</v>
      </c>
      <c r="AT78" s="479">
        <v>1220</v>
      </c>
      <c r="AU78" s="478">
        <v>2.7465055860524039E-4</v>
      </c>
      <c r="AV78" s="478">
        <v>2.4152939483599524E-4</v>
      </c>
      <c r="AW78" s="479">
        <v>614</v>
      </c>
      <c r="AX78" s="479">
        <v>1227</v>
      </c>
      <c r="AY78" s="478">
        <v>2.8963656207220412E-4</v>
      </c>
      <c r="AZ78" s="478">
        <v>2.4859665232309654E-4</v>
      </c>
      <c r="BA78" s="479">
        <v>647</v>
      </c>
      <c r="BB78" s="479">
        <v>1270</v>
      </c>
      <c r="BC78" s="478">
        <v>3.0777184384902064E-4</v>
      </c>
      <c r="BD78" s="478">
        <v>2.8728466779038994E-4</v>
      </c>
      <c r="BE78" s="479">
        <v>687</v>
      </c>
      <c r="BF78" s="479">
        <v>1477</v>
      </c>
      <c r="BG78" s="478">
        <v>3.3125332542030848E-4</v>
      </c>
      <c r="BH78" s="478">
        <v>2.9951360922208202E-4</v>
      </c>
      <c r="BI78" s="479">
        <v>739</v>
      </c>
      <c r="BJ78" s="479">
        <v>1550</v>
      </c>
    </row>
    <row r="79" spans="1:62">
      <c r="A79" s="461" t="s">
        <v>1296</v>
      </c>
      <c r="B79" s="462" t="s">
        <v>104</v>
      </c>
      <c r="C79" s="478">
        <v>6.6528321107598197E-3</v>
      </c>
      <c r="D79" s="478">
        <v>3.5503719770891154E-3</v>
      </c>
      <c r="E79" s="479">
        <v>15321</v>
      </c>
      <c r="F79" s="479">
        <v>16725</v>
      </c>
      <c r="G79" s="478">
        <v>6.6514619187083117E-3</v>
      </c>
      <c r="H79" s="478">
        <v>3.5023405406061103E-3</v>
      </c>
      <c r="I79" s="479">
        <v>15314</v>
      </c>
      <c r="J79" s="479">
        <v>16746</v>
      </c>
      <c r="K79" s="478">
        <v>6.6340301287751658E-3</v>
      </c>
      <c r="L79" s="471">
        <v>3.4477757262579385E-3</v>
      </c>
      <c r="M79" s="479">
        <v>15271</v>
      </c>
      <c r="N79" s="479">
        <v>16735</v>
      </c>
      <c r="O79" s="478">
        <v>6.6485712334802341E-3</v>
      </c>
      <c r="P79" s="478">
        <v>3.4162873167686027E-3</v>
      </c>
      <c r="Q79" s="479">
        <v>15287</v>
      </c>
      <c r="R79" s="479">
        <v>16776</v>
      </c>
      <c r="S79" s="478">
        <v>6.6556247296451635E-3</v>
      </c>
      <c r="T79" s="478">
        <v>3.3994970651358828E-3</v>
      </c>
      <c r="U79" s="479">
        <v>15294</v>
      </c>
      <c r="V79" s="479">
        <v>16828</v>
      </c>
      <c r="W79" s="478">
        <v>6.6607858316577598E-3</v>
      </c>
      <c r="X79" s="478">
        <v>3.3937371039197643E-3</v>
      </c>
      <c r="Y79" s="479">
        <v>15298</v>
      </c>
      <c r="Z79" s="479">
        <v>16862</v>
      </c>
      <c r="AA79" s="133">
        <v>6.7312469389408996E-3</v>
      </c>
      <c r="AB79" s="478">
        <v>3.3815907203138917E-3</v>
      </c>
      <c r="AC79" s="479">
        <v>15283</v>
      </c>
      <c r="AD79" s="479">
        <v>16875</v>
      </c>
      <c r="AE79" s="478">
        <v>6.4521879964202309E-3</v>
      </c>
      <c r="AF79" s="478">
        <v>3.3845266900044617E-3</v>
      </c>
      <c r="AG79" s="479">
        <v>14549</v>
      </c>
      <c r="AH79" s="479">
        <v>16931</v>
      </c>
      <c r="AI79" s="478">
        <v>6.4406113028871049E-3</v>
      </c>
      <c r="AJ79" s="478">
        <v>3.3720379562555908E-3</v>
      </c>
      <c r="AK79" s="479">
        <v>14443</v>
      </c>
      <c r="AL79" s="479">
        <v>16918</v>
      </c>
      <c r="AM79" s="478">
        <v>6.4464760737763371E-3</v>
      </c>
      <c r="AN79" s="478">
        <v>3.3803412241729556E-3</v>
      </c>
      <c r="AO79" s="479">
        <v>14436</v>
      </c>
      <c r="AP79" s="479">
        <v>17018</v>
      </c>
      <c r="AQ79" s="478">
        <v>6.455140617713768E-3</v>
      </c>
      <c r="AR79" s="478">
        <v>3.3695799872740799E-3</v>
      </c>
      <c r="AS79" s="479">
        <v>14438</v>
      </c>
      <c r="AT79" s="479">
        <v>17036</v>
      </c>
      <c r="AU79" s="478">
        <v>6.4529461863830576E-3</v>
      </c>
      <c r="AV79" s="478">
        <v>3.3532626251272851E-3</v>
      </c>
      <c r="AW79" s="479">
        <v>14426</v>
      </c>
      <c r="AX79" s="479">
        <v>17035</v>
      </c>
      <c r="AY79" s="478">
        <v>6.4615365331533144E-3</v>
      </c>
      <c r="AZ79" s="478">
        <v>3.3401994293238741E-3</v>
      </c>
      <c r="BA79" s="479">
        <v>14434</v>
      </c>
      <c r="BB79" s="479">
        <v>17064</v>
      </c>
      <c r="BC79" s="478">
        <v>6.4672406663820415E-3</v>
      </c>
      <c r="BD79" s="478">
        <v>3.3295456623127252E-3</v>
      </c>
      <c r="BE79" s="479">
        <v>14436</v>
      </c>
      <c r="BF79" s="479">
        <v>17118</v>
      </c>
      <c r="BG79" s="478">
        <v>6.4726630839908716E-3</v>
      </c>
      <c r="BH79" s="478">
        <v>3.3108814067168727E-3</v>
      </c>
      <c r="BI79" s="479">
        <v>14440</v>
      </c>
      <c r="BJ79" s="479">
        <v>17134</v>
      </c>
    </row>
    <row r="80" spans="1:62">
      <c r="A80" s="461" t="s">
        <v>1297</v>
      </c>
      <c r="B80" s="462" t="s">
        <v>104</v>
      </c>
      <c r="C80" s="478">
        <v>1.3287426577197994E-3</v>
      </c>
      <c r="D80" s="478">
        <v>1.5587672004642975E-3</v>
      </c>
      <c r="E80" s="479">
        <v>3060</v>
      </c>
      <c r="F80" s="479">
        <v>7343</v>
      </c>
      <c r="G80" s="478">
        <v>1.3156117377411177E-3</v>
      </c>
      <c r="H80" s="478">
        <v>1.5418162227008388E-3</v>
      </c>
      <c r="I80" s="479">
        <v>3029</v>
      </c>
      <c r="J80" s="479">
        <v>7372</v>
      </c>
      <c r="K80" s="478">
        <v>1.3158586379451232E-3</v>
      </c>
      <c r="L80" s="471">
        <v>1.530330331320225E-3</v>
      </c>
      <c r="M80" s="479">
        <v>3029</v>
      </c>
      <c r="N80" s="479">
        <v>7428</v>
      </c>
      <c r="O80" s="478">
        <v>1.3095341129069787E-3</v>
      </c>
      <c r="P80" s="478">
        <v>1.5152952982877429E-3</v>
      </c>
      <c r="Q80" s="479">
        <v>3011</v>
      </c>
      <c r="R80" s="479">
        <v>7441</v>
      </c>
      <c r="S80" s="478">
        <v>1.3007494649476523E-3</v>
      </c>
      <c r="T80" s="478">
        <v>1.5076329092648618E-3</v>
      </c>
      <c r="U80" s="479">
        <v>2989</v>
      </c>
      <c r="V80" s="479">
        <v>7463</v>
      </c>
      <c r="W80" s="478">
        <v>1.2909680998081617E-3</v>
      </c>
      <c r="X80" s="478">
        <v>1.5068740183280321E-3</v>
      </c>
      <c r="Y80" s="479">
        <v>2965</v>
      </c>
      <c r="Z80" s="479">
        <v>7487</v>
      </c>
      <c r="AA80" s="133">
        <v>1.2997389070741737E-3</v>
      </c>
      <c r="AB80" s="478">
        <v>1.5043319429568229E-3</v>
      </c>
      <c r="AC80" s="479">
        <v>2951</v>
      </c>
      <c r="AD80" s="479">
        <v>7507</v>
      </c>
      <c r="AE80" s="478">
        <v>1.3016132909130097E-3</v>
      </c>
      <c r="AF80" s="478">
        <v>1.507654615558068E-3</v>
      </c>
      <c r="AG80" s="479">
        <v>2935</v>
      </c>
      <c r="AH80" s="479">
        <v>7542</v>
      </c>
      <c r="AI80" s="478">
        <v>1.2396939293793637E-3</v>
      </c>
      <c r="AJ80" s="478">
        <v>1.5064347365752308E-3</v>
      </c>
      <c r="AK80" s="479">
        <v>2780</v>
      </c>
      <c r="AL80" s="479">
        <v>7558</v>
      </c>
      <c r="AM80" s="478">
        <v>1.2164173472545541E-3</v>
      </c>
      <c r="AN80" s="478">
        <v>1.5056402914109181E-3</v>
      </c>
      <c r="AO80" s="479">
        <v>2724</v>
      </c>
      <c r="AP80" s="479">
        <v>7580</v>
      </c>
      <c r="AQ80" s="478">
        <v>1.2044707593933295E-3</v>
      </c>
      <c r="AR80" s="478">
        <v>1.5030193897215152E-3</v>
      </c>
      <c r="AS80" s="479">
        <v>2694</v>
      </c>
      <c r="AT80" s="479">
        <v>7599</v>
      </c>
      <c r="AU80" s="478">
        <v>1.1965639157475864E-3</v>
      </c>
      <c r="AV80" s="478">
        <v>1.496222436958761E-3</v>
      </c>
      <c r="AW80" s="479">
        <v>2675</v>
      </c>
      <c r="AX80" s="479">
        <v>7601</v>
      </c>
      <c r="AY80" s="478">
        <v>1.1943591153147459E-3</v>
      </c>
      <c r="AZ80" s="478">
        <v>1.4964735488268294E-3</v>
      </c>
      <c r="BA80" s="479">
        <v>2668</v>
      </c>
      <c r="BB80" s="479">
        <v>7645</v>
      </c>
      <c r="BC80" s="478">
        <v>1.1925598956711689E-3</v>
      </c>
      <c r="BD80" s="478">
        <v>1.4910793928782189E-3</v>
      </c>
      <c r="BE80" s="479">
        <v>2662</v>
      </c>
      <c r="BF80" s="479">
        <v>7666</v>
      </c>
      <c r="BG80" s="478">
        <v>1.170816895802227E-3</v>
      </c>
      <c r="BH80" s="478">
        <v>1.454669967886344E-3</v>
      </c>
      <c r="BI80" s="479">
        <v>2612</v>
      </c>
      <c r="BJ80" s="479">
        <v>7528</v>
      </c>
    </row>
    <row r="81" spans="1:62">
      <c r="A81" s="461" t="s">
        <v>1298</v>
      </c>
      <c r="B81" s="462" t="s">
        <v>104</v>
      </c>
      <c r="C81" s="478">
        <v>5.276758423729086E-3</v>
      </c>
      <c r="D81" s="478">
        <v>3.5155581651762535E-3</v>
      </c>
      <c r="E81" s="479">
        <v>12152</v>
      </c>
      <c r="F81" s="479">
        <v>16561</v>
      </c>
      <c r="G81" s="478">
        <v>5.2389926644547244E-3</v>
      </c>
      <c r="H81" s="478">
        <v>3.4623938641905024E-3</v>
      </c>
      <c r="I81" s="479">
        <v>12062</v>
      </c>
      <c r="J81" s="479">
        <v>16555</v>
      </c>
      <c r="K81" s="478">
        <v>5.1769849416942997E-3</v>
      </c>
      <c r="L81" s="471">
        <v>3.4203748196793725E-3</v>
      </c>
      <c r="M81" s="479">
        <v>11917</v>
      </c>
      <c r="N81" s="479">
        <v>16602</v>
      </c>
      <c r="O81" s="478">
        <v>5.1133153654757055E-3</v>
      </c>
      <c r="P81" s="478">
        <v>3.3731153501999961E-3</v>
      </c>
      <c r="Q81" s="479">
        <v>11757</v>
      </c>
      <c r="R81" s="479">
        <v>16564</v>
      </c>
      <c r="S81" s="478">
        <v>5.0110840043065298E-3</v>
      </c>
      <c r="T81" s="478">
        <v>3.3546498849326405E-3</v>
      </c>
      <c r="U81" s="479">
        <v>11515</v>
      </c>
      <c r="V81" s="479">
        <v>16606</v>
      </c>
      <c r="W81" s="478">
        <v>4.9579270666156956E-3</v>
      </c>
      <c r="X81" s="478">
        <v>3.3462384705118019E-3</v>
      </c>
      <c r="Y81" s="479">
        <v>11387</v>
      </c>
      <c r="Z81" s="479">
        <v>16626</v>
      </c>
      <c r="AA81" s="133">
        <v>4.7963933236319046E-3</v>
      </c>
      <c r="AB81" s="478">
        <v>3.3300903460845186E-3</v>
      </c>
      <c r="AC81" s="479">
        <v>10890</v>
      </c>
      <c r="AD81" s="479">
        <v>16618</v>
      </c>
      <c r="AE81" s="478">
        <v>4.7855908082597232E-3</v>
      </c>
      <c r="AF81" s="478">
        <v>3.3251560428524136E-3</v>
      </c>
      <c r="AG81" s="479">
        <v>10791</v>
      </c>
      <c r="AH81" s="479">
        <v>16634</v>
      </c>
      <c r="AI81" s="478">
        <v>4.7839699548136022E-3</v>
      </c>
      <c r="AJ81" s="478">
        <v>3.3138375139322293E-3</v>
      </c>
      <c r="AK81" s="479">
        <v>10728</v>
      </c>
      <c r="AL81" s="479">
        <v>16626</v>
      </c>
      <c r="AM81" s="478">
        <v>4.7486718321236888E-3</v>
      </c>
      <c r="AN81" s="478">
        <v>3.2959220785463541E-3</v>
      </c>
      <c r="AO81" s="479">
        <v>10634</v>
      </c>
      <c r="AP81" s="479">
        <v>16593</v>
      </c>
      <c r="AQ81" s="478">
        <v>4.7181811150251692E-3</v>
      </c>
      <c r="AR81" s="478">
        <v>3.2807714985275396E-3</v>
      </c>
      <c r="AS81" s="479">
        <v>10553</v>
      </c>
      <c r="AT81" s="479">
        <v>16587</v>
      </c>
      <c r="AU81" s="478">
        <v>4.6712960643559044E-3</v>
      </c>
      <c r="AV81" s="478">
        <v>3.25739887998863E-3</v>
      </c>
      <c r="AW81" s="479">
        <v>10443</v>
      </c>
      <c r="AX81" s="479">
        <v>16548</v>
      </c>
      <c r="AY81" s="478">
        <v>4.6310513672904972E-3</v>
      </c>
      <c r="AZ81" s="478">
        <v>3.2339096795510852E-3</v>
      </c>
      <c r="BA81" s="479">
        <v>10345</v>
      </c>
      <c r="BB81" s="479">
        <v>16521</v>
      </c>
      <c r="BC81" s="478">
        <v>4.5968659239225638E-3</v>
      </c>
      <c r="BD81" s="478">
        <v>3.2161489383304657E-3</v>
      </c>
      <c r="BE81" s="479">
        <v>10261</v>
      </c>
      <c r="BF81" s="479">
        <v>16535</v>
      </c>
      <c r="BG81" s="478">
        <v>4.5375878392825203E-3</v>
      </c>
      <c r="BH81" s="478">
        <v>3.1796751224189416E-3</v>
      </c>
      <c r="BI81" s="479">
        <v>10123</v>
      </c>
      <c r="BJ81" s="479">
        <v>16455</v>
      </c>
    </row>
    <row r="82" spans="1:62">
      <c r="A82" s="461" t="s">
        <v>1299</v>
      </c>
      <c r="B82" s="462" t="s">
        <v>104</v>
      </c>
      <c r="C82" s="478">
        <v>2.8967458397545038E-3</v>
      </c>
      <c r="D82" s="478">
        <v>1.4980553089577213E-3</v>
      </c>
      <c r="E82" s="479">
        <v>6671</v>
      </c>
      <c r="F82" s="479">
        <v>7057</v>
      </c>
      <c r="G82" s="478">
        <v>2.8987760771489665E-3</v>
      </c>
      <c r="H82" s="478">
        <v>1.4765630130585893E-3</v>
      </c>
      <c r="I82" s="479">
        <v>6674</v>
      </c>
      <c r="J82" s="479">
        <v>7060</v>
      </c>
      <c r="K82" s="478">
        <v>2.8975824084166296E-3</v>
      </c>
      <c r="L82" s="471">
        <v>1.4557504201815712E-3</v>
      </c>
      <c r="M82" s="479">
        <v>6670</v>
      </c>
      <c r="N82" s="479">
        <v>7066</v>
      </c>
      <c r="O82" s="478">
        <v>2.9035037322374595E-3</v>
      </c>
      <c r="P82" s="478">
        <v>1.4566465889869942E-3</v>
      </c>
      <c r="Q82" s="479">
        <v>6676</v>
      </c>
      <c r="R82" s="479">
        <v>7153</v>
      </c>
      <c r="S82" s="478">
        <v>2.9126517794896747E-3</v>
      </c>
      <c r="T82" s="478">
        <v>1.4488467406200709E-3</v>
      </c>
      <c r="U82" s="479">
        <v>6693</v>
      </c>
      <c r="V82" s="479">
        <v>7172</v>
      </c>
      <c r="W82" s="478">
        <v>2.9228562745403676E-3</v>
      </c>
      <c r="X82" s="478">
        <v>1.4483057881512647E-3</v>
      </c>
      <c r="Y82" s="479">
        <v>6713</v>
      </c>
      <c r="Z82" s="479">
        <v>7196</v>
      </c>
      <c r="AA82" s="133">
        <v>2.9518299407696076E-3</v>
      </c>
      <c r="AB82" s="478">
        <v>1.4406077444940189E-3</v>
      </c>
      <c r="AC82" s="479">
        <v>6702</v>
      </c>
      <c r="AD82" s="479">
        <v>7189</v>
      </c>
      <c r="AE82" s="478">
        <v>2.8976971866526762E-3</v>
      </c>
      <c r="AF82" s="478">
        <v>1.4276941480132223E-3</v>
      </c>
      <c r="AG82" s="479">
        <v>6534</v>
      </c>
      <c r="AH82" s="479">
        <v>7142</v>
      </c>
      <c r="AI82" s="478">
        <v>2.9034702065428193E-3</v>
      </c>
      <c r="AJ82" s="478">
        <v>1.4237183545060695E-3</v>
      </c>
      <c r="AK82" s="479">
        <v>6511</v>
      </c>
      <c r="AL82" s="479">
        <v>7143</v>
      </c>
      <c r="AM82" s="478">
        <v>2.9035042554512152E-3</v>
      </c>
      <c r="AN82" s="478">
        <v>1.417645746675425E-3</v>
      </c>
      <c r="AO82" s="479">
        <v>6502</v>
      </c>
      <c r="AP82" s="479">
        <v>7137</v>
      </c>
      <c r="AQ82" s="478">
        <v>2.8931441291886544E-3</v>
      </c>
      <c r="AR82" s="478">
        <v>1.4053102729268806E-3</v>
      </c>
      <c r="AS82" s="479">
        <v>6471</v>
      </c>
      <c r="AT82" s="479">
        <v>7105</v>
      </c>
      <c r="AU82" s="478">
        <v>2.8936717648490227E-3</v>
      </c>
      <c r="AV82" s="478">
        <v>1.3989807735121582E-3</v>
      </c>
      <c r="AW82" s="479">
        <v>6469</v>
      </c>
      <c r="AX82" s="479">
        <v>7107</v>
      </c>
      <c r="AY82" s="478">
        <v>2.8972609423976894E-3</v>
      </c>
      <c r="AZ82" s="478">
        <v>1.3921412530093409E-3</v>
      </c>
      <c r="BA82" s="479">
        <v>6472</v>
      </c>
      <c r="BB82" s="479">
        <v>7112</v>
      </c>
      <c r="BC82" s="478">
        <v>2.8976248704737492E-3</v>
      </c>
      <c r="BD82" s="478">
        <v>1.3831288237355877E-3</v>
      </c>
      <c r="BE82" s="479">
        <v>6468</v>
      </c>
      <c r="BF82" s="479">
        <v>7111</v>
      </c>
      <c r="BG82" s="478">
        <v>2.9037334804773453E-3</v>
      </c>
      <c r="BH82" s="478">
        <v>1.3754437873824384E-3</v>
      </c>
      <c r="BI82" s="479">
        <v>6478</v>
      </c>
      <c r="BJ82" s="479">
        <v>7118</v>
      </c>
    </row>
    <row r="83" spans="1:62">
      <c r="A83" s="461" t="s">
        <v>1300</v>
      </c>
      <c r="B83" s="462" t="s">
        <v>104</v>
      </c>
      <c r="C83" s="478">
        <v>5.1017638841666414E-3</v>
      </c>
      <c r="D83" s="478">
        <v>3.4680075928074663E-3</v>
      </c>
      <c r="E83" s="479">
        <v>11749</v>
      </c>
      <c r="F83" s="479">
        <v>16337</v>
      </c>
      <c r="G83" s="478">
        <v>5.0930548817274173E-3</v>
      </c>
      <c r="H83" s="478">
        <v>3.4197283040398011E-3</v>
      </c>
      <c r="I83" s="479">
        <v>11726</v>
      </c>
      <c r="J83" s="479">
        <v>16351</v>
      </c>
      <c r="K83" s="478">
        <v>5.0766338867701249E-3</v>
      </c>
      <c r="L83" s="471">
        <v>3.3766981866368458E-3</v>
      </c>
      <c r="M83" s="479">
        <v>11686</v>
      </c>
      <c r="N83" s="479">
        <v>16390</v>
      </c>
      <c r="O83" s="478">
        <v>5.0685189477973859E-3</v>
      </c>
      <c r="P83" s="478">
        <v>3.3505111601569992E-3</v>
      </c>
      <c r="Q83" s="479">
        <v>11654</v>
      </c>
      <c r="R83" s="479">
        <v>16453</v>
      </c>
      <c r="S83" s="478">
        <v>5.0589536734748945E-3</v>
      </c>
      <c r="T83" s="478">
        <v>3.3481854265249656E-3</v>
      </c>
      <c r="U83" s="479">
        <v>11625</v>
      </c>
      <c r="V83" s="479">
        <v>16574</v>
      </c>
      <c r="W83" s="478">
        <v>5.0563280077815112E-3</v>
      </c>
      <c r="X83" s="478">
        <v>3.3387916508673329E-3</v>
      </c>
      <c r="Y83" s="479">
        <v>11613</v>
      </c>
      <c r="Z83" s="479">
        <v>16589</v>
      </c>
      <c r="AA83" s="133">
        <v>5.0853220674613384E-3</v>
      </c>
      <c r="AB83" s="478">
        <v>3.3621528358771247E-3</v>
      </c>
      <c r="AC83" s="479">
        <v>11546</v>
      </c>
      <c r="AD83" s="479">
        <v>16778</v>
      </c>
      <c r="AE83" s="478">
        <v>5.1004614851075042E-3</v>
      </c>
      <c r="AF83" s="478">
        <v>3.3533421076619718E-3</v>
      </c>
      <c r="AG83" s="479">
        <v>11501</v>
      </c>
      <c r="AH83" s="479">
        <v>16775</v>
      </c>
      <c r="AI83" s="478">
        <v>5.1179738228370351E-3</v>
      </c>
      <c r="AJ83" s="478">
        <v>3.3419411521774141E-3</v>
      </c>
      <c r="AK83" s="479">
        <v>11477</v>
      </c>
      <c r="AL83" s="479">
        <v>16767</v>
      </c>
      <c r="AM83" s="478">
        <v>5.1215457252799124E-3</v>
      </c>
      <c r="AN83" s="478">
        <v>3.3330665026220585E-3</v>
      </c>
      <c r="AO83" s="479">
        <v>11469</v>
      </c>
      <c r="AP83" s="479">
        <v>16780</v>
      </c>
      <c r="AQ83" s="478">
        <v>5.1223539310947938E-3</v>
      </c>
      <c r="AR83" s="478">
        <v>3.3234945131583918E-3</v>
      </c>
      <c r="AS83" s="479">
        <v>11457</v>
      </c>
      <c r="AT83" s="479">
        <v>16803</v>
      </c>
      <c r="AU83" s="478">
        <v>5.113241914359125E-3</v>
      </c>
      <c r="AV83" s="478">
        <v>3.309562930218083E-3</v>
      </c>
      <c r="AW83" s="479">
        <v>11431</v>
      </c>
      <c r="AX83" s="479">
        <v>16813</v>
      </c>
      <c r="AY83" s="478">
        <v>5.1149727329783679E-3</v>
      </c>
      <c r="AZ83" s="478">
        <v>3.2938077705832645E-3</v>
      </c>
      <c r="BA83" s="479">
        <v>11426</v>
      </c>
      <c r="BB83" s="479">
        <v>16827</v>
      </c>
      <c r="BC83" s="478">
        <v>5.1214668397117965E-3</v>
      </c>
      <c r="BD83" s="478">
        <v>3.3005643383447036E-3</v>
      </c>
      <c r="BE83" s="479">
        <v>11432</v>
      </c>
      <c r="BF83" s="479">
        <v>16969</v>
      </c>
      <c r="BG83" s="478">
        <v>5.1283752315747621E-3</v>
      </c>
      <c r="BH83" s="478">
        <v>3.3389004217731322E-3</v>
      </c>
      <c r="BI83" s="479">
        <v>11441</v>
      </c>
      <c r="BJ83" s="479">
        <v>17279</v>
      </c>
    </row>
    <row r="84" spans="1:62">
      <c r="A84" s="461" t="s">
        <v>1301</v>
      </c>
      <c r="B84" s="462" t="s">
        <v>104</v>
      </c>
      <c r="C84" s="478">
        <v>7.424458157416056E-3</v>
      </c>
      <c r="D84" s="478">
        <v>4.8807266067104893E-3</v>
      </c>
      <c r="E84" s="479">
        <v>17098</v>
      </c>
      <c r="F84" s="479">
        <v>22992</v>
      </c>
      <c r="G84" s="478">
        <v>7.4328371303941055E-3</v>
      </c>
      <c r="H84" s="478">
        <v>4.8124242111158844E-3</v>
      </c>
      <c r="I84" s="479">
        <v>17113</v>
      </c>
      <c r="J84" s="479">
        <v>23010</v>
      </c>
      <c r="K84" s="478">
        <v>7.4337976271102498E-3</v>
      </c>
      <c r="L84" s="471">
        <v>4.7498338433747695E-3</v>
      </c>
      <c r="M84" s="479">
        <v>17112</v>
      </c>
      <c r="N84" s="479">
        <v>23055</v>
      </c>
      <c r="O84" s="478">
        <v>7.4483830015426491E-3</v>
      </c>
      <c r="P84" s="478">
        <v>4.7132790859924483E-3</v>
      </c>
      <c r="Q84" s="479">
        <v>17126</v>
      </c>
      <c r="R84" s="479">
        <v>23145</v>
      </c>
      <c r="S84" s="478">
        <v>7.454613025946231E-3</v>
      </c>
      <c r="T84" s="478">
        <v>4.6946109042484419E-3</v>
      </c>
      <c r="U84" s="479">
        <v>17130</v>
      </c>
      <c r="V84" s="479">
        <v>23239</v>
      </c>
      <c r="W84" s="478">
        <v>7.4571368112696075E-3</v>
      </c>
      <c r="X84" s="478">
        <v>4.6782128598927171E-3</v>
      </c>
      <c r="Y84" s="479">
        <v>17127</v>
      </c>
      <c r="Z84" s="479">
        <v>23244</v>
      </c>
      <c r="AA84" s="133">
        <v>7.5222774632056292E-3</v>
      </c>
      <c r="AB84" s="478">
        <v>4.6618860158448815E-3</v>
      </c>
      <c r="AC84" s="479">
        <v>17079</v>
      </c>
      <c r="AD84" s="479">
        <v>23264</v>
      </c>
      <c r="AE84" s="478">
        <v>7.3449128872576713E-3</v>
      </c>
      <c r="AF84" s="478">
        <v>4.6582969379938555E-3</v>
      </c>
      <c r="AG84" s="479">
        <v>16562</v>
      </c>
      <c r="AH84" s="479">
        <v>23303</v>
      </c>
      <c r="AI84" s="478">
        <v>7.3712736160578716E-3</v>
      </c>
      <c r="AJ84" s="478">
        <v>4.6460695567039738E-3</v>
      </c>
      <c r="AK84" s="479">
        <v>16530</v>
      </c>
      <c r="AL84" s="479">
        <v>23310</v>
      </c>
      <c r="AM84" s="478">
        <v>7.376204751083232E-3</v>
      </c>
      <c r="AN84" s="478">
        <v>4.6293473128790046E-3</v>
      </c>
      <c r="AO84" s="479">
        <v>16518</v>
      </c>
      <c r="AP84" s="479">
        <v>23306</v>
      </c>
      <c r="AQ84" s="478">
        <v>7.3810719253246011E-3</v>
      </c>
      <c r="AR84" s="478">
        <v>4.6085474115687992E-3</v>
      </c>
      <c r="AS84" s="479">
        <v>16509</v>
      </c>
      <c r="AT84" s="479">
        <v>23300</v>
      </c>
      <c r="AU84" s="478">
        <v>7.3829111885659483E-3</v>
      </c>
      <c r="AV84" s="478">
        <v>4.5979165481492886E-3</v>
      </c>
      <c r="AW84" s="479">
        <v>16505</v>
      </c>
      <c r="AX84" s="479">
        <v>23358</v>
      </c>
      <c r="AY84" s="478">
        <v>7.3837178590709963E-3</v>
      </c>
      <c r="AZ84" s="478">
        <v>4.5708507310209673E-3</v>
      </c>
      <c r="BA84" s="479">
        <v>16494</v>
      </c>
      <c r="BB84" s="479">
        <v>23351</v>
      </c>
      <c r="BC84" s="478">
        <v>7.3905561979291032E-3</v>
      </c>
      <c r="BD84" s="478">
        <v>4.5516239072193061E-3</v>
      </c>
      <c r="BE84" s="479">
        <v>16497</v>
      </c>
      <c r="BF84" s="479">
        <v>23401</v>
      </c>
      <c r="BG84" s="478">
        <v>7.3938073109715676E-3</v>
      </c>
      <c r="BH84" s="478">
        <v>4.5386939699408142E-3</v>
      </c>
      <c r="BI84" s="479">
        <v>16495</v>
      </c>
      <c r="BJ84" s="479">
        <v>23488</v>
      </c>
    </row>
    <row r="85" spans="1:62">
      <c r="A85" s="461" t="s">
        <v>1302</v>
      </c>
      <c r="B85" s="462" t="s">
        <v>104</v>
      </c>
      <c r="C85" s="478">
        <v>7.5629774083352114E-3</v>
      </c>
      <c r="D85" s="478">
        <v>4.9908995846542417E-3</v>
      </c>
      <c r="E85" s="479">
        <v>17417</v>
      </c>
      <c r="F85" s="479">
        <v>23511</v>
      </c>
      <c r="G85" s="478">
        <v>7.5461995151912108E-3</v>
      </c>
      <c r="H85" s="478">
        <v>4.9236892993520269E-3</v>
      </c>
      <c r="I85" s="479">
        <v>17374</v>
      </c>
      <c r="J85" s="479">
        <v>23542</v>
      </c>
      <c r="K85" s="478">
        <v>7.518509556591696E-3</v>
      </c>
      <c r="L85" s="471">
        <v>4.8495484206982744E-3</v>
      </c>
      <c r="M85" s="479">
        <v>17307</v>
      </c>
      <c r="N85" s="479">
        <v>23539</v>
      </c>
      <c r="O85" s="478">
        <v>7.5131855863394409E-3</v>
      </c>
      <c r="P85" s="478">
        <v>4.8208017197104869E-3</v>
      </c>
      <c r="Q85" s="479">
        <v>17275</v>
      </c>
      <c r="R85" s="479">
        <v>23673</v>
      </c>
      <c r="S85" s="478">
        <v>7.500306801061488E-3</v>
      </c>
      <c r="T85" s="478">
        <v>4.7948100095673981E-3</v>
      </c>
      <c r="U85" s="479">
        <v>17235</v>
      </c>
      <c r="V85" s="479">
        <v>23735</v>
      </c>
      <c r="W85" s="478">
        <v>7.4910981980436499E-3</v>
      </c>
      <c r="X85" s="478">
        <v>4.7776379654161649E-3</v>
      </c>
      <c r="Y85" s="479">
        <v>17205</v>
      </c>
      <c r="Z85" s="479">
        <v>23738</v>
      </c>
      <c r="AA85" s="133">
        <v>7.3408161179956801E-3</v>
      </c>
      <c r="AB85" s="478">
        <v>4.8051652671055886E-3</v>
      </c>
      <c r="AC85" s="479">
        <v>16667</v>
      </c>
      <c r="AD85" s="479">
        <v>23979</v>
      </c>
      <c r="AE85" s="478">
        <v>7.379060833901727E-3</v>
      </c>
      <c r="AF85" s="478">
        <v>4.7992272620416467E-3</v>
      </c>
      <c r="AG85" s="479">
        <v>16639</v>
      </c>
      <c r="AH85" s="479">
        <v>24008</v>
      </c>
      <c r="AI85" s="478">
        <v>7.4091779268482478E-3</v>
      </c>
      <c r="AJ85" s="478">
        <v>4.785391848430103E-3</v>
      </c>
      <c r="AK85" s="479">
        <v>16615</v>
      </c>
      <c r="AL85" s="479">
        <v>24009</v>
      </c>
      <c r="AM85" s="478">
        <v>7.4221999738318441E-3</v>
      </c>
      <c r="AN85" s="478">
        <v>4.7679933449904588E-3</v>
      </c>
      <c r="AO85" s="479">
        <v>16621</v>
      </c>
      <c r="AP85" s="479">
        <v>24004</v>
      </c>
      <c r="AQ85" s="478">
        <v>7.4262284014562736E-3</v>
      </c>
      <c r="AR85" s="478">
        <v>4.7487817512598838E-3</v>
      </c>
      <c r="AS85" s="479">
        <v>16610</v>
      </c>
      <c r="AT85" s="479">
        <v>24009</v>
      </c>
      <c r="AU85" s="478">
        <v>7.4267479226755792E-3</v>
      </c>
      <c r="AV85" s="478">
        <v>4.7276377145689472E-3</v>
      </c>
      <c r="AW85" s="479">
        <v>16603</v>
      </c>
      <c r="AX85" s="479">
        <v>24017</v>
      </c>
      <c r="AY85" s="478">
        <v>7.4231120127995183E-3</v>
      </c>
      <c r="AZ85" s="478">
        <v>4.7174640322729345E-3</v>
      </c>
      <c r="BA85" s="479">
        <v>16582</v>
      </c>
      <c r="BB85" s="479">
        <v>24100</v>
      </c>
      <c r="BC85" s="478">
        <v>7.4272917018528579E-3</v>
      </c>
      <c r="BD85" s="478">
        <v>4.6899173390398665E-3</v>
      </c>
      <c r="BE85" s="479">
        <v>16579</v>
      </c>
      <c r="BF85" s="479">
        <v>24112</v>
      </c>
      <c r="BG85" s="478">
        <v>7.4251844865864816E-3</v>
      </c>
      <c r="BH85" s="478">
        <v>4.659658821149216E-3</v>
      </c>
      <c r="BI85" s="479">
        <v>16565</v>
      </c>
      <c r="BJ85" s="479">
        <v>24114</v>
      </c>
    </row>
    <row r="86" spans="1:62">
      <c r="A86" s="461" t="s">
        <v>1303</v>
      </c>
      <c r="B86" s="462" t="s">
        <v>104</v>
      </c>
      <c r="C86" s="478">
        <v>1.023392384220269E-2</v>
      </c>
      <c r="D86" s="478">
        <v>6.2993894421596109E-3</v>
      </c>
      <c r="E86" s="479">
        <v>23568</v>
      </c>
      <c r="F86" s="479">
        <v>29675</v>
      </c>
      <c r="G86" s="478">
        <v>1.0239099077421297E-2</v>
      </c>
      <c r="H86" s="478">
        <v>6.2074207121216619E-3</v>
      </c>
      <c r="I86" s="479">
        <v>23574</v>
      </c>
      <c r="J86" s="479">
        <v>29680</v>
      </c>
      <c r="K86" s="478">
        <v>1.0234069921661013E-2</v>
      </c>
      <c r="L86" s="471">
        <v>6.1106081888742426E-3</v>
      </c>
      <c r="M86" s="479">
        <v>23558</v>
      </c>
      <c r="N86" s="479">
        <v>29660</v>
      </c>
      <c r="O86" s="478">
        <v>1.0236633814510647E-2</v>
      </c>
      <c r="P86" s="478">
        <v>6.0412243406805779E-3</v>
      </c>
      <c r="Q86" s="479">
        <v>23537</v>
      </c>
      <c r="R86" s="479">
        <v>29666</v>
      </c>
      <c r="S86" s="478">
        <v>1.0232794552953863E-2</v>
      </c>
      <c r="T86" s="478">
        <v>5.9963912160939156E-3</v>
      </c>
      <c r="U86" s="479">
        <v>23514</v>
      </c>
      <c r="V86" s="479">
        <v>29683</v>
      </c>
      <c r="W86" s="478">
        <v>1.0235874893217563E-2</v>
      </c>
      <c r="X86" s="478">
        <v>5.9741607434260682E-3</v>
      </c>
      <c r="Y86" s="479">
        <v>23509</v>
      </c>
      <c r="Z86" s="479">
        <v>29683</v>
      </c>
      <c r="AA86" s="133">
        <v>1.0311584985571181E-2</v>
      </c>
      <c r="AB86" s="478">
        <v>5.9477922470895775E-3</v>
      </c>
      <c r="AC86" s="479">
        <v>23412</v>
      </c>
      <c r="AD86" s="479">
        <v>29681</v>
      </c>
      <c r="AE86" s="478">
        <v>1.0376540981527292E-2</v>
      </c>
      <c r="AF86" s="478">
        <v>5.9294684707880425E-3</v>
      </c>
      <c r="AG86" s="479">
        <v>23398</v>
      </c>
      <c r="AH86" s="479">
        <v>29662</v>
      </c>
      <c r="AI86" s="478">
        <v>1.0365268235429471E-2</v>
      </c>
      <c r="AJ86" s="478">
        <v>5.8796398907426219E-3</v>
      </c>
      <c r="AK86" s="479">
        <v>23244</v>
      </c>
      <c r="AL86" s="479">
        <v>29499</v>
      </c>
      <c r="AM86" s="478">
        <v>1.0372146007592337E-2</v>
      </c>
      <c r="AN86" s="478">
        <v>5.8513392749845418E-3</v>
      </c>
      <c r="AO86" s="479">
        <v>23227</v>
      </c>
      <c r="AP86" s="479">
        <v>29458</v>
      </c>
      <c r="AQ86" s="478">
        <v>1.0389566260869411E-2</v>
      </c>
      <c r="AR86" s="478">
        <v>5.8289224128297212E-3</v>
      </c>
      <c r="AS86" s="479">
        <v>23238</v>
      </c>
      <c r="AT86" s="479">
        <v>29470</v>
      </c>
      <c r="AU86" s="478">
        <v>1.0391095238436048E-2</v>
      </c>
      <c r="AV86" s="478">
        <v>5.8000518490974734E-3</v>
      </c>
      <c r="AW86" s="479">
        <v>23230</v>
      </c>
      <c r="AX86" s="479">
        <v>29465</v>
      </c>
      <c r="AY86" s="478">
        <v>1.0380359507465639E-2</v>
      </c>
      <c r="AZ86" s="478">
        <v>5.7672465885003103E-3</v>
      </c>
      <c r="BA86" s="479">
        <v>23188</v>
      </c>
      <c r="BB86" s="479">
        <v>29463</v>
      </c>
      <c r="BC86" s="478">
        <v>1.0369715967355577E-2</v>
      </c>
      <c r="BD86" s="478">
        <v>5.7429702783879846E-3</v>
      </c>
      <c r="BE86" s="479">
        <v>23147</v>
      </c>
      <c r="BF86" s="479">
        <v>29526</v>
      </c>
      <c r="BG86" s="478">
        <v>1.037553548512027E-2</v>
      </c>
      <c r="BH86" s="478">
        <v>5.7095023301192626E-3</v>
      </c>
      <c r="BI86" s="479">
        <v>23147</v>
      </c>
      <c r="BJ86" s="479">
        <v>29547</v>
      </c>
    </row>
    <row r="87" spans="1:62">
      <c r="A87" s="461" t="s">
        <v>1304</v>
      </c>
      <c r="B87" s="462" t="s">
        <v>104</v>
      </c>
      <c r="C87" s="478">
        <v>2.7512789148080555E-3</v>
      </c>
      <c r="D87" s="478">
        <v>9.3844451039255972E-3</v>
      </c>
      <c r="E87" s="479">
        <v>6336</v>
      </c>
      <c r="F87" s="479">
        <v>44208</v>
      </c>
      <c r="G87" s="478">
        <v>2.7319900397463287E-3</v>
      </c>
      <c r="H87" s="478">
        <v>9.5773725293189782E-3</v>
      </c>
      <c r="I87" s="479">
        <v>6290</v>
      </c>
      <c r="J87" s="479">
        <v>45793</v>
      </c>
      <c r="K87" s="478">
        <v>2.7372813726286634E-3</v>
      </c>
      <c r="L87" s="471">
        <v>9.7767670803448146E-3</v>
      </c>
      <c r="M87" s="479">
        <v>6301</v>
      </c>
      <c r="N87" s="479">
        <v>47455</v>
      </c>
      <c r="O87" s="478">
        <v>2.7108356445530381E-3</v>
      </c>
      <c r="P87" s="478">
        <v>9.9480836737877339E-3</v>
      </c>
      <c r="Q87" s="479">
        <v>6233</v>
      </c>
      <c r="R87" s="479">
        <v>48851</v>
      </c>
      <c r="S87" s="478">
        <v>2.7094232749294359E-3</v>
      </c>
      <c r="T87" s="478">
        <v>1.0063343611822201E-2</v>
      </c>
      <c r="U87" s="479">
        <v>6226</v>
      </c>
      <c r="V87" s="479">
        <v>49815</v>
      </c>
      <c r="W87" s="478">
        <v>2.7238773802360406E-3</v>
      </c>
      <c r="X87" s="478">
        <v>1.0096679845524783E-2</v>
      </c>
      <c r="Y87" s="479">
        <v>6256</v>
      </c>
      <c r="Z87" s="479">
        <v>50166</v>
      </c>
      <c r="AA87" s="133">
        <v>2.7553936301782551E-3</v>
      </c>
      <c r="AB87" s="478">
        <v>1.0128941306606576E-2</v>
      </c>
      <c r="AC87" s="479">
        <v>6256</v>
      </c>
      <c r="AD87" s="479">
        <v>50546</v>
      </c>
      <c r="AE87" s="478">
        <v>2.774409794872841E-3</v>
      </c>
      <c r="AF87" s="478">
        <v>1.0133589953127175E-2</v>
      </c>
      <c r="AG87" s="479">
        <v>6256</v>
      </c>
      <c r="AH87" s="479">
        <v>50693</v>
      </c>
      <c r="AI87" s="478">
        <v>2.732231908383943E-3</v>
      </c>
      <c r="AJ87" s="478">
        <v>1.0119701567266158E-2</v>
      </c>
      <c r="AK87" s="479">
        <v>6127</v>
      </c>
      <c r="AL87" s="479">
        <v>50772</v>
      </c>
      <c r="AM87" s="478">
        <v>2.7427442536114063E-3</v>
      </c>
      <c r="AN87" s="478">
        <v>1.0097721616644515E-2</v>
      </c>
      <c r="AO87" s="479">
        <v>6142</v>
      </c>
      <c r="AP87" s="479">
        <v>50836</v>
      </c>
      <c r="AQ87" s="478">
        <v>2.7505211996242626E-3</v>
      </c>
      <c r="AR87" s="478">
        <v>1.0105575294071805E-2</v>
      </c>
      <c r="AS87" s="479">
        <v>6152</v>
      </c>
      <c r="AT87" s="479">
        <v>51092</v>
      </c>
      <c r="AU87" s="478">
        <v>2.7491894677325853E-3</v>
      </c>
      <c r="AV87" s="478">
        <v>1.0079472422638253E-2</v>
      </c>
      <c r="AW87" s="479">
        <v>6146</v>
      </c>
      <c r="AX87" s="479">
        <v>51205</v>
      </c>
      <c r="AY87" s="478">
        <v>2.7723635686447605E-3</v>
      </c>
      <c r="AZ87" s="478">
        <v>1.008030063360827E-2</v>
      </c>
      <c r="BA87" s="479">
        <v>6193</v>
      </c>
      <c r="BB87" s="479">
        <v>51497</v>
      </c>
      <c r="BC87" s="478">
        <v>2.7869703647521943E-3</v>
      </c>
      <c r="BD87" s="478">
        <v>1.0072079859302479E-2</v>
      </c>
      <c r="BE87" s="479">
        <v>6221</v>
      </c>
      <c r="BF87" s="479">
        <v>51783</v>
      </c>
      <c r="BG87" s="478">
        <v>2.7898791575317996E-3</v>
      </c>
      <c r="BH87" s="478">
        <v>1.0043754107442682E-2</v>
      </c>
      <c r="BI87" s="479">
        <v>6224</v>
      </c>
      <c r="BJ87" s="479">
        <v>51977</v>
      </c>
    </row>
    <row r="88" spans="1:62">
      <c r="A88" s="461" t="s">
        <v>1305</v>
      </c>
      <c r="B88" s="462" t="s">
        <v>104</v>
      </c>
      <c r="C88" s="478">
        <v>1.0035046673171426E-3</v>
      </c>
      <c r="D88" s="478">
        <v>1.2082940085854257E-3</v>
      </c>
      <c r="E88" s="479">
        <v>2311</v>
      </c>
      <c r="F88" s="479">
        <v>5692</v>
      </c>
      <c r="G88" s="478">
        <v>1.0067969653627966E-3</v>
      </c>
      <c r="H88" s="478">
        <v>1.1887796269440542E-3</v>
      </c>
      <c r="I88" s="479">
        <v>2318</v>
      </c>
      <c r="J88" s="479">
        <v>5684</v>
      </c>
      <c r="K88" s="478">
        <v>1.0026417089393676E-3</v>
      </c>
      <c r="L88" s="471">
        <v>1.171646283551174E-3</v>
      </c>
      <c r="M88" s="479">
        <v>2308</v>
      </c>
      <c r="N88" s="479">
        <v>5687</v>
      </c>
      <c r="O88" s="478">
        <v>1.0142256895712635E-3</v>
      </c>
      <c r="P88" s="478">
        <v>1.1587192913932612E-3</v>
      </c>
      <c r="Q88" s="479">
        <v>2332</v>
      </c>
      <c r="R88" s="479">
        <v>5690</v>
      </c>
      <c r="S88" s="478">
        <v>1.0170128804224369E-3</v>
      </c>
      <c r="T88" s="478">
        <v>1.1528957541437179E-3</v>
      </c>
      <c r="U88" s="479">
        <v>2337</v>
      </c>
      <c r="V88" s="479">
        <v>5707</v>
      </c>
      <c r="W88" s="478">
        <v>1.0166645912485861E-3</v>
      </c>
      <c r="X88" s="478">
        <v>1.1490241446019413E-3</v>
      </c>
      <c r="Y88" s="479">
        <v>2335</v>
      </c>
      <c r="Z88" s="479">
        <v>5709</v>
      </c>
      <c r="AA88" s="133">
        <v>9.5971910488465754E-4</v>
      </c>
      <c r="AB88" s="478">
        <v>1.1436289327900078E-3</v>
      </c>
      <c r="AC88" s="479">
        <v>2179</v>
      </c>
      <c r="AD88" s="479">
        <v>5707</v>
      </c>
      <c r="AE88" s="478">
        <v>9.5791642533972769E-4</v>
      </c>
      <c r="AF88" s="478">
        <v>1.1418354765403984E-3</v>
      </c>
      <c r="AG88" s="479">
        <v>2160</v>
      </c>
      <c r="AH88" s="479">
        <v>5712</v>
      </c>
      <c r="AI88" s="478">
        <v>9.5028336816813813E-4</v>
      </c>
      <c r="AJ88" s="478">
        <v>1.1384963238049376E-3</v>
      </c>
      <c r="AK88" s="479">
        <v>2131</v>
      </c>
      <c r="AL88" s="479">
        <v>5712</v>
      </c>
      <c r="AM88" s="478">
        <v>9.507167886582033E-4</v>
      </c>
      <c r="AN88" s="478">
        <v>1.1341960506538709E-3</v>
      </c>
      <c r="AO88" s="479">
        <v>2129</v>
      </c>
      <c r="AP88" s="479">
        <v>5710</v>
      </c>
      <c r="AQ88" s="478">
        <v>9.509685617036421E-4</v>
      </c>
      <c r="AR88" s="478">
        <v>1.129786386904763E-3</v>
      </c>
      <c r="AS88" s="479">
        <v>2127</v>
      </c>
      <c r="AT88" s="479">
        <v>5712</v>
      </c>
      <c r="AU88" s="478">
        <v>9.4517366503725226E-4</v>
      </c>
      <c r="AV88" s="478">
        <v>1.1251687211756714E-3</v>
      </c>
      <c r="AW88" s="479">
        <v>2113</v>
      </c>
      <c r="AX88" s="479">
        <v>5716</v>
      </c>
      <c r="AY88" s="478">
        <v>9.4366904613323998E-4</v>
      </c>
      <c r="AZ88" s="478">
        <v>1.1196636624315845E-3</v>
      </c>
      <c r="BA88" s="479">
        <v>2108</v>
      </c>
      <c r="BB88" s="479">
        <v>5720</v>
      </c>
      <c r="BC88" s="478">
        <v>9.4168328350893954E-4</v>
      </c>
      <c r="BD88" s="478">
        <v>1.1125716315240558E-3</v>
      </c>
      <c r="BE88" s="479">
        <v>2102</v>
      </c>
      <c r="BF88" s="479">
        <v>5720</v>
      </c>
      <c r="BG88" s="478">
        <v>9.4490123137484479E-4</v>
      </c>
      <c r="BH88" s="478">
        <v>1.1095529962278675E-3</v>
      </c>
      <c r="BI88" s="479">
        <v>2108</v>
      </c>
      <c r="BJ88" s="479">
        <v>5742</v>
      </c>
    </row>
    <row r="89" spans="1:62">
      <c r="A89" s="461" t="s">
        <v>1306</v>
      </c>
      <c r="B89" s="462" t="s">
        <v>104</v>
      </c>
      <c r="C89" s="478">
        <v>4.7387479162405788E-3</v>
      </c>
      <c r="D89" s="478">
        <v>3.4034746731641126E-3</v>
      </c>
      <c r="E89" s="479">
        <v>10913</v>
      </c>
      <c r="F89" s="479">
        <v>16033</v>
      </c>
      <c r="G89" s="478">
        <v>4.7355941817733265E-3</v>
      </c>
      <c r="H89" s="478">
        <v>3.353011080078655E-3</v>
      </c>
      <c r="I89" s="479">
        <v>10903</v>
      </c>
      <c r="J89" s="479">
        <v>16032</v>
      </c>
      <c r="K89" s="478">
        <v>4.7304010262741655E-3</v>
      </c>
      <c r="L89" s="471">
        <v>3.3052086033078043E-3</v>
      </c>
      <c r="M89" s="479">
        <v>10889</v>
      </c>
      <c r="N89" s="479">
        <v>16043</v>
      </c>
      <c r="O89" s="478">
        <v>4.7327632735482371E-3</v>
      </c>
      <c r="P89" s="478">
        <v>3.2737383705515057E-3</v>
      </c>
      <c r="Q89" s="479">
        <v>10882</v>
      </c>
      <c r="R89" s="479">
        <v>16076</v>
      </c>
      <c r="S89" s="478">
        <v>4.7321343866981508E-3</v>
      </c>
      <c r="T89" s="478">
        <v>3.2489963928322087E-3</v>
      </c>
      <c r="U89" s="479">
        <v>10874</v>
      </c>
      <c r="V89" s="479">
        <v>16083</v>
      </c>
      <c r="W89" s="478">
        <v>4.7358718454008006E-3</v>
      </c>
      <c r="X89" s="478">
        <v>3.2399703415312755E-3</v>
      </c>
      <c r="Y89" s="479">
        <v>10877</v>
      </c>
      <c r="Z89" s="479">
        <v>16098</v>
      </c>
      <c r="AA89" s="133">
        <v>4.7880249606246502E-3</v>
      </c>
      <c r="AB89" s="478">
        <v>3.2274903787481803E-3</v>
      </c>
      <c r="AC89" s="479">
        <v>10871</v>
      </c>
      <c r="AD89" s="479">
        <v>16106</v>
      </c>
      <c r="AE89" s="478">
        <v>4.6911296052053889E-3</v>
      </c>
      <c r="AF89" s="478">
        <v>3.2234063479015976E-3</v>
      </c>
      <c r="AG89" s="479">
        <v>10578</v>
      </c>
      <c r="AH89" s="479">
        <v>16125</v>
      </c>
      <c r="AI89" s="478">
        <v>4.6840809475542575E-3</v>
      </c>
      <c r="AJ89" s="478">
        <v>3.2169696544488259E-3</v>
      </c>
      <c r="AK89" s="479">
        <v>10504</v>
      </c>
      <c r="AL89" s="479">
        <v>16140</v>
      </c>
      <c r="AM89" s="478">
        <v>4.6857074980697633E-3</v>
      </c>
      <c r="AN89" s="478">
        <v>3.2029617017151784E-3</v>
      </c>
      <c r="AO89" s="479">
        <v>10493</v>
      </c>
      <c r="AP89" s="479">
        <v>16125</v>
      </c>
      <c r="AQ89" s="478">
        <v>4.6922496732861889E-3</v>
      </c>
      <c r="AR89" s="478">
        <v>3.1955232610002366E-3</v>
      </c>
      <c r="AS89" s="479">
        <v>10495</v>
      </c>
      <c r="AT89" s="479">
        <v>16156</v>
      </c>
      <c r="AU89" s="478">
        <v>4.6896359225038113E-3</v>
      </c>
      <c r="AV89" s="478">
        <v>3.1774796181276571E-3</v>
      </c>
      <c r="AW89" s="479">
        <v>10484</v>
      </c>
      <c r="AX89" s="479">
        <v>16142</v>
      </c>
      <c r="AY89" s="478">
        <v>4.690590258721105E-3</v>
      </c>
      <c r="AZ89" s="478">
        <v>3.1579604660854463E-3</v>
      </c>
      <c r="BA89" s="479">
        <v>10478</v>
      </c>
      <c r="BB89" s="479">
        <v>16133</v>
      </c>
      <c r="BC89" s="478">
        <v>4.6927366292845579E-3</v>
      </c>
      <c r="BD89" s="478">
        <v>3.1482665083650994E-3</v>
      </c>
      <c r="BE89" s="479">
        <v>10475</v>
      </c>
      <c r="BF89" s="479">
        <v>16186</v>
      </c>
      <c r="BG89" s="478">
        <v>4.6913359997956001E-3</v>
      </c>
      <c r="BH89" s="478">
        <v>3.1307867720104339E-3</v>
      </c>
      <c r="BI89" s="479">
        <v>10466</v>
      </c>
      <c r="BJ89" s="479">
        <v>16202</v>
      </c>
    </row>
    <row r="90" spans="1:62">
      <c r="A90" s="461" t="s">
        <v>1307</v>
      </c>
      <c r="B90" s="462" t="s">
        <v>104</v>
      </c>
      <c r="C90" s="478">
        <v>0</v>
      </c>
      <c r="D90" s="478">
        <v>0</v>
      </c>
      <c r="E90" s="479">
        <v>0</v>
      </c>
      <c r="F90" s="479">
        <v>0</v>
      </c>
      <c r="G90" s="478">
        <v>0</v>
      </c>
      <c r="H90" s="478">
        <v>0</v>
      </c>
      <c r="I90" s="479">
        <v>0</v>
      </c>
      <c r="J90" s="479">
        <v>0</v>
      </c>
      <c r="K90" s="478">
        <v>2.2589847861718852E-5</v>
      </c>
      <c r="L90" s="471">
        <v>1.8129923149728029E-5</v>
      </c>
      <c r="M90" s="479">
        <v>52</v>
      </c>
      <c r="N90" s="479">
        <v>88</v>
      </c>
      <c r="O90" s="478">
        <v>2.2180750500915281E-5</v>
      </c>
      <c r="P90" s="478">
        <v>1.8327721656483919E-5</v>
      </c>
      <c r="Q90" s="479">
        <v>51</v>
      </c>
      <c r="R90" s="479">
        <v>90</v>
      </c>
      <c r="S90" s="478">
        <v>2.219411934169631E-5</v>
      </c>
      <c r="T90" s="478">
        <v>1.8181289271584826E-5</v>
      </c>
      <c r="U90" s="479">
        <v>51</v>
      </c>
      <c r="V90" s="479">
        <v>90</v>
      </c>
      <c r="W90" s="478">
        <v>2.568874127780153E-5</v>
      </c>
      <c r="X90" s="478">
        <v>1.9925274183848694E-5</v>
      </c>
      <c r="Y90" s="479">
        <v>59</v>
      </c>
      <c r="Z90" s="479">
        <v>99</v>
      </c>
      <c r="AA90" s="133">
        <v>2.4664648863488215E-5</v>
      </c>
      <c r="AB90" s="478">
        <v>1.8636322191952116E-5</v>
      </c>
      <c r="AC90" s="479">
        <v>56</v>
      </c>
      <c r="AD90" s="479">
        <v>93</v>
      </c>
      <c r="AE90" s="478">
        <v>2.3947910633493192E-5</v>
      </c>
      <c r="AF90" s="478">
        <v>1.879070987303877E-5</v>
      </c>
      <c r="AG90" s="479">
        <v>54</v>
      </c>
      <c r="AH90" s="479">
        <v>94</v>
      </c>
      <c r="AI90" s="478">
        <v>2.3188519542347812E-5</v>
      </c>
      <c r="AJ90" s="478">
        <v>1.8536442246824089E-5</v>
      </c>
      <c r="AK90" s="479">
        <v>52</v>
      </c>
      <c r="AL90" s="479">
        <v>93</v>
      </c>
      <c r="AM90" s="478">
        <v>2.277433359397293E-5</v>
      </c>
      <c r="AN90" s="478">
        <v>1.8671528679766003E-5</v>
      </c>
      <c r="AO90" s="479">
        <v>51</v>
      </c>
      <c r="AP90" s="479">
        <v>94</v>
      </c>
      <c r="AQ90" s="478">
        <v>2.2801784977379289E-5</v>
      </c>
      <c r="AR90" s="478">
        <v>1.8988006502601062E-5</v>
      </c>
      <c r="AS90" s="479">
        <v>51</v>
      </c>
      <c r="AT90" s="479">
        <v>96</v>
      </c>
      <c r="AU90" s="478">
        <v>2.2365680668179183E-5</v>
      </c>
      <c r="AV90" s="478">
        <v>1.8700319893577465E-5</v>
      </c>
      <c r="AW90" s="479">
        <v>50</v>
      </c>
      <c r="AX90" s="479">
        <v>95</v>
      </c>
      <c r="AY90" s="478">
        <v>2.5069006918150589E-5</v>
      </c>
      <c r="AZ90" s="478">
        <v>1.9966030344059725E-5</v>
      </c>
      <c r="BA90" s="479">
        <v>56</v>
      </c>
      <c r="BB90" s="479">
        <v>102</v>
      </c>
      <c r="BC90" s="478">
        <v>3.2703558371147755E-5</v>
      </c>
      <c r="BD90" s="478">
        <v>2.489670783830055E-5</v>
      </c>
      <c r="BE90" s="479">
        <v>73</v>
      </c>
      <c r="BF90" s="479">
        <v>128</v>
      </c>
      <c r="BG90" s="478">
        <v>3.2721911712696238E-5</v>
      </c>
      <c r="BH90" s="478">
        <v>2.5120496257335911E-5</v>
      </c>
      <c r="BI90" s="479">
        <v>73</v>
      </c>
      <c r="BJ90" s="479">
        <v>130</v>
      </c>
    </row>
    <row r="91" spans="1:62">
      <c r="A91" s="461" t="s">
        <v>1308</v>
      </c>
      <c r="B91" s="462" t="s">
        <v>104</v>
      </c>
      <c r="C91" s="478">
        <v>6.1682318473561277E-3</v>
      </c>
      <c r="D91" s="478">
        <v>3.8895943638985863E-3</v>
      </c>
      <c r="E91" s="479">
        <v>14205</v>
      </c>
      <c r="F91" s="479">
        <v>18323</v>
      </c>
      <c r="G91" s="478">
        <v>6.1736894157320057E-3</v>
      </c>
      <c r="H91" s="478">
        <v>3.8334169215794456E-3</v>
      </c>
      <c r="I91" s="479">
        <v>14214</v>
      </c>
      <c r="J91" s="479">
        <v>18329</v>
      </c>
      <c r="K91" s="478">
        <v>6.183970852145536E-3</v>
      </c>
      <c r="L91" s="471">
        <v>3.77741069261663E-3</v>
      </c>
      <c r="M91" s="479">
        <v>14235</v>
      </c>
      <c r="N91" s="479">
        <v>18335</v>
      </c>
      <c r="O91" s="478">
        <v>6.2006070566970424E-3</v>
      </c>
      <c r="P91" s="478">
        <v>3.7360042389983777E-3</v>
      </c>
      <c r="Q91" s="479">
        <v>14257</v>
      </c>
      <c r="R91" s="479">
        <v>18346</v>
      </c>
      <c r="S91" s="478">
        <v>6.2078257335156442E-3</v>
      </c>
      <c r="T91" s="478">
        <v>3.724134085796292E-3</v>
      </c>
      <c r="U91" s="479">
        <v>14265</v>
      </c>
      <c r="V91" s="479">
        <v>18435</v>
      </c>
      <c r="W91" s="478">
        <v>6.2101443533098856E-3</v>
      </c>
      <c r="X91" s="478">
        <v>3.7087174483412108E-3</v>
      </c>
      <c r="Y91" s="479">
        <v>14263</v>
      </c>
      <c r="Z91" s="479">
        <v>18427</v>
      </c>
      <c r="AA91" s="133">
        <v>6.1987547875845201E-3</v>
      </c>
      <c r="AB91" s="478">
        <v>3.6721570340593817E-3</v>
      </c>
      <c r="AC91" s="479">
        <v>14074</v>
      </c>
      <c r="AD91" s="479">
        <v>18325</v>
      </c>
      <c r="AE91" s="478">
        <v>6.2286741638409608E-3</v>
      </c>
      <c r="AF91" s="478">
        <v>3.6647881287491463E-3</v>
      </c>
      <c r="AG91" s="479">
        <v>14045</v>
      </c>
      <c r="AH91" s="479">
        <v>18333</v>
      </c>
      <c r="AI91" s="478">
        <v>6.2640218079107633E-3</v>
      </c>
      <c r="AJ91" s="478">
        <v>3.6580572532899196E-3</v>
      </c>
      <c r="AK91" s="479">
        <v>14047</v>
      </c>
      <c r="AL91" s="479">
        <v>18353</v>
      </c>
      <c r="AM91" s="478">
        <v>6.2781246274052037E-3</v>
      </c>
      <c r="AN91" s="478">
        <v>3.6467084577853619E-3</v>
      </c>
      <c r="AO91" s="479">
        <v>14059</v>
      </c>
      <c r="AP91" s="479">
        <v>18359</v>
      </c>
      <c r="AQ91" s="478">
        <v>6.2847978711180518E-3</v>
      </c>
      <c r="AR91" s="478">
        <v>3.629478326278432E-3</v>
      </c>
      <c r="AS91" s="479">
        <v>14057</v>
      </c>
      <c r="AT91" s="479">
        <v>18350</v>
      </c>
      <c r="AU91" s="478">
        <v>6.2869928358251686E-3</v>
      </c>
      <c r="AV91" s="478">
        <v>3.611523885131218E-3</v>
      </c>
      <c r="AW91" s="479">
        <v>14055</v>
      </c>
      <c r="AX91" s="479">
        <v>18347</v>
      </c>
      <c r="AY91" s="478">
        <v>6.2873964672397319E-3</v>
      </c>
      <c r="AZ91" s="478">
        <v>3.5964301520726404E-3</v>
      </c>
      <c r="BA91" s="479">
        <v>14045</v>
      </c>
      <c r="BB91" s="479">
        <v>18373</v>
      </c>
      <c r="BC91" s="478">
        <v>6.2629554250499403E-3</v>
      </c>
      <c r="BD91" s="478">
        <v>3.559256693227045E-3</v>
      </c>
      <c r="BE91" s="479">
        <v>13980</v>
      </c>
      <c r="BF91" s="479">
        <v>18299</v>
      </c>
      <c r="BG91" s="478">
        <v>6.2718491600554207E-3</v>
      </c>
      <c r="BH91" s="478">
        <v>3.5286567858093159E-3</v>
      </c>
      <c r="BI91" s="479">
        <v>13992</v>
      </c>
      <c r="BJ91" s="479">
        <v>18261</v>
      </c>
    </row>
    <row r="92" spans="1:62">
      <c r="A92" s="461" t="s">
        <v>1309</v>
      </c>
      <c r="B92" s="462" t="s">
        <v>104</v>
      </c>
      <c r="C92" s="478">
        <v>1.2672991655409263E-2</v>
      </c>
      <c r="D92" s="478">
        <v>9.3761662096292463E-3</v>
      </c>
      <c r="E92" s="479">
        <v>29185</v>
      </c>
      <c r="F92" s="479">
        <v>44169</v>
      </c>
      <c r="G92" s="478">
        <v>1.2680516567630218E-2</v>
      </c>
      <c r="H92" s="478">
        <v>9.3155231111391838E-3</v>
      </c>
      <c r="I92" s="479">
        <v>29195</v>
      </c>
      <c r="J92" s="479">
        <v>44541</v>
      </c>
      <c r="K92" s="478">
        <v>1.2668560448912408E-2</v>
      </c>
      <c r="L92" s="471">
        <v>9.2161816156810655E-3</v>
      </c>
      <c r="M92" s="479">
        <v>29162</v>
      </c>
      <c r="N92" s="479">
        <v>44734</v>
      </c>
      <c r="O92" s="478">
        <v>1.2660859369257741E-2</v>
      </c>
      <c r="P92" s="478">
        <v>9.1487913682132948E-3</v>
      </c>
      <c r="Q92" s="479">
        <v>29111</v>
      </c>
      <c r="R92" s="479">
        <v>44926</v>
      </c>
      <c r="S92" s="478">
        <v>1.2653694276441247E-2</v>
      </c>
      <c r="T92" s="478">
        <v>9.1332696584180174E-3</v>
      </c>
      <c r="U92" s="479">
        <v>29077</v>
      </c>
      <c r="V92" s="479">
        <v>45211</v>
      </c>
      <c r="W92" s="478">
        <v>1.2652358182909062E-2</v>
      </c>
      <c r="X92" s="478">
        <v>9.1320148034723918E-3</v>
      </c>
      <c r="Y92" s="479">
        <v>29059</v>
      </c>
      <c r="Z92" s="479">
        <v>45373</v>
      </c>
      <c r="AA92" s="133">
        <v>1.2736208056883727E-2</v>
      </c>
      <c r="AB92" s="478">
        <v>9.0971303069682808E-3</v>
      </c>
      <c r="AC92" s="479">
        <v>28917</v>
      </c>
      <c r="AD92" s="479">
        <v>45397</v>
      </c>
      <c r="AE92" s="478">
        <v>1.2811688709092313E-2</v>
      </c>
      <c r="AF92" s="478">
        <v>9.0793111885483814E-3</v>
      </c>
      <c r="AG92" s="479">
        <v>28889</v>
      </c>
      <c r="AH92" s="479">
        <v>45419</v>
      </c>
      <c r="AI92" s="478">
        <v>1.2876317342024867E-2</v>
      </c>
      <c r="AJ92" s="478">
        <v>9.0712963391124512E-3</v>
      </c>
      <c r="AK92" s="479">
        <v>28875</v>
      </c>
      <c r="AL92" s="479">
        <v>45512</v>
      </c>
      <c r="AM92" s="478">
        <v>1.2866605369473372E-2</v>
      </c>
      <c r="AN92" s="478">
        <v>9.0503283110231741E-3</v>
      </c>
      <c r="AO92" s="479">
        <v>28813</v>
      </c>
      <c r="AP92" s="479">
        <v>45563</v>
      </c>
      <c r="AQ92" s="478">
        <v>1.286646604076512E-2</v>
      </c>
      <c r="AR92" s="478">
        <v>9.1237371244998096E-3</v>
      </c>
      <c r="AS92" s="479">
        <v>28778</v>
      </c>
      <c r="AT92" s="479">
        <v>46128</v>
      </c>
      <c r="AU92" s="478">
        <v>1.2866976088403485E-2</v>
      </c>
      <c r="AV92" s="478">
        <v>9.0865838590255717E-3</v>
      </c>
      <c r="AW92" s="479">
        <v>28765</v>
      </c>
      <c r="AX92" s="479">
        <v>46161</v>
      </c>
      <c r="AY92" s="478">
        <v>1.2879649965037689E-2</v>
      </c>
      <c r="AZ92" s="478">
        <v>9.066339484762884E-3</v>
      </c>
      <c r="BA92" s="479">
        <v>28771</v>
      </c>
      <c r="BB92" s="479">
        <v>46317</v>
      </c>
      <c r="BC92" s="478">
        <v>1.2878034095027581E-2</v>
      </c>
      <c r="BD92" s="478">
        <v>9.0550104430019047E-3</v>
      </c>
      <c r="BE92" s="479">
        <v>28746</v>
      </c>
      <c r="BF92" s="479">
        <v>46554</v>
      </c>
      <c r="BG92" s="478">
        <v>1.2886157779679334E-2</v>
      </c>
      <c r="BH92" s="478">
        <v>9.0654073955127451E-3</v>
      </c>
      <c r="BI92" s="479">
        <v>28748</v>
      </c>
      <c r="BJ92" s="479">
        <v>46914</v>
      </c>
    </row>
    <row r="93" spans="1:62">
      <c r="A93" s="461" t="s">
        <v>1310</v>
      </c>
      <c r="B93" s="462" t="s">
        <v>104</v>
      </c>
      <c r="C93" s="478">
        <v>3.4603758952186543E-3</v>
      </c>
      <c r="D93" s="478">
        <v>3.591766448570872E-3</v>
      </c>
      <c r="E93" s="479">
        <v>7969</v>
      </c>
      <c r="F93" s="479">
        <v>16920</v>
      </c>
      <c r="G93" s="478">
        <v>3.4569012283531052E-3</v>
      </c>
      <c r="H93" s="478">
        <v>3.5439603762433144E-3</v>
      </c>
      <c r="I93" s="479">
        <v>7959</v>
      </c>
      <c r="J93" s="479">
        <v>16945</v>
      </c>
      <c r="K93" s="478">
        <v>3.459287663901293E-3</v>
      </c>
      <c r="L93" s="471">
        <v>3.4933065559862326E-3</v>
      </c>
      <c r="M93" s="479">
        <v>7963</v>
      </c>
      <c r="N93" s="479">
        <v>16956</v>
      </c>
      <c r="O93" s="478">
        <v>3.4462797444951509E-3</v>
      </c>
      <c r="P93" s="478">
        <v>3.4559973803576513E-3</v>
      </c>
      <c r="Q93" s="479">
        <v>7924</v>
      </c>
      <c r="R93" s="479">
        <v>16971</v>
      </c>
      <c r="S93" s="478">
        <v>3.4431347496372785E-3</v>
      </c>
      <c r="T93" s="478">
        <v>3.4358596436790526E-3</v>
      </c>
      <c r="U93" s="479">
        <v>7912</v>
      </c>
      <c r="V93" s="479">
        <v>17008</v>
      </c>
      <c r="W93" s="478">
        <v>3.44011431925271E-3</v>
      </c>
      <c r="X93" s="478">
        <v>3.4358015716412227E-3</v>
      </c>
      <c r="Y93" s="479">
        <v>7901</v>
      </c>
      <c r="Z93" s="479">
        <v>17071</v>
      </c>
      <c r="AA93" s="133">
        <v>3.1945124679800003E-3</v>
      </c>
      <c r="AB93" s="478">
        <v>3.4234723476054829E-3</v>
      </c>
      <c r="AC93" s="479">
        <v>7253</v>
      </c>
      <c r="AD93" s="479">
        <v>17084</v>
      </c>
      <c r="AE93" s="478">
        <v>3.2218809398579266E-3</v>
      </c>
      <c r="AF93" s="478">
        <v>3.4243070226080228E-3</v>
      </c>
      <c r="AG93" s="479">
        <v>7265</v>
      </c>
      <c r="AH93" s="479">
        <v>17130</v>
      </c>
      <c r="AI93" s="478">
        <v>3.1986778976396315E-3</v>
      </c>
      <c r="AJ93" s="478">
        <v>3.4140937553317186E-3</v>
      </c>
      <c r="AK93" s="479">
        <v>7173</v>
      </c>
      <c r="AL93" s="479">
        <v>17129</v>
      </c>
      <c r="AM93" s="478">
        <v>3.1406252581649336E-3</v>
      </c>
      <c r="AN93" s="478">
        <v>3.4033826850969223E-3</v>
      </c>
      <c r="AO93" s="479">
        <v>7033</v>
      </c>
      <c r="AP93" s="479">
        <v>17134</v>
      </c>
      <c r="AQ93" s="478">
        <v>3.139492825708968E-3</v>
      </c>
      <c r="AR93" s="478">
        <v>3.3923260367303208E-3</v>
      </c>
      <c r="AS93" s="479">
        <v>7022</v>
      </c>
      <c r="AT93" s="479">
        <v>17151</v>
      </c>
      <c r="AU93" s="478">
        <v>3.1410361930390845E-3</v>
      </c>
      <c r="AV93" s="478">
        <v>3.3841673643198291E-3</v>
      </c>
      <c r="AW93" s="479">
        <v>7022</v>
      </c>
      <c r="AX93" s="479">
        <v>17192</v>
      </c>
      <c r="AY93" s="478">
        <v>3.1412360990118334E-3</v>
      </c>
      <c r="AZ93" s="478">
        <v>3.3732804011684433E-3</v>
      </c>
      <c r="BA93" s="479">
        <v>7017</v>
      </c>
      <c r="BB93" s="479">
        <v>17233</v>
      </c>
      <c r="BC93" s="478">
        <v>3.1422295673319226E-3</v>
      </c>
      <c r="BD93" s="478">
        <v>3.3567764365108666E-3</v>
      </c>
      <c r="BE93" s="479">
        <v>7014</v>
      </c>
      <c r="BF93" s="479">
        <v>17258</v>
      </c>
      <c r="BG93" s="478">
        <v>3.1444412419803303E-3</v>
      </c>
      <c r="BH93" s="478">
        <v>3.3425718789184349E-3</v>
      </c>
      <c r="BI93" s="479">
        <v>7015</v>
      </c>
      <c r="BJ93" s="479">
        <v>17298</v>
      </c>
    </row>
    <row r="94" spans="1:62">
      <c r="A94" s="461" t="s">
        <v>1311</v>
      </c>
      <c r="B94" s="462" t="s">
        <v>104</v>
      </c>
      <c r="C94" s="478">
        <v>1.0288202545540918E-2</v>
      </c>
      <c r="D94" s="478">
        <v>7.2703551475829659E-3</v>
      </c>
      <c r="E94" s="479">
        <v>23693</v>
      </c>
      <c r="F94" s="479">
        <v>34249</v>
      </c>
      <c r="G94" s="478">
        <v>1.0290785375470552E-2</v>
      </c>
      <c r="H94" s="478">
        <v>7.1906108997120913E-3</v>
      </c>
      <c r="I94" s="479">
        <v>23693</v>
      </c>
      <c r="J94" s="479">
        <v>34381</v>
      </c>
      <c r="K94" s="478">
        <v>1.0256225349371546E-2</v>
      </c>
      <c r="L94" s="471">
        <v>7.0964227601407045E-3</v>
      </c>
      <c r="M94" s="479">
        <v>23609</v>
      </c>
      <c r="N94" s="479">
        <v>34445</v>
      </c>
      <c r="O94" s="478">
        <v>1.024446231468744E-2</v>
      </c>
      <c r="P94" s="478">
        <v>7.0262375590407185E-3</v>
      </c>
      <c r="Q94" s="479">
        <v>23555</v>
      </c>
      <c r="R94" s="479">
        <v>34503</v>
      </c>
      <c r="S94" s="478">
        <v>1.0254553493484938E-2</v>
      </c>
      <c r="T94" s="478">
        <v>7.0428254208362425E-3</v>
      </c>
      <c r="U94" s="479">
        <v>23564</v>
      </c>
      <c r="V94" s="479">
        <v>34863</v>
      </c>
      <c r="W94" s="478">
        <v>1.0269836279991605E-2</v>
      </c>
      <c r="X94" s="478">
        <v>7.0539495918740302E-3</v>
      </c>
      <c r="Y94" s="479">
        <v>23587</v>
      </c>
      <c r="Z94" s="479">
        <v>35048</v>
      </c>
      <c r="AA94" s="133">
        <v>1.0243316761038311E-2</v>
      </c>
      <c r="AB94" s="478">
        <v>7.0272962002943737E-3</v>
      </c>
      <c r="AC94" s="479">
        <v>23257</v>
      </c>
      <c r="AD94" s="479">
        <v>35068</v>
      </c>
      <c r="AE94" s="478">
        <v>1.0293610253963158E-2</v>
      </c>
      <c r="AF94" s="478">
        <v>7.0145320153716002E-3</v>
      </c>
      <c r="AG94" s="479">
        <v>23211</v>
      </c>
      <c r="AH94" s="479">
        <v>35090</v>
      </c>
      <c r="AI94" s="478">
        <v>1.0327363924639095E-2</v>
      </c>
      <c r="AJ94" s="478">
        <v>6.9950154908848539E-3</v>
      </c>
      <c r="AK94" s="479">
        <v>23159</v>
      </c>
      <c r="AL94" s="479">
        <v>35095</v>
      </c>
      <c r="AM94" s="478">
        <v>1.0328830118207722E-2</v>
      </c>
      <c r="AN94" s="478">
        <v>6.9734186953249473E-3</v>
      </c>
      <c r="AO94" s="479">
        <v>23130</v>
      </c>
      <c r="AP94" s="479">
        <v>35107</v>
      </c>
      <c r="AQ94" s="478">
        <v>1.0322055093583443E-2</v>
      </c>
      <c r="AR94" s="478">
        <v>6.9415009188415018E-3</v>
      </c>
      <c r="AS94" s="479">
        <v>23087</v>
      </c>
      <c r="AT94" s="479">
        <v>35095</v>
      </c>
      <c r="AU94" s="478">
        <v>1.0317288492231057E-2</v>
      </c>
      <c r="AV94" s="478">
        <v>6.9161656785352021E-3</v>
      </c>
      <c r="AW94" s="479">
        <v>23065</v>
      </c>
      <c r="AX94" s="479">
        <v>35135</v>
      </c>
      <c r="AY94" s="478">
        <v>1.028590307068475E-2</v>
      </c>
      <c r="AZ94" s="478">
        <v>6.8722293462671448E-3</v>
      </c>
      <c r="BA94" s="479">
        <v>22977</v>
      </c>
      <c r="BB94" s="479">
        <v>35108</v>
      </c>
      <c r="BC94" s="478">
        <v>1.0268021340639815E-2</v>
      </c>
      <c r="BD94" s="478">
        <v>6.8411485006930235E-3</v>
      </c>
      <c r="BE94" s="479">
        <v>22920</v>
      </c>
      <c r="BF94" s="479">
        <v>35172</v>
      </c>
      <c r="BG94" s="478">
        <v>1.0252716254856178E-2</v>
      </c>
      <c r="BH94" s="478">
        <v>6.793161891743415E-3</v>
      </c>
      <c r="BI94" s="479">
        <v>22873</v>
      </c>
      <c r="BJ94" s="479">
        <v>35155</v>
      </c>
    </row>
    <row r="95" spans="1:62">
      <c r="A95" s="461" t="s">
        <v>1312</v>
      </c>
      <c r="B95" s="462" t="s">
        <v>104</v>
      </c>
      <c r="C95" s="478">
        <v>2.0756176156538043E-4</v>
      </c>
      <c r="D95" s="478">
        <v>1.9699522838497453E-4</v>
      </c>
      <c r="E95" s="479">
        <v>478</v>
      </c>
      <c r="F95" s="479">
        <v>928</v>
      </c>
      <c r="G95" s="478">
        <v>2.0587651491888075E-4</v>
      </c>
      <c r="H95" s="478">
        <v>1.9429561460785122E-4</v>
      </c>
      <c r="I95" s="479">
        <v>474</v>
      </c>
      <c r="J95" s="479">
        <v>929</v>
      </c>
      <c r="K95" s="478">
        <v>2.0504631136021727E-4</v>
      </c>
      <c r="L95" s="471">
        <v>1.9160032419598941E-4</v>
      </c>
      <c r="M95" s="479">
        <v>472</v>
      </c>
      <c r="N95" s="479">
        <v>930</v>
      </c>
      <c r="O95" s="478">
        <v>2.0006167118472606E-4</v>
      </c>
      <c r="P95" s="478">
        <v>1.8877553306178438E-4</v>
      </c>
      <c r="Q95" s="479">
        <v>460</v>
      </c>
      <c r="R95" s="479">
        <v>927</v>
      </c>
      <c r="S95" s="478">
        <v>1.9626564359029482E-4</v>
      </c>
      <c r="T95" s="478">
        <v>1.864592221963644E-4</v>
      </c>
      <c r="U95" s="479">
        <v>451</v>
      </c>
      <c r="V95" s="479">
        <v>923</v>
      </c>
      <c r="W95" s="478">
        <v>1.9244785838624199E-4</v>
      </c>
      <c r="X95" s="478">
        <v>1.8556669492432822E-4</v>
      </c>
      <c r="Y95" s="479">
        <v>442</v>
      </c>
      <c r="Z95" s="479">
        <v>922</v>
      </c>
      <c r="AA95" s="133">
        <v>1.8894882790065079E-4</v>
      </c>
      <c r="AB95" s="478">
        <v>1.8516087855229843E-4</v>
      </c>
      <c r="AC95" s="479">
        <v>429</v>
      </c>
      <c r="AD95" s="479">
        <v>924</v>
      </c>
      <c r="AE95" s="478">
        <v>1.8005280957774511E-4</v>
      </c>
      <c r="AF95" s="478">
        <v>1.851084823663181E-4</v>
      </c>
      <c r="AG95" s="479">
        <v>406</v>
      </c>
      <c r="AH95" s="479">
        <v>926</v>
      </c>
      <c r="AI95" s="478">
        <v>1.7168423122699821E-4</v>
      </c>
      <c r="AJ95" s="478">
        <v>1.8357057321854824E-4</v>
      </c>
      <c r="AK95" s="479">
        <v>385</v>
      </c>
      <c r="AL95" s="479">
        <v>921</v>
      </c>
      <c r="AM95" s="478">
        <v>1.6835144637113321E-4</v>
      </c>
      <c r="AN95" s="478">
        <v>1.8174945470197758E-4</v>
      </c>
      <c r="AO95" s="479">
        <v>377</v>
      </c>
      <c r="AP95" s="479">
        <v>915</v>
      </c>
      <c r="AQ95" s="478">
        <v>1.6497762071868542E-4</v>
      </c>
      <c r="AR95" s="478">
        <v>1.8078164524351425E-4</v>
      </c>
      <c r="AS95" s="479">
        <v>369</v>
      </c>
      <c r="AT95" s="479">
        <v>914</v>
      </c>
      <c r="AU95" s="478">
        <v>1.6461140971779878E-4</v>
      </c>
      <c r="AV95" s="478">
        <v>1.7971991645090763E-4</v>
      </c>
      <c r="AW95" s="479">
        <v>368</v>
      </c>
      <c r="AX95" s="479">
        <v>913</v>
      </c>
      <c r="AY95" s="478">
        <v>1.6205322329233059E-4</v>
      </c>
      <c r="AZ95" s="478">
        <v>1.7891129151441753E-4</v>
      </c>
      <c r="BA95" s="479">
        <v>362</v>
      </c>
      <c r="BB95" s="479">
        <v>914</v>
      </c>
      <c r="BC95" s="478">
        <v>1.6172581605457999E-4</v>
      </c>
      <c r="BD95" s="478">
        <v>1.7816706546783831E-4</v>
      </c>
      <c r="BE95" s="479">
        <v>361</v>
      </c>
      <c r="BF95" s="479">
        <v>916</v>
      </c>
      <c r="BG95" s="478">
        <v>1.6585078539311791E-4</v>
      </c>
      <c r="BH95" s="478">
        <v>1.8106080763941344E-4</v>
      </c>
      <c r="BI95" s="479">
        <v>370</v>
      </c>
      <c r="BJ95" s="479">
        <v>937</v>
      </c>
    </row>
    <row r="96" spans="1:62">
      <c r="A96" s="461" t="s">
        <v>1313</v>
      </c>
      <c r="B96" s="462" t="s">
        <v>104</v>
      </c>
      <c r="C96" s="478">
        <v>6.7870090654119169E-4</v>
      </c>
      <c r="D96" s="478">
        <v>7.4722328008093792E-4</v>
      </c>
      <c r="E96" s="479">
        <v>1563</v>
      </c>
      <c r="F96" s="479">
        <v>3520</v>
      </c>
      <c r="G96" s="478">
        <v>6.7843695422635389E-4</v>
      </c>
      <c r="H96" s="478">
        <v>7.3681749221039805E-4</v>
      </c>
      <c r="I96" s="479">
        <v>1562</v>
      </c>
      <c r="J96" s="479">
        <v>3523</v>
      </c>
      <c r="K96" s="478">
        <v>6.7248239403732281E-4</v>
      </c>
      <c r="L96" s="471">
        <v>7.2519692598912121E-4</v>
      </c>
      <c r="M96" s="479">
        <v>1548</v>
      </c>
      <c r="N96" s="479">
        <v>3520</v>
      </c>
      <c r="O96" s="478">
        <v>6.7629543193967179E-4</v>
      </c>
      <c r="P96" s="478">
        <v>7.1865033028590836E-4</v>
      </c>
      <c r="Q96" s="479">
        <v>1555</v>
      </c>
      <c r="R96" s="479">
        <v>3529</v>
      </c>
      <c r="S96" s="478">
        <v>6.7539751408456224E-4</v>
      </c>
      <c r="T96" s="478">
        <v>7.1452466837328371E-4</v>
      </c>
      <c r="U96" s="479">
        <v>1552</v>
      </c>
      <c r="V96" s="479">
        <v>3537</v>
      </c>
      <c r="W96" s="478">
        <v>6.726966995627689E-4</v>
      </c>
      <c r="X96" s="478">
        <v>7.2173770932607495E-4</v>
      </c>
      <c r="Y96" s="479">
        <v>1545</v>
      </c>
      <c r="Z96" s="479">
        <v>3586</v>
      </c>
      <c r="AA96" s="133">
        <v>6.6638595947245843E-4</v>
      </c>
      <c r="AB96" s="478">
        <v>7.1940211472159242E-4</v>
      </c>
      <c r="AC96" s="479">
        <v>1513</v>
      </c>
      <c r="AD96" s="479">
        <v>3590</v>
      </c>
      <c r="AE96" s="478">
        <v>6.6610669947234774E-4</v>
      </c>
      <c r="AF96" s="478">
        <v>7.1884460322816398E-4</v>
      </c>
      <c r="AG96" s="479">
        <v>1502</v>
      </c>
      <c r="AH96" s="479">
        <v>3596</v>
      </c>
      <c r="AI96" s="478">
        <v>6.7068333445559824E-4</v>
      </c>
      <c r="AJ96" s="478">
        <v>7.1753969987706158E-4</v>
      </c>
      <c r="AK96" s="479">
        <v>1504</v>
      </c>
      <c r="AL96" s="479">
        <v>3600</v>
      </c>
      <c r="AM96" s="478">
        <v>6.711730076812022E-4</v>
      </c>
      <c r="AN96" s="478">
        <v>7.1587435491358162E-4</v>
      </c>
      <c r="AO96" s="479">
        <v>1503</v>
      </c>
      <c r="AP96" s="479">
        <v>3604</v>
      </c>
      <c r="AQ96" s="478">
        <v>6.7019364080571668E-4</v>
      </c>
      <c r="AR96" s="478">
        <v>7.1323699425395229E-4</v>
      </c>
      <c r="AS96" s="479">
        <v>1499</v>
      </c>
      <c r="AT96" s="479">
        <v>3606</v>
      </c>
      <c r="AU96" s="478">
        <v>6.687338519785576E-4</v>
      </c>
      <c r="AV96" s="478">
        <v>7.098247740656877E-4</v>
      </c>
      <c r="AW96" s="479">
        <v>1495</v>
      </c>
      <c r="AX96" s="479">
        <v>3606</v>
      </c>
      <c r="AY96" s="478">
        <v>6.6611932668228708E-4</v>
      </c>
      <c r="AZ96" s="478">
        <v>7.0194298837057028E-4</v>
      </c>
      <c r="BA96" s="479">
        <v>1488</v>
      </c>
      <c r="BB96" s="479">
        <v>3586</v>
      </c>
      <c r="BC96" s="478">
        <v>6.6661499803106659E-4</v>
      </c>
      <c r="BD96" s="478">
        <v>7.0060891901217639E-4</v>
      </c>
      <c r="BE96" s="479">
        <v>1488</v>
      </c>
      <c r="BF96" s="479">
        <v>3602</v>
      </c>
      <c r="BG96" s="478">
        <v>6.5936893327912555E-4</v>
      </c>
      <c r="BH96" s="478">
        <v>6.9564451174160984E-4</v>
      </c>
      <c r="BI96" s="479">
        <v>1471</v>
      </c>
      <c r="BJ96" s="479">
        <v>3600</v>
      </c>
    </row>
    <row r="97" spans="1:62">
      <c r="A97" s="461" t="s">
        <v>1314</v>
      </c>
      <c r="B97" s="462" t="s">
        <v>104</v>
      </c>
      <c r="C97" s="478">
        <v>5.6297871102409152E-3</v>
      </c>
      <c r="D97" s="478">
        <v>3.3754538001610776E-3</v>
      </c>
      <c r="E97" s="479">
        <v>12965</v>
      </c>
      <c r="F97" s="479">
        <v>15901</v>
      </c>
      <c r="G97" s="478">
        <v>5.6259883918655324E-3</v>
      </c>
      <c r="H97" s="478">
        <v>3.337534357278891E-3</v>
      </c>
      <c r="I97" s="479">
        <v>12953</v>
      </c>
      <c r="J97" s="479">
        <v>15958</v>
      </c>
      <c r="K97" s="478">
        <v>5.6205279160561252E-3</v>
      </c>
      <c r="L97" s="471">
        <v>3.3010881662283208E-3</v>
      </c>
      <c r="M97" s="479">
        <v>12938</v>
      </c>
      <c r="N97" s="479">
        <v>16023</v>
      </c>
      <c r="O97" s="478">
        <v>5.6147742934669863E-3</v>
      </c>
      <c r="P97" s="478">
        <v>3.2684436954062992E-3</v>
      </c>
      <c r="Q97" s="479">
        <v>12910</v>
      </c>
      <c r="R97" s="479">
        <v>16050</v>
      </c>
      <c r="S97" s="478">
        <v>5.6116307629641947E-3</v>
      </c>
      <c r="T97" s="478">
        <v>3.2518245933855663E-3</v>
      </c>
      <c r="U97" s="479">
        <v>12895</v>
      </c>
      <c r="V97" s="479">
        <v>16097</v>
      </c>
      <c r="W97" s="478">
        <v>5.6123368656078258E-3</v>
      </c>
      <c r="X97" s="478">
        <v>3.2468133649883549E-3</v>
      </c>
      <c r="Y97" s="479">
        <v>12890</v>
      </c>
      <c r="Z97" s="479">
        <v>16132</v>
      </c>
      <c r="AA97" s="133">
        <v>5.5416180714358701E-3</v>
      </c>
      <c r="AB97" s="478">
        <v>3.241718108593649E-3</v>
      </c>
      <c r="AC97" s="479">
        <v>12582</v>
      </c>
      <c r="AD97" s="479">
        <v>16177</v>
      </c>
      <c r="AE97" s="478">
        <v>5.5634544240217056E-3</v>
      </c>
      <c r="AF97" s="478">
        <v>3.2373994297219453E-3</v>
      </c>
      <c r="AG97" s="479">
        <v>12545</v>
      </c>
      <c r="AH97" s="479">
        <v>16195</v>
      </c>
      <c r="AI97" s="478">
        <v>5.5969059380001421E-3</v>
      </c>
      <c r="AJ97" s="478">
        <v>3.2327156645294616E-3</v>
      </c>
      <c r="AK97" s="479">
        <v>12551</v>
      </c>
      <c r="AL97" s="479">
        <v>16219</v>
      </c>
      <c r="AM97" s="478">
        <v>5.601146397435342E-3</v>
      </c>
      <c r="AN97" s="478">
        <v>3.2242154630846994E-3</v>
      </c>
      <c r="AO97" s="479">
        <v>12543</v>
      </c>
      <c r="AP97" s="479">
        <v>16232</v>
      </c>
      <c r="AQ97" s="478">
        <v>5.6020856032659308E-3</v>
      </c>
      <c r="AR97" s="478">
        <v>3.2160936013780547E-3</v>
      </c>
      <c r="AS97" s="479">
        <v>12530</v>
      </c>
      <c r="AT97" s="479">
        <v>16260</v>
      </c>
      <c r="AU97" s="478">
        <v>5.6003664393120675E-3</v>
      </c>
      <c r="AV97" s="478">
        <v>3.2034632205061014E-3</v>
      </c>
      <c r="AW97" s="479">
        <v>12520</v>
      </c>
      <c r="AX97" s="479">
        <v>16274</v>
      </c>
      <c r="AY97" s="478">
        <v>5.5988940986662393E-3</v>
      </c>
      <c r="AZ97" s="478">
        <v>3.1857563122507059E-3</v>
      </c>
      <c r="BA97" s="479">
        <v>12507</v>
      </c>
      <c r="BB97" s="479">
        <v>16275</v>
      </c>
      <c r="BC97" s="478">
        <v>5.612020215279013E-3</v>
      </c>
      <c r="BD97" s="478">
        <v>3.1780258544530679E-3</v>
      </c>
      <c r="BE97" s="479">
        <v>12527</v>
      </c>
      <c r="BF97" s="479">
        <v>16339</v>
      </c>
      <c r="BG97" s="478">
        <v>5.6124802267762952E-3</v>
      </c>
      <c r="BH97" s="478">
        <v>3.1761968998602333E-3</v>
      </c>
      <c r="BI97" s="479">
        <v>12521</v>
      </c>
      <c r="BJ97" s="479">
        <v>16437</v>
      </c>
    </row>
    <row r="98" spans="1:62">
      <c r="A98" s="461" t="s">
        <v>1315</v>
      </c>
      <c r="B98" s="462" t="s">
        <v>104</v>
      </c>
      <c r="C98" s="478">
        <v>1.685245181245275E-3</v>
      </c>
      <c r="D98" s="478">
        <v>2.7980539928258072E-3</v>
      </c>
      <c r="E98" s="479">
        <v>3881</v>
      </c>
      <c r="F98" s="479">
        <v>13181</v>
      </c>
      <c r="G98" s="478">
        <v>1.6817592104765955E-3</v>
      </c>
      <c r="H98" s="478">
        <v>2.7561115277742339E-3</v>
      </c>
      <c r="I98" s="479">
        <v>3872</v>
      </c>
      <c r="J98" s="479">
        <v>13178</v>
      </c>
      <c r="K98" s="478">
        <v>1.6777306238838117E-3</v>
      </c>
      <c r="L98" s="471">
        <v>2.7227848221227915E-3</v>
      </c>
      <c r="M98" s="479">
        <v>3862</v>
      </c>
      <c r="N98" s="479">
        <v>13216</v>
      </c>
      <c r="O98" s="478">
        <v>1.6687752876865087E-3</v>
      </c>
      <c r="P98" s="478">
        <v>2.6898986151166235E-3</v>
      </c>
      <c r="Q98" s="479">
        <v>3837</v>
      </c>
      <c r="R98" s="479">
        <v>13209</v>
      </c>
      <c r="S98" s="478">
        <v>1.6628182353847372E-3</v>
      </c>
      <c r="T98" s="478">
        <v>2.6700233366948518E-3</v>
      </c>
      <c r="U98" s="479">
        <v>3821</v>
      </c>
      <c r="V98" s="479">
        <v>13217</v>
      </c>
      <c r="W98" s="478">
        <v>1.6610601351663193E-3</v>
      </c>
      <c r="X98" s="478">
        <v>2.6627411863870526E-3</v>
      </c>
      <c r="Y98" s="479">
        <v>3815</v>
      </c>
      <c r="Z98" s="479">
        <v>13230</v>
      </c>
      <c r="AA98" s="133">
        <v>1.6538527943285402E-3</v>
      </c>
      <c r="AB98" s="478">
        <v>2.6497643907976648E-3</v>
      </c>
      <c r="AC98" s="479">
        <v>3755</v>
      </c>
      <c r="AD98" s="479">
        <v>13223</v>
      </c>
      <c r="AE98" s="478">
        <v>1.6524058337110304E-3</v>
      </c>
      <c r="AF98" s="478">
        <v>2.6486904874230182E-3</v>
      </c>
      <c r="AG98" s="479">
        <v>3726</v>
      </c>
      <c r="AH98" s="479">
        <v>13250</v>
      </c>
      <c r="AI98" s="478">
        <v>1.6548576158010139E-3</v>
      </c>
      <c r="AJ98" s="478">
        <v>2.6425392613805784E-3</v>
      </c>
      <c r="AK98" s="479">
        <v>3711</v>
      </c>
      <c r="AL98" s="479">
        <v>13258</v>
      </c>
      <c r="AM98" s="478">
        <v>1.6424313521300477E-3</v>
      </c>
      <c r="AN98" s="478">
        <v>2.6402336086324436E-3</v>
      </c>
      <c r="AO98" s="479">
        <v>3678</v>
      </c>
      <c r="AP98" s="479">
        <v>13292</v>
      </c>
      <c r="AQ98" s="478">
        <v>1.6421756121943946E-3</v>
      </c>
      <c r="AR98" s="478">
        <v>2.6648480375994175E-3</v>
      </c>
      <c r="AS98" s="479">
        <v>3673</v>
      </c>
      <c r="AT98" s="479">
        <v>13473</v>
      </c>
      <c r="AU98" s="478">
        <v>1.6425355882710793E-3</v>
      </c>
      <c r="AV98" s="478">
        <v>2.655445424888E-3</v>
      </c>
      <c r="AW98" s="479">
        <v>3672</v>
      </c>
      <c r="AX98" s="479">
        <v>13490</v>
      </c>
      <c r="AY98" s="478">
        <v>1.6424676139766875E-3</v>
      </c>
      <c r="AZ98" s="478">
        <v>2.677601265454833E-3</v>
      </c>
      <c r="BA98" s="479">
        <v>3669</v>
      </c>
      <c r="BB98" s="479">
        <v>13679</v>
      </c>
      <c r="BC98" s="478">
        <v>1.6401058520105745E-3</v>
      </c>
      <c r="BD98" s="478">
        <v>2.6777576313272164E-3</v>
      </c>
      <c r="BE98" s="479">
        <v>3661</v>
      </c>
      <c r="BF98" s="479">
        <v>13767</v>
      </c>
      <c r="BG98" s="478">
        <v>1.6392333031963033E-3</v>
      </c>
      <c r="BH98" s="478">
        <v>2.6627726032776066E-3</v>
      </c>
      <c r="BI98" s="479">
        <v>3657</v>
      </c>
      <c r="BJ98" s="479">
        <v>13780</v>
      </c>
    </row>
    <row r="99" spans="1:62">
      <c r="A99" s="461" t="s">
        <v>1316</v>
      </c>
      <c r="B99" s="462" t="s">
        <v>104</v>
      </c>
      <c r="C99" s="478">
        <v>2.6401161303713661E-3</v>
      </c>
      <c r="D99" s="478">
        <v>1.5517619822135386E-3</v>
      </c>
      <c r="E99" s="479">
        <v>6080</v>
      </c>
      <c r="F99" s="479">
        <v>7310</v>
      </c>
      <c r="G99" s="478">
        <v>2.6429506187371082E-3</v>
      </c>
      <c r="H99" s="478">
        <v>1.5290583836361682E-3</v>
      </c>
      <c r="I99" s="479">
        <v>6085</v>
      </c>
      <c r="J99" s="479">
        <v>7311</v>
      </c>
      <c r="K99" s="478">
        <v>2.6460531408794142E-3</v>
      </c>
      <c r="L99" s="471">
        <v>1.5185870856436968E-3</v>
      </c>
      <c r="M99" s="479">
        <v>6091</v>
      </c>
      <c r="N99" s="479">
        <v>7371</v>
      </c>
      <c r="O99" s="478">
        <v>2.6512520598741089E-3</v>
      </c>
      <c r="P99" s="478">
        <v>1.515906222342959E-3</v>
      </c>
      <c r="Q99" s="479">
        <v>6096</v>
      </c>
      <c r="R99" s="479">
        <v>7444</v>
      </c>
      <c r="S99" s="478">
        <v>2.6463223473893187E-3</v>
      </c>
      <c r="T99" s="478">
        <v>1.5090470095415406E-3</v>
      </c>
      <c r="U99" s="479">
        <v>6081</v>
      </c>
      <c r="V99" s="479">
        <v>7470</v>
      </c>
      <c r="W99" s="478">
        <v>2.6520359851371039E-3</v>
      </c>
      <c r="X99" s="478">
        <v>1.5074778145154214E-3</v>
      </c>
      <c r="Y99" s="479">
        <v>6091</v>
      </c>
      <c r="Z99" s="479">
        <v>7490</v>
      </c>
      <c r="AA99" s="133">
        <v>2.6805188032712371E-3</v>
      </c>
      <c r="AB99" s="478">
        <v>1.5009253034163584E-3</v>
      </c>
      <c r="AC99" s="479">
        <v>6086</v>
      </c>
      <c r="AD99" s="479">
        <v>7490</v>
      </c>
      <c r="AE99" s="478">
        <v>2.6985747445334458E-3</v>
      </c>
      <c r="AF99" s="478">
        <v>1.498858964128135E-3</v>
      </c>
      <c r="AG99" s="479">
        <v>6085</v>
      </c>
      <c r="AH99" s="479">
        <v>7498</v>
      </c>
      <c r="AI99" s="478">
        <v>2.6729228103237073E-3</v>
      </c>
      <c r="AJ99" s="478">
        <v>1.4892935104115011E-3</v>
      </c>
      <c r="AK99" s="479">
        <v>5994</v>
      </c>
      <c r="AL99" s="479">
        <v>7472</v>
      </c>
      <c r="AM99" s="478">
        <v>2.6793333639968152E-3</v>
      </c>
      <c r="AN99" s="478">
        <v>1.5014689924505449E-3</v>
      </c>
      <c r="AO99" s="479">
        <v>6000</v>
      </c>
      <c r="AP99" s="479">
        <v>7559</v>
      </c>
      <c r="AQ99" s="478">
        <v>2.6839042199844681E-3</v>
      </c>
      <c r="AR99" s="478">
        <v>1.4982723880958648E-3</v>
      </c>
      <c r="AS99" s="479">
        <v>6003</v>
      </c>
      <c r="AT99" s="479">
        <v>7575</v>
      </c>
      <c r="AU99" s="478">
        <v>2.695511834128955E-3</v>
      </c>
      <c r="AV99" s="478">
        <v>1.5025214920808081E-3</v>
      </c>
      <c r="AW99" s="479">
        <v>6026</v>
      </c>
      <c r="AX99" s="479">
        <v>7633</v>
      </c>
      <c r="AY99" s="478">
        <v>2.6989471912416052E-3</v>
      </c>
      <c r="AZ99" s="478">
        <v>1.4982352573865993E-3</v>
      </c>
      <c r="BA99" s="479">
        <v>6029</v>
      </c>
      <c r="BB99" s="479">
        <v>7654</v>
      </c>
      <c r="BC99" s="478">
        <v>2.7027475020977316E-3</v>
      </c>
      <c r="BD99" s="478">
        <v>1.49516400900794E-3</v>
      </c>
      <c r="BE99" s="479">
        <v>6033</v>
      </c>
      <c r="BF99" s="479">
        <v>7687</v>
      </c>
      <c r="BG99" s="478">
        <v>2.7132291999582233E-3</v>
      </c>
      <c r="BH99" s="478">
        <v>1.4898386626466143E-3</v>
      </c>
      <c r="BI99" s="479">
        <v>6053</v>
      </c>
      <c r="BJ99" s="479">
        <v>7710</v>
      </c>
    </row>
    <row r="100" spans="1:62">
      <c r="A100" s="461" t="s">
        <v>1317</v>
      </c>
      <c r="B100" s="462" t="s">
        <v>104</v>
      </c>
      <c r="C100" s="478">
        <v>5.408330000620948E-3</v>
      </c>
      <c r="D100" s="478">
        <v>3.2758947892639299E-3</v>
      </c>
      <c r="E100" s="479">
        <v>12455</v>
      </c>
      <c r="F100" s="479">
        <v>15432</v>
      </c>
      <c r="G100" s="478">
        <v>5.3944858972415589E-3</v>
      </c>
      <c r="H100" s="478">
        <v>3.2335893406372309E-3</v>
      </c>
      <c r="I100" s="479">
        <v>12420</v>
      </c>
      <c r="J100" s="479">
        <v>15461</v>
      </c>
      <c r="K100" s="478">
        <v>5.3716051694260311E-3</v>
      </c>
      <c r="L100" s="471">
        <v>3.1910724962061075E-3</v>
      </c>
      <c r="M100" s="479">
        <v>12365</v>
      </c>
      <c r="N100" s="479">
        <v>15489</v>
      </c>
      <c r="O100" s="478">
        <v>5.3638273711331015E-3</v>
      </c>
      <c r="P100" s="478">
        <v>3.1715104119786732E-3</v>
      </c>
      <c r="Q100" s="479">
        <v>12333</v>
      </c>
      <c r="R100" s="479">
        <v>15574</v>
      </c>
      <c r="S100" s="478">
        <v>5.355745622318755E-3</v>
      </c>
      <c r="T100" s="478">
        <v>3.1653624621829184E-3</v>
      </c>
      <c r="U100" s="479">
        <v>12307</v>
      </c>
      <c r="V100" s="479">
        <v>15669</v>
      </c>
      <c r="W100" s="478">
        <v>5.3428227833881795E-3</v>
      </c>
      <c r="X100" s="478">
        <v>3.1574515292547302E-3</v>
      </c>
      <c r="Y100" s="479">
        <v>12271</v>
      </c>
      <c r="Z100" s="479">
        <v>15688</v>
      </c>
      <c r="AA100" s="133">
        <v>5.282198818210967E-3</v>
      </c>
      <c r="AB100" s="478">
        <v>3.1463322014606467E-3</v>
      </c>
      <c r="AC100" s="479">
        <v>11993</v>
      </c>
      <c r="AD100" s="479">
        <v>15701</v>
      </c>
      <c r="AE100" s="478">
        <v>5.3097839632372966E-3</v>
      </c>
      <c r="AF100" s="478">
        <v>3.1408471651615442E-3</v>
      </c>
      <c r="AG100" s="479">
        <v>11973</v>
      </c>
      <c r="AH100" s="479">
        <v>15712</v>
      </c>
      <c r="AI100" s="478">
        <v>5.3338054278081184E-3</v>
      </c>
      <c r="AJ100" s="478">
        <v>3.1334560060464678E-3</v>
      </c>
      <c r="AK100" s="479">
        <v>11961</v>
      </c>
      <c r="AL100" s="479">
        <v>15721</v>
      </c>
      <c r="AM100" s="478">
        <v>5.3372320610816561E-3</v>
      </c>
      <c r="AN100" s="478">
        <v>3.1235083881842596E-3</v>
      </c>
      <c r="AO100" s="479">
        <v>11952</v>
      </c>
      <c r="AP100" s="479">
        <v>15725</v>
      </c>
      <c r="AQ100" s="478">
        <v>5.3262287144219501E-3</v>
      </c>
      <c r="AR100" s="478">
        <v>3.1160109837705947E-3</v>
      </c>
      <c r="AS100" s="479">
        <v>11913</v>
      </c>
      <c r="AT100" s="479">
        <v>15754</v>
      </c>
      <c r="AU100" s="478">
        <v>5.3279524487736454E-3</v>
      </c>
      <c r="AV100" s="478">
        <v>3.1042531023338588E-3</v>
      </c>
      <c r="AW100" s="479">
        <v>11911</v>
      </c>
      <c r="AX100" s="479">
        <v>15770</v>
      </c>
      <c r="AY100" s="478">
        <v>5.3253733267557037E-3</v>
      </c>
      <c r="AZ100" s="478">
        <v>3.107262408643177E-3</v>
      </c>
      <c r="BA100" s="479">
        <v>11896</v>
      </c>
      <c r="BB100" s="479">
        <v>15874</v>
      </c>
      <c r="BC100" s="478">
        <v>5.3230641173421592E-3</v>
      </c>
      <c r="BD100" s="478">
        <v>3.1054752917680202E-3</v>
      </c>
      <c r="BE100" s="479">
        <v>11882</v>
      </c>
      <c r="BF100" s="479">
        <v>15966</v>
      </c>
      <c r="BG100" s="478">
        <v>5.31619003989832E-3</v>
      </c>
      <c r="BH100" s="478">
        <v>3.084217236641065E-3</v>
      </c>
      <c r="BI100" s="479">
        <v>11860</v>
      </c>
      <c r="BJ100" s="479">
        <v>15961</v>
      </c>
    </row>
    <row r="101" spans="1:62">
      <c r="A101" s="461" t="s">
        <v>1318</v>
      </c>
      <c r="B101" s="462" t="s">
        <v>104</v>
      </c>
      <c r="C101" s="478">
        <v>1.7868549138944361E-3</v>
      </c>
      <c r="D101" s="478">
        <v>1.0620335426832193E-3</v>
      </c>
      <c r="E101" s="479">
        <v>4115</v>
      </c>
      <c r="F101" s="479">
        <v>5003</v>
      </c>
      <c r="G101" s="478">
        <v>1.7803540815453421E-3</v>
      </c>
      <c r="H101" s="478">
        <v>1.045515368594885E-3</v>
      </c>
      <c r="I101" s="479">
        <v>4099</v>
      </c>
      <c r="J101" s="479">
        <v>4999</v>
      </c>
      <c r="K101" s="478">
        <v>1.7806881997151072E-3</v>
      </c>
      <c r="L101" s="471">
        <v>1.0311393791407816E-3</v>
      </c>
      <c r="M101" s="479">
        <v>4099</v>
      </c>
      <c r="N101" s="479">
        <v>5005</v>
      </c>
      <c r="O101" s="478">
        <v>1.7809837902205505E-3</v>
      </c>
      <c r="P101" s="478">
        <v>1.0208540962661544E-3</v>
      </c>
      <c r="Q101" s="479">
        <v>4095</v>
      </c>
      <c r="R101" s="479">
        <v>5013</v>
      </c>
      <c r="S101" s="478">
        <v>1.7772702625781908E-3</v>
      </c>
      <c r="T101" s="478">
        <v>1.0141119127039537E-3</v>
      </c>
      <c r="U101" s="479">
        <v>4084</v>
      </c>
      <c r="V101" s="479">
        <v>5020</v>
      </c>
      <c r="W101" s="478">
        <v>1.7751355625355398E-3</v>
      </c>
      <c r="X101" s="478">
        <v>1.011559879272965E-3</v>
      </c>
      <c r="Y101" s="479">
        <v>4077</v>
      </c>
      <c r="Z101" s="479">
        <v>5026</v>
      </c>
      <c r="AA101" s="133">
        <v>1.7089078141131122E-3</v>
      </c>
      <c r="AB101" s="478">
        <v>1.0083653039774521E-3</v>
      </c>
      <c r="AC101" s="479">
        <v>3880</v>
      </c>
      <c r="AD101" s="479">
        <v>5032</v>
      </c>
      <c r="AE101" s="478">
        <v>1.7167104085602249E-3</v>
      </c>
      <c r="AF101" s="478">
        <v>1.0073019898961953E-3</v>
      </c>
      <c r="AG101" s="479">
        <v>3871</v>
      </c>
      <c r="AH101" s="479">
        <v>5039</v>
      </c>
      <c r="AI101" s="478">
        <v>1.7092614501119068E-3</v>
      </c>
      <c r="AJ101" s="478">
        <v>1.0033596803280911E-3</v>
      </c>
      <c r="AK101" s="479">
        <v>3833</v>
      </c>
      <c r="AL101" s="479">
        <v>5034</v>
      </c>
      <c r="AM101" s="478">
        <v>1.7076284639873035E-3</v>
      </c>
      <c r="AN101" s="478">
        <v>1.0003172173542723E-3</v>
      </c>
      <c r="AO101" s="479">
        <v>3824</v>
      </c>
      <c r="AP101" s="479">
        <v>5036</v>
      </c>
      <c r="AQ101" s="478">
        <v>1.7070042165418455E-3</v>
      </c>
      <c r="AR101" s="478">
        <v>9.9588138271454528E-4</v>
      </c>
      <c r="AS101" s="479">
        <v>3818</v>
      </c>
      <c r="AT101" s="479">
        <v>5035</v>
      </c>
      <c r="AU101" s="478">
        <v>1.7096326302756168E-3</v>
      </c>
      <c r="AV101" s="478">
        <v>9.9525070928344907E-4</v>
      </c>
      <c r="AW101" s="479">
        <v>3822</v>
      </c>
      <c r="AX101" s="479">
        <v>5056</v>
      </c>
      <c r="AY101" s="478">
        <v>1.7055877921098883E-3</v>
      </c>
      <c r="AZ101" s="478">
        <v>9.8968871979966634E-4</v>
      </c>
      <c r="BA101" s="479">
        <v>3810</v>
      </c>
      <c r="BB101" s="479">
        <v>5056</v>
      </c>
      <c r="BC101" s="478">
        <v>1.7050649748025803E-3</v>
      </c>
      <c r="BD101" s="478">
        <v>9.8614303703268582E-4</v>
      </c>
      <c r="BE101" s="479">
        <v>3806</v>
      </c>
      <c r="BF101" s="479">
        <v>5070</v>
      </c>
      <c r="BG101" s="478">
        <v>1.7069183534513324E-3</v>
      </c>
      <c r="BH101" s="478">
        <v>9.7969935403610046E-4</v>
      </c>
      <c r="BI101" s="479">
        <v>3808</v>
      </c>
      <c r="BJ101" s="479">
        <v>5070</v>
      </c>
    </row>
    <row r="102" spans="1:62">
      <c r="A102" s="461" t="s">
        <v>1319</v>
      </c>
      <c r="B102" s="462" t="s">
        <v>104</v>
      </c>
      <c r="C102" s="478">
        <v>3.8216549446378938E-3</v>
      </c>
      <c r="D102" s="478">
        <v>1.3479525869846441E-2</v>
      </c>
      <c r="E102" s="479">
        <v>8801</v>
      </c>
      <c r="F102" s="479">
        <v>63499</v>
      </c>
      <c r="G102" s="478">
        <v>3.8061094941648776E-3</v>
      </c>
      <c r="H102" s="478">
        <v>1.3482526152524358E-2</v>
      </c>
      <c r="I102" s="479">
        <v>8763</v>
      </c>
      <c r="J102" s="479">
        <v>64465</v>
      </c>
      <c r="K102" s="478">
        <v>3.8233317505959158E-3</v>
      </c>
      <c r="L102" s="471">
        <v>1.3984557425913511E-2</v>
      </c>
      <c r="M102" s="479">
        <v>8801</v>
      </c>
      <c r="N102" s="479">
        <v>67879</v>
      </c>
      <c r="O102" s="478">
        <v>3.8190033362458255E-3</v>
      </c>
      <c r="P102" s="478">
        <v>1.3892616656966551E-2</v>
      </c>
      <c r="Q102" s="479">
        <v>8781</v>
      </c>
      <c r="R102" s="479">
        <v>68221</v>
      </c>
      <c r="S102" s="478">
        <v>3.8387122884922186E-3</v>
      </c>
      <c r="T102" s="478">
        <v>1.3878990186952137E-2</v>
      </c>
      <c r="U102" s="479">
        <v>8821</v>
      </c>
      <c r="V102" s="479">
        <v>68703</v>
      </c>
      <c r="W102" s="478">
        <v>3.8280578527869671E-3</v>
      </c>
      <c r="X102" s="478">
        <v>1.3870607282104045E-2</v>
      </c>
      <c r="Y102" s="479">
        <v>8792</v>
      </c>
      <c r="Z102" s="479">
        <v>68917</v>
      </c>
      <c r="AA102" s="133">
        <v>3.8736711920424795E-3</v>
      </c>
      <c r="AB102" s="478">
        <v>1.3854201839384961E-2</v>
      </c>
      <c r="AC102" s="479">
        <v>8795</v>
      </c>
      <c r="AD102" s="479">
        <v>69136</v>
      </c>
      <c r="AE102" s="478">
        <v>3.8964137560346516E-3</v>
      </c>
      <c r="AF102" s="478">
        <v>1.3843955548376882E-2</v>
      </c>
      <c r="AG102" s="479">
        <v>8786</v>
      </c>
      <c r="AH102" s="479">
        <v>69254</v>
      </c>
      <c r="AI102" s="478">
        <v>3.8613344368690324E-3</v>
      </c>
      <c r="AJ102" s="478">
        <v>1.3890572006703416E-2</v>
      </c>
      <c r="AK102" s="479">
        <v>8659</v>
      </c>
      <c r="AL102" s="479">
        <v>69691</v>
      </c>
      <c r="AM102" s="478">
        <v>3.9287958227406635E-3</v>
      </c>
      <c r="AN102" s="478">
        <v>1.5609795242852033E-2</v>
      </c>
      <c r="AO102" s="479">
        <v>8798</v>
      </c>
      <c r="AP102" s="479">
        <v>78586</v>
      </c>
      <c r="AQ102" s="478">
        <v>3.9254837666939241E-3</v>
      </c>
      <c r="AR102" s="478">
        <v>1.561842651532698E-2</v>
      </c>
      <c r="AS102" s="479">
        <v>8780</v>
      </c>
      <c r="AT102" s="479">
        <v>78964</v>
      </c>
      <c r="AU102" s="478">
        <v>3.9251769572654464E-3</v>
      </c>
      <c r="AV102" s="478">
        <v>1.5659057342464075E-2</v>
      </c>
      <c r="AW102" s="479">
        <v>8775</v>
      </c>
      <c r="AX102" s="479">
        <v>79550</v>
      </c>
      <c r="AY102" s="478">
        <v>3.9286715127444562E-3</v>
      </c>
      <c r="AZ102" s="478">
        <v>1.5779232079068613E-2</v>
      </c>
      <c r="BA102" s="479">
        <v>8776</v>
      </c>
      <c r="BB102" s="479">
        <v>80611</v>
      </c>
      <c r="BC102" s="478">
        <v>3.9365228411955529E-3</v>
      </c>
      <c r="BD102" s="478">
        <v>1.5943618293011688E-2</v>
      </c>
      <c r="BE102" s="479">
        <v>8787</v>
      </c>
      <c r="BF102" s="479">
        <v>81970</v>
      </c>
      <c r="BG102" s="478">
        <v>3.926629405523548E-3</v>
      </c>
      <c r="BH102" s="478">
        <v>1.5916926132407815E-2</v>
      </c>
      <c r="BI102" s="479">
        <v>8760</v>
      </c>
      <c r="BJ102" s="479">
        <v>82371</v>
      </c>
    </row>
    <row r="103" spans="1:62">
      <c r="A103" s="461" t="s">
        <v>1320</v>
      </c>
      <c r="B103" s="462" t="s">
        <v>104</v>
      </c>
      <c r="C103" s="478">
        <v>2.3483138212250575E-3</v>
      </c>
      <c r="D103" s="478">
        <v>2.1905105190781812E-3</v>
      </c>
      <c r="E103" s="479">
        <v>5408</v>
      </c>
      <c r="F103" s="479">
        <v>10319</v>
      </c>
      <c r="G103" s="478">
        <v>2.3428226191401745E-3</v>
      </c>
      <c r="H103" s="478">
        <v>2.1638131633292018E-3</v>
      </c>
      <c r="I103" s="479">
        <v>5394</v>
      </c>
      <c r="J103" s="479">
        <v>10346</v>
      </c>
      <c r="K103" s="478">
        <v>2.3350083126295927E-3</v>
      </c>
      <c r="L103" s="471">
        <v>2.1368586694202173E-3</v>
      </c>
      <c r="M103" s="479">
        <v>5375</v>
      </c>
      <c r="N103" s="479">
        <v>10372</v>
      </c>
      <c r="O103" s="478">
        <v>2.3324581360080129E-3</v>
      </c>
      <c r="P103" s="478">
        <v>2.1121681002339025E-3</v>
      </c>
      <c r="Q103" s="479">
        <v>5363</v>
      </c>
      <c r="R103" s="479">
        <v>10372</v>
      </c>
      <c r="S103" s="478">
        <v>2.318632702991332E-3</v>
      </c>
      <c r="T103" s="478">
        <v>2.0890301373050965E-3</v>
      </c>
      <c r="U103" s="479">
        <v>5328</v>
      </c>
      <c r="V103" s="479">
        <v>10341</v>
      </c>
      <c r="W103" s="478">
        <v>2.3085034958458257E-3</v>
      </c>
      <c r="X103" s="478">
        <v>2.0824930503058831E-3</v>
      </c>
      <c r="Y103" s="479">
        <v>5302</v>
      </c>
      <c r="Z103" s="479">
        <v>10347</v>
      </c>
      <c r="AA103" s="133">
        <v>2.289848382879915E-3</v>
      </c>
      <c r="AB103" s="478">
        <v>2.0984899569260491E-3</v>
      </c>
      <c r="AC103" s="479">
        <v>5199</v>
      </c>
      <c r="AD103" s="479">
        <v>10472</v>
      </c>
      <c r="AE103" s="478">
        <v>2.3038776989073545E-3</v>
      </c>
      <c r="AF103" s="478">
        <v>2.0883675111025108E-3</v>
      </c>
      <c r="AG103" s="479">
        <v>5195</v>
      </c>
      <c r="AH103" s="479">
        <v>10447</v>
      </c>
      <c r="AI103" s="478">
        <v>2.2961093677605553E-3</v>
      </c>
      <c r="AJ103" s="478">
        <v>2.081463079393376E-3</v>
      </c>
      <c r="AK103" s="479">
        <v>5149</v>
      </c>
      <c r="AL103" s="479">
        <v>10443</v>
      </c>
      <c r="AM103" s="478">
        <v>2.284578248367951E-3</v>
      </c>
      <c r="AN103" s="478">
        <v>2.0983620103515749E-3</v>
      </c>
      <c r="AO103" s="479">
        <v>5116</v>
      </c>
      <c r="AP103" s="479">
        <v>10564</v>
      </c>
      <c r="AQ103" s="478">
        <v>2.2596121818759789E-3</v>
      </c>
      <c r="AR103" s="478">
        <v>2.0700882922523199E-3</v>
      </c>
      <c r="AS103" s="479">
        <v>5054</v>
      </c>
      <c r="AT103" s="479">
        <v>10466</v>
      </c>
      <c r="AU103" s="478">
        <v>2.2620649427796424E-3</v>
      </c>
      <c r="AV103" s="478">
        <v>2.0916799914647804E-3</v>
      </c>
      <c r="AW103" s="479">
        <v>5057</v>
      </c>
      <c r="AX103" s="479">
        <v>10626</v>
      </c>
      <c r="AY103" s="478">
        <v>2.2588965876604978E-3</v>
      </c>
      <c r="AZ103" s="478">
        <v>2.0819480268570514E-3</v>
      </c>
      <c r="BA103" s="479">
        <v>5046</v>
      </c>
      <c r="BB103" s="479">
        <v>10636</v>
      </c>
      <c r="BC103" s="478">
        <v>2.2601294792115125E-3</v>
      </c>
      <c r="BD103" s="478">
        <v>2.0790696100280825E-3</v>
      </c>
      <c r="BE103" s="479">
        <v>5045</v>
      </c>
      <c r="BF103" s="479">
        <v>10689</v>
      </c>
      <c r="BG103" s="478">
        <v>2.2560189267123308E-3</v>
      </c>
      <c r="BH103" s="478">
        <v>2.0757259292023258E-3</v>
      </c>
      <c r="BI103" s="479">
        <v>5033</v>
      </c>
      <c r="BJ103" s="479">
        <v>10742</v>
      </c>
    </row>
    <row r="104" spans="1:62">
      <c r="A104" s="461" t="s">
        <v>1321</v>
      </c>
      <c r="B104" s="462" t="s">
        <v>104</v>
      </c>
      <c r="C104" s="478">
        <v>1.6358732726888238E-2</v>
      </c>
      <c r="D104" s="478">
        <v>1.1792754226800097E-2</v>
      </c>
      <c r="E104" s="479">
        <v>37673</v>
      </c>
      <c r="F104" s="479">
        <v>55553</v>
      </c>
      <c r="G104" s="478">
        <v>1.6342425633624064E-2</v>
      </c>
      <c r="H104" s="478">
        <v>1.1622809677720254E-2</v>
      </c>
      <c r="I104" s="479">
        <v>37626</v>
      </c>
      <c r="J104" s="479">
        <v>55573</v>
      </c>
      <c r="K104" s="478">
        <v>1.6275116544066059E-2</v>
      </c>
      <c r="L104" s="471">
        <v>1.1463674020685419E-2</v>
      </c>
      <c r="M104" s="479">
        <v>37464</v>
      </c>
      <c r="N104" s="479">
        <v>55643</v>
      </c>
      <c r="O104" s="478">
        <v>1.6208039782698233E-2</v>
      </c>
      <c r="P104" s="478">
        <v>1.140106471844343E-2</v>
      </c>
      <c r="Q104" s="479">
        <v>37267</v>
      </c>
      <c r="R104" s="479">
        <v>55986</v>
      </c>
      <c r="S104" s="478">
        <v>1.6195179437278984E-2</v>
      </c>
      <c r="T104" s="478">
        <v>1.1415829519302872E-2</v>
      </c>
      <c r="U104" s="479">
        <v>37215</v>
      </c>
      <c r="V104" s="479">
        <v>56510</v>
      </c>
      <c r="W104" s="478">
        <v>1.6184342407409503E-2</v>
      </c>
      <c r="X104" s="478">
        <v>1.1459447840462557E-2</v>
      </c>
      <c r="Y104" s="479">
        <v>37171</v>
      </c>
      <c r="Z104" s="479">
        <v>56937</v>
      </c>
      <c r="AA104" s="133">
        <v>1.6296285856233286E-2</v>
      </c>
      <c r="AB104" s="478">
        <v>1.1450517057745547E-2</v>
      </c>
      <c r="AC104" s="479">
        <v>37000</v>
      </c>
      <c r="AD104" s="479">
        <v>57141</v>
      </c>
      <c r="AE104" s="478">
        <v>1.626728351754007E-2</v>
      </c>
      <c r="AF104" s="478">
        <v>1.1419154370079433E-2</v>
      </c>
      <c r="AG104" s="479">
        <v>36681</v>
      </c>
      <c r="AH104" s="479">
        <v>57124</v>
      </c>
      <c r="AI104" s="478">
        <v>1.616774931783389E-2</v>
      </c>
      <c r="AJ104" s="478">
        <v>1.1455521308537287E-2</v>
      </c>
      <c r="AK104" s="479">
        <v>36256</v>
      </c>
      <c r="AL104" s="479">
        <v>57474</v>
      </c>
      <c r="AM104" s="478">
        <v>1.6176921740691439E-2</v>
      </c>
      <c r="AN104" s="478">
        <v>1.1491531369260665E-2</v>
      </c>
      <c r="AO104" s="479">
        <v>36226</v>
      </c>
      <c r="AP104" s="479">
        <v>57853</v>
      </c>
      <c r="AQ104" s="478">
        <v>1.6188820240116208E-2</v>
      </c>
      <c r="AR104" s="478">
        <v>1.1516225943827544E-2</v>
      </c>
      <c r="AS104" s="479">
        <v>36209</v>
      </c>
      <c r="AT104" s="479">
        <v>58224</v>
      </c>
      <c r="AU104" s="478">
        <v>1.6167255927800005E-2</v>
      </c>
      <c r="AV104" s="478">
        <v>1.1516444372355258E-2</v>
      </c>
      <c r="AW104" s="479">
        <v>36143</v>
      </c>
      <c r="AX104" s="479">
        <v>58505</v>
      </c>
      <c r="AY104" s="478">
        <v>1.6142202151099856E-2</v>
      </c>
      <c r="AZ104" s="478">
        <v>1.1460697162885811E-2</v>
      </c>
      <c r="BA104" s="479">
        <v>36059</v>
      </c>
      <c r="BB104" s="479">
        <v>58549</v>
      </c>
      <c r="BC104" s="478">
        <v>1.60856707791018E-2</v>
      </c>
      <c r="BD104" s="478">
        <v>1.1397246035102023E-2</v>
      </c>
      <c r="BE104" s="479">
        <v>35906</v>
      </c>
      <c r="BF104" s="479">
        <v>58596</v>
      </c>
      <c r="BG104" s="478">
        <v>1.6035529720684866E-2</v>
      </c>
      <c r="BH104" s="478">
        <v>1.133784613386867E-2</v>
      </c>
      <c r="BI104" s="479">
        <v>35774</v>
      </c>
      <c r="BJ104" s="479">
        <v>58674</v>
      </c>
    </row>
    <row r="105" spans="1:62">
      <c r="A105" s="461" t="s">
        <v>1322</v>
      </c>
      <c r="B105" s="462" t="s">
        <v>104</v>
      </c>
      <c r="C105" s="478">
        <v>1.974442112631349E-3</v>
      </c>
      <c r="D105" s="478">
        <v>1.1267787416675051E-3</v>
      </c>
      <c r="E105" s="479">
        <v>4547</v>
      </c>
      <c r="F105" s="479">
        <v>5308</v>
      </c>
      <c r="G105" s="478">
        <v>1.9732004372921418E-3</v>
      </c>
      <c r="H105" s="478">
        <v>1.1113960129452329E-3</v>
      </c>
      <c r="I105" s="479">
        <v>4543</v>
      </c>
      <c r="J105" s="479">
        <v>5314</v>
      </c>
      <c r="K105" s="478">
        <v>1.9709642259349699E-3</v>
      </c>
      <c r="L105" s="471">
        <v>1.0966543287045717E-3</v>
      </c>
      <c r="M105" s="479">
        <v>4537</v>
      </c>
      <c r="N105" s="479">
        <v>5323</v>
      </c>
      <c r="O105" s="478">
        <v>1.9723471278755059E-3</v>
      </c>
      <c r="P105" s="478">
        <v>1.0974232445199095E-3</v>
      </c>
      <c r="Q105" s="479">
        <v>4535</v>
      </c>
      <c r="R105" s="479">
        <v>5389</v>
      </c>
      <c r="S105" s="478">
        <v>1.9713600121153783E-3</v>
      </c>
      <c r="T105" s="478">
        <v>1.0916854135960489E-3</v>
      </c>
      <c r="U105" s="479">
        <v>4530</v>
      </c>
      <c r="V105" s="479">
        <v>5404</v>
      </c>
      <c r="W105" s="478">
        <v>1.9715020424726326E-3</v>
      </c>
      <c r="X105" s="478">
        <v>1.0878394642798201E-3</v>
      </c>
      <c r="Y105" s="479">
        <v>4528</v>
      </c>
      <c r="Z105" s="479">
        <v>5405</v>
      </c>
      <c r="AA105" s="133">
        <v>1.9758145500287168E-3</v>
      </c>
      <c r="AB105" s="478">
        <v>1.0835117644288719E-3</v>
      </c>
      <c r="AC105" s="479">
        <v>4486</v>
      </c>
      <c r="AD105" s="479">
        <v>5407</v>
      </c>
      <c r="AE105" s="478">
        <v>1.9841287439675659E-3</v>
      </c>
      <c r="AF105" s="478">
        <v>1.0826647305572125E-3</v>
      </c>
      <c r="AG105" s="479">
        <v>4474</v>
      </c>
      <c r="AH105" s="479">
        <v>5416</v>
      </c>
      <c r="AI105" s="478">
        <v>1.9924289483694234E-3</v>
      </c>
      <c r="AJ105" s="478">
        <v>1.0781033990652849E-3</v>
      </c>
      <c r="AK105" s="479">
        <v>4468</v>
      </c>
      <c r="AL105" s="479">
        <v>5409</v>
      </c>
      <c r="AM105" s="478">
        <v>1.991637800570966E-3</v>
      </c>
      <c r="AN105" s="478">
        <v>1.074208798938027E-3</v>
      </c>
      <c r="AO105" s="479">
        <v>4460</v>
      </c>
      <c r="AP105" s="479">
        <v>5408</v>
      </c>
      <c r="AQ105" s="478">
        <v>1.9962739200784026E-3</v>
      </c>
      <c r="AR105" s="478">
        <v>1.0726245756625579E-3</v>
      </c>
      <c r="AS105" s="479">
        <v>4465</v>
      </c>
      <c r="AT105" s="479">
        <v>5423</v>
      </c>
      <c r="AU105" s="478">
        <v>1.9968079700550373E-3</v>
      </c>
      <c r="AV105" s="478">
        <v>1.0692646069675031E-3</v>
      </c>
      <c r="AW105" s="479">
        <v>4464</v>
      </c>
      <c r="AX105" s="479">
        <v>5432</v>
      </c>
      <c r="AY105" s="478">
        <v>1.998357980046861E-3</v>
      </c>
      <c r="AZ105" s="478">
        <v>1.0634847339144754E-3</v>
      </c>
      <c r="BA105" s="479">
        <v>4464</v>
      </c>
      <c r="BB105" s="479">
        <v>5433</v>
      </c>
      <c r="BC105" s="478">
        <v>2.0007409819937792E-3</v>
      </c>
      <c r="BD105" s="478">
        <v>1.0581100831277735E-3</v>
      </c>
      <c r="BE105" s="479">
        <v>4466</v>
      </c>
      <c r="BF105" s="479">
        <v>5440</v>
      </c>
      <c r="BG105" s="478">
        <v>2.0023120495974533E-3</v>
      </c>
      <c r="BH105" s="478">
        <v>1.0511961510762105E-3</v>
      </c>
      <c r="BI105" s="479">
        <v>4467</v>
      </c>
      <c r="BJ105" s="479">
        <v>5440</v>
      </c>
    </row>
    <row r="106" spans="1:62">
      <c r="A106" s="461" t="s">
        <v>1323</v>
      </c>
      <c r="B106" s="462" t="s">
        <v>104</v>
      </c>
      <c r="C106" s="478">
        <v>1.4546692494644864E-3</v>
      </c>
      <c r="D106" s="478">
        <v>1.316981031142653E-3</v>
      </c>
      <c r="E106" s="479">
        <v>3350</v>
      </c>
      <c r="F106" s="479">
        <v>6204</v>
      </c>
      <c r="G106" s="478">
        <v>1.4354892021242634E-3</v>
      </c>
      <c r="H106" s="478">
        <v>1.2973258314451035E-3</v>
      </c>
      <c r="I106" s="479">
        <v>3305</v>
      </c>
      <c r="J106" s="479">
        <v>6203</v>
      </c>
      <c r="K106" s="478">
        <v>1.4301111377072781E-3</v>
      </c>
      <c r="L106" s="471">
        <v>1.2882546529005611E-3</v>
      </c>
      <c r="M106" s="479">
        <v>3292</v>
      </c>
      <c r="N106" s="479">
        <v>6253</v>
      </c>
      <c r="O106" s="478">
        <v>1.4495772827362869E-3</v>
      </c>
      <c r="P106" s="478">
        <v>1.2906788873199453E-3</v>
      </c>
      <c r="Q106" s="479">
        <v>3333</v>
      </c>
      <c r="R106" s="479">
        <v>6338</v>
      </c>
      <c r="S106" s="478">
        <v>1.4495806181802041E-3</v>
      </c>
      <c r="T106" s="478">
        <v>1.2860231944767668E-3</v>
      </c>
      <c r="U106" s="479">
        <v>3331</v>
      </c>
      <c r="V106" s="479">
        <v>6366</v>
      </c>
      <c r="W106" s="478">
        <v>1.4464067546585879E-3</v>
      </c>
      <c r="X106" s="478">
        <v>1.2836706943897673E-3</v>
      </c>
      <c r="Y106" s="479">
        <v>3322</v>
      </c>
      <c r="Z106" s="479">
        <v>6378</v>
      </c>
      <c r="AA106" s="133">
        <v>1.4512503215213155E-3</v>
      </c>
      <c r="AB106" s="478">
        <v>1.2820988105818241E-3</v>
      </c>
      <c r="AC106" s="479">
        <v>3295</v>
      </c>
      <c r="AD106" s="479">
        <v>6398</v>
      </c>
      <c r="AE106" s="478">
        <v>1.4572747100307154E-3</v>
      </c>
      <c r="AF106" s="478">
        <v>1.2835654052636377E-3</v>
      </c>
      <c r="AG106" s="479">
        <v>3286</v>
      </c>
      <c r="AH106" s="479">
        <v>6421</v>
      </c>
      <c r="AI106" s="478">
        <v>1.4492824713967381E-3</v>
      </c>
      <c r="AJ106" s="478">
        <v>1.2828015301135467E-3</v>
      </c>
      <c r="AK106" s="479">
        <v>3250</v>
      </c>
      <c r="AL106" s="479">
        <v>6436</v>
      </c>
      <c r="AM106" s="478">
        <v>1.4388020164662898E-3</v>
      </c>
      <c r="AN106" s="478">
        <v>1.2887327454715086E-3</v>
      </c>
      <c r="AO106" s="479">
        <v>3222</v>
      </c>
      <c r="AP106" s="479">
        <v>6488</v>
      </c>
      <c r="AQ106" s="478">
        <v>1.4342769844594657E-3</v>
      </c>
      <c r="AR106" s="478">
        <v>1.2925689843176868E-3</v>
      </c>
      <c r="AS106" s="479">
        <v>3208</v>
      </c>
      <c r="AT106" s="479">
        <v>6535</v>
      </c>
      <c r="AU106" s="478">
        <v>1.4309562491501041E-3</v>
      </c>
      <c r="AV106" s="478">
        <v>1.2861883177330015E-3</v>
      </c>
      <c r="AW106" s="479">
        <v>3199</v>
      </c>
      <c r="AX106" s="479">
        <v>6534</v>
      </c>
      <c r="AY106" s="478">
        <v>1.4316193593615282E-3</v>
      </c>
      <c r="AZ106" s="478">
        <v>1.2791961597885323E-3</v>
      </c>
      <c r="BA106" s="479">
        <v>3198</v>
      </c>
      <c r="BB106" s="479">
        <v>6535</v>
      </c>
      <c r="BC106" s="478">
        <v>1.4326846530264455E-3</v>
      </c>
      <c r="BD106" s="478">
        <v>1.2856815532122394E-3</v>
      </c>
      <c r="BE106" s="479">
        <v>3198</v>
      </c>
      <c r="BF106" s="479">
        <v>6610</v>
      </c>
      <c r="BG106" s="478">
        <v>1.4316956987719422E-3</v>
      </c>
      <c r="BH106" s="478">
        <v>1.281918247470511E-3</v>
      </c>
      <c r="BI106" s="479">
        <v>3194</v>
      </c>
      <c r="BJ106" s="479">
        <v>6634</v>
      </c>
    </row>
    <row r="107" spans="1:62">
      <c r="A107" s="437" t="s">
        <v>1324</v>
      </c>
      <c r="B107" s="462" t="s">
        <v>104</v>
      </c>
      <c r="C107" s="478">
        <v>2.6718148931208908E-3</v>
      </c>
      <c r="D107" s="478">
        <v>1.608016007560541E-3</v>
      </c>
      <c r="E107" s="479">
        <v>6153</v>
      </c>
      <c r="F107" s="479">
        <v>7575</v>
      </c>
      <c r="G107" s="478">
        <v>2.6629301961342993E-3</v>
      </c>
      <c r="H107" s="478">
        <v>1.5828086236299441E-3</v>
      </c>
      <c r="I107" s="479">
        <v>6131</v>
      </c>
      <c r="J107" s="479">
        <v>7568</v>
      </c>
      <c r="K107" s="478">
        <v>2.6621266864733295E-3</v>
      </c>
      <c r="L107" s="471">
        <v>1.5729768550928809E-3</v>
      </c>
      <c r="M107" s="479">
        <v>6128</v>
      </c>
      <c r="N107" s="479">
        <v>7635</v>
      </c>
      <c r="O107" s="478">
        <v>2.6503822265211319E-3</v>
      </c>
      <c r="P107" s="478">
        <v>1.5533762310628817E-3</v>
      </c>
      <c r="Q107" s="479">
        <v>6094</v>
      </c>
      <c r="R107" s="479">
        <v>7628</v>
      </c>
      <c r="S107" s="478">
        <v>2.6371835923662676E-3</v>
      </c>
      <c r="T107" s="478">
        <v>1.5448035451089907E-3</v>
      </c>
      <c r="U107" s="479">
        <v>6060</v>
      </c>
      <c r="V107" s="479">
        <v>7647</v>
      </c>
      <c r="W107" s="478">
        <v>2.6311366701992312E-3</v>
      </c>
      <c r="X107" s="478">
        <v>1.5406866048218359E-3</v>
      </c>
      <c r="Y107" s="479">
        <v>6043</v>
      </c>
      <c r="Z107" s="479">
        <v>7655</v>
      </c>
      <c r="AA107" s="133">
        <v>2.6426409496594517E-3</v>
      </c>
      <c r="AB107" s="478">
        <v>1.5474159136156368E-3</v>
      </c>
      <c r="AC107" s="479">
        <v>6000</v>
      </c>
      <c r="AD107" s="479">
        <v>7722</v>
      </c>
      <c r="AE107" s="478">
        <v>2.6821659909512375E-3</v>
      </c>
      <c r="AF107" s="478">
        <v>1.5460356399795941E-3</v>
      </c>
      <c r="AG107" s="479">
        <v>6048</v>
      </c>
      <c r="AH107" s="479">
        <v>7734</v>
      </c>
      <c r="AI107" s="478">
        <v>2.6871926685036137E-3</v>
      </c>
      <c r="AJ107" s="478">
        <v>1.5427103547356823E-3</v>
      </c>
      <c r="AK107" s="479">
        <v>6026</v>
      </c>
      <c r="AL107" s="479">
        <v>7740</v>
      </c>
      <c r="AM107" s="478">
        <v>2.6900506974528024E-3</v>
      </c>
      <c r="AN107" s="478">
        <v>1.5358325505526673E-3</v>
      </c>
      <c r="AO107" s="479">
        <v>6024</v>
      </c>
      <c r="AP107" s="479">
        <v>7732</v>
      </c>
      <c r="AQ107" s="478">
        <v>2.6897164396845843E-3</v>
      </c>
      <c r="AR107" s="478">
        <v>1.5309080242722104E-3</v>
      </c>
      <c r="AS107" s="479">
        <v>6016</v>
      </c>
      <c r="AT107" s="479">
        <v>7740</v>
      </c>
      <c r="AU107" s="478">
        <v>2.6883548163151379E-3</v>
      </c>
      <c r="AV107" s="478">
        <v>1.5363789133618117E-3</v>
      </c>
      <c r="AW107" s="479">
        <v>6010</v>
      </c>
      <c r="AX107" s="479">
        <v>7805</v>
      </c>
      <c r="AY107" s="478">
        <v>2.6864126877825301E-3</v>
      </c>
      <c r="AZ107" s="478">
        <v>1.5340566647685889E-3</v>
      </c>
      <c r="BA107" s="479">
        <v>6001</v>
      </c>
      <c r="BB107" s="479">
        <v>7837</v>
      </c>
      <c r="BC107" s="478">
        <v>2.6902036714896204E-3</v>
      </c>
      <c r="BD107" s="478">
        <v>1.5247288495659221E-3</v>
      </c>
      <c r="BE107" s="479">
        <v>6005</v>
      </c>
      <c r="BF107" s="479">
        <v>7839</v>
      </c>
      <c r="BG107" s="478">
        <v>2.6912651770277835E-3</v>
      </c>
      <c r="BH107" s="478">
        <v>1.55998281758056E-3</v>
      </c>
      <c r="BI107" s="479">
        <v>6004</v>
      </c>
      <c r="BJ107" s="479">
        <v>8073</v>
      </c>
    </row>
    <row r="108" spans="1:62">
      <c r="A108" s="461" t="s">
        <v>1325</v>
      </c>
      <c r="B108" s="462" t="s">
        <v>104</v>
      </c>
      <c r="C108" s="478">
        <v>1.0597374039755459E-2</v>
      </c>
      <c r="D108" s="478">
        <v>5.6706180343187767E-3</v>
      </c>
      <c r="E108" s="479">
        <v>24405</v>
      </c>
      <c r="F108" s="479">
        <v>26713</v>
      </c>
      <c r="G108" s="478">
        <v>1.0607852581991191E-2</v>
      </c>
      <c r="H108" s="478">
        <v>5.58918837974189E-3</v>
      </c>
      <c r="I108" s="479">
        <v>24423</v>
      </c>
      <c r="J108" s="479">
        <v>26724</v>
      </c>
      <c r="K108" s="478">
        <v>1.0624179217426852E-2</v>
      </c>
      <c r="L108" s="471">
        <v>5.5135568560570631E-3</v>
      </c>
      <c r="M108" s="479">
        <v>24456</v>
      </c>
      <c r="N108" s="479">
        <v>26762</v>
      </c>
      <c r="O108" s="478">
        <v>1.0622839823232467E-2</v>
      </c>
      <c r="P108" s="478">
        <v>5.4504607792865796E-3</v>
      </c>
      <c r="Q108" s="479">
        <v>24425</v>
      </c>
      <c r="R108" s="479">
        <v>26765</v>
      </c>
      <c r="S108" s="478">
        <v>1.0629242449430046E-2</v>
      </c>
      <c r="T108" s="478">
        <v>5.4111557158741238E-3</v>
      </c>
      <c r="U108" s="479">
        <v>24425</v>
      </c>
      <c r="V108" s="479">
        <v>26786</v>
      </c>
      <c r="W108" s="478">
        <v>1.0633397279431678E-2</v>
      </c>
      <c r="X108" s="478">
        <v>5.3925037495743235E-3</v>
      </c>
      <c r="Y108" s="479">
        <v>24422</v>
      </c>
      <c r="Z108" s="479">
        <v>26793</v>
      </c>
      <c r="AA108" s="133">
        <v>1.0734407537516692E-2</v>
      </c>
      <c r="AB108" s="478">
        <v>5.3838932078621232E-3</v>
      </c>
      <c r="AC108" s="479">
        <v>24372</v>
      </c>
      <c r="AD108" s="479">
        <v>26867</v>
      </c>
      <c r="AE108" s="478">
        <v>1.0591185217575638E-2</v>
      </c>
      <c r="AF108" s="478">
        <v>5.3713444073250185E-3</v>
      </c>
      <c r="AG108" s="479">
        <v>23882</v>
      </c>
      <c r="AH108" s="479">
        <v>26870</v>
      </c>
      <c r="AI108" s="478">
        <v>1.0621233816531541E-2</v>
      </c>
      <c r="AJ108" s="478">
        <v>5.3536434274160756E-3</v>
      </c>
      <c r="AK108" s="479">
        <v>23818</v>
      </c>
      <c r="AL108" s="479">
        <v>26860</v>
      </c>
      <c r="AM108" s="478">
        <v>1.0626682677172036E-2</v>
      </c>
      <c r="AN108" s="478">
        <v>5.3301255382217118E-3</v>
      </c>
      <c r="AO108" s="479">
        <v>23797</v>
      </c>
      <c r="AP108" s="479">
        <v>26834</v>
      </c>
      <c r="AQ108" s="478">
        <v>1.0642621364736012E-2</v>
      </c>
      <c r="AR108" s="478">
        <v>5.3221799892915556E-3</v>
      </c>
      <c r="AS108" s="479">
        <v>23804</v>
      </c>
      <c r="AT108" s="479">
        <v>26908</v>
      </c>
      <c r="AU108" s="478">
        <v>1.0647853252506745E-2</v>
      </c>
      <c r="AV108" s="478">
        <v>5.342582970858799E-3</v>
      </c>
      <c r="AW108" s="479">
        <v>23804</v>
      </c>
      <c r="AX108" s="479">
        <v>27141</v>
      </c>
      <c r="AY108" s="478">
        <v>1.0658356887754418E-2</v>
      </c>
      <c r="AZ108" s="478">
        <v>5.3172279241768469E-3</v>
      </c>
      <c r="BA108" s="479">
        <v>23809</v>
      </c>
      <c r="BB108" s="479">
        <v>27164</v>
      </c>
      <c r="BC108" s="478">
        <v>1.0668079938248514E-2</v>
      </c>
      <c r="BD108" s="478">
        <v>5.288605360339E-3</v>
      </c>
      <c r="BE108" s="479">
        <v>23813</v>
      </c>
      <c r="BF108" s="479">
        <v>27190</v>
      </c>
      <c r="BG108" s="478">
        <v>1.0678549352487157E-2</v>
      </c>
      <c r="BH108" s="478">
        <v>5.2573333974872162E-3</v>
      </c>
      <c r="BI108" s="479">
        <v>23823</v>
      </c>
      <c r="BJ108" s="479">
        <v>27207</v>
      </c>
    </row>
    <row r="109" spans="1:62">
      <c r="A109" s="461" t="s">
        <v>1326</v>
      </c>
      <c r="B109" s="462" t="s">
        <v>104</v>
      </c>
      <c r="C109" s="478">
        <v>4.1308264388524351E-3</v>
      </c>
      <c r="D109" s="478">
        <v>2.5596642929590764E-3</v>
      </c>
      <c r="E109" s="479">
        <v>9513</v>
      </c>
      <c r="F109" s="479">
        <v>12058</v>
      </c>
      <c r="G109" s="478">
        <v>4.1357725212185286E-3</v>
      </c>
      <c r="H109" s="478">
        <v>2.5346270758154453E-3</v>
      </c>
      <c r="I109" s="479">
        <v>9522</v>
      </c>
      <c r="J109" s="479">
        <v>12119</v>
      </c>
      <c r="K109" s="478">
        <v>4.1356798392992973E-3</v>
      </c>
      <c r="L109" s="471">
        <v>2.5103762906754099E-3</v>
      </c>
      <c r="M109" s="479">
        <v>9520</v>
      </c>
      <c r="N109" s="479">
        <v>12185</v>
      </c>
      <c r="O109" s="478">
        <v>4.1330131766705476E-3</v>
      </c>
      <c r="P109" s="478">
        <v>2.479944381474013E-3</v>
      </c>
      <c r="Q109" s="479">
        <v>9503</v>
      </c>
      <c r="R109" s="479">
        <v>12178</v>
      </c>
      <c r="S109" s="478">
        <v>4.1298469127979999E-3</v>
      </c>
      <c r="T109" s="478">
        <v>2.4722513122850567E-3</v>
      </c>
      <c r="U109" s="479">
        <v>9490</v>
      </c>
      <c r="V109" s="479">
        <v>12238</v>
      </c>
      <c r="W109" s="478">
        <v>4.1280501026243442E-3</v>
      </c>
      <c r="X109" s="478">
        <v>2.467111221672902E-3</v>
      </c>
      <c r="Y109" s="479">
        <v>9481</v>
      </c>
      <c r="Z109" s="479">
        <v>12258</v>
      </c>
      <c r="AA109" s="133">
        <v>4.0304678883889408E-3</v>
      </c>
      <c r="AB109" s="478">
        <v>2.4634011688781433E-3</v>
      </c>
      <c r="AC109" s="479">
        <v>9151</v>
      </c>
      <c r="AD109" s="479">
        <v>12293</v>
      </c>
      <c r="AE109" s="478">
        <v>4.0494142961930808E-3</v>
      </c>
      <c r="AF109" s="478">
        <v>2.4587843770040091E-3</v>
      </c>
      <c r="AG109" s="479">
        <v>9131</v>
      </c>
      <c r="AH109" s="479">
        <v>12300</v>
      </c>
      <c r="AI109" s="478">
        <v>4.0602205852514773E-3</v>
      </c>
      <c r="AJ109" s="478">
        <v>2.4521919243298577E-3</v>
      </c>
      <c r="AK109" s="479">
        <v>9105</v>
      </c>
      <c r="AL109" s="479">
        <v>12303</v>
      </c>
      <c r="AM109" s="478">
        <v>4.0618693798191718E-3</v>
      </c>
      <c r="AN109" s="478">
        <v>2.4437852909272458E-3</v>
      </c>
      <c r="AO109" s="479">
        <v>9096</v>
      </c>
      <c r="AP109" s="479">
        <v>12303</v>
      </c>
      <c r="AQ109" s="478">
        <v>4.0640828518505433E-3</v>
      </c>
      <c r="AR109" s="478">
        <v>2.433233916614565E-3</v>
      </c>
      <c r="AS109" s="479">
        <v>9090</v>
      </c>
      <c r="AT109" s="479">
        <v>12302</v>
      </c>
      <c r="AU109" s="478">
        <v>4.0647388046348848E-3</v>
      </c>
      <c r="AV109" s="478">
        <v>2.4247425310430231E-3</v>
      </c>
      <c r="AW109" s="479">
        <v>9087</v>
      </c>
      <c r="AX109" s="479">
        <v>12318</v>
      </c>
      <c r="AY109" s="478">
        <v>4.0647604074429879E-3</v>
      </c>
      <c r="AZ109" s="478">
        <v>2.4139322176759265E-3</v>
      </c>
      <c r="BA109" s="479">
        <v>9080</v>
      </c>
      <c r="BB109" s="479">
        <v>12332</v>
      </c>
      <c r="BC109" s="478">
        <v>4.0664410867795641E-3</v>
      </c>
      <c r="BD109" s="478">
        <v>2.4054498893458041E-3</v>
      </c>
      <c r="BE109" s="479">
        <v>9077</v>
      </c>
      <c r="BF109" s="479">
        <v>12367</v>
      </c>
      <c r="BG109" s="478">
        <v>4.0696196772543715E-3</v>
      </c>
      <c r="BH109" s="478">
        <v>2.3918577128715685E-3</v>
      </c>
      <c r="BI109" s="479">
        <v>9079</v>
      </c>
      <c r="BJ109" s="479">
        <v>12378</v>
      </c>
    </row>
    <row r="110" spans="1:62">
      <c r="A110" s="461" t="s">
        <v>1327</v>
      </c>
      <c r="B110" s="462" t="s">
        <v>104</v>
      </c>
      <c r="C110" s="478">
        <v>4.7530774939218709E-3</v>
      </c>
      <c r="D110" s="478">
        <v>2.7655752536631982E-3</v>
      </c>
      <c r="E110" s="479">
        <v>10946</v>
      </c>
      <c r="F110" s="479">
        <v>13028</v>
      </c>
      <c r="G110" s="478">
        <v>4.7447152931937835E-3</v>
      </c>
      <c r="H110" s="478">
        <v>2.724530647466607E-3</v>
      </c>
      <c r="I110" s="479">
        <v>10924</v>
      </c>
      <c r="J110" s="479">
        <v>13027</v>
      </c>
      <c r="K110" s="478">
        <v>4.738655009146716E-3</v>
      </c>
      <c r="L110" s="471">
        <v>2.690439391048845E-3</v>
      </c>
      <c r="M110" s="479">
        <v>10908</v>
      </c>
      <c r="N110" s="479">
        <v>13059</v>
      </c>
      <c r="O110" s="478">
        <v>4.7331981902247258E-3</v>
      </c>
      <c r="P110" s="478">
        <v>2.6646470875010234E-3</v>
      </c>
      <c r="Q110" s="479">
        <v>10883</v>
      </c>
      <c r="R110" s="479">
        <v>13085</v>
      </c>
      <c r="S110" s="478">
        <v>4.731699207887529E-3</v>
      </c>
      <c r="T110" s="478">
        <v>2.6550742766271044E-3</v>
      </c>
      <c r="U110" s="479">
        <v>10873</v>
      </c>
      <c r="V110" s="479">
        <v>13143</v>
      </c>
      <c r="W110" s="478">
        <v>4.7310824190608721E-3</v>
      </c>
      <c r="X110" s="478">
        <v>2.6518728550140444E-3</v>
      </c>
      <c r="Y110" s="479">
        <v>10866</v>
      </c>
      <c r="Z110" s="479">
        <v>13176</v>
      </c>
      <c r="AA110" s="133">
        <v>4.5598769586373839E-3</v>
      </c>
      <c r="AB110" s="478">
        <v>2.6413479872271057E-3</v>
      </c>
      <c r="AC110" s="479">
        <v>10353</v>
      </c>
      <c r="AD110" s="479">
        <v>13181</v>
      </c>
      <c r="AE110" s="478">
        <v>4.5829205275281235E-3</v>
      </c>
      <c r="AF110" s="478">
        <v>2.6352971091092563E-3</v>
      </c>
      <c r="AG110" s="479">
        <v>10334</v>
      </c>
      <c r="AH110" s="479">
        <v>13183</v>
      </c>
      <c r="AI110" s="478">
        <v>4.6006914638154301E-3</v>
      </c>
      <c r="AJ110" s="478">
        <v>2.6257966683834468E-3</v>
      </c>
      <c r="AK110" s="479">
        <v>10317</v>
      </c>
      <c r="AL110" s="479">
        <v>13174</v>
      </c>
      <c r="AM110" s="478">
        <v>4.6004153859825316E-3</v>
      </c>
      <c r="AN110" s="478">
        <v>2.6177880475599588E-3</v>
      </c>
      <c r="AO110" s="479">
        <v>10302</v>
      </c>
      <c r="AP110" s="479">
        <v>13179</v>
      </c>
      <c r="AQ110" s="478">
        <v>4.5898651877995253E-3</v>
      </c>
      <c r="AR110" s="478">
        <v>2.6047193503411807E-3</v>
      </c>
      <c r="AS110" s="479">
        <v>10266</v>
      </c>
      <c r="AT110" s="479">
        <v>13169</v>
      </c>
      <c r="AU110" s="478">
        <v>4.5903323003370954E-3</v>
      </c>
      <c r="AV110" s="478">
        <v>2.6080056660000824E-3</v>
      </c>
      <c r="AW110" s="479">
        <v>10262</v>
      </c>
      <c r="AX110" s="479">
        <v>13249</v>
      </c>
      <c r="AY110" s="478">
        <v>4.5867329443459092E-3</v>
      </c>
      <c r="AZ110" s="478">
        <v>2.5977371440785942E-3</v>
      </c>
      <c r="BA110" s="479">
        <v>10246</v>
      </c>
      <c r="BB110" s="479">
        <v>13271</v>
      </c>
      <c r="BC110" s="478">
        <v>4.5856660751653205E-3</v>
      </c>
      <c r="BD110" s="478">
        <v>2.5941202534329254E-3</v>
      </c>
      <c r="BE110" s="479">
        <v>10236</v>
      </c>
      <c r="BF110" s="479">
        <v>13337</v>
      </c>
      <c r="BG110" s="478">
        <v>4.5537246724559046E-3</v>
      </c>
      <c r="BH110" s="478">
        <v>2.5553341731308467E-3</v>
      </c>
      <c r="BI110" s="479">
        <v>10159</v>
      </c>
      <c r="BJ110" s="479">
        <v>13224</v>
      </c>
    </row>
    <row r="111" spans="1:62">
      <c r="A111" s="461" t="s">
        <v>1328</v>
      </c>
      <c r="B111" s="462" t="s">
        <v>104</v>
      </c>
      <c r="C111" s="478">
        <v>1.8734403014595759E-2</v>
      </c>
      <c r="D111" s="478">
        <v>1.3389094870609373E-2</v>
      </c>
      <c r="E111" s="479">
        <v>43144</v>
      </c>
      <c r="F111" s="479">
        <v>63073</v>
      </c>
      <c r="G111" s="478">
        <v>1.8708268200634915E-2</v>
      </c>
      <c r="H111" s="478">
        <v>1.3241591224614515E-2</v>
      </c>
      <c r="I111" s="479">
        <v>43073</v>
      </c>
      <c r="J111" s="479">
        <v>63313</v>
      </c>
      <c r="K111" s="478">
        <v>1.867224693831538E-2</v>
      </c>
      <c r="L111" s="471">
        <v>1.3110818743209005E-2</v>
      </c>
      <c r="M111" s="479">
        <v>42982</v>
      </c>
      <c r="N111" s="479">
        <v>63638</v>
      </c>
      <c r="O111" s="478">
        <v>1.863357008747479E-2</v>
      </c>
      <c r="P111" s="478">
        <v>1.3048930536713074E-2</v>
      </c>
      <c r="Q111" s="479">
        <v>42844</v>
      </c>
      <c r="R111" s="479">
        <v>64078</v>
      </c>
      <c r="S111" s="478">
        <v>1.8627828988653148E-2</v>
      </c>
      <c r="T111" s="478">
        <v>1.297740025340677E-2</v>
      </c>
      <c r="U111" s="479">
        <v>42805</v>
      </c>
      <c r="V111" s="479">
        <v>64240</v>
      </c>
      <c r="W111" s="478">
        <v>1.8614758573726253E-2</v>
      </c>
      <c r="X111" s="478">
        <v>1.2961894020083067E-2</v>
      </c>
      <c r="Y111" s="479">
        <v>42753</v>
      </c>
      <c r="Z111" s="479">
        <v>64402</v>
      </c>
      <c r="AA111" s="133">
        <v>1.8320548823672424E-2</v>
      </c>
      <c r="AB111" s="478">
        <v>1.2906154094329849E-2</v>
      </c>
      <c r="AC111" s="479">
        <v>41596</v>
      </c>
      <c r="AD111" s="479">
        <v>64405</v>
      </c>
      <c r="AE111" s="478">
        <v>1.843057811143229E-2</v>
      </c>
      <c r="AF111" s="478">
        <v>1.2884629839007594E-2</v>
      </c>
      <c r="AG111" s="479">
        <v>41559</v>
      </c>
      <c r="AH111" s="479">
        <v>64455</v>
      </c>
      <c r="AI111" s="478">
        <v>1.8489722803545525E-2</v>
      </c>
      <c r="AJ111" s="478">
        <v>1.2846153110215693E-2</v>
      </c>
      <c r="AK111" s="479">
        <v>41463</v>
      </c>
      <c r="AL111" s="479">
        <v>64451</v>
      </c>
      <c r="AM111" s="478">
        <v>1.8491419211624019E-2</v>
      </c>
      <c r="AN111" s="478">
        <v>1.2806682341481204E-2</v>
      </c>
      <c r="AO111" s="479">
        <v>41409</v>
      </c>
      <c r="AP111" s="479">
        <v>64474</v>
      </c>
      <c r="AQ111" s="478">
        <v>1.8497612742531633E-2</v>
      </c>
      <c r="AR111" s="478">
        <v>1.2751039741699818E-2</v>
      </c>
      <c r="AS111" s="479">
        <v>41373</v>
      </c>
      <c r="AT111" s="479">
        <v>64467</v>
      </c>
      <c r="AU111" s="478">
        <v>1.8492392090063911E-2</v>
      </c>
      <c r="AV111" s="478">
        <v>1.2707753172312425E-2</v>
      </c>
      <c r="AW111" s="479">
        <v>41341</v>
      </c>
      <c r="AX111" s="479">
        <v>64557</v>
      </c>
      <c r="AY111" s="478">
        <v>1.8492421549676476E-2</v>
      </c>
      <c r="AZ111" s="478">
        <v>1.2635756772252385E-2</v>
      </c>
      <c r="BA111" s="479">
        <v>41309</v>
      </c>
      <c r="BB111" s="479">
        <v>64552</v>
      </c>
      <c r="BC111" s="478">
        <v>1.8491846286107751E-2</v>
      </c>
      <c r="BD111" s="478">
        <v>1.2557471521472827E-2</v>
      </c>
      <c r="BE111" s="479">
        <v>41277</v>
      </c>
      <c r="BF111" s="479">
        <v>64561</v>
      </c>
      <c r="BG111" s="478">
        <v>1.8517912557190506E-2</v>
      </c>
      <c r="BH111" s="478">
        <v>1.2519475630896433E-2</v>
      </c>
      <c r="BI111" s="479">
        <v>41312</v>
      </c>
      <c r="BJ111" s="479">
        <v>64789</v>
      </c>
    </row>
    <row r="112" spans="1:62">
      <c r="A112" s="461" t="s">
        <v>1329</v>
      </c>
      <c r="B112" s="462" t="s">
        <v>104</v>
      </c>
      <c r="C112" s="478">
        <v>8.1374632044670071E-4</v>
      </c>
      <c r="D112" s="478">
        <v>2.1068724587509397E-3</v>
      </c>
      <c r="E112" s="479">
        <v>1874</v>
      </c>
      <c r="F112" s="479">
        <v>9925</v>
      </c>
      <c r="G112" s="478">
        <v>8.187283346457599E-4</v>
      </c>
      <c r="H112" s="478">
        <v>2.084547245206085E-3</v>
      </c>
      <c r="I112" s="479">
        <v>1885</v>
      </c>
      <c r="J112" s="479">
        <v>9967</v>
      </c>
      <c r="K112" s="478">
        <v>8.1670988423137387E-4</v>
      </c>
      <c r="L112" s="471">
        <v>2.055892080808364E-3</v>
      </c>
      <c r="M112" s="479">
        <v>1880</v>
      </c>
      <c r="N112" s="479">
        <v>9979</v>
      </c>
      <c r="O112" s="478">
        <v>8.1590368509249151E-4</v>
      </c>
      <c r="P112" s="478">
        <v>2.0313224835936347E-3</v>
      </c>
      <c r="Q112" s="479">
        <v>1876</v>
      </c>
      <c r="R112" s="479">
        <v>9975</v>
      </c>
      <c r="S112" s="478">
        <v>8.1987687921089895E-4</v>
      </c>
      <c r="T112" s="478">
        <v>2.0361023840922607E-3</v>
      </c>
      <c r="U112" s="479">
        <v>1884</v>
      </c>
      <c r="V112" s="479">
        <v>10079</v>
      </c>
      <c r="W112" s="478">
        <v>8.2160431849511004E-4</v>
      </c>
      <c r="X112" s="478">
        <v>2.0327804975441596E-3</v>
      </c>
      <c r="Y112" s="479">
        <v>1887</v>
      </c>
      <c r="Z112" s="479">
        <v>10100</v>
      </c>
      <c r="AA112" s="133">
        <v>8.0424372901302644E-4</v>
      </c>
      <c r="AB112" s="478">
        <v>2.0399759130545433E-3</v>
      </c>
      <c r="AC112" s="479">
        <v>1826</v>
      </c>
      <c r="AD112" s="479">
        <v>10180</v>
      </c>
      <c r="AE112" s="478">
        <v>8.0048108691583729E-4</v>
      </c>
      <c r="AF112" s="478">
        <v>2.0481873761612258E-3</v>
      </c>
      <c r="AG112" s="479">
        <v>1805</v>
      </c>
      <c r="AH112" s="479">
        <v>10246</v>
      </c>
      <c r="AI112" s="478">
        <v>8.0089579034724363E-4</v>
      </c>
      <c r="AJ112" s="478">
        <v>2.0517649084817978E-3</v>
      </c>
      <c r="AK112" s="479">
        <v>1796</v>
      </c>
      <c r="AL112" s="479">
        <v>10294</v>
      </c>
      <c r="AM112" s="478">
        <v>7.9486889798572181E-4</v>
      </c>
      <c r="AN112" s="478">
        <v>2.0457241901373408E-3</v>
      </c>
      <c r="AO112" s="479">
        <v>1780</v>
      </c>
      <c r="AP112" s="479">
        <v>10299</v>
      </c>
      <c r="AQ112" s="478">
        <v>7.9403862980050228E-4</v>
      </c>
      <c r="AR112" s="478">
        <v>2.0388371982167888E-3</v>
      </c>
      <c r="AS112" s="479">
        <v>1776</v>
      </c>
      <c r="AT112" s="479">
        <v>10308</v>
      </c>
      <c r="AU112" s="478">
        <v>7.9532360456045174E-4</v>
      </c>
      <c r="AV112" s="478">
        <v>2.0316421223327687E-3</v>
      </c>
      <c r="AW112" s="479">
        <v>1778</v>
      </c>
      <c r="AX112" s="479">
        <v>10321</v>
      </c>
      <c r="AY112" s="478">
        <v>7.9415032629998473E-4</v>
      </c>
      <c r="AZ112" s="478">
        <v>2.0230286628025221E-3</v>
      </c>
      <c r="BA112" s="479">
        <v>1774</v>
      </c>
      <c r="BB112" s="479">
        <v>10335</v>
      </c>
      <c r="BC112" s="478">
        <v>7.9294929201276069E-4</v>
      </c>
      <c r="BD112" s="478">
        <v>2.0251915782217604E-3</v>
      </c>
      <c r="BE112" s="479">
        <v>1770</v>
      </c>
      <c r="BF112" s="479">
        <v>10412</v>
      </c>
      <c r="BG112" s="478">
        <v>7.9204956159361988E-4</v>
      </c>
      <c r="BH112" s="478">
        <v>2.023552590821705E-3</v>
      </c>
      <c r="BI112" s="479">
        <v>1767</v>
      </c>
      <c r="BJ112" s="479">
        <v>10472</v>
      </c>
    </row>
    <row r="113" spans="1:62">
      <c r="A113" s="461" t="s">
        <v>1330</v>
      </c>
      <c r="B113" s="462" t="s">
        <v>104</v>
      </c>
      <c r="C113" s="478">
        <v>8.5347833129028293E-3</v>
      </c>
      <c r="D113" s="478">
        <v>7.4960080869937717E-3</v>
      </c>
      <c r="E113" s="479">
        <v>19655</v>
      </c>
      <c r="F113" s="479">
        <v>35312</v>
      </c>
      <c r="G113" s="478">
        <v>8.5321482258786784E-3</v>
      </c>
      <c r="H113" s="478">
        <v>7.401847251438603E-3</v>
      </c>
      <c r="I113" s="479">
        <v>19644</v>
      </c>
      <c r="J113" s="479">
        <v>35391</v>
      </c>
      <c r="K113" s="478">
        <v>8.529405248403614E-3</v>
      </c>
      <c r="L113" s="471">
        <v>7.2935856743939972E-3</v>
      </c>
      <c r="M113" s="479">
        <v>19634</v>
      </c>
      <c r="N113" s="479">
        <v>35402</v>
      </c>
      <c r="O113" s="478">
        <v>8.5352397760874981E-3</v>
      </c>
      <c r="P113" s="478">
        <v>7.2160312988611966E-3</v>
      </c>
      <c r="Q113" s="479">
        <v>19625</v>
      </c>
      <c r="R113" s="479">
        <v>35435</v>
      </c>
      <c r="S113" s="478">
        <v>8.5338564762875418E-3</v>
      </c>
      <c r="T113" s="478">
        <v>7.1771649471207306E-3</v>
      </c>
      <c r="U113" s="479">
        <v>19610</v>
      </c>
      <c r="V113" s="479">
        <v>35528</v>
      </c>
      <c r="W113" s="478">
        <v>8.5356285425427329E-3</v>
      </c>
      <c r="X113" s="478">
        <v>7.173702502372919E-3</v>
      </c>
      <c r="Y113" s="479">
        <v>19604</v>
      </c>
      <c r="Z113" s="479">
        <v>35643</v>
      </c>
      <c r="AA113" s="133">
        <v>8.4974119736299664E-3</v>
      </c>
      <c r="AB113" s="478">
        <v>7.15414342553637E-3</v>
      </c>
      <c r="AC113" s="479">
        <v>19293</v>
      </c>
      <c r="AD113" s="479">
        <v>35701</v>
      </c>
      <c r="AE113" s="478">
        <v>8.5250127056970305E-3</v>
      </c>
      <c r="AF113" s="478">
        <v>7.1384707400661109E-3</v>
      </c>
      <c r="AG113" s="479">
        <v>19223</v>
      </c>
      <c r="AH113" s="479">
        <v>35710</v>
      </c>
      <c r="AI113" s="478">
        <v>8.5547799788538541E-3</v>
      </c>
      <c r="AJ113" s="478">
        <v>7.1323446167779912E-3</v>
      </c>
      <c r="AK113" s="479">
        <v>19184</v>
      </c>
      <c r="AL113" s="479">
        <v>35784</v>
      </c>
      <c r="AM113" s="478">
        <v>8.5644890980158192E-3</v>
      </c>
      <c r="AN113" s="478">
        <v>7.1118660941525734E-3</v>
      </c>
      <c r="AO113" s="479">
        <v>19179</v>
      </c>
      <c r="AP113" s="479">
        <v>35804</v>
      </c>
      <c r="AQ113" s="478">
        <v>8.562293805917465E-3</v>
      </c>
      <c r="AR113" s="478">
        <v>7.0839109676110101E-3</v>
      </c>
      <c r="AS113" s="479">
        <v>19151</v>
      </c>
      <c r="AT113" s="479">
        <v>35815</v>
      </c>
      <c r="AU113" s="478">
        <v>8.5682922639794459E-3</v>
      </c>
      <c r="AV113" s="478">
        <v>7.0724609837509965E-3</v>
      </c>
      <c r="AW113" s="479">
        <v>19155</v>
      </c>
      <c r="AX113" s="479">
        <v>35929</v>
      </c>
      <c r="AY113" s="478">
        <v>8.5704667401427324E-3</v>
      </c>
      <c r="AZ113" s="478">
        <v>7.1315919953443916E-3</v>
      </c>
      <c r="BA113" s="479">
        <v>19145</v>
      </c>
      <c r="BB113" s="479">
        <v>36433</v>
      </c>
      <c r="BC113" s="478">
        <v>8.5772921722465055E-3</v>
      </c>
      <c r="BD113" s="478">
        <v>7.1027584385251656E-3</v>
      </c>
      <c r="BE113" s="479">
        <v>19146</v>
      </c>
      <c r="BF113" s="479">
        <v>36517</v>
      </c>
      <c r="BG113" s="478">
        <v>8.5812092853131058E-3</v>
      </c>
      <c r="BH113" s="478">
        <v>7.0609850287639345E-3</v>
      </c>
      <c r="BI113" s="479">
        <v>19144</v>
      </c>
      <c r="BJ113" s="479">
        <v>36541</v>
      </c>
    </row>
    <row r="114" spans="1:62">
      <c r="A114" s="461" t="s">
        <v>1331</v>
      </c>
      <c r="B114" s="462" t="s">
        <v>104</v>
      </c>
      <c r="C114" s="478">
        <v>8.3706445140080306E-3</v>
      </c>
      <c r="D114" s="478">
        <v>5.6133026122671134E-3</v>
      </c>
      <c r="E114" s="479">
        <v>19277</v>
      </c>
      <c r="F114" s="479">
        <v>26443</v>
      </c>
      <c r="G114" s="478">
        <v>8.3862104431513696E-3</v>
      </c>
      <c r="H114" s="478">
        <v>5.5513331523532779E-3</v>
      </c>
      <c r="I114" s="479">
        <v>19308</v>
      </c>
      <c r="J114" s="479">
        <v>26543</v>
      </c>
      <c r="K114" s="478">
        <v>8.376923775337013E-3</v>
      </c>
      <c r="L114" s="471">
        <v>5.4624634362714659E-3</v>
      </c>
      <c r="M114" s="479">
        <v>19283</v>
      </c>
      <c r="N114" s="479">
        <v>26514</v>
      </c>
      <c r="O114" s="478">
        <v>8.3738856891102526E-3</v>
      </c>
      <c r="P114" s="478">
        <v>5.4052523992005859E-3</v>
      </c>
      <c r="Q114" s="479">
        <v>19254</v>
      </c>
      <c r="R114" s="479">
        <v>26543</v>
      </c>
      <c r="S114" s="478">
        <v>8.3724051375469663E-3</v>
      </c>
      <c r="T114" s="478">
        <v>5.3774193235590724E-3</v>
      </c>
      <c r="U114" s="479">
        <v>19239</v>
      </c>
      <c r="V114" s="479">
        <v>26619</v>
      </c>
      <c r="W114" s="478">
        <v>8.3671278158561364E-3</v>
      </c>
      <c r="X114" s="478">
        <v>5.3762012525148109E-3</v>
      </c>
      <c r="Y114" s="479">
        <v>19217</v>
      </c>
      <c r="Z114" s="479">
        <v>26712</v>
      </c>
      <c r="AA114" s="133">
        <v>8.4784730468240744E-3</v>
      </c>
      <c r="AB114" s="478">
        <v>5.388101409647403E-3</v>
      </c>
      <c r="AC114" s="479">
        <v>19250</v>
      </c>
      <c r="AD114" s="479">
        <v>26888</v>
      </c>
      <c r="AE114" s="478">
        <v>8.3476207750785621E-3</v>
      </c>
      <c r="AF114" s="478">
        <v>5.375942134208847E-3</v>
      </c>
      <c r="AG114" s="479">
        <v>18823</v>
      </c>
      <c r="AH114" s="479">
        <v>26893</v>
      </c>
      <c r="AI114" s="478">
        <v>8.292571334798075E-3</v>
      </c>
      <c r="AJ114" s="478">
        <v>5.3679942214136167E-3</v>
      </c>
      <c r="AK114" s="479">
        <v>18596</v>
      </c>
      <c r="AL114" s="479">
        <v>26932</v>
      </c>
      <c r="AM114" s="478">
        <v>8.2760142058254955E-3</v>
      </c>
      <c r="AN114" s="478">
        <v>5.3446257679411044E-3</v>
      </c>
      <c r="AO114" s="479">
        <v>18533</v>
      </c>
      <c r="AP114" s="479">
        <v>26907</v>
      </c>
      <c r="AQ114" s="478">
        <v>8.2560345371036452E-3</v>
      </c>
      <c r="AR114" s="478">
        <v>5.3939783888795161E-3</v>
      </c>
      <c r="AS114" s="479">
        <v>18466</v>
      </c>
      <c r="AT114" s="479">
        <v>27271</v>
      </c>
      <c r="AU114" s="478">
        <v>8.2216242136226685E-3</v>
      </c>
      <c r="AV114" s="478">
        <v>5.352622089959562E-3</v>
      </c>
      <c r="AW114" s="479">
        <v>18380</v>
      </c>
      <c r="AX114" s="479">
        <v>27192</v>
      </c>
      <c r="AY114" s="478">
        <v>8.1993559055865382E-3</v>
      </c>
      <c r="AZ114" s="478">
        <v>5.3446322795510466E-3</v>
      </c>
      <c r="BA114" s="479">
        <v>18316</v>
      </c>
      <c r="BB114" s="479">
        <v>27304</v>
      </c>
      <c r="BC114" s="478">
        <v>8.1736496230354911E-3</v>
      </c>
      <c r="BD114" s="478">
        <v>5.4374020907788428E-3</v>
      </c>
      <c r="BE114" s="479">
        <v>18245</v>
      </c>
      <c r="BF114" s="479">
        <v>27955</v>
      </c>
      <c r="BG114" s="478">
        <v>8.1612033774391829E-3</v>
      </c>
      <c r="BH114" s="478">
        <v>5.4068969675116624E-3</v>
      </c>
      <c r="BI114" s="479">
        <v>18207</v>
      </c>
      <c r="BJ114" s="479">
        <v>27981</v>
      </c>
    </row>
    <row r="115" spans="1:62">
      <c r="A115" s="461" t="s">
        <v>1332</v>
      </c>
      <c r="B115" s="462" t="s">
        <v>104</v>
      </c>
      <c r="C115" s="478">
        <v>4.5594110804110764E-5</v>
      </c>
      <c r="D115" s="478">
        <v>8.9942756752924252E-4</v>
      </c>
      <c r="E115" s="479">
        <v>105</v>
      </c>
      <c r="F115" s="479">
        <v>4237</v>
      </c>
      <c r="G115" s="478">
        <v>4.3868202546006233E-5</v>
      </c>
      <c r="H115" s="478">
        <v>8.8677438744595174E-4</v>
      </c>
      <c r="I115" s="479">
        <v>101</v>
      </c>
      <c r="J115" s="479">
        <v>4240</v>
      </c>
      <c r="K115" s="478">
        <v>4.3876435269877004E-5</v>
      </c>
      <c r="L115" s="471">
        <v>8.7373868270450652E-4</v>
      </c>
      <c r="M115" s="479">
        <v>101</v>
      </c>
      <c r="N115" s="479">
        <v>4241</v>
      </c>
      <c r="O115" s="478">
        <v>4.3926584325342031E-5</v>
      </c>
      <c r="P115" s="478">
        <v>8.6527210353777974E-4</v>
      </c>
      <c r="Q115" s="479">
        <v>101</v>
      </c>
      <c r="R115" s="479">
        <v>4249</v>
      </c>
      <c r="S115" s="478">
        <v>4.3517881062149626E-5</v>
      </c>
      <c r="T115" s="478">
        <v>8.5936893957024279E-4</v>
      </c>
      <c r="U115" s="479">
        <v>100</v>
      </c>
      <c r="V115" s="479">
        <v>4254</v>
      </c>
      <c r="W115" s="478">
        <v>4.3104837059361894E-5</v>
      </c>
      <c r="X115" s="478">
        <v>8.5598172832230797E-4</v>
      </c>
      <c r="Y115" s="479">
        <v>99</v>
      </c>
      <c r="Z115" s="479">
        <v>4253</v>
      </c>
      <c r="AA115" s="133">
        <v>4.4044015827657531E-5</v>
      </c>
      <c r="AB115" s="478">
        <v>8.5165988511609126E-4</v>
      </c>
      <c r="AC115" s="479">
        <v>100</v>
      </c>
      <c r="AD115" s="479">
        <v>4250</v>
      </c>
      <c r="AE115" s="478">
        <v>4.213058352188617E-5</v>
      </c>
      <c r="AF115" s="478">
        <v>8.4957996766398696E-4</v>
      </c>
      <c r="AG115" s="479">
        <v>95</v>
      </c>
      <c r="AH115" s="479">
        <v>4250</v>
      </c>
      <c r="AI115" s="478">
        <v>4.1471775335352815E-5</v>
      </c>
      <c r="AJ115" s="478">
        <v>8.4789274535472775E-4</v>
      </c>
      <c r="AK115" s="479">
        <v>93</v>
      </c>
      <c r="AL115" s="479">
        <v>4254</v>
      </c>
      <c r="AM115" s="478">
        <v>3.9296889338619957E-5</v>
      </c>
      <c r="AN115" s="478">
        <v>8.4637642238811637E-4</v>
      </c>
      <c r="AO115" s="479">
        <v>88</v>
      </c>
      <c r="AP115" s="479">
        <v>4261</v>
      </c>
      <c r="AQ115" s="478">
        <v>3.9344256431556417E-5</v>
      </c>
      <c r="AR115" s="478">
        <v>8.4555966456895343E-4</v>
      </c>
      <c r="AS115" s="479">
        <v>88</v>
      </c>
      <c r="AT115" s="479">
        <v>4275</v>
      </c>
      <c r="AU115" s="478">
        <v>3.9363597975995362E-5</v>
      </c>
      <c r="AV115" s="478">
        <v>8.4446707729944549E-4</v>
      </c>
      <c r="AW115" s="479">
        <v>88</v>
      </c>
      <c r="AX115" s="479">
        <v>4290</v>
      </c>
      <c r="AY115" s="478">
        <v>3.9394153728522353E-5</v>
      </c>
      <c r="AZ115" s="478">
        <v>8.4111796459239842E-4</v>
      </c>
      <c r="BA115" s="479">
        <v>88</v>
      </c>
      <c r="BB115" s="479">
        <v>4297</v>
      </c>
      <c r="BC115" s="478">
        <v>3.9423467625493183E-5</v>
      </c>
      <c r="BD115" s="478">
        <v>8.4454301120235145E-4</v>
      </c>
      <c r="BE115" s="479">
        <v>88</v>
      </c>
      <c r="BF115" s="479">
        <v>4342</v>
      </c>
      <c r="BG115" s="478">
        <v>3.9445592201606424E-5</v>
      </c>
      <c r="BH115" s="478">
        <v>8.4269603214032229E-4</v>
      </c>
      <c r="BI115" s="479">
        <v>88</v>
      </c>
      <c r="BJ115" s="479">
        <v>4361</v>
      </c>
    </row>
    <row r="116" spans="1:62">
      <c r="A116" s="461" t="s">
        <v>1333</v>
      </c>
      <c r="B116" s="462" t="s">
        <v>104</v>
      </c>
      <c r="C116" s="478">
        <v>1.1643433210489771E-2</v>
      </c>
      <c r="D116" s="478">
        <v>6.8409140408773588E-3</v>
      </c>
      <c r="E116" s="479">
        <v>26814</v>
      </c>
      <c r="F116" s="479">
        <v>32226</v>
      </c>
      <c r="G116" s="478">
        <v>1.1656780395343716E-2</v>
      </c>
      <c r="H116" s="478">
        <v>6.7455505467675187E-3</v>
      </c>
      <c r="I116" s="479">
        <v>26838</v>
      </c>
      <c r="J116" s="479">
        <v>32253</v>
      </c>
      <c r="K116" s="478">
        <v>1.166027127800761E-2</v>
      </c>
      <c r="L116" s="471">
        <v>6.6608925608392837E-3</v>
      </c>
      <c r="M116" s="479">
        <v>26841</v>
      </c>
      <c r="N116" s="479">
        <v>32331</v>
      </c>
      <c r="O116" s="478">
        <v>1.1676208013687697E-2</v>
      </c>
      <c r="P116" s="478">
        <v>6.5837249017125015E-3</v>
      </c>
      <c r="Q116" s="479">
        <v>26847</v>
      </c>
      <c r="R116" s="479">
        <v>32330</v>
      </c>
      <c r="S116" s="478">
        <v>1.1693254641399605E-2</v>
      </c>
      <c r="T116" s="478">
        <v>6.5480923383238951E-3</v>
      </c>
      <c r="U116" s="479">
        <v>26870</v>
      </c>
      <c r="V116" s="479">
        <v>32414</v>
      </c>
      <c r="W116" s="478">
        <v>1.169969774365771E-2</v>
      </c>
      <c r="X116" s="478">
        <v>6.5314646243864426E-3</v>
      </c>
      <c r="Y116" s="479">
        <v>26871</v>
      </c>
      <c r="Z116" s="479">
        <v>32452</v>
      </c>
      <c r="AA116" s="133">
        <v>1.1785297755164601E-2</v>
      </c>
      <c r="AB116" s="478">
        <v>6.5231135483056479E-3</v>
      </c>
      <c r="AC116" s="479">
        <v>26758</v>
      </c>
      <c r="AD116" s="479">
        <v>32552</v>
      </c>
      <c r="AE116" s="478">
        <v>1.1823172175720899E-2</v>
      </c>
      <c r="AF116" s="478">
        <v>6.5125801803588308E-3</v>
      </c>
      <c r="AG116" s="479">
        <v>26660</v>
      </c>
      <c r="AH116" s="479">
        <v>32579</v>
      </c>
      <c r="AI116" s="478">
        <v>1.187252200568208E-2</v>
      </c>
      <c r="AJ116" s="478">
        <v>6.5013083140527759E-3</v>
      </c>
      <c r="AK116" s="479">
        <v>26624</v>
      </c>
      <c r="AL116" s="479">
        <v>32618</v>
      </c>
      <c r="AM116" s="478">
        <v>1.1887755580493202E-2</v>
      </c>
      <c r="AN116" s="478">
        <v>6.4887534827863403E-3</v>
      </c>
      <c r="AO116" s="479">
        <v>26621</v>
      </c>
      <c r="AP116" s="479">
        <v>32667</v>
      </c>
      <c r="AQ116" s="478">
        <v>1.190566141495359E-2</v>
      </c>
      <c r="AR116" s="478">
        <v>6.4652184224012589E-3</v>
      </c>
      <c r="AS116" s="479">
        <v>26629</v>
      </c>
      <c r="AT116" s="479">
        <v>32687</v>
      </c>
      <c r="AU116" s="478">
        <v>1.1907041074125234E-2</v>
      </c>
      <c r="AV116" s="478">
        <v>6.4336974252809037E-3</v>
      </c>
      <c r="AW116" s="479">
        <v>26619</v>
      </c>
      <c r="AX116" s="479">
        <v>32684</v>
      </c>
      <c r="AY116" s="478">
        <v>1.1917179163715836E-2</v>
      </c>
      <c r="AZ116" s="478">
        <v>6.4087042496521118E-3</v>
      </c>
      <c r="BA116" s="479">
        <v>26621</v>
      </c>
      <c r="BB116" s="479">
        <v>32740</v>
      </c>
      <c r="BC116" s="478">
        <v>1.1931422878065454E-2</v>
      </c>
      <c r="BD116" s="478">
        <v>6.3910627043037458E-3</v>
      </c>
      <c r="BE116" s="479">
        <v>26633</v>
      </c>
      <c r="BF116" s="479">
        <v>32858</v>
      </c>
      <c r="BG116" s="478">
        <v>1.1905396919030302E-2</v>
      </c>
      <c r="BH116" s="478">
        <v>6.3485291079885689E-3</v>
      </c>
      <c r="BI116" s="479">
        <v>26560</v>
      </c>
      <c r="BJ116" s="479">
        <v>32854</v>
      </c>
    </row>
    <row r="117" spans="1:62">
      <c r="A117" s="461" t="s">
        <v>1334</v>
      </c>
      <c r="B117" s="462" t="s">
        <v>104</v>
      </c>
      <c r="C117" s="478">
        <v>9.6853615547852323E-2</v>
      </c>
      <c r="D117" s="478">
        <v>6.7800960097003163E-2</v>
      </c>
      <c r="E117" s="479">
        <v>223047</v>
      </c>
      <c r="F117" s="479">
        <v>319395</v>
      </c>
      <c r="G117" s="478">
        <v>9.6899213021819863E-2</v>
      </c>
      <c r="H117" s="478">
        <v>6.7335874583331068E-2</v>
      </c>
      <c r="I117" s="479">
        <v>223096</v>
      </c>
      <c r="J117" s="479">
        <v>321958</v>
      </c>
      <c r="K117" s="478">
        <v>9.6905668705110817E-2</v>
      </c>
      <c r="L117" s="471">
        <v>6.6201620403085873E-2</v>
      </c>
      <c r="M117" s="479">
        <v>223069</v>
      </c>
      <c r="N117" s="479">
        <v>321333</v>
      </c>
      <c r="O117" s="478">
        <v>9.6977720523413524E-2</v>
      </c>
      <c r="P117" s="478">
        <v>6.5757828889946912E-2</v>
      </c>
      <c r="Q117" s="479">
        <v>222980</v>
      </c>
      <c r="R117" s="479">
        <v>322910</v>
      </c>
      <c r="S117" s="478">
        <v>9.7104494265648808E-2</v>
      </c>
      <c r="T117" s="478">
        <v>6.5674857135469195E-2</v>
      </c>
      <c r="U117" s="479">
        <v>223137</v>
      </c>
      <c r="V117" s="479">
        <v>325100</v>
      </c>
      <c r="W117" s="478">
        <v>9.7165269170114324E-2</v>
      </c>
      <c r="X117" s="478">
        <v>6.5578706443149365E-2</v>
      </c>
      <c r="Y117" s="479">
        <v>223162</v>
      </c>
      <c r="Z117" s="479">
        <v>325832</v>
      </c>
      <c r="AA117" s="133">
        <v>9.6950568520156308E-2</v>
      </c>
      <c r="AB117" s="478">
        <v>6.538864246416265E-2</v>
      </c>
      <c r="AC117" s="479">
        <v>220122</v>
      </c>
      <c r="AD117" s="479">
        <v>326306</v>
      </c>
      <c r="AE117" s="478">
        <v>9.7026733850903851E-2</v>
      </c>
      <c r="AF117" s="478">
        <v>6.5329900896996529E-2</v>
      </c>
      <c r="AG117" s="479">
        <v>218785</v>
      </c>
      <c r="AH117" s="479">
        <v>326811</v>
      </c>
      <c r="AI117" s="478">
        <v>9.7376620353544649E-2</v>
      </c>
      <c r="AJ117" s="478">
        <v>6.5220771020325502E-2</v>
      </c>
      <c r="AK117" s="479">
        <v>218366</v>
      </c>
      <c r="AL117" s="479">
        <v>327222</v>
      </c>
      <c r="AM117" s="478">
        <v>9.7350005336338946E-2</v>
      </c>
      <c r="AN117" s="478">
        <v>6.3467306848498217E-2</v>
      </c>
      <c r="AO117" s="479">
        <v>218002</v>
      </c>
      <c r="AP117" s="479">
        <v>319520</v>
      </c>
      <c r="AQ117" s="478">
        <v>9.7435603958926378E-2</v>
      </c>
      <c r="AR117" s="478">
        <v>6.332697960351856E-2</v>
      </c>
      <c r="AS117" s="479">
        <v>217931</v>
      </c>
      <c r="AT117" s="479">
        <v>320170</v>
      </c>
      <c r="AU117" s="478">
        <v>9.7534496825862599E-2</v>
      </c>
      <c r="AV117" s="478">
        <v>6.3172830128065696E-2</v>
      </c>
      <c r="AW117" s="479">
        <v>218045</v>
      </c>
      <c r="AX117" s="479">
        <v>320926</v>
      </c>
      <c r="AY117" s="478">
        <v>9.7487995974633743E-2</v>
      </c>
      <c r="AZ117" s="478">
        <v>6.2709582148176526E-2</v>
      </c>
      <c r="BA117" s="479">
        <v>217772</v>
      </c>
      <c r="BB117" s="479">
        <v>320363</v>
      </c>
      <c r="BC117" s="478">
        <v>9.7416284490494234E-2</v>
      </c>
      <c r="BD117" s="478">
        <v>6.2063213519223566E-2</v>
      </c>
      <c r="BE117" s="479">
        <v>217450</v>
      </c>
      <c r="BF117" s="479">
        <v>319082</v>
      </c>
      <c r="BG117" s="478">
        <v>9.763590911556258E-2</v>
      </c>
      <c r="BH117" s="478">
        <v>6.196685369842303E-2</v>
      </c>
      <c r="BI117" s="479">
        <v>217818</v>
      </c>
      <c r="BJ117" s="479">
        <v>320682</v>
      </c>
    </row>
    <row r="118" spans="1:62" s="95" customFormat="1">
      <c r="A118" s="464" t="s">
        <v>1335</v>
      </c>
      <c r="B118" s="480"/>
      <c r="C118" s="481">
        <v>0.56932280587026352</v>
      </c>
      <c r="D118" s="481">
        <v>0.41851105572035507</v>
      </c>
      <c r="E118" s="482">
        <v>1311110</v>
      </c>
      <c r="F118" s="482">
        <v>1971511</v>
      </c>
      <c r="G118" s="481">
        <v>0.5691968774526559</v>
      </c>
      <c r="H118" s="481">
        <v>0.41463416164474887</v>
      </c>
      <c r="I118" s="482">
        <v>1310491</v>
      </c>
      <c r="J118" s="482">
        <v>1982521</v>
      </c>
      <c r="K118" s="481">
        <v>0.56911255348255085</v>
      </c>
      <c r="L118" s="481">
        <v>0.41104594410956741</v>
      </c>
      <c r="M118" s="482">
        <v>1310051</v>
      </c>
      <c r="N118" s="482">
        <v>1995157</v>
      </c>
      <c r="O118" s="481">
        <v>0.56882099742920755</v>
      </c>
      <c r="P118" s="481">
        <v>0.40803067816235672</v>
      </c>
      <c r="Q118" s="482">
        <v>1307885</v>
      </c>
      <c r="R118" s="482">
        <v>2003673</v>
      </c>
      <c r="S118" s="481">
        <v>0.56882048264811524</v>
      </c>
      <c r="T118" s="481">
        <v>0.40667099785379979</v>
      </c>
      <c r="U118" s="482">
        <v>1307096</v>
      </c>
      <c r="V118" s="482">
        <v>2013080</v>
      </c>
      <c r="W118" s="481">
        <v>0.56875177970728763</v>
      </c>
      <c r="X118" s="481">
        <v>0.40601711077888913</v>
      </c>
      <c r="Y118" s="482">
        <v>1306267</v>
      </c>
      <c r="Z118" s="482">
        <v>2017322</v>
      </c>
      <c r="AA118" s="481">
        <v>0.56609421191161591</v>
      </c>
      <c r="AB118" s="481">
        <v>0.40514302375329525</v>
      </c>
      <c r="AC118" s="482">
        <v>1285292</v>
      </c>
      <c r="AD118" s="482">
        <v>2021767</v>
      </c>
      <c r="AE118" s="481">
        <v>0.56595565024342609</v>
      </c>
      <c r="AF118" s="481">
        <v>0.40466613306381338</v>
      </c>
      <c r="AG118" s="482">
        <v>1276170</v>
      </c>
      <c r="AH118" s="482">
        <v>2024331</v>
      </c>
      <c r="AI118" s="481">
        <v>0.56686030566928081</v>
      </c>
      <c r="AJ118" s="481">
        <v>0.40397245923178604</v>
      </c>
      <c r="AK118" s="482">
        <v>1271178</v>
      </c>
      <c r="AL118" s="482">
        <v>2026788</v>
      </c>
      <c r="AM118" s="481">
        <v>0.56676474515297448</v>
      </c>
      <c r="AN118" s="481">
        <v>0.40318564087936559</v>
      </c>
      <c r="AO118" s="482">
        <v>1269192</v>
      </c>
      <c r="AP118" s="482">
        <v>2029799</v>
      </c>
      <c r="AQ118" s="481">
        <v>0.56687875307321112</v>
      </c>
      <c r="AR118" s="481">
        <v>0.4023697032115246</v>
      </c>
      <c r="AS118" s="482">
        <v>1267919</v>
      </c>
      <c r="AT118" s="482">
        <v>2034310</v>
      </c>
      <c r="AU118" s="481">
        <v>0.56682462801399913</v>
      </c>
      <c r="AV118" s="481">
        <v>0.40125551979310753</v>
      </c>
      <c r="AW118" s="482">
        <v>1267175</v>
      </c>
      <c r="AX118" s="482">
        <v>2038429</v>
      </c>
      <c r="AY118" s="481">
        <v>0.56696379408675845</v>
      </c>
      <c r="AZ118" s="481">
        <v>0.40016563975369751</v>
      </c>
      <c r="BA118" s="482">
        <v>1266503</v>
      </c>
      <c r="BB118" s="482">
        <v>2044317</v>
      </c>
      <c r="BC118" s="481">
        <v>0.56699144734749507</v>
      </c>
      <c r="BD118" s="481">
        <v>0.39875423098154106</v>
      </c>
      <c r="BE118" s="482">
        <v>1265623</v>
      </c>
      <c r="BF118" s="482">
        <v>2050092</v>
      </c>
      <c r="BG118" s="481">
        <v>0.56713527731371927</v>
      </c>
      <c r="BH118" s="481">
        <v>0.397366251231629</v>
      </c>
      <c r="BI118" s="482">
        <v>1265234</v>
      </c>
      <c r="BJ118" s="482">
        <v>2056393</v>
      </c>
    </row>
    <row r="119" spans="1:62" s="95" customFormat="1">
      <c r="A119" s="466" t="s">
        <v>1336</v>
      </c>
      <c r="B119" s="74"/>
      <c r="C119" s="483"/>
      <c r="D119" s="74"/>
      <c r="E119" s="484"/>
      <c r="F119" s="484"/>
      <c r="G119" s="483"/>
      <c r="H119" s="74"/>
      <c r="I119" s="484"/>
      <c r="J119" s="484"/>
      <c r="K119" s="483"/>
      <c r="L119" s="74"/>
      <c r="M119" s="484"/>
      <c r="N119" s="484"/>
      <c r="O119" s="483"/>
      <c r="P119" s="74"/>
      <c r="Q119" s="484"/>
      <c r="R119" s="484"/>
      <c r="S119" s="483"/>
      <c r="T119" s="483"/>
      <c r="U119" s="484"/>
      <c r="V119" s="484"/>
      <c r="W119" s="483"/>
      <c r="X119" s="483"/>
      <c r="Y119" s="484"/>
      <c r="Z119" s="484"/>
      <c r="AA119" s="483"/>
      <c r="AB119" s="483"/>
      <c r="AC119" s="484"/>
      <c r="AD119" s="484"/>
      <c r="AE119" s="483"/>
      <c r="AF119" s="483"/>
      <c r="AG119" s="484"/>
      <c r="AH119" s="484"/>
      <c r="AI119" s="483"/>
      <c r="AJ119" s="483"/>
      <c r="AK119" s="484"/>
      <c r="AL119" s="484"/>
      <c r="AM119" s="483"/>
      <c r="AN119" s="483"/>
      <c r="AO119" s="484"/>
      <c r="AP119" s="484"/>
      <c r="AQ119" s="483"/>
      <c r="AR119" s="483"/>
      <c r="AS119" s="484"/>
      <c r="AT119" s="484"/>
      <c r="AU119" s="483"/>
      <c r="AV119" s="483"/>
      <c r="AW119" s="484"/>
      <c r="AX119" s="484"/>
      <c r="AY119" s="483"/>
      <c r="AZ119" s="483"/>
      <c r="BA119" s="484"/>
      <c r="BB119" s="484"/>
      <c r="BC119" s="483"/>
      <c r="BD119" s="483"/>
      <c r="BE119" s="484"/>
      <c r="BF119" s="484"/>
      <c r="BG119" s="483"/>
      <c r="BH119" s="483"/>
      <c r="BI119" s="484"/>
      <c r="BJ119" s="484"/>
    </row>
    <row r="120" spans="1:62">
      <c r="A120" s="461" t="s">
        <v>1337</v>
      </c>
      <c r="B120" s="462" t="s">
        <v>104</v>
      </c>
      <c r="C120" s="478">
        <v>7.3819036539988856E-6</v>
      </c>
      <c r="D120" s="478">
        <v>4.6701455005058615E-6</v>
      </c>
      <c r="E120" s="479">
        <v>17</v>
      </c>
      <c r="F120" s="479">
        <v>22</v>
      </c>
      <c r="G120" s="478">
        <v>7.8180955032486356E-6</v>
      </c>
      <c r="H120" s="478">
        <v>4.8103327620888889E-6</v>
      </c>
      <c r="I120" s="479">
        <v>18</v>
      </c>
      <c r="J120" s="479">
        <v>23</v>
      </c>
      <c r="K120" s="478">
        <v>7.3851425701773169E-6</v>
      </c>
      <c r="L120" s="471">
        <v>4.5324807874320072E-6</v>
      </c>
      <c r="M120" s="479">
        <v>17</v>
      </c>
      <c r="N120" s="479">
        <v>22</v>
      </c>
      <c r="O120" s="478">
        <v>7.8285001767936295E-6</v>
      </c>
      <c r="P120" s="478">
        <v>4.6837510899903355E-6</v>
      </c>
      <c r="Q120" s="479">
        <v>18</v>
      </c>
      <c r="R120" s="479">
        <v>23</v>
      </c>
      <c r="S120" s="478">
        <v>7.8332185911869326E-6</v>
      </c>
      <c r="T120" s="478">
        <v>4.6463294805161227E-6</v>
      </c>
      <c r="U120" s="479">
        <v>18</v>
      </c>
      <c r="V120" s="479">
        <v>23</v>
      </c>
      <c r="W120" s="478">
        <v>7.4018407071631533E-6</v>
      </c>
      <c r="X120" s="478">
        <v>4.6291041033183832E-6</v>
      </c>
      <c r="Y120" s="479">
        <v>17</v>
      </c>
      <c r="Z120" s="479">
        <v>23</v>
      </c>
      <c r="AA120" s="133">
        <v>7.9279228489783542E-6</v>
      </c>
      <c r="AB120" s="478">
        <v>4.608982907687082E-6</v>
      </c>
      <c r="AC120" s="479">
        <v>18</v>
      </c>
      <c r="AD120" s="479">
        <v>23</v>
      </c>
      <c r="AE120" s="478">
        <v>7.9826368778310641E-6</v>
      </c>
      <c r="AF120" s="478">
        <v>4.5977268838286348E-6</v>
      </c>
      <c r="AG120" s="479">
        <v>18</v>
      </c>
      <c r="AH120" s="479">
        <v>23</v>
      </c>
      <c r="AI120" s="478">
        <v>8.0267952261973199E-6</v>
      </c>
      <c r="AJ120" s="478">
        <v>4.5842814158812263E-6</v>
      </c>
      <c r="AK120" s="479">
        <v>18</v>
      </c>
      <c r="AL120" s="479">
        <v>23</v>
      </c>
      <c r="AM120" s="478">
        <v>7.1448889706581738E-6</v>
      </c>
      <c r="AN120" s="478">
        <v>4.5685655280278514E-6</v>
      </c>
      <c r="AO120" s="479">
        <v>16</v>
      </c>
      <c r="AP120" s="479">
        <v>23</v>
      </c>
      <c r="AQ120" s="478">
        <v>8.0476888155456305E-6</v>
      </c>
      <c r="AR120" s="478">
        <v>4.5492098912481705E-6</v>
      </c>
      <c r="AS120" s="479">
        <v>18</v>
      </c>
      <c r="AT120" s="479">
        <v>23</v>
      </c>
      <c r="AU120" s="478">
        <v>8.0516450405445067E-6</v>
      </c>
      <c r="AV120" s="478">
        <v>4.5274458689713859E-6</v>
      </c>
      <c r="AW120" s="479">
        <v>18</v>
      </c>
      <c r="AX120" s="479">
        <v>23</v>
      </c>
      <c r="AY120" s="478">
        <v>8.5055559186582351E-6</v>
      </c>
      <c r="AZ120" s="478">
        <v>4.5021440971899376E-6</v>
      </c>
      <c r="BA120" s="479">
        <v>19</v>
      </c>
      <c r="BB120" s="479">
        <v>23</v>
      </c>
      <c r="BC120" s="478">
        <v>8.0638911052145156E-6</v>
      </c>
      <c r="BD120" s="478">
        <v>4.2791216597079071E-6</v>
      </c>
      <c r="BE120" s="479">
        <v>18</v>
      </c>
      <c r="BF120" s="479">
        <v>22</v>
      </c>
      <c r="BG120" s="478">
        <v>8.0684165866922219E-6</v>
      </c>
      <c r="BH120" s="478">
        <v>4.2511609050876154E-6</v>
      </c>
      <c r="BI120" s="479">
        <v>18</v>
      </c>
      <c r="BJ120" s="479">
        <v>22</v>
      </c>
    </row>
    <row r="121" spans="1:62" s="95" customFormat="1">
      <c r="A121" s="464" t="s">
        <v>1338</v>
      </c>
      <c r="B121" s="480"/>
      <c r="C121" s="481">
        <v>7.3819036539988856E-6</v>
      </c>
      <c r="D121" s="481">
        <v>4.6701455005058615E-6</v>
      </c>
      <c r="E121" s="482">
        <v>17</v>
      </c>
      <c r="F121" s="482">
        <v>22</v>
      </c>
      <c r="G121" s="481">
        <v>7.8180955032486356E-6</v>
      </c>
      <c r="H121" s="481">
        <v>4.8103327620888889E-6</v>
      </c>
      <c r="I121" s="482">
        <v>18</v>
      </c>
      <c r="J121" s="482">
        <v>23</v>
      </c>
      <c r="K121" s="481">
        <v>7.3819036539988856E-6</v>
      </c>
      <c r="L121" s="481">
        <v>4.6701455005058615E-6</v>
      </c>
      <c r="M121" s="482">
        <v>17</v>
      </c>
      <c r="N121" s="482">
        <v>22</v>
      </c>
      <c r="O121" s="481">
        <v>7.8161332807047026E-6</v>
      </c>
      <c r="P121" s="481">
        <v>4.8824248414379464E-6</v>
      </c>
      <c r="Q121" s="482">
        <v>18</v>
      </c>
      <c r="R121" s="482">
        <v>23</v>
      </c>
      <c r="S121" s="481">
        <v>7.5391570512848944E-6</v>
      </c>
      <c r="T121" s="481">
        <v>4.5977268838286348E-6</v>
      </c>
      <c r="U121" s="482">
        <v>18</v>
      </c>
      <c r="V121" s="482">
        <v>23</v>
      </c>
      <c r="W121" s="481">
        <v>7.4018407071631533E-6</v>
      </c>
      <c r="X121" s="481">
        <v>4.5977268838286348E-6</v>
      </c>
      <c r="Y121" s="482">
        <v>17</v>
      </c>
      <c r="Z121" s="482">
        <v>23</v>
      </c>
      <c r="AA121" s="481">
        <v>7.9279228489783542E-6</v>
      </c>
      <c r="AB121" s="481">
        <v>4.608982907687082E-6</v>
      </c>
      <c r="AC121" s="482">
        <v>18</v>
      </c>
      <c r="AD121" s="482">
        <v>23</v>
      </c>
      <c r="AE121" s="481">
        <v>7.9826368778310641E-6</v>
      </c>
      <c r="AF121" s="481">
        <v>4.5977268838286348E-6</v>
      </c>
      <c r="AG121" s="482">
        <v>18</v>
      </c>
      <c r="AH121" s="482">
        <v>23</v>
      </c>
      <c r="AI121" s="481">
        <v>8.0267952261973199E-6</v>
      </c>
      <c r="AJ121" s="481">
        <v>4.5842814158812263E-6</v>
      </c>
      <c r="AK121" s="482">
        <v>18</v>
      </c>
      <c r="AL121" s="482">
        <v>23</v>
      </c>
      <c r="AM121" s="481">
        <v>7.1448889706581738E-6</v>
      </c>
      <c r="AN121" s="481">
        <v>4.5685655280278514E-6</v>
      </c>
      <c r="AO121" s="482">
        <v>16</v>
      </c>
      <c r="AP121" s="482">
        <v>23</v>
      </c>
      <c r="AQ121" s="481">
        <v>8.0476888155456305E-6</v>
      </c>
      <c r="AR121" s="481">
        <v>4.5492098912481705E-6</v>
      </c>
      <c r="AS121" s="482">
        <v>18</v>
      </c>
      <c r="AT121" s="482">
        <v>23</v>
      </c>
      <c r="AU121" s="481">
        <v>8.0516450405445067E-6</v>
      </c>
      <c r="AV121" s="481">
        <v>4.5274458689713859E-6</v>
      </c>
      <c r="AW121" s="482">
        <v>18</v>
      </c>
      <c r="AX121" s="482">
        <v>23</v>
      </c>
      <c r="AY121" s="481">
        <v>8.5055559186582351E-6</v>
      </c>
      <c r="AZ121" s="481">
        <v>4.5021440971899376E-6</v>
      </c>
      <c r="BA121" s="482">
        <v>19</v>
      </c>
      <c r="BB121" s="482">
        <v>23</v>
      </c>
      <c r="BC121" s="481">
        <v>8.0638911052145156E-6</v>
      </c>
      <c r="BD121" s="481">
        <v>4.2791216597079071E-6</v>
      </c>
      <c r="BE121" s="482">
        <v>18</v>
      </c>
      <c r="BF121" s="482">
        <v>22</v>
      </c>
      <c r="BG121" s="481">
        <v>8.0684165866922219E-6</v>
      </c>
      <c r="BH121" s="481">
        <v>4.2511609050876154E-6</v>
      </c>
      <c r="BI121" s="482">
        <v>18</v>
      </c>
      <c r="BJ121" s="482">
        <v>22</v>
      </c>
    </row>
    <row r="122" spans="1:62" s="95" customFormat="1">
      <c r="A122" s="466" t="s">
        <v>1339</v>
      </c>
      <c r="B122" s="74"/>
      <c r="C122" s="483"/>
      <c r="D122" s="74"/>
      <c r="E122" s="484"/>
      <c r="F122" s="484"/>
      <c r="G122" s="483"/>
      <c r="H122" s="74"/>
      <c r="I122" s="484"/>
      <c r="J122" s="484"/>
      <c r="K122" s="483"/>
      <c r="L122" s="74"/>
      <c r="M122" s="484"/>
      <c r="N122" s="484"/>
      <c r="O122" s="483"/>
      <c r="P122" s="74"/>
      <c r="Q122" s="484"/>
      <c r="R122" s="484"/>
      <c r="S122" s="483"/>
      <c r="T122" s="483"/>
      <c r="U122" s="484"/>
      <c r="V122" s="484"/>
      <c r="W122" s="483"/>
      <c r="X122" s="483"/>
      <c r="Y122" s="484"/>
      <c r="Z122" s="484"/>
      <c r="AA122" s="483"/>
      <c r="AB122" s="483"/>
      <c r="AC122" s="484"/>
      <c r="AD122" s="484"/>
      <c r="AE122" s="483"/>
      <c r="AF122" s="483"/>
      <c r="AG122" s="484"/>
      <c r="AH122" s="484"/>
      <c r="AI122" s="483"/>
      <c r="AJ122" s="483"/>
      <c r="AK122" s="484"/>
      <c r="AL122" s="484"/>
      <c r="AM122" s="483"/>
      <c r="AN122" s="483"/>
      <c r="AO122" s="484"/>
      <c r="AP122" s="484"/>
      <c r="AQ122" s="483"/>
      <c r="AR122" s="483"/>
      <c r="AS122" s="484"/>
      <c r="AT122" s="484"/>
      <c r="AU122" s="483"/>
      <c r="AV122" s="483"/>
      <c r="AW122" s="484"/>
      <c r="AX122" s="484"/>
      <c r="AY122" s="483"/>
      <c r="AZ122" s="483"/>
      <c r="BA122" s="484"/>
      <c r="BB122" s="484"/>
      <c r="BC122" s="483"/>
      <c r="BD122" s="483"/>
      <c r="BE122" s="484"/>
      <c r="BF122" s="484"/>
      <c r="BG122" s="483"/>
      <c r="BH122" s="483"/>
      <c r="BI122" s="484"/>
      <c r="BJ122" s="484"/>
    </row>
    <row r="123" spans="1:62">
      <c r="A123" s="461" t="s">
        <v>1340</v>
      </c>
      <c r="B123" s="462" t="s">
        <v>104</v>
      </c>
      <c r="C123" s="478">
        <v>5.3714204823509539E-4</v>
      </c>
      <c r="D123" s="478">
        <v>2.0707849707924855E-3</v>
      </c>
      <c r="E123" s="479">
        <v>1237</v>
      </c>
      <c r="F123" s="479">
        <v>9755</v>
      </c>
      <c r="G123" s="478">
        <v>5.1990335096603428E-4</v>
      </c>
      <c r="H123" s="478">
        <v>2.0895667228708736E-3</v>
      </c>
      <c r="I123" s="479">
        <v>1197</v>
      </c>
      <c r="J123" s="479">
        <v>9991</v>
      </c>
      <c r="K123" s="478">
        <v>4.9046035069001128E-4</v>
      </c>
      <c r="L123" s="471">
        <v>2.1061614131780643E-3</v>
      </c>
      <c r="M123" s="479">
        <v>1129</v>
      </c>
      <c r="N123" s="479">
        <v>10223</v>
      </c>
      <c r="O123" s="478">
        <v>4.8667176099067059E-4</v>
      </c>
      <c r="P123" s="478">
        <v>2.1718350162933447E-3</v>
      </c>
      <c r="Q123" s="479">
        <v>1119</v>
      </c>
      <c r="R123" s="479">
        <v>10665</v>
      </c>
      <c r="S123" s="478">
        <v>4.9044651957042625E-4</v>
      </c>
      <c r="T123" s="478">
        <v>2.1684217671243504E-3</v>
      </c>
      <c r="U123" s="479">
        <v>1127</v>
      </c>
      <c r="V123" s="479">
        <v>10734</v>
      </c>
      <c r="W123" s="478">
        <v>4.7066998849666874E-4</v>
      </c>
      <c r="X123" s="478">
        <v>2.1625966778328707E-3</v>
      </c>
      <c r="Y123" s="479">
        <v>1081</v>
      </c>
      <c r="Z123" s="479">
        <v>10745</v>
      </c>
      <c r="AA123" s="133">
        <v>4.721518496724887E-4</v>
      </c>
      <c r="AB123" s="478">
        <v>2.1533969706958862E-3</v>
      </c>
      <c r="AC123" s="479">
        <v>1072</v>
      </c>
      <c r="AD123" s="479">
        <v>10746</v>
      </c>
      <c r="AE123" s="478">
        <v>4.6875817665930193E-4</v>
      </c>
      <c r="AF123" s="478">
        <v>2.1493373676054559E-3</v>
      </c>
      <c r="AG123" s="479">
        <v>1057</v>
      </c>
      <c r="AH123" s="479">
        <v>10752</v>
      </c>
      <c r="AI123" s="478">
        <v>4.2675794619282412E-4</v>
      </c>
      <c r="AJ123" s="478">
        <v>2.142055320716328E-3</v>
      </c>
      <c r="AK123" s="479">
        <v>957</v>
      </c>
      <c r="AL123" s="479">
        <v>10747</v>
      </c>
      <c r="AM123" s="478">
        <v>4.2333467151149678E-4</v>
      </c>
      <c r="AN123" s="478">
        <v>2.137095500697898E-3</v>
      </c>
      <c r="AO123" s="479">
        <v>948</v>
      </c>
      <c r="AP123" s="479">
        <v>10759</v>
      </c>
      <c r="AQ123" s="478">
        <v>4.2831588251626191E-4</v>
      </c>
      <c r="AR123" s="478">
        <v>2.1294258125729481E-3</v>
      </c>
      <c r="AS123" s="479">
        <v>958</v>
      </c>
      <c r="AT123" s="479">
        <v>10766</v>
      </c>
      <c r="AU123" s="478">
        <v>4.2897375521567675E-4</v>
      </c>
      <c r="AV123" s="478">
        <v>2.1259311036909115E-3</v>
      </c>
      <c r="AW123" s="479">
        <v>959</v>
      </c>
      <c r="AX123" s="479">
        <v>10800</v>
      </c>
      <c r="AY123" s="478">
        <v>4.2930674347332881E-4</v>
      </c>
      <c r="AZ123" s="478">
        <v>2.1193353974032808E-3</v>
      </c>
      <c r="BA123" s="479">
        <v>959</v>
      </c>
      <c r="BB123" s="479">
        <v>10827</v>
      </c>
      <c r="BC123" s="478">
        <v>4.3052218622839715E-4</v>
      </c>
      <c r="BD123" s="478">
        <v>2.1084399450560778E-3</v>
      </c>
      <c r="BE123" s="479">
        <v>961</v>
      </c>
      <c r="BF123" s="479">
        <v>10840</v>
      </c>
      <c r="BG123" s="478">
        <v>4.2941906055839717E-4</v>
      </c>
      <c r="BH123" s="478">
        <v>2.1016193638060412E-3</v>
      </c>
      <c r="BI123" s="479">
        <v>958</v>
      </c>
      <c r="BJ123" s="479">
        <v>10876</v>
      </c>
    </row>
    <row r="124" spans="1:62">
      <c r="A124" s="461" t="s">
        <v>1341</v>
      </c>
      <c r="B124" s="462" t="s">
        <v>104</v>
      </c>
      <c r="C124" s="478">
        <v>5.9315767008014575E-4</v>
      </c>
      <c r="D124" s="478">
        <v>7.4573732469441329E-4</v>
      </c>
      <c r="E124" s="479">
        <v>1366</v>
      </c>
      <c r="F124" s="479">
        <v>3513</v>
      </c>
      <c r="G124" s="478">
        <v>6.1285181972687913E-4</v>
      </c>
      <c r="H124" s="478">
        <v>7.4706559244267444E-4</v>
      </c>
      <c r="I124" s="479">
        <v>1411</v>
      </c>
      <c r="J124" s="479">
        <v>3572</v>
      </c>
      <c r="K124" s="478">
        <v>6.2773711846507202E-4</v>
      </c>
      <c r="L124" s="471">
        <v>7.4332684913884929E-4</v>
      </c>
      <c r="M124" s="479">
        <v>1445</v>
      </c>
      <c r="N124" s="479">
        <v>3608</v>
      </c>
      <c r="O124" s="478">
        <v>6.1453726387829992E-4</v>
      </c>
      <c r="P124" s="478">
        <v>7.4471642330846334E-4</v>
      </c>
      <c r="Q124" s="479">
        <v>1413</v>
      </c>
      <c r="R124" s="479">
        <v>3657</v>
      </c>
      <c r="S124" s="478">
        <v>6.1534283821879576E-4</v>
      </c>
      <c r="T124" s="478">
        <v>7.482610606883355E-4</v>
      </c>
      <c r="U124" s="479">
        <v>1414</v>
      </c>
      <c r="V124" s="479">
        <v>3704</v>
      </c>
      <c r="W124" s="478">
        <v>6.0738634038191755E-4</v>
      </c>
      <c r="X124" s="478">
        <v>7.4971359934178166E-4</v>
      </c>
      <c r="Y124" s="479">
        <v>1395</v>
      </c>
      <c r="Z124" s="479">
        <v>3725</v>
      </c>
      <c r="AA124" s="133">
        <v>6.1221182000443966E-4</v>
      </c>
      <c r="AB124" s="478">
        <v>7.4926030834095657E-4</v>
      </c>
      <c r="AC124" s="479">
        <v>1390</v>
      </c>
      <c r="AD124" s="479">
        <v>3739</v>
      </c>
      <c r="AE124" s="478">
        <v>6.2175871681773064E-4</v>
      </c>
      <c r="AF124" s="478">
        <v>7.4922958089520544E-4</v>
      </c>
      <c r="AG124" s="479">
        <v>1402</v>
      </c>
      <c r="AH124" s="479">
        <v>3748</v>
      </c>
      <c r="AI124" s="478">
        <v>6.2609002764339088E-4</v>
      </c>
      <c r="AJ124" s="478">
        <v>7.4883240345503333E-4</v>
      </c>
      <c r="AK124" s="479">
        <v>1404</v>
      </c>
      <c r="AL124" s="479">
        <v>3757</v>
      </c>
      <c r="AM124" s="478">
        <v>6.8635589674385087E-4</v>
      </c>
      <c r="AN124" s="478">
        <v>7.4785431360977655E-4</v>
      </c>
      <c r="AO124" s="479">
        <v>1537</v>
      </c>
      <c r="AP124" s="479">
        <v>3765</v>
      </c>
      <c r="AQ124" s="478">
        <v>7.1356174164504598E-4</v>
      </c>
      <c r="AR124" s="478">
        <v>7.498284651183398E-4</v>
      </c>
      <c r="AS124" s="479">
        <v>1596</v>
      </c>
      <c r="AT124" s="479">
        <v>3791</v>
      </c>
      <c r="AU124" s="478">
        <v>7.1301789970155233E-4</v>
      </c>
      <c r="AV124" s="478">
        <v>7.4545380459976689E-4</v>
      </c>
      <c r="AW124" s="479">
        <v>1594</v>
      </c>
      <c r="AX124" s="479">
        <v>3787</v>
      </c>
      <c r="AY124" s="478">
        <v>7.0819944543775413E-4</v>
      </c>
      <c r="AZ124" s="478">
        <v>7.4285377603633971E-4</v>
      </c>
      <c r="BA124" s="479">
        <v>1582</v>
      </c>
      <c r="BB124" s="479">
        <v>3795</v>
      </c>
      <c r="BC124" s="478">
        <v>7.0559047170627004E-4</v>
      </c>
      <c r="BD124" s="478">
        <v>7.393155194795343E-4</v>
      </c>
      <c r="BE124" s="479">
        <v>1575</v>
      </c>
      <c r="BF124" s="479">
        <v>3801</v>
      </c>
      <c r="BG124" s="478">
        <v>7.0643469670149687E-4</v>
      </c>
      <c r="BH124" s="478">
        <v>7.3912229372546045E-4</v>
      </c>
      <c r="BI124" s="479">
        <v>1576</v>
      </c>
      <c r="BJ124" s="479">
        <v>3825</v>
      </c>
    </row>
    <row r="125" spans="1:62" s="95" customFormat="1">
      <c r="A125" s="464" t="s">
        <v>1342</v>
      </c>
      <c r="B125" s="480"/>
      <c r="C125" s="481">
        <v>1.1302997183152412E-3</v>
      </c>
      <c r="D125" s="481">
        <v>2.816522295486899E-3</v>
      </c>
      <c r="E125" s="482">
        <v>2603</v>
      </c>
      <c r="F125" s="482">
        <v>13268</v>
      </c>
      <c r="G125" s="481">
        <v>1.1327551706929134E-3</v>
      </c>
      <c r="H125" s="481">
        <v>2.8791447010618637E-3</v>
      </c>
      <c r="I125" s="482">
        <v>2608</v>
      </c>
      <c r="J125" s="482">
        <v>13563</v>
      </c>
      <c r="K125" s="481">
        <v>1.1177070591407725E-3</v>
      </c>
      <c r="L125" s="481">
        <v>2.9360355644316625E-3</v>
      </c>
      <c r="M125" s="482">
        <v>2574</v>
      </c>
      <c r="N125" s="482">
        <v>13831</v>
      </c>
      <c r="O125" s="481">
        <v>1.1012090248689705E-3</v>
      </c>
      <c r="P125" s="481">
        <v>2.9165514396018079E-3</v>
      </c>
      <c r="Q125" s="482">
        <v>2532</v>
      </c>
      <c r="R125" s="482">
        <v>14322</v>
      </c>
      <c r="S125" s="481">
        <v>1.1057893577892221E-3</v>
      </c>
      <c r="T125" s="481">
        <v>2.8925699134347976E-3</v>
      </c>
      <c r="U125" s="482">
        <v>2541</v>
      </c>
      <c r="V125" s="482">
        <v>14438</v>
      </c>
      <c r="W125" s="481">
        <v>1.0780563288785862E-3</v>
      </c>
      <c r="X125" s="481">
        <v>2.8925699134347976E-3</v>
      </c>
      <c r="Y125" s="482">
        <v>2476</v>
      </c>
      <c r="Z125" s="482">
        <v>14470</v>
      </c>
      <c r="AA125" s="481">
        <v>1.0843636696769284E-3</v>
      </c>
      <c r="AB125" s="481">
        <v>2.9026572790368426E-3</v>
      </c>
      <c r="AC125" s="482">
        <v>2462</v>
      </c>
      <c r="AD125" s="482">
        <v>14485</v>
      </c>
      <c r="AE125" s="481">
        <v>1.0905168934770325E-3</v>
      </c>
      <c r="AF125" s="481">
        <v>2.8985669485006612E-3</v>
      </c>
      <c r="AG125" s="482">
        <v>2459</v>
      </c>
      <c r="AH125" s="482">
        <v>14500</v>
      </c>
      <c r="AI125" s="481">
        <v>1.052847973836215E-3</v>
      </c>
      <c r="AJ125" s="481">
        <v>2.8908877241713613E-3</v>
      </c>
      <c r="AK125" s="482">
        <v>2361</v>
      </c>
      <c r="AL125" s="482">
        <v>14504</v>
      </c>
      <c r="AM125" s="481">
        <v>1.1096905682553477E-3</v>
      </c>
      <c r="AN125" s="481">
        <v>2.8849498143076746E-3</v>
      </c>
      <c r="AO125" s="482">
        <v>2485</v>
      </c>
      <c r="AP125" s="482">
        <v>14524</v>
      </c>
      <c r="AQ125" s="481">
        <v>1.1418776241613078E-3</v>
      </c>
      <c r="AR125" s="481">
        <v>2.8792542776912879E-3</v>
      </c>
      <c r="AS125" s="482">
        <v>2554</v>
      </c>
      <c r="AT125" s="482">
        <v>14557</v>
      </c>
      <c r="AU125" s="481">
        <v>1.1419916549172291E-3</v>
      </c>
      <c r="AV125" s="481">
        <v>2.8713849082906786E-3</v>
      </c>
      <c r="AW125" s="482">
        <v>2553</v>
      </c>
      <c r="AX125" s="482">
        <v>14587</v>
      </c>
      <c r="AY125" s="481">
        <v>1.1375061889110829E-3</v>
      </c>
      <c r="AZ125" s="481">
        <v>2.8621891734396205E-3</v>
      </c>
      <c r="BA125" s="482">
        <v>2541</v>
      </c>
      <c r="BB125" s="482">
        <v>14622</v>
      </c>
      <c r="BC125" s="481">
        <v>1.1361126579346671E-3</v>
      </c>
      <c r="BD125" s="481">
        <v>2.8477554645356122E-3</v>
      </c>
      <c r="BE125" s="482">
        <v>2536</v>
      </c>
      <c r="BF125" s="482">
        <v>14641</v>
      </c>
      <c r="BG125" s="481">
        <v>1.1358537572598941E-3</v>
      </c>
      <c r="BH125" s="481">
        <v>2.8407416575315014E-3</v>
      </c>
      <c r="BI125" s="482">
        <v>2534</v>
      </c>
      <c r="BJ125" s="482">
        <v>14701</v>
      </c>
    </row>
    <row r="126" spans="1:62" s="95" customFormat="1">
      <c r="A126" s="466" t="s">
        <v>1343</v>
      </c>
      <c r="B126" s="74"/>
      <c r="C126" s="483"/>
      <c r="D126" s="74"/>
      <c r="E126" s="484"/>
      <c r="F126" s="484"/>
      <c r="G126" s="483"/>
      <c r="H126" s="74"/>
      <c r="I126" s="484"/>
      <c r="J126" s="484"/>
      <c r="K126" s="483"/>
      <c r="L126" s="74"/>
      <c r="M126" s="484"/>
      <c r="N126" s="484"/>
      <c r="O126" s="483"/>
      <c r="P126" s="74"/>
      <c r="Q126" s="484"/>
      <c r="R126" s="484"/>
      <c r="S126" s="483"/>
      <c r="T126" s="483"/>
      <c r="U126" s="484"/>
      <c r="V126" s="484"/>
      <c r="W126" s="483"/>
      <c r="X126" s="483"/>
      <c r="Y126" s="484"/>
      <c r="Z126" s="484"/>
      <c r="AA126" s="483"/>
      <c r="AB126" s="483"/>
      <c r="AC126" s="484"/>
      <c r="AD126" s="484"/>
      <c r="AE126" s="483"/>
      <c r="AF126" s="483"/>
      <c r="AG126" s="484"/>
      <c r="AH126" s="484"/>
      <c r="AI126" s="483"/>
      <c r="AJ126" s="483"/>
      <c r="AK126" s="484"/>
      <c r="AL126" s="484"/>
      <c r="AM126" s="483"/>
      <c r="AN126" s="483"/>
      <c r="AO126" s="484"/>
      <c r="AP126" s="484"/>
      <c r="AQ126" s="483"/>
      <c r="AR126" s="483"/>
      <c r="AS126" s="484"/>
      <c r="AT126" s="484"/>
      <c r="AU126" s="483"/>
      <c r="AV126" s="483"/>
      <c r="AW126" s="484"/>
      <c r="AX126" s="484"/>
      <c r="AY126" s="483"/>
      <c r="AZ126" s="483"/>
      <c r="BA126" s="484"/>
      <c r="BB126" s="484"/>
      <c r="BC126" s="483"/>
      <c r="BD126" s="483"/>
      <c r="BE126" s="484"/>
      <c r="BF126" s="484"/>
      <c r="BG126" s="483"/>
      <c r="BH126" s="483"/>
      <c r="BI126" s="484"/>
      <c r="BJ126" s="484"/>
    </row>
    <row r="127" spans="1:62">
      <c r="A127" s="461" t="s">
        <v>1344</v>
      </c>
      <c r="B127" s="462" t="s">
        <v>104</v>
      </c>
      <c r="C127" s="478">
        <v>3.9514896030229331E-5</v>
      </c>
      <c r="D127" s="478">
        <v>3.7853652075009328E-3</v>
      </c>
      <c r="E127" s="479">
        <v>91</v>
      </c>
      <c r="F127" s="479">
        <v>17832</v>
      </c>
      <c r="G127" s="478">
        <v>3.8221800238104445E-5</v>
      </c>
      <c r="H127" s="478">
        <v>3.7309359192566824E-3</v>
      </c>
      <c r="I127" s="479">
        <v>88</v>
      </c>
      <c r="J127" s="479">
        <v>17839</v>
      </c>
      <c r="K127" s="478">
        <v>3.8228973304447293E-5</v>
      </c>
      <c r="L127" s="471">
        <v>3.6779021371470999E-3</v>
      </c>
      <c r="M127" s="479">
        <v>88</v>
      </c>
      <c r="N127" s="479">
        <v>17852</v>
      </c>
      <c r="O127" s="478">
        <v>3.6533000825036936E-5</v>
      </c>
      <c r="P127" s="478">
        <v>3.6592314493928842E-3</v>
      </c>
      <c r="Q127" s="479">
        <v>84</v>
      </c>
      <c r="R127" s="479">
        <v>17969</v>
      </c>
      <c r="S127" s="478">
        <v>3.7860556524070175E-5</v>
      </c>
      <c r="T127" s="478">
        <v>3.6663579887777002E-3</v>
      </c>
      <c r="U127" s="479">
        <v>87</v>
      </c>
      <c r="V127" s="479">
        <v>18149</v>
      </c>
      <c r="W127" s="478">
        <v>3.9186215508510811E-5</v>
      </c>
      <c r="X127" s="478">
        <v>3.6622251419122305E-3</v>
      </c>
      <c r="Y127" s="479">
        <v>90</v>
      </c>
      <c r="Z127" s="479">
        <v>18196</v>
      </c>
      <c r="AA127" s="133">
        <v>4.3163135511104379E-5</v>
      </c>
      <c r="AB127" s="478">
        <v>3.6887894506392959E-3</v>
      </c>
      <c r="AC127" s="479">
        <v>98</v>
      </c>
      <c r="AD127" s="479">
        <v>18408</v>
      </c>
      <c r="AE127" s="478">
        <v>4.7008861613894043E-5</v>
      </c>
      <c r="AF127" s="478">
        <v>3.7049682636904314E-3</v>
      </c>
      <c r="AG127" s="479">
        <v>106</v>
      </c>
      <c r="AH127" s="479">
        <v>18534</v>
      </c>
      <c r="AI127" s="478">
        <v>7.0457424763287579E-5</v>
      </c>
      <c r="AJ127" s="478">
        <v>3.721639243362359E-3</v>
      </c>
      <c r="AK127" s="479">
        <v>158</v>
      </c>
      <c r="AL127" s="479">
        <v>18672</v>
      </c>
      <c r="AM127" s="478">
        <v>9.9581890028548292E-5</v>
      </c>
      <c r="AN127" s="478">
        <v>3.7325180363987549E-3</v>
      </c>
      <c r="AO127" s="479">
        <v>223</v>
      </c>
      <c r="AP127" s="479">
        <v>18791</v>
      </c>
      <c r="AQ127" s="478">
        <v>1.0149029784049213E-4</v>
      </c>
      <c r="AR127" s="478">
        <v>3.7216492745098077E-3</v>
      </c>
      <c r="AS127" s="479">
        <v>227</v>
      </c>
      <c r="AT127" s="479">
        <v>18816</v>
      </c>
      <c r="AU127" s="478">
        <v>1.0243481746026066E-4</v>
      </c>
      <c r="AV127" s="478">
        <v>3.7062065574344893E-3</v>
      </c>
      <c r="AW127" s="479">
        <v>229</v>
      </c>
      <c r="AX127" s="479">
        <v>18828</v>
      </c>
      <c r="AY127" s="478">
        <v>1.0296199269954705E-4</v>
      </c>
      <c r="AZ127" s="478">
        <v>3.7289497848464483E-3</v>
      </c>
      <c r="BA127" s="479">
        <v>230</v>
      </c>
      <c r="BB127" s="479">
        <v>19050</v>
      </c>
      <c r="BC127" s="478">
        <v>1.0259061461634022E-4</v>
      </c>
      <c r="BD127" s="478">
        <v>3.788189702021418E-3</v>
      </c>
      <c r="BE127" s="479">
        <v>229</v>
      </c>
      <c r="BF127" s="479">
        <v>19476</v>
      </c>
      <c r="BG127" s="478">
        <v>1.0219994343143482E-4</v>
      </c>
      <c r="BH127" s="478">
        <v>3.764982685214868E-3</v>
      </c>
      <c r="BI127" s="479">
        <v>228</v>
      </c>
      <c r="BJ127" s="479">
        <v>19484</v>
      </c>
    </row>
    <row r="128" spans="1:62">
      <c r="A128" s="461" t="s">
        <v>1345</v>
      </c>
      <c r="B128" s="462" t="s">
        <v>104</v>
      </c>
      <c r="C128" s="478">
        <v>0</v>
      </c>
      <c r="D128" s="478">
        <v>0</v>
      </c>
      <c r="E128" s="479">
        <v>0</v>
      </c>
      <c r="F128" s="479">
        <v>0</v>
      </c>
      <c r="G128" s="478">
        <v>0</v>
      </c>
      <c r="H128" s="478">
        <v>0</v>
      </c>
      <c r="I128" s="479">
        <v>0</v>
      </c>
      <c r="J128" s="479">
        <v>0</v>
      </c>
      <c r="K128" s="478">
        <v>1.2163764233233228E-5</v>
      </c>
      <c r="L128" s="471">
        <v>1.2155289384476747E-5</v>
      </c>
      <c r="M128" s="479">
        <v>28</v>
      </c>
      <c r="N128" s="479">
        <v>59</v>
      </c>
      <c r="O128" s="478">
        <v>1.1742750265190444E-5</v>
      </c>
      <c r="P128" s="478">
        <v>1.1607557049106482E-5</v>
      </c>
      <c r="Q128" s="479">
        <v>27</v>
      </c>
      <c r="R128" s="479">
        <v>57</v>
      </c>
      <c r="S128" s="478">
        <v>1.2620185508023391E-5</v>
      </c>
      <c r="T128" s="478">
        <v>1.2120859514389884E-5</v>
      </c>
      <c r="U128" s="479">
        <v>29</v>
      </c>
      <c r="V128" s="479">
        <v>60</v>
      </c>
      <c r="W128" s="478">
        <v>1.306207183617027E-5</v>
      </c>
      <c r="X128" s="478">
        <v>2.2340458933406112E-5</v>
      </c>
      <c r="Y128" s="479">
        <v>30</v>
      </c>
      <c r="Z128" s="479">
        <v>111</v>
      </c>
      <c r="AA128" s="133">
        <v>8.3683630072549302E-6</v>
      </c>
      <c r="AB128" s="478">
        <v>1.9638274997971044E-5</v>
      </c>
      <c r="AC128" s="479">
        <v>19</v>
      </c>
      <c r="AD128" s="479">
        <v>98</v>
      </c>
      <c r="AE128" s="478">
        <v>9.3130763574695742E-6</v>
      </c>
      <c r="AF128" s="478">
        <v>1.9390413379625112E-5</v>
      </c>
      <c r="AG128" s="479">
        <v>21</v>
      </c>
      <c r="AH128" s="479">
        <v>97</v>
      </c>
      <c r="AI128" s="478">
        <v>1.0702393634929758E-5</v>
      </c>
      <c r="AJ128" s="478">
        <v>1.9732341746619193E-5</v>
      </c>
      <c r="AK128" s="479">
        <v>24</v>
      </c>
      <c r="AL128" s="479">
        <v>99</v>
      </c>
      <c r="AM128" s="478">
        <v>1.0270777895321125E-5</v>
      </c>
      <c r="AN128" s="478">
        <v>1.9466061815075194E-5</v>
      </c>
      <c r="AO128" s="479">
        <v>23</v>
      </c>
      <c r="AP128" s="479">
        <v>98</v>
      </c>
      <c r="AQ128" s="478">
        <v>9.3889702848032367E-6</v>
      </c>
      <c r="AR128" s="478">
        <v>1.8988006502601062E-5</v>
      </c>
      <c r="AS128" s="479">
        <v>21</v>
      </c>
      <c r="AT128" s="479">
        <v>96</v>
      </c>
      <c r="AU128" s="478">
        <v>9.3935858806352575E-6</v>
      </c>
      <c r="AV128" s="478">
        <v>1.8897165366141437E-5</v>
      </c>
      <c r="AW128" s="479">
        <v>21</v>
      </c>
      <c r="AX128" s="479">
        <v>96</v>
      </c>
      <c r="AY128" s="478">
        <v>8.9532167564823534E-6</v>
      </c>
      <c r="AZ128" s="478">
        <v>1.8595812575349744E-5</v>
      </c>
      <c r="BA128" s="479">
        <v>20</v>
      </c>
      <c r="BB128" s="479">
        <v>95</v>
      </c>
      <c r="BC128" s="478">
        <v>8.9598790057939066E-6</v>
      </c>
      <c r="BD128" s="478">
        <v>1.8478025348738691E-5</v>
      </c>
      <c r="BE128" s="479">
        <v>20</v>
      </c>
      <c r="BF128" s="479">
        <v>95</v>
      </c>
      <c r="BG128" s="478">
        <v>8.9649073185469148E-6</v>
      </c>
      <c r="BH128" s="478">
        <v>1.8550520313109594E-5</v>
      </c>
      <c r="BI128" s="479">
        <v>20</v>
      </c>
      <c r="BJ128" s="479">
        <v>96</v>
      </c>
    </row>
    <row r="129" spans="1:62">
      <c r="A129" s="461" t="s">
        <v>1346</v>
      </c>
      <c r="B129" s="462" t="s">
        <v>104</v>
      </c>
      <c r="C129" s="478">
        <v>1.9479541054022941E-3</v>
      </c>
      <c r="D129" s="478">
        <v>3.6062014437542537E-3</v>
      </c>
      <c r="E129" s="479">
        <v>4486</v>
      </c>
      <c r="F129" s="479">
        <v>16988</v>
      </c>
      <c r="G129" s="478">
        <v>1.9319382665805517E-3</v>
      </c>
      <c r="H129" s="478">
        <v>3.5606919684592754E-3</v>
      </c>
      <c r="I129" s="479">
        <v>4448</v>
      </c>
      <c r="J129" s="479">
        <v>17025</v>
      </c>
      <c r="K129" s="478">
        <v>1.9344729332352703E-3</v>
      </c>
      <c r="L129" s="471">
        <v>3.5198833751489021E-3</v>
      </c>
      <c r="M129" s="479">
        <v>4453</v>
      </c>
      <c r="N129" s="479">
        <v>17085</v>
      </c>
      <c r="O129" s="478">
        <v>1.9388585437858888E-3</v>
      </c>
      <c r="P129" s="478">
        <v>3.5042603807197256E-3</v>
      </c>
      <c r="Q129" s="479">
        <v>4458</v>
      </c>
      <c r="R129" s="479">
        <v>17208</v>
      </c>
      <c r="S129" s="478">
        <v>1.9426382106143593E-3</v>
      </c>
      <c r="T129" s="478">
        <v>3.4875753109404493E-3</v>
      </c>
      <c r="U129" s="479">
        <v>4464</v>
      </c>
      <c r="V129" s="479">
        <v>17264</v>
      </c>
      <c r="W129" s="478">
        <v>1.9366698509095121E-3</v>
      </c>
      <c r="X129" s="478">
        <v>3.4790736317374597E-3</v>
      </c>
      <c r="Y129" s="479">
        <v>4448</v>
      </c>
      <c r="Z129" s="479">
        <v>17286</v>
      </c>
      <c r="AA129" s="133">
        <v>1.9502690208486754E-3</v>
      </c>
      <c r="AB129" s="478">
        <v>3.5190586452996889E-3</v>
      </c>
      <c r="AC129" s="479">
        <v>4428</v>
      </c>
      <c r="AD129" s="479">
        <v>17561</v>
      </c>
      <c r="AE129" s="478">
        <v>1.930467684955479E-3</v>
      </c>
      <c r="AF129" s="478">
        <v>3.535252171326496E-3</v>
      </c>
      <c r="AG129" s="479">
        <v>4353</v>
      </c>
      <c r="AH129" s="479">
        <v>17685</v>
      </c>
      <c r="AI129" s="478">
        <v>1.9344576495135539E-3</v>
      </c>
      <c r="AJ129" s="478">
        <v>3.5396632028102046E-3</v>
      </c>
      <c r="AK129" s="479">
        <v>4338</v>
      </c>
      <c r="AL129" s="479">
        <v>17759</v>
      </c>
      <c r="AM129" s="478">
        <v>1.936264911048365E-3</v>
      </c>
      <c r="AN129" s="478">
        <v>3.5718237097824707E-3</v>
      </c>
      <c r="AO129" s="479">
        <v>4336</v>
      </c>
      <c r="AP129" s="479">
        <v>17982</v>
      </c>
      <c r="AQ129" s="478">
        <v>1.9372575354310677E-3</v>
      </c>
      <c r="AR129" s="478">
        <v>3.5976338570396947E-3</v>
      </c>
      <c r="AS129" s="479">
        <v>4333</v>
      </c>
      <c r="AT129" s="479">
        <v>18189</v>
      </c>
      <c r="AU129" s="478">
        <v>1.9408937683845894E-3</v>
      </c>
      <c r="AV129" s="478">
        <v>3.6062090573719908E-3</v>
      </c>
      <c r="AW129" s="479">
        <v>4339</v>
      </c>
      <c r="AX129" s="479">
        <v>18320</v>
      </c>
      <c r="AY129" s="478">
        <v>1.94060973196755E-3</v>
      </c>
      <c r="AZ129" s="478">
        <v>3.6259877067976701E-3</v>
      </c>
      <c r="BA129" s="479">
        <v>4335</v>
      </c>
      <c r="BB129" s="479">
        <v>18524</v>
      </c>
      <c r="BC129" s="478">
        <v>1.9429497624064084E-3</v>
      </c>
      <c r="BD129" s="478">
        <v>3.6456171485411502E-3</v>
      </c>
      <c r="BE129" s="479">
        <v>4337</v>
      </c>
      <c r="BF129" s="479">
        <v>18743</v>
      </c>
      <c r="BG129" s="478">
        <v>1.9435919066609711E-3</v>
      </c>
      <c r="BH129" s="478">
        <v>3.7102972972085139E-3</v>
      </c>
      <c r="BI129" s="479">
        <v>4336</v>
      </c>
      <c r="BJ129" s="479">
        <v>19201</v>
      </c>
    </row>
    <row r="130" spans="1:62">
      <c r="A130" s="461" t="s">
        <v>1347</v>
      </c>
      <c r="B130" s="462" t="s">
        <v>104</v>
      </c>
      <c r="C130" s="478">
        <v>7.5903338748176778E-3</v>
      </c>
      <c r="D130" s="478">
        <v>5.8455362112468144E-3</v>
      </c>
      <c r="E130" s="479">
        <v>17480</v>
      </c>
      <c r="F130" s="479">
        <v>27537</v>
      </c>
      <c r="G130" s="478">
        <v>7.5796435903995527E-3</v>
      </c>
      <c r="H130" s="478">
        <v>5.7772096472687561E-3</v>
      </c>
      <c r="I130" s="479">
        <v>17451</v>
      </c>
      <c r="J130" s="479">
        <v>27623</v>
      </c>
      <c r="K130" s="478">
        <v>7.5832381591185438E-3</v>
      </c>
      <c r="L130" s="471">
        <v>5.7315279775617478E-3</v>
      </c>
      <c r="M130" s="479">
        <v>17456</v>
      </c>
      <c r="N130" s="479">
        <v>27820</v>
      </c>
      <c r="O130" s="478">
        <v>7.5932102548133314E-3</v>
      </c>
      <c r="P130" s="478">
        <v>5.6991068697595446E-3</v>
      </c>
      <c r="Q130" s="479">
        <v>17459</v>
      </c>
      <c r="R130" s="479">
        <v>27986</v>
      </c>
      <c r="S130" s="478">
        <v>7.5921295301026237E-3</v>
      </c>
      <c r="T130" s="478">
        <v>5.6753904532878237E-3</v>
      </c>
      <c r="U130" s="479">
        <v>17446</v>
      </c>
      <c r="V130" s="479">
        <v>28094</v>
      </c>
      <c r="W130" s="478">
        <v>7.5860159200531541E-3</v>
      </c>
      <c r="X130" s="478">
        <v>5.6700487303776304E-3</v>
      </c>
      <c r="Y130" s="479">
        <v>17423</v>
      </c>
      <c r="Z130" s="479">
        <v>28172</v>
      </c>
      <c r="AA130" s="133">
        <v>7.6707057965448352E-3</v>
      </c>
      <c r="AB130" s="478">
        <v>5.6692493670163144E-3</v>
      </c>
      <c r="AC130" s="479">
        <v>17416</v>
      </c>
      <c r="AD130" s="479">
        <v>28291</v>
      </c>
      <c r="AE130" s="478">
        <v>7.6189834200632049E-3</v>
      </c>
      <c r="AF130" s="478">
        <v>5.656603375291256E-3</v>
      </c>
      <c r="AG130" s="479">
        <v>17180</v>
      </c>
      <c r="AH130" s="479">
        <v>28297</v>
      </c>
      <c r="AI130" s="478">
        <v>7.6120774728437911E-3</v>
      </c>
      <c r="AJ130" s="478">
        <v>5.6496285536153639E-3</v>
      </c>
      <c r="AK130" s="479">
        <v>17070</v>
      </c>
      <c r="AL130" s="479">
        <v>28345</v>
      </c>
      <c r="AM130" s="478">
        <v>7.6160050871609472E-3</v>
      </c>
      <c r="AN130" s="478">
        <v>5.6523087245895888E-3</v>
      </c>
      <c r="AO130" s="479">
        <v>17055</v>
      </c>
      <c r="AP130" s="479">
        <v>28456</v>
      </c>
      <c r="AQ130" s="478">
        <v>7.6099839627445662E-3</v>
      </c>
      <c r="AR130" s="478">
        <v>5.6283615941459973E-3</v>
      </c>
      <c r="AS130" s="479">
        <v>17021</v>
      </c>
      <c r="AT130" s="479">
        <v>28456</v>
      </c>
      <c r="AU130" s="478">
        <v>7.6074626224744675E-3</v>
      </c>
      <c r="AV130" s="478">
        <v>5.6012379218078603E-3</v>
      </c>
      <c r="AW130" s="479">
        <v>17007</v>
      </c>
      <c r="AX130" s="479">
        <v>28455</v>
      </c>
      <c r="AY130" s="478">
        <v>7.6093389213343519E-3</v>
      </c>
      <c r="AZ130" s="478">
        <v>5.6280716122784824E-3</v>
      </c>
      <c r="BA130" s="479">
        <v>16998</v>
      </c>
      <c r="BB130" s="479">
        <v>28752</v>
      </c>
      <c r="BC130" s="478">
        <v>7.6064892819687367E-3</v>
      </c>
      <c r="BD130" s="478">
        <v>5.6175142115465482E-3</v>
      </c>
      <c r="BE130" s="479">
        <v>16979</v>
      </c>
      <c r="BF130" s="479">
        <v>28881</v>
      </c>
      <c r="BG130" s="478">
        <v>7.5991036885662919E-3</v>
      </c>
      <c r="BH130" s="478">
        <v>5.627570865403028E-3</v>
      </c>
      <c r="BI130" s="479">
        <v>16953</v>
      </c>
      <c r="BJ130" s="479">
        <v>29123</v>
      </c>
    </row>
    <row r="131" spans="1:62">
      <c r="A131" s="461" t="s">
        <v>1348</v>
      </c>
      <c r="B131" s="462" t="s">
        <v>104</v>
      </c>
      <c r="C131" s="478">
        <v>9.3880445293797587E-3</v>
      </c>
      <c r="D131" s="478">
        <v>9.9864693148089892E-3</v>
      </c>
      <c r="E131" s="479">
        <v>21620</v>
      </c>
      <c r="F131" s="479">
        <v>47044</v>
      </c>
      <c r="G131" s="478">
        <v>9.3591289946667565E-3</v>
      </c>
      <c r="H131" s="478">
        <v>9.8381762229852766E-3</v>
      </c>
      <c r="I131" s="479">
        <v>21548</v>
      </c>
      <c r="J131" s="479">
        <v>47040</v>
      </c>
      <c r="K131" s="478">
        <v>9.324394125075644E-3</v>
      </c>
      <c r="L131" s="471">
        <v>9.6988908195425744E-3</v>
      </c>
      <c r="M131" s="479">
        <v>21464</v>
      </c>
      <c r="N131" s="479">
        <v>47077</v>
      </c>
      <c r="O131" s="478">
        <v>9.3011280433838075E-3</v>
      </c>
      <c r="P131" s="478">
        <v>9.6126863674740777E-3</v>
      </c>
      <c r="Q131" s="479">
        <v>21386</v>
      </c>
      <c r="R131" s="479">
        <v>47204</v>
      </c>
      <c r="S131" s="478">
        <v>9.2832343881777586E-3</v>
      </c>
      <c r="T131" s="478">
        <v>9.7514334936519027E-3</v>
      </c>
      <c r="U131" s="479">
        <v>21332</v>
      </c>
      <c r="V131" s="479">
        <v>48271</v>
      </c>
      <c r="W131" s="478">
        <v>9.2897454898842966E-3</v>
      </c>
      <c r="X131" s="478">
        <v>9.732590744529002E-3</v>
      </c>
      <c r="Y131" s="479">
        <v>21336</v>
      </c>
      <c r="Z131" s="479">
        <v>48357</v>
      </c>
      <c r="AA131" s="133">
        <v>9.197711825289721E-3</v>
      </c>
      <c r="AB131" s="478">
        <v>9.69730003777362E-3</v>
      </c>
      <c r="AC131" s="479">
        <v>20883</v>
      </c>
      <c r="AD131" s="479">
        <v>48392</v>
      </c>
      <c r="AE131" s="478">
        <v>9.2421195852221884E-3</v>
      </c>
      <c r="AF131" s="478">
        <v>9.673817264744311E-3</v>
      </c>
      <c r="AG131" s="479">
        <v>20840</v>
      </c>
      <c r="AH131" s="479">
        <v>48393</v>
      </c>
      <c r="AI131" s="478">
        <v>9.319109257615088E-3</v>
      </c>
      <c r="AJ131" s="478">
        <v>9.6529021291794689E-3</v>
      </c>
      <c r="AK131" s="479">
        <v>20898</v>
      </c>
      <c r="AL131" s="479">
        <v>48430</v>
      </c>
      <c r="AM131" s="478">
        <v>9.3490872181062196E-3</v>
      </c>
      <c r="AN131" s="478">
        <v>9.6158372700794904E-3</v>
      </c>
      <c r="AO131" s="479">
        <v>20936</v>
      </c>
      <c r="AP131" s="479">
        <v>48410</v>
      </c>
      <c r="AQ131" s="478">
        <v>9.3429196210253924E-3</v>
      </c>
      <c r="AR131" s="478">
        <v>9.6451161363837294E-3</v>
      </c>
      <c r="AS131" s="479">
        <v>20897</v>
      </c>
      <c r="AT131" s="479">
        <v>48764</v>
      </c>
      <c r="AU131" s="478">
        <v>9.3493018329122626E-3</v>
      </c>
      <c r="AV131" s="478">
        <v>9.6300742087747013E-3</v>
      </c>
      <c r="AW131" s="479">
        <v>20901</v>
      </c>
      <c r="AX131" s="479">
        <v>48922</v>
      </c>
      <c r="AY131" s="478">
        <v>9.3386527378489185E-3</v>
      </c>
      <c r="AZ131" s="478">
        <v>9.6242138620233775E-3</v>
      </c>
      <c r="BA131" s="479">
        <v>20861</v>
      </c>
      <c r="BB131" s="479">
        <v>49167</v>
      </c>
      <c r="BC131" s="478">
        <v>9.3285780268823251E-3</v>
      </c>
      <c r="BD131" s="478">
        <v>9.6301632951726456E-3</v>
      </c>
      <c r="BE131" s="479">
        <v>20823</v>
      </c>
      <c r="BF131" s="479">
        <v>49511</v>
      </c>
      <c r="BG131" s="478">
        <v>9.3252965927525001E-3</v>
      </c>
      <c r="BH131" s="478">
        <v>9.6764151583257924E-3</v>
      </c>
      <c r="BI131" s="479">
        <v>20804</v>
      </c>
      <c r="BJ131" s="479">
        <v>50076</v>
      </c>
    </row>
    <row r="132" spans="1:62">
      <c r="A132" s="461" t="s">
        <v>1349</v>
      </c>
      <c r="B132" s="462" t="s">
        <v>104</v>
      </c>
      <c r="C132" s="478">
        <v>2.590613952926903E-3</v>
      </c>
      <c r="D132" s="478">
        <v>3.7611653626346752E-3</v>
      </c>
      <c r="E132" s="479">
        <v>5966</v>
      </c>
      <c r="F132" s="479">
        <v>17718</v>
      </c>
      <c r="G132" s="478">
        <v>2.570850404651593E-3</v>
      </c>
      <c r="H132" s="478">
        <v>3.7110671535002283E-3</v>
      </c>
      <c r="I132" s="479">
        <v>5919</v>
      </c>
      <c r="J132" s="479">
        <v>17744</v>
      </c>
      <c r="K132" s="478">
        <v>2.5752426562359494E-3</v>
      </c>
      <c r="L132" s="471">
        <v>3.6618324325371136E-3</v>
      </c>
      <c r="M132" s="479">
        <v>5928</v>
      </c>
      <c r="N132" s="479">
        <v>17774</v>
      </c>
      <c r="O132" s="478">
        <v>2.568182974664799E-3</v>
      </c>
      <c r="P132" s="478">
        <v>3.6207432339142678E-3</v>
      </c>
      <c r="Q132" s="479">
        <v>5905</v>
      </c>
      <c r="R132" s="479">
        <v>17780</v>
      </c>
      <c r="S132" s="478">
        <v>2.5810455257960943E-3</v>
      </c>
      <c r="T132" s="478">
        <v>3.5930267887156414E-3</v>
      </c>
      <c r="U132" s="479">
        <v>5931</v>
      </c>
      <c r="V132" s="479">
        <v>17786</v>
      </c>
      <c r="W132" s="478">
        <v>2.5889026379289476E-3</v>
      </c>
      <c r="X132" s="478">
        <v>3.5865493530927647E-3</v>
      </c>
      <c r="Y132" s="479">
        <v>5946</v>
      </c>
      <c r="Z132" s="479">
        <v>17820</v>
      </c>
      <c r="AA132" s="133">
        <v>2.6263446638032182E-3</v>
      </c>
      <c r="AB132" s="478">
        <v>3.5791758136608249E-3</v>
      </c>
      <c r="AC132" s="479">
        <v>5963</v>
      </c>
      <c r="AD132" s="479">
        <v>17861</v>
      </c>
      <c r="AE132" s="478">
        <v>2.5482350833342941E-3</v>
      </c>
      <c r="AF132" s="478">
        <v>3.5748326027611947E-3</v>
      </c>
      <c r="AG132" s="479">
        <v>5746</v>
      </c>
      <c r="AH132" s="479">
        <v>17883</v>
      </c>
      <c r="AI132" s="478">
        <v>2.5569802126119683E-3</v>
      </c>
      <c r="AJ132" s="478">
        <v>3.569560690305082E-3</v>
      </c>
      <c r="AK132" s="479">
        <v>5734</v>
      </c>
      <c r="AL132" s="479">
        <v>17909</v>
      </c>
      <c r="AM132" s="478">
        <v>2.5578702514956263E-3</v>
      </c>
      <c r="AN132" s="478">
        <v>3.5660633445514789E-3</v>
      </c>
      <c r="AO132" s="479">
        <v>5728</v>
      </c>
      <c r="AP132" s="479">
        <v>17953</v>
      </c>
      <c r="AQ132" s="478">
        <v>2.5555882927588238E-3</v>
      </c>
      <c r="AR132" s="478">
        <v>3.5545152589400381E-3</v>
      </c>
      <c r="AS132" s="479">
        <v>5716</v>
      </c>
      <c r="AT132" s="479">
        <v>17971</v>
      </c>
      <c r="AU132" s="478">
        <v>2.5568446139862442E-3</v>
      </c>
      <c r="AV132" s="478">
        <v>3.5436121970966474E-3</v>
      </c>
      <c r="AW132" s="479">
        <v>5716</v>
      </c>
      <c r="AX132" s="479">
        <v>18002</v>
      </c>
      <c r="AY132" s="478">
        <v>2.5588293490026565E-3</v>
      </c>
      <c r="AZ132" s="478">
        <v>3.5298767175924411E-3</v>
      </c>
      <c r="BA132" s="479">
        <v>5716</v>
      </c>
      <c r="BB132" s="479">
        <v>18033</v>
      </c>
      <c r="BC132" s="478">
        <v>2.5611814138061881E-3</v>
      </c>
      <c r="BD132" s="478">
        <v>3.5302753692590234E-3</v>
      </c>
      <c r="BE132" s="479">
        <v>5717</v>
      </c>
      <c r="BF132" s="479">
        <v>18150</v>
      </c>
      <c r="BG132" s="478">
        <v>2.5626187570066353E-3</v>
      </c>
      <c r="BH132" s="478">
        <v>3.5282703166361258E-3</v>
      </c>
      <c r="BI132" s="479">
        <v>5717</v>
      </c>
      <c r="BJ132" s="479">
        <v>18259</v>
      </c>
    </row>
    <row r="133" spans="1:62">
      <c r="A133" s="461" t="s">
        <v>1350</v>
      </c>
      <c r="B133" s="462" t="s">
        <v>104</v>
      </c>
      <c r="C133" s="478">
        <v>2.2979431845271824E-3</v>
      </c>
      <c r="D133" s="478">
        <v>4.526220107353908E-3</v>
      </c>
      <c r="E133" s="479">
        <v>5292</v>
      </c>
      <c r="F133" s="479">
        <v>21322</v>
      </c>
      <c r="G133" s="478">
        <v>2.2941766915644053E-3</v>
      </c>
      <c r="H133" s="478">
        <v>4.458132745942903E-3</v>
      </c>
      <c r="I133" s="479">
        <v>5282</v>
      </c>
      <c r="J133" s="479">
        <v>21316</v>
      </c>
      <c r="K133" s="478">
        <v>2.2920007176620897E-3</v>
      </c>
      <c r="L133" s="471">
        <v>4.3969184075169955E-3</v>
      </c>
      <c r="M133" s="479">
        <v>5276</v>
      </c>
      <c r="N133" s="479">
        <v>21342</v>
      </c>
      <c r="O133" s="478">
        <v>2.2928807184475564E-3</v>
      </c>
      <c r="P133" s="478">
        <v>4.3560921550427501E-3</v>
      </c>
      <c r="Q133" s="479">
        <v>5272</v>
      </c>
      <c r="R133" s="479">
        <v>21391</v>
      </c>
      <c r="S133" s="478">
        <v>2.2946978684071496E-3</v>
      </c>
      <c r="T133" s="478">
        <v>4.3471462648359323E-3</v>
      </c>
      <c r="U133" s="479">
        <v>5273</v>
      </c>
      <c r="V133" s="479">
        <v>21519</v>
      </c>
      <c r="W133" s="478">
        <v>2.2945706192205773E-3</v>
      </c>
      <c r="X133" s="478">
        <v>4.3392819333714933E-3</v>
      </c>
      <c r="Y133" s="479">
        <v>5270</v>
      </c>
      <c r="Z133" s="479">
        <v>21560</v>
      </c>
      <c r="AA133" s="133">
        <v>2.31231083095202E-3</v>
      </c>
      <c r="AB133" s="478">
        <v>4.3328447143482652E-3</v>
      </c>
      <c r="AC133" s="479">
        <v>5250</v>
      </c>
      <c r="AD133" s="479">
        <v>21622</v>
      </c>
      <c r="AE133" s="478">
        <v>2.3313734481532171E-3</v>
      </c>
      <c r="AF133" s="478">
        <v>4.320863764954606E-3</v>
      </c>
      <c r="AG133" s="479">
        <v>5257</v>
      </c>
      <c r="AH133" s="479">
        <v>21615</v>
      </c>
      <c r="AI133" s="478">
        <v>2.3464998044583495E-3</v>
      </c>
      <c r="AJ133" s="478">
        <v>4.3136094957609353E-3</v>
      </c>
      <c r="AK133" s="479">
        <v>5262</v>
      </c>
      <c r="AL133" s="479">
        <v>21642</v>
      </c>
      <c r="AM133" s="478">
        <v>2.353794360271202E-3</v>
      </c>
      <c r="AN133" s="478">
        <v>4.3145135580127374E-3</v>
      </c>
      <c r="AO133" s="479">
        <v>5271</v>
      </c>
      <c r="AP133" s="479">
        <v>21721</v>
      </c>
      <c r="AQ133" s="478">
        <v>2.3552902600163547E-3</v>
      </c>
      <c r="AR133" s="478">
        <v>4.2899049274470252E-3</v>
      </c>
      <c r="AS133" s="479">
        <v>5268</v>
      </c>
      <c r="AT133" s="479">
        <v>21689</v>
      </c>
      <c r="AU133" s="478">
        <v>2.3609212513329945E-3</v>
      </c>
      <c r="AV133" s="478">
        <v>4.2705625272754007E-3</v>
      </c>
      <c r="AW133" s="479">
        <v>5278</v>
      </c>
      <c r="AX133" s="479">
        <v>21695</v>
      </c>
      <c r="AY133" s="478">
        <v>2.3654398670626374E-3</v>
      </c>
      <c r="AZ133" s="478">
        <v>4.2484580645830612E-3</v>
      </c>
      <c r="BA133" s="479">
        <v>5284</v>
      </c>
      <c r="BB133" s="479">
        <v>21704</v>
      </c>
      <c r="BC133" s="478">
        <v>2.3658560514798806E-3</v>
      </c>
      <c r="BD133" s="478">
        <v>4.2217425283618236E-3</v>
      </c>
      <c r="BE133" s="479">
        <v>5281</v>
      </c>
      <c r="BF133" s="479">
        <v>21705</v>
      </c>
      <c r="BG133" s="478">
        <v>2.370321495023804E-3</v>
      </c>
      <c r="BH133" s="478">
        <v>4.1939634674555276E-3</v>
      </c>
      <c r="BI133" s="479">
        <v>5288</v>
      </c>
      <c r="BJ133" s="479">
        <v>21704</v>
      </c>
    </row>
    <row r="134" spans="1:62">
      <c r="A134" s="461" t="s">
        <v>1351</v>
      </c>
      <c r="B134" s="462" t="s">
        <v>104</v>
      </c>
      <c r="C134" s="478">
        <v>1.0847924534364716E-2</v>
      </c>
      <c r="D134" s="478">
        <v>1.0978875233666485E-2</v>
      </c>
      <c r="E134" s="479">
        <v>24982</v>
      </c>
      <c r="F134" s="479">
        <v>51719</v>
      </c>
      <c r="G134" s="478">
        <v>1.0854122590343523E-2</v>
      </c>
      <c r="H134" s="478">
        <v>1.0859849072672416E-2</v>
      </c>
      <c r="I134" s="479">
        <v>24990</v>
      </c>
      <c r="J134" s="479">
        <v>51925</v>
      </c>
      <c r="K134" s="478">
        <v>1.0857897258765403E-2</v>
      </c>
      <c r="L134" s="471">
        <v>1.0725497717895924E-2</v>
      </c>
      <c r="M134" s="479">
        <v>24994</v>
      </c>
      <c r="N134" s="479">
        <v>52060</v>
      </c>
      <c r="O134" s="478">
        <v>1.0836818828064825E-2</v>
      </c>
      <c r="P134" s="478">
        <v>1.062763486453981E-2</v>
      </c>
      <c r="Q134" s="479">
        <v>24917</v>
      </c>
      <c r="R134" s="479">
        <v>52188</v>
      </c>
      <c r="S134" s="478">
        <v>1.0839868993770851E-2</v>
      </c>
      <c r="T134" s="478">
        <v>1.0565349210043182E-2</v>
      </c>
      <c r="U134" s="479">
        <v>24909</v>
      </c>
      <c r="V134" s="479">
        <v>52300</v>
      </c>
      <c r="W134" s="478">
        <v>1.0833246978525083E-2</v>
      </c>
      <c r="X134" s="478">
        <v>1.0560596582835605E-2</v>
      </c>
      <c r="Y134" s="479">
        <v>24881</v>
      </c>
      <c r="Z134" s="479">
        <v>52471</v>
      </c>
      <c r="AA134" s="133">
        <v>1.0965198180453618E-2</v>
      </c>
      <c r="AB134" s="478">
        <v>1.0585230614467598E-2</v>
      </c>
      <c r="AC134" s="479">
        <v>24896</v>
      </c>
      <c r="AD134" s="479">
        <v>52823</v>
      </c>
      <c r="AE134" s="478">
        <v>1.0932221204189643E-2</v>
      </c>
      <c r="AF134" s="478">
        <v>1.0560978652154374E-2</v>
      </c>
      <c r="AG134" s="479">
        <v>24651</v>
      </c>
      <c r="AH134" s="479">
        <v>52831</v>
      </c>
      <c r="AI134" s="478">
        <v>1.0951224286941875E-2</v>
      </c>
      <c r="AJ134" s="478">
        <v>1.0574143377188297E-2</v>
      </c>
      <c r="AK134" s="479">
        <v>24558</v>
      </c>
      <c r="AL134" s="479">
        <v>53052</v>
      </c>
      <c r="AM134" s="478">
        <v>1.0966064903278299E-2</v>
      </c>
      <c r="AN134" s="478">
        <v>1.0573448331410894E-2</v>
      </c>
      <c r="AO134" s="479">
        <v>24557</v>
      </c>
      <c r="AP134" s="479">
        <v>53231</v>
      </c>
      <c r="AQ134" s="478">
        <v>1.0967211480296352E-2</v>
      </c>
      <c r="AR134" s="478">
        <v>1.0554166947695755E-2</v>
      </c>
      <c r="AS134" s="479">
        <v>24530</v>
      </c>
      <c r="AT134" s="479">
        <v>53360</v>
      </c>
      <c r="AU134" s="478">
        <v>1.0966787858834981E-2</v>
      </c>
      <c r="AV134" s="478">
        <v>1.0527099027248727E-2</v>
      </c>
      <c r="AW134" s="479">
        <v>24517</v>
      </c>
      <c r="AX134" s="479">
        <v>53479</v>
      </c>
      <c r="AY134" s="478">
        <v>1.0974405439258244E-2</v>
      </c>
      <c r="AZ134" s="478">
        <v>1.0534429951237864E-2</v>
      </c>
      <c r="BA134" s="479">
        <v>24515</v>
      </c>
      <c r="BB134" s="479">
        <v>53817</v>
      </c>
      <c r="BC134" s="478">
        <v>1.0986603636904487E-2</v>
      </c>
      <c r="BD134" s="478">
        <v>1.0544339286110243E-2</v>
      </c>
      <c r="BE134" s="479">
        <v>24524</v>
      </c>
      <c r="BF134" s="479">
        <v>54211</v>
      </c>
      <c r="BG134" s="478">
        <v>1.0992769354002226E-2</v>
      </c>
      <c r="BH134" s="478">
        <v>1.0496889213007702E-2</v>
      </c>
      <c r="BI134" s="479">
        <v>24524</v>
      </c>
      <c r="BJ134" s="479">
        <v>54322</v>
      </c>
    </row>
    <row r="135" spans="1:62">
      <c r="A135" s="461" t="s">
        <v>1352</v>
      </c>
      <c r="B135" s="462" t="s">
        <v>104</v>
      </c>
      <c r="C135" s="478">
        <v>1.5425573259097436E-2</v>
      </c>
      <c r="D135" s="478">
        <v>1.1199433468894921E-2</v>
      </c>
      <c r="E135" s="479">
        <v>35524</v>
      </c>
      <c r="F135" s="479">
        <v>52758</v>
      </c>
      <c r="G135" s="478">
        <v>1.5412072268737477E-2</v>
      </c>
      <c r="H135" s="478">
        <v>1.1031766182691419E-2</v>
      </c>
      <c r="I135" s="479">
        <v>35484</v>
      </c>
      <c r="J135" s="479">
        <v>52747</v>
      </c>
      <c r="K135" s="478">
        <v>1.5409317182750565E-2</v>
      </c>
      <c r="L135" s="471">
        <v>1.0890315201075269E-2</v>
      </c>
      <c r="M135" s="479">
        <v>35471</v>
      </c>
      <c r="N135" s="479">
        <v>52860</v>
      </c>
      <c r="O135" s="478">
        <v>1.5403009014517953E-2</v>
      </c>
      <c r="P135" s="478">
        <v>1.0848178448472832E-2</v>
      </c>
      <c r="Q135" s="479">
        <v>35416</v>
      </c>
      <c r="R135" s="479">
        <v>53271</v>
      </c>
      <c r="S135" s="478">
        <v>1.5387052385954865E-2</v>
      </c>
      <c r="T135" s="478">
        <v>1.0816251001991054E-2</v>
      </c>
      <c r="U135" s="479">
        <v>35358</v>
      </c>
      <c r="V135" s="479">
        <v>53542</v>
      </c>
      <c r="W135" s="478">
        <v>1.5385379013430423E-2</v>
      </c>
      <c r="X135" s="478">
        <v>1.0778365741087365E-2</v>
      </c>
      <c r="Y135" s="479">
        <v>35336</v>
      </c>
      <c r="Z135" s="479">
        <v>53553</v>
      </c>
      <c r="AA135" s="133">
        <v>1.555238242890415E-2</v>
      </c>
      <c r="AB135" s="478">
        <v>1.0752757123633962E-2</v>
      </c>
      <c r="AC135" s="479">
        <v>35311</v>
      </c>
      <c r="AD135" s="479">
        <v>53659</v>
      </c>
      <c r="AE135" s="478">
        <v>1.555062011784146E-2</v>
      </c>
      <c r="AF135" s="478">
        <v>1.074588723335183E-2</v>
      </c>
      <c r="AG135" s="479">
        <v>35065</v>
      </c>
      <c r="AH135" s="479">
        <v>53756</v>
      </c>
      <c r="AI135" s="478">
        <v>1.561523824643064E-2</v>
      </c>
      <c r="AJ135" s="478">
        <v>1.0723431498079385E-2</v>
      </c>
      <c r="AK135" s="479">
        <v>35017</v>
      </c>
      <c r="AL135" s="479">
        <v>53801</v>
      </c>
      <c r="AM135" s="478">
        <v>1.5657577623636721E-2</v>
      </c>
      <c r="AN135" s="478">
        <v>1.0696600967383819E-2</v>
      </c>
      <c r="AO135" s="479">
        <v>35063</v>
      </c>
      <c r="AP135" s="479">
        <v>53851</v>
      </c>
      <c r="AQ135" s="478">
        <v>1.5660355341228713E-2</v>
      </c>
      <c r="AR135" s="478">
        <v>1.0663743568554516E-2</v>
      </c>
      <c r="AS135" s="479">
        <v>35027</v>
      </c>
      <c r="AT135" s="479">
        <v>53914</v>
      </c>
      <c r="AU135" s="478">
        <v>1.5664475426379335E-2</v>
      </c>
      <c r="AV135" s="478">
        <v>1.0621781699552E-2</v>
      </c>
      <c r="AW135" s="479">
        <v>35019</v>
      </c>
      <c r="AX135" s="479">
        <v>53960</v>
      </c>
      <c r="AY135" s="478">
        <v>1.5675739558087126E-2</v>
      </c>
      <c r="AZ135" s="478">
        <v>1.0569859867828794E-2</v>
      </c>
      <c r="BA135" s="479">
        <v>35017</v>
      </c>
      <c r="BB135" s="479">
        <v>53998</v>
      </c>
      <c r="BC135" s="478">
        <v>1.5687404157294259E-2</v>
      </c>
      <c r="BD135" s="478">
        <v>1.0545895330350137E-2</v>
      </c>
      <c r="BE135" s="479">
        <v>35017</v>
      </c>
      <c r="BF135" s="479">
        <v>54219</v>
      </c>
      <c r="BG135" s="478">
        <v>1.5688587807457098E-2</v>
      </c>
      <c r="BH135" s="478">
        <v>1.05082900536168E-2</v>
      </c>
      <c r="BI135" s="479">
        <v>35000</v>
      </c>
      <c r="BJ135" s="479">
        <v>54381</v>
      </c>
    </row>
    <row r="136" spans="1:62">
      <c r="A136" s="461" t="s">
        <v>1353</v>
      </c>
      <c r="B136" s="462" t="s">
        <v>104</v>
      </c>
      <c r="C136" s="478">
        <v>1.0325546293437618E-2</v>
      </c>
      <c r="D136" s="478">
        <v>1.7838469856545868E-2</v>
      </c>
      <c r="E136" s="479">
        <v>23779</v>
      </c>
      <c r="F136" s="479">
        <v>84033</v>
      </c>
      <c r="G136" s="478">
        <v>1.0286007650440788E-2</v>
      </c>
      <c r="H136" s="478">
        <v>1.7638653658969158E-2</v>
      </c>
      <c r="I136" s="479">
        <v>23682</v>
      </c>
      <c r="J136" s="479">
        <v>84337</v>
      </c>
      <c r="K136" s="478">
        <v>1.0275339836023769E-2</v>
      </c>
      <c r="L136" s="471">
        <v>1.7404108158176987E-2</v>
      </c>
      <c r="M136" s="479">
        <v>23653</v>
      </c>
      <c r="N136" s="479">
        <v>84477</v>
      </c>
      <c r="O136" s="478">
        <v>1.0263598648452936E-2</v>
      </c>
      <c r="P136" s="478">
        <v>1.7215636234638825E-2</v>
      </c>
      <c r="Q136" s="479">
        <v>23599</v>
      </c>
      <c r="R136" s="479">
        <v>84539</v>
      </c>
      <c r="S136" s="478">
        <v>1.0247155453704372E-2</v>
      </c>
      <c r="T136" s="478">
        <v>1.7107179104284644E-2</v>
      </c>
      <c r="U136" s="479">
        <v>23547</v>
      </c>
      <c r="V136" s="479">
        <v>84683</v>
      </c>
      <c r="W136" s="478">
        <v>1.0249807769842811E-2</v>
      </c>
      <c r="X136" s="478">
        <v>1.7051808128062756E-2</v>
      </c>
      <c r="Y136" s="479">
        <v>23541</v>
      </c>
      <c r="Z136" s="479">
        <v>84723</v>
      </c>
      <c r="AA136" s="133">
        <v>1.0012966558259662E-2</v>
      </c>
      <c r="AB136" s="478">
        <v>1.697688795462356E-2</v>
      </c>
      <c r="AC136" s="479">
        <v>22734</v>
      </c>
      <c r="AD136" s="479">
        <v>84719</v>
      </c>
      <c r="AE136" s="478">
        <v>1.0077635578435173E-2</v>
      </c>
      <c r="AF136" s="478">
        <v>1.6941624061064208E-2</v>
      </c>
      <c r="AG136" s="479">
        <v>22724</v>
      </c>
      <c r="AH136" s="479">
        <v>84750</v>
      </c>
      <c r="AI136" s="478">
        <v>1.0275635688736936E-2</v>
      </c>
      <c r="AJ136" s="478">
        <v>1.7043361721329905E-2</v>
      </c>
      <c r="AK136" s="479">
        <v>23043</v>
      </c>
      <c r="AL136" s="479">
        <v>85509</v>
      </c>
      <c r="AM136" s="478">
        <v>1.0315433451387739E-2</v>
      </c>
      <c r="AN136" s="478">
        <v>1.7096168105731703E-2</v>
      </c>
      <c r="AO136" s="479">
        <v>23100</v>
      </c>
      <c r="AP136" s="479">
        <v>86069</v>
      </c>
      <c r="AQ136" s="478">
        <v>1.0329655688575903E-2</v>
      </c>
      <c r="AR136" s="478">
        <v>1.7076151597870418E-2</v>
      </c>
      <c r="AS136" s="479">
        <v>23104</v>
      </c>
      <c r="AT136" s="479">
        <v>86334</v>
      </c>
      <c r="AU136" s="478">
        <v>1.0330260587018601E-2</v>
      </c>
      <c r="AV136" s="478">
        <v>1.718126338180128E-2</v>
      </c>
      <c r="AW136" s="479">
        <v>23094</v>
      </c>
      <c r="AX136" s="479">
        <v>87283</v>
      </c>
      <c r="AY136" s="478">
        <v>1.0337831727872348E-2</v>
      </c>
      <c r="AZ136" s="478">
        <v>1.7183313801205281E-2</v>
      </c>
      <c r="BA136" s="479">
        <v>23093</v>
      </c>
      <c r="BB136" s="479">
        <v>87784</v>
      </c>
      <c r="BC136" s="478">
        <v>1.0375091894759053E-2</v>
      </c>
      <c r="BD136" s="478">
        <v>1.7167058076628175E-2</v>
      </c>
      <c r="BE136" s="479">
        <v>23159</v>
      </c>
      <c r="BF136" s="479">
        <v>88260</v>
      </c>
      <c r="BG136" s="478">
        <v>1.0391672318293655E-2</v>
      </c>
      <c r="BH136" s="478">
        <v>1.7256235052097012E-2</v>
      </c>
      <c r="BI136" s="479">
        <v>23183</v>
      </c>
      <c r="BJ136" s="479">
        <v>89302</v>
      </c>
    </row>
    <row r="137" spans="1:62">
      <c r="A137" s="461" t="s">
        <v>1354</v>
      </c>
      <c r="B137" s="462" t="s">
        <v>104</v>
      </c>
      <c r="C137" s="478">
        <v>4.5029612289393205E-4</v>
      </c>
      <c r="D137" s="478">
        <v>1.6865593637054123E-2</v>
      </c>
      <c r="E137" s="479">
        <v>1037</v>
      </c>
      <c r="F137" s="479">
        <v>79450</v>
      </c>
      <c r="G137" s="478">
        <v>4.3737900954285425E-4</v>
      </c>
      <c r="H137" s="478">
        <v>1.7409012555805087E-2</v>
      </c>
      <c r="I137" s="479">
        <v>1007</v>
      </c>
      <c r="J137" s="479">
        <v>83239</v>
      </c>
      <c r="K137" s="478">
        <v>4.3485457133808793E-4</v>
      </c>
      <c r="L137" s="471">
        <v>1.7920810967944234E-2</v>
      </c>
      <c r="M137" s="479">
        <v>1001</v>
      </c>
      <c r="N137" s="479">
        <v>86985</v>
      </c>
      <c r="O137" s="478">
        <v>4.4448484337128273E-4</v>
      </c>
      <c r="P137" s="478">
        <v>1.8462124948631468E-2</v>
      </c>
      <c r="Q137" s="479">
        <v>1022</v>
      </c>
      <c r="R137" s="479">
        <v>90660</v>
      </c>
      <c r="S137" s="478">
        <v>4.6651168498624402E-4</v>
      </c>
      <c r="T137" s="478">
        <v>1.8826927055051328E-2</v>
      </c>
      <c r="U137" s="479">
        <v>1072</v>
      </c>
      <c r="V137" s="479">
        <v>93196</v>
      </c>
      <c r="W137" s="478">
        <v>4.6892837891851269E-4</v>
      </c>
      <c r="X137" s="478">
        <v>1.9150603675428153E-2</v>
      </c>
      <c r="Y137" s="479">
        <v>1077</v>
      </c>
      <c r="Z137" s="479">
        <v>95151</v>
      </c>
      <c r="AA137" s="133">
        <v>4.7567537093870131E-4</v>
      </c>
      <c r="AB137" s="478">
        <v>1.9553910571704251E-2</v>
      </c>
      <c r="AC137" s="479">
        <v>1080</v>
      </c>
      <c r="AD137" s="479">
        <v>97579</v>
      </c>
      <c r="AE137" s="478">
        <v>4.7363645475130984E-4</v>
      </c>
      <c r="AF137" s="478">
        <v>1.9788616507998444E-2</v>
      </c>
      <c r="AG137" s="479">
        <v>1068</v>
      </c>
      <c r="AH137" s="479">
        <v>98992</v>
      </c>
      <c r="AI137" s="478">
        <v>4.6555412311944451E-4</v>
      </c>
      <c r="AJ137" s="478">
        <v>2.0420980541917873E-2</v>
      </c>
      <c r="AK137" s="479">
        <v>1044</v>
      </c>
      <c r="AL137" s="479">
        <v>102455</v>
      </c>
      <c r="AM137" s="478">
        <v>4.796006721554299E-4</v>
      </c>
      <c r="AN137" s="478">
        <v>2.1115512603977076E-2</v>
      </c>
      <c r="AO137" s="479">
        <v>1074</v>
      </c>
      <c r="AP137" s="479">
        <v>106304</v>
      </c>
      <c r="AQ137" s="478">
        <v>4.944857683329704E-4</v>
      </c>
      <c r="AR137" s="478">
        <v>2.1747794572713482E-2</v>
      </c>
      <c r="AS137" s="479">
        <v>1106</v>
      </c>
      <c r="AT137" s="479">
        <v>109953</v>
      </c>
      <c r="AU137" s="478">
        <v>4.9920199251375934E-4</v>
      </c>
      <c r="AV137" s="478">
        <v>2.2409282287627848E-2</v>
      </c>
      <c r="AW137" s="479">
        <v>1116</v>
      </c>
      <c r="AX137" s="479">
        <v>113842</v>
      </c>
      <c r="AY137" s="478">
        <v>4.9958949501171526E-4</v>
      </c>
      <c r="AZ137" s="478">
        <v>2.3005173355058462E-2</v>
      </c>
      <c r="BA137" s="479">
        <v>1116</v>
      </c>
      <c r="BB137" s="479">
        <v>117526</v>
      </c>
      <c r="BC137" s="478">
        <v>4.9368933321924425E-4</v>
      </c>
      <c r="BD137" s="478">
        <v>2.3779662579586799E-2</v>
      </c>
      <c r="BE137" s="479">
        <v>1102</v>
      </c>
      <c r="BF137" s="479">
        <v>122257</v>
      </c>
      <c r="BG137" s="478">
        <v>4.8769095812895214E-4</v>
      </c>
      <c r="BH137" s="478">
        <v>2.4591226724652502E-2</v>
      </c>
      <c r="BI137" s="479">
        <v>1088</v>
      </c>
      <c r="BJ137" s="479">
        <v>127261</v>
      </c>
    </row>
    <row r="138" spans="1:62">
      <c r="A138" s="461" t="s">
        <v>1355</v>
      </c>
      <c r="B138" s="462" t="s">
        <v>104</v>
      </c>
      <c r="C138" s="478">
        <v>5.6141548436795053E-3</v>
      </c>
      <c r="D138" s="478">
        <v>4.7355275375129437E-3</v>
      </c>
      <c r="E138" s="479">
        <v>12929</v>
      </c>
      <c r="F138" s="479">
        <v>22308</v>
      </c>
      <c r="G138" s="478">
        <v>5.610352200859035E-3</v>
      </c>
      <c r="H138" s="478">
        <v>4.6697873874748134E-3</v>
      </c>
      <c r="I138" s="479">
        <v>12917</v>
      </c>
      <c r="J138" s="479">
        <v>22328</v>
      </c>
      <c r="K138" s="478">
        <v>5.609667412276453E-3</v>
      </c>
      <c r="L138" s="471">
        <v>4.6080908078405328E-3</v>
      </c>
      <c r="M138" s="479">
        <v>12913</v>
      </c>
      <c r="N138" s="479">
        <v>22367</v>
      </c>
      <c r="O138" s="478">
        <v>5.6308662104970616E-3</v>
      </c>
      <c r="P138" s="478">
        <v>4.5910942749492218E-3</v>
      </c>
      <c r="Q138" s="479">
        <v>12947</v>
      </c>
      <c r="R138" s="479">
        <v>22545</v>
      </c>
      <c r="S138" s="478">
        <v>5.6320841670634047E-3</v>
      </c>
      <c r="T138" s="478">
        <v>4.5661297933959092E-3</v>
      </c>
      <c r="U138" s="479">
        <v>12942</v>
      </c>
      <c r="V138" s="479">
        <v>22603</v>
      </c>
      <c r="W138" s="478">
        <v>5.646298252381869E-3</v>
      </c>
      <c r="X138" s="478">
        <v>4.5576548878106431E-3</v>
      </c>
      <c r="Y138" s="479">
        <v>12968</v>
      </c>
      <c r="Z138" s="479">
        <v>22645</v>
      </c>
      <c r="AA138" s="133">
        <v>5.715151493796841E-3</v>
      </c>
      <c r="AB138" s="478">
        <v>4.5438559752958513E-3</v>
      </c>
      <c r="AC138" s="479">
        <v>12976</v>
      </c>
      <c r="AD138" s="479">
        <v>22675</v>
      </c>
      <c r="AE138" s="478">
        <v>5.6880722552811796E-3</v>
      </c>
      <c r="AF138" s="478">
        <v>4.5387560390143114E-3</v>
      </c>
      <c r="AG138" s="479">
        <v>12826</v>
      </c>
      <c r="AH138" s="479">
        <v>22705</v>
      </c>
      <c r="AI138" s="478">
        <v>5.6936734137826321E-3</v>
      </c>
      <c r="AJ138" s="478">
        <v>4.525682340391266E-3</v>
      </c>
      <c r="AK138" s="479">
        <v>12768</v>
      </c>
      <c r="AL138" s="479">
        <v>22706</v>
      </c>
      <c r="AM138" s="478">
        <v>5.7043007319492198E-3</v>
      </c>
      <c r="AN138" s="478">
        <v>4.5246675723020187E-3</v>
      </c>
      <c r="AO138" s="479">
        <v>12774</v>
      </c>
      <c r="AP138" s="479">
        <v>22779</v>
      </c>
      <c r="AQ138" s="478">
        <v>5.7093881208065394E-3</v>
      </c>
      <c r="AR138" s="478">
        <v>4.5122228369149789E-3</v>
      </c>
      <c r="AS138" s="479">
        <v>12770</v>
      </c>
      <c r="AT138" s="479">
        <v>22813</v>
      </c>
      <c r="AU138" s="478">
        <v>5.7126421562663267E-3</v>
      </c>
      <c r="AV138" s="478">
        <v>4.492013683909871E-3</v>
      </c>
      <c r="AW138" s="479">
        <v>12771</v>
      </c>
      <c r="AX138" s="479">
        <v>22820</v>
      </c>
      <c r="AY138" s="478">
        <v>5.7175242206896305E-3</v>
      </c>
      <c r="AZ138" s="478">
        <v>4.4763057049799779E-3</v>
      </c>
      <c r="BA138" s="479">
        <v>12772</v>
      </c>
      <c r="BB138" s="479">
        <v>22868</v>
      </c>
      <c r="BC138" s="478">
        <v>5.7155068177959321E-3</v>
      </c>
      <c r="BD138" s="478">
        <v>4.5146678565218291E-3</v>
      </c>
      <c r="BE138" s="479">
        <v>12758</v>
      </c>
      <c r="BF138" s="479">
        <v>23211</v>
      </c>
      <c r="BG138" s="478">
        <v>5.7200591145988586E-3</v>
      </c>
      <c r="BH138" s="478">
        <v>4.4882597428395473E-3</v>
      </c>
      <c r="BI138" s="479">
        <v>12761</v>
      </c>
      <c r="BJ138" s="479">
        <v>23227</v>
      </c>
    </row>
    <row r="139" spans="1:62">
      <c r="A139" s="461" t="s">
        <v>1356</v>
      </c>
      <c r="B139" s="462" t="s">
        <v>104</v>
      </c>
      <c r="C139" s="478">
        <v>1.9236372463067683E-4</v>
      </c>
      <c r="D139" s="478">
        <v>1.1823959289917114E-3</v>
      </c>
      <c r="E139" s="479">
        <v>443</v>
      </c>
      <c r="F139" s="479">
        <v>5570</v>
      </c>
      <c r="G139" s="478">
        <v>1.9501804894214651E-4</v>
      </c>
      <c r="H139" s="478">
        <v>1.1645188182309101E-3</v>
      </c>
      <c r="I139" s="479">
        <v>449</v>
      </c>
      <c r="J139" s="479">
        <v>5568</v>
      </c>
      <c r="K139" s="478">
        <v>1.9722674863885306E-4</v>
      </c>
      <c r="L139" s="471">
        <v>1.1489838796140139E-3</v>
      </c>
      <c r="M139" s="479">
        <v>454</v>
      </c>
      <c r="N139" s="479">
        <v>5577</v>
      </c>
      <c r="O139" s="478">
        <v>1.9962675450823755E-4</v>
      </c>
      <c r="P139" s="478">
        <v>1.1350968945915709E-3</v>
      </c>
      <c r="Q139" s="479">
        <v>459</v>
      </c>
      <c r="R139" s="479">
        <v>5574</v>
      </c>
      <c r="S139" s="478">
        <v>2.0540439861334623E-4</v>
      </c>
      <c r="T139" s="478">
        <v>1.1262298632120601E-3</v>
      </c>
      <c r="U139" s="479">
        <v>472</v>
      </c>
      <c r="V139" s="479">
        <v>5575</v>
      </c>
      <c r="W139" s="478">
        <v>2.0420372303879523E-4</v>
      </c>
      <c r="X139" s="478">
        <v>1.1238659701273848E-3</v>
      </c>
      <c r="Y139" s="479">
        <v>469</v>
      </c>
      <c r="Z139" s="479">
        <v>5584</v>
      </c>
      <c r="AA139" s="133">
        <v>2.1008995549792641E-4</v>
      </c>
      <c r="AB139" s="478">
        <v>1.1195820654455533E-3</v>
      </c>
      <c r="AC139" s="479">
        <v>477</v>
      </c>
      <c r="AD139" s="479">
        <v>5587</v>
      </c>
      <c r="AE139" s="478">
        <v>1.547744594646134E-4</v>
      </c>
      <c r="AF139" s="478">
        <v>1.116647929263772E-3</v>
      </c>
      <c r="AG139" s="479">
        <v>349</v>
      </c>
      <c r="AH139" s="479">
        <v>5586</v>
      </c>
      <c r="AI139" s="478">
        <v>1.4804977861652833E-4</v>
      </c>
      <c r="AJ139" s="478">
        <v>1.1165714996420274E-3</v>
      </c>
      <c r="AK139" s="479">
        <v>332</v>
      </c>
      <c r="AL139" s="479">
        <v>5602</v>
      </c>
      <c r="AM139" s="478">
        <v>1.5004266838382165E-4</v>
      </c>
      <c r="AN139" s="478">
        <v>1.1131409225681773E-3</v>
      </c>
      <c r="AO139" s="479">
        <v>336</v>
      </c>
      <c r="AP139" s="479">
        <v>5604</v>
      </c>
      <c r="AQ139" s="478">
        <v>1.5067061837993766E-4</v>
      </c>
      <c r="AR139" s="478">
        <v>1.1086226713237391E-3</v>
      </c>
      <c r="AS139" s="479">
        <v>337</v>
      </c>
      <c r="AT139" s="479">
        <v>5605</v>
      </c>
      <c r="AU139" s="478">
        <v>1.5119200131689128E-4</v>
      </c>
      <c r="AV139" s="478">
        <v>1.1031220282485064E-3</v>
      </c>
      <c r="AW139" s="479">
        <v>338</v>
      </c>
      <c r="AX139" s="479">
        <v>5604</v>
      </c>
      <c r="AY139" s="478">
        <v>1.499663806710794E-4</v>
      </c>
      <c r="AZ139" s="478">
        <v>1.0969571965501049E-3</v>
      </c>
      <c r="BA139" s="479">
        <v>335</v>
      </c>
      <c r="BB139" s="479">
        <v>5604</v>
      </c>
      <c r="BC139" s="478">
        <v>1.5007797334704793E-4</v>
      </c>
      <c r="BD139" s="478">
        <v>1.0944826172352906E-3</v>
      </c>
      <c r="BE139" s="479">
        <v>335</v>
      </c>
      <c r="BF139" s="479">
        <v>5627</v>
      </c>
      <c r="BG139" s="478">
        <v>1.4971395221973348E-4</v>
      </c>
      <c r="BH139" s="478">
        <v>1.08752425335605E-3</v>
      </c>
      <c r="BI139" s="479">
        <v>334</v>
      </c>
      <c r="BJ139" s="479">
        <v>5628</v>
      </c>
    </row>
    <row r="140" spans="1:62">
      <c r="A140" s="461" t="s">
        <v>1357</v>
      </c>
      <c r="B140" s="462" t="s">
        <v>104</v>
      </c>
      <c r="C140" s="478">
        <v>2.2293349035076636E-3</v>
      </c>
      <c r="D140" s="478">
        <v>2.6210130224884488E-3</v>
      </c>
      <c r="E140" s="479">
        <v>5134</v>
      </c>
      <c r="F140" s="479">
        <v>12347</v>
      </c>
      <c r="G140" s="478">
        <v>2.1777739362938147E-3</v>
      </c>
      <c r="H140" s="478">
        <v>2.581266389117438E-3</v>
      </c>
      <c r="I140" s="479">
        <v>5014</v>
      </c>
      <c r="J140" s="479">
        <v>12342</v>
      </c>
      <c r="K140" s="478">
        <v>2.1204047579432639E-3</v>
      </c>
      <c r="L140" s="471">
        <v>2.5515806614702461E-3</v>
      </c>
      <c r="M140" s="479">
        <v>4881</v>
      </c>
      <c r="N140" s="479">
        <v>12385</v>
      </c>
      <c r="O140" s="478">
        <v>2.0688986300559605E-3</v>
      </c>
      <c r="P140" s="478">
        <v>2.5220981412839259E-3</v>
      </c>
      <c r="Q140" s="479">
        <v>4757</v>
      </c>
      <c r="R140" s="479">
        <v>12385</v>
      </c>
      <c r="S140" s="478">
        <v>2.0340257608448737E-3</v>
      </c>
      <c r="T140" s="478">
        <v>2.5023514467457917E-3</v>
      </c>
      <c r="U140" s="479">
        <v>4674</v>
      </c>
      <c r="V140" s="479">
        <v>12387</v>
      </c>
      <c r="W140" s="478">
        <v>2.0202671106610017E-3</v>
      </c>
      <c r="X140" s="478">
        <v>2.4930744577306443E-3</v>
      </c>
      <c r="Y140" s="479">
        <v>4640</v>
      </c>
      <c r="Z140" s="479">
        <v>12387</v>
      </c>
      <c r="AA140" s="133">
        <v>2.0260247280722461E-3</v>
      </c>
      <c r="AB140" s="478">
        <v>2.4906542852018584E-3</v>
      </c>
      <c r="AC140" s="479">
        <v>4600</v>
      </c>
      <c r="AD140" s="479">
        <v>12429</v>
      </c>
      <c r="AE140" s="478">
        <v>1.9623982324668034E-3</v>
      </c>
      <c r="AF140" s="478">
        <v>2.4859709359692566E-3</v>
      </c>
      <c r="AG140" s="479">
        <v>4425</v>
      </c>
      <c r="AH140" s="479">
        <v>12436</v>
      </c>
      <c r="AI140" s="478">
        <v>1.8479466342978717E-3</v>
      </c>
      <c r="AJ140" s="478">
        <v>2.4814914620748378E-3</v>
      </c>
      <c r="AK140" s="479">
        <v>4144</v>
      </c>
      <c r="AL140" s="479">
        <v>12450</v>
      </c>
      <c r="AM140" s="478">
        <v>1.8384692432624812E-3</v>
      </c>
      <c r="AN140" s="478">
        <v>2.4749707164881318E-3</v>
      </c>
      <c r="AO140" s="479">
        <v>4117</v>
      </c>
      <c r="AP140" s="479">
        <v>12460</v>
      </c>
      <c r="AQ140" s="478">
        <v>1.8388968943521768E-3</v>
      </c>
      <c r="AR140" s="478">
        <v>2.4648805941188999E-3</v>
      </c>
      <c r="AS140" s="479">
        <v>4113</v>
      </c>
      <c r="AT140" s="479">
        <v>12462</v>
      </c>
      <c r="AU140" s="478">
        <v>1.8335385011773295E-3</v>
      </c>
      <c r="AV140" s="478">
        <v>2.4538756609824913E-3</v>
      </c>
      <c r="AW140" s="479">
        <v>4099</v>
      </c>
      <c r="AX140" s="479">
        <v>12466</v>
      </c>
      <c r="AY140" s="478">
        <v>1.8175030015659176E-3</v>
      </c>
      <c r="AZ140" s="478">
        <v>2.4419238092367162E-3</v>
      </c>
      <c r="BA140" s="479">
        <v>4060</v>
      </c>
      <c r="BB140" s="479">
        <v>12475</v>
      </c>
      <c r="BC140" s="478">
        <v>1.8085515773195E-3</v>
      </c>
      <c r="BD140" s="478">
        <v>2.4278180252942771E-3</v>
      </c>
      <c r="BE140" s="479">
        <v>4037</v>
      </c>
      <c r="BF140" s="479">
        <v>12482</v>
      </c>
      <c r="BG140" s="478">
        <v>1.8023946163938571E-3</v>
      </c>
      <c r="BH140" s="478">
        <v>2.4131135173970065E-3</v>
      </c>
      <c r="BI140" s="479">
        <v>4021</v>
      </c>
      <c r="BJ140" s="479">
        <v>12488</v>
      </c>
    </row>
    <row r="141" spans="1:62">
      <c r="A141" s="461" t="s">
        <v>1358</v>
      </c>
      <c r="B141" s="462" t="s">
        <v>104</v>
      </c>
      <c r="C141" s="478">
        <v>3.2567222002936259E-5</v>
      </c>
      <c r="D141" s="478">
        <v>1.2220921657460112E-3</v>
      </c>
      <c r="E141" s="479">
        <v>75</v>
      </c>
      <c r="F141" s="479">
        <v>5757</v>
      </c>
      <c r="G141" s="478">
        <v>2.953502745671707E-5</v>
      </c>
      <c r="H141" s="478">
        <v>1.2032106252303208E-3</v>
      </c>
      <c r="I141" s="479">
        <v>68</v>
      </c>
      <c r="J141" s="479">
        <v>5753</v>
      </c>
      <c r="K141" s="478">
        <v>2.9540570280709268E-5</v>
      </c>
      <c r="L141" s="471">
        <v>1.1860678133293668E-3</v>
      </c>
      <c r="M141" s="479">
        <v>68</v>
      </c>
      <c r="N141" s="479">
        <v>5757</v>
      </c>
      <c r="O141" s="478">
        <v>3.3053667413128653E-5</v>
      </c>
      <c r="P141" s="478">
        <v>1.1733814687184484E-3</v>
      </c>
      <c r="Q141" s="479">
        <v>76</v>
      </c>
      <c r="R141" s="479">
        <v>5762</v>
      </c>
      <c r="S141" s="478">
        <v>3.6990198902827182E-5</v>
      </c>
      <c r="T141" s="478">
        <v>1.1656226566338272E-3</v>
      </c>
      <c r="U141" s="479">
        <v>85</v>
      </c>
      <c r="V141" s="479">
        <v>5770</v>
      </c>
      <c r="W141" s="478">
        <v>3.9186215508510811E-5</v>
      </c>
      <c r="X141" s="478">
        <v>1.1611000683497284E-3</v>
      </c>
      <c r="Y141" s="479">
        <v>90</v>
      </c>
      <c r="Z141" s="479">
        <v>5769</v>
      </c>
      <c r="AA141" s="133">
        <v>4.5805776460763828E-5</v>
      </c>
      <c r="AB141" s="478">
        <v>1.1570551003906614E-3</v>
      </c>
      <c r="AC141" s="479">
        <v>104</v>
      </c>
      <c r="AD141" s="479">
        <v>5774</v>
      </c>
      <c r="AE141" s="478">
        <v>4.8782780920078726E-5</v>
      </c>
      <c r="AF141" s="478">
        <v>1.1548290525164359E-3</v>
      </c>
      <c r="AG141" s="479">
        <v>110</v>
      </c>
      <c r="AH141" s="479">
        <v>5777</v>
      </c>
      <c r="AI141" s="478">
        <v>5.1728235902160501E-5</v>
      </c>
      <c r="AJ141" s="478">
        <v>1.1534450675523764E-3</v>
      </c>
      <c r="AK141" s="479">
        <v>116</v>
      </c>
      <c r="AL141" s="479">
        <v>5787</v>
      </c>
      <c r="AM141" s="478">
        <v>5.2693556158604032E-5</v>
      </c>
      <c r="AN141" s="478">
        <v>1.1484976470894363E-3</v>
      </c>
      <c r="AO141" s="479">
        <v>118</v>
      </c>
      <c r="AP141" s="479">
        <v>5782</v>
      </c>
      <c r="AQ141" s="478">
        <v>5.4992540239561811E-5</v>
      </c>
      <c r="AR141" s="478">
        <v>1.1404671405624762E-3</v>
      </c>
      <c r="AS141" s="479">
        <v>123</v>
      </c>
      <c r="AT141" s="479">
        <v>5766</v>
      </c>
      <c r="AU141" s="478">
        <v>5.6361515283811542E-5</v>
      </c>
      <c r="AV141" s="478">
        <v>1.134814149331306E-3</v>
      </c>
      <c r="AW141" s="479">
        <v>126</v>
      </c>
      <c r="AX141" s="479">
        <v>5765</v>
      </c>
      <c r="AY141" s="478">
        <v>5.6405265565838823E-5</v>
      </c>
      <c r="AZ141" s="478">
        <v>1.1856298607251937E-3</v>
      </c>
      <c r="BA141" s="479">
        <v>126</v>
      </c>
      <c r="BB141" s="479">
        <v>6057</v>
      </c>
      <c r="BC141" s="478">
        <v>5.5103255885632518E-5</v>
      </c>
      <c r="BD141" s="478">
        <v>1.1744243900598337E-3</v>
      </c>
      <c r="BE141" s="479">
        <v>123</v>
      </c>
      <c r="BF141" s="479">
        <v>6038</v>
      </c>
      <c r="BG141" s="478">
        <v>5.3341198545354138E-5</v>
      </c>
      <c r="BH141" s="478">
        <v>1.1657842609269812E-3</v>
      </c>
      <c r="BI141" s="479">
        <v>119</v>
      </c>
      <c r="BJ141" s="479">
        <v>6033</v>
      </c>
    </row>
    <row r="142" spans="1:62">
      <c r="A142" s="461" t="s">
        <v>1359</v>
      </c>
      <c r="B142" s="462" t="s">
        <v>104</v>
      </c>
      <c r="C142" s="478">
        <v>2.6488007229054826E-5</v>
      </c>
      <c r="D142" s="478">
        <v>1.0380459771578939E-3</v>
      </c>
      <c r="E142" s="479">
        <v>61</v>
      </c>
      <c r="F142" s="479">
        <v>4890</v>
      </c>
      <c r="G142" s="478">
        <v>2.6060318344162119E-5</v>
      </c>
      <c r="H142" s="478">
        <v>1.0266923273519286E-3</v>
      </c>
      <c r="I142" s="479">
        <v>60</v>
      </c>
      <c r="J142" s="479">
        <v>4909</v>
      </c>
      <c r="K142" s="478">
        <v>2.6065209071214062E-5</v>
      </c>
      <c r="L142" s="471">
        <v>1.0136275215529762E-3</v>
      </c>
      <c r="M142" s="479">
        <v>60</v>
      </c>
      <c r="N142" s="479">
        <v>4920</v>
      </c>
      <c r="O142" s="478">
        <v>2.6529917265800631E-5</v>
      </c>
      <c r="P142" s="478">
        <v>1.0019154505544543E-3</v>
      </c>
      <c r="Q142" s="479">
        <v>61</v>
      </c>
      <c r="R142" s="479">
        <v>4920</v>
      </c>
      <c r="S142" s="478">
        <v>2.6110728637289775E-5</v>
      </c>
      <c r="T142" s="478">
        <v>9.9532458045664945E-4</v>
      </c>
      <c r="U142" s="479">
        <v>60</v>
      </c>
      <c r="V142" s="479">
        <v>4927</v>
      </c>
      <c r="W142" s="478">
        <v>2.8301155645035586E-5</v>
      </c>
      <c r="X142" s="478">
        <v>9.9223840127650562E-4</v>
      </c>
      <c r="Y142" s="479">
        <v>65</v>
      </c>
      <c r="Z142" s="479">
        <v>4930</v>
      </c>
      <c r="AA142" s="133">
        <v>3.0830811079360272E-5</v>
      </c>
      <c r="AB142" s="478">
        <v>9.8872702897948093E-4</v>
      </c>
      <c r="AC142" s="479">
        <v>70</v>
      </c>
      <c r="AD142" s="479">
        <v>4934</v>
      </c>
      <c r="AE142" s="478">
        <v>3.1930547511324256E-5</v>
      </c>
      <c r="AF142" s="478">
        <v>9.8671216950339748E-4</v>
      </c>
      <c r="AG142" s="479">
        <v>72</v>
      </c>
      <c r="AH142" s="479">
        <v>4936</v>
      </c>
      <c r="AI142" s="478">
        <v>2.8985649427934763E-5</v>
      </c>
      <c r="AJ142" s="478">
        <v>9.838266551647711E-4</v>
      </c>
      <c r="AK142" s="479">
        <v>65</v>
      </c>
      <c r="AL142" s="479">
        <v>4936</v>
      </c>
      <c r="AM142" s="478">
        <v>3.1705444807295647E-5</v>
      </c>
      <c r="AN142" s="478">
        <v>9.8005662240388774E-4</v>
      </c>
      <c r="AO142" s="479">
        <v>71</v>
      </c>
      <c r="AP142" s="479">
        <v>4934</v>
      </c>
      <c r="AQ142" s="478">
        <v>3.3979130554525999E-5</v>
      </c>
      <c r="AR142" s="478">
        <v>9.7610220927433578E-4</v>
      </c>
      <c r="AS142" s="479">
        <v>76</v>
      </c>
      <c r="AT142" s="479">
        <v>4935</v>
      </c>
      <c r="AU142" s="478">
        <v>3.4890461842359528E-5</v>
      </c>
      <c r="AV142" s="478">
        <v>9.7182609804833623E-4</v>
      </c>
      <c r="AW142" s="479">
        <v>78</v>
      </c>
      <c r="AX142" s="479">
        <v>4937</v>
      </c>
      <c r="AY142" s="478">
        <v>3.4917545350281174E-5</v>
      </c>
      <c r="AZ142" s="478">
        <v>9.6561203614947667E-4</v>
      </c>
      <c r="BA142" s="479">
        <v>78</v>
      </c>
      <c r="BB142" s="479">
        <v>4933</v>
      </c>
      <c r="BC142" s="478">
        <v>3.4495534172306534E-5</v>
      </c>
      <c r="BD142" s="478">
        <v>9.5891226283454463E-4</v>
      </c>
      <c r="BE142" s="479">
        <v>77</v>
      </c>
      <c r="BF142" s="479">
        <v>4930</v>
      </c>
      <c r="BG142" s="478">
        <v>3.406664781047827E-5</v>
      </c>
      <c r="BH142" s="478">
        <v>9.5322621567260027E-4</v>
      </c>
      <c r="BI142" s="479">
        <v>76</v>
      </c>
      <c r="BJ142" s="479">
        <v>4933</v>
      </c>
    </row>
    <row r="143" spans="1:62">
      <c r="A143" s="461" t="s">
        <v>1360</v>
      </c>
      <c r="B143" s="462" t="s">
        <v>104</v>
      </c>
      <c r="C143" s="478">
        <v>3.8212207150111883E-5</v>
      </c>
      <c r="D143" s="478">
        <v>2.889334109426604E-3</v>
      </c>
      <c r="E143" s="479">
        <v>88</v>
      </c>
      <c r="F143" s="479">
        <v>13611</v>
      </c>
      <c r="G143" s="478">
        <v>3.7353122959965702E-5</v>
      </c>
      <c r="H143" s="478">
        <v>2.8475078502539228E-3</v>
      </c>
      <c r="I143" s="479">
        <v>86</v>
      </c>
      <c r="J143" s="479">
        <v>13615</v>
      </c>
      <c r="K143" s="478">
        <v>3.7360133002073488E-5</v>
      </c>
      <c r="L143" s="471">
        <v>2.8056056074204127E-3</v>
      </c>
      <c r="M143" s="479">
        <v>86</v>
      </c>
      <c r="N143" s="479">
        <v>13618</v>
      </c>
      <c r="O143" s="478">
        <v>3.7402834178014003E-5</v>
      </c>
      <c r="P143" s="478">
        <v>2.7746134174399268E-3</v>
      </c>
      <c r="Q143" s="479">
        <v>86</v>
      </c>
      <c r="R143" s="479">
        <v>13625</v>
      </c>
      <c r="S143" s="478">
        <v>3.8295735334691675E-5</v>
      </c>
      <c r="T143" s="478">
        <v>2.7554753962713003E-3</v>
      </c>
      <c r="U143" s="479">
        <v>88</v>
      </c>
      <c r="V143" s="479">
        <v>13640</v>
      </c>
      <c r="W143" s="478">
        <v>4.1363227481205853E-5</v>
      </c>
      <c r="X143" s="478">
        <v>2.7724308270961188E-3</v>
      </c>
      <c r="Y143" s="479">
        <v>95</v>
      </c>
      <c r="Z143" s="479">
        <v>13775</v>
      </c>
      <c r="AA143" s="133">
        <v>4.2722695352827803E-5</v>
      </c>
      <c r="AB143" s="478">
        <v>2.7605803711433586E-3</v>
      </c>
      <c r="AC143" s="479">
        <v>97</v>
      </c>
      <c r="AD143" s="479">
        <v>13776</v>
      </c>
      <c r="AE143" s="478">
        <v>3.1487067684778089E-5</v>
      </c>
      <c r="AF143" s="478">
        <v>2.7534386999067662E-3</v>
      </c>
      <c r="AG143" s="479">
        <v>71</v>
      </c>
      <c r="AH143" s="479">
        <v>13774</v>
      </c>
      <c r="AI143" s="478">
        <v>2.2296653406103666E-5</v>
      </c>
      <c r="AJ143" s="478">
        <v>2.7455859349462563E-3</v>
      </c>
      <c r="AK143" s="479">
        <v>50</v>
      </c>
      <c r="AL143" s="479">
        <v>13775</v>
      </c>
      <c r="AM143" s="478">
        <v>2.3667444715305199E-5</v>
      </c>
      <c r="AN143" s="478">
        <v>2.7357762181533739E-3</v>
      </c>
      <c r="AO143" s="479">
        <v>53</v>
      </c>
      <c r="AP143" s="479">
        <v>13773</v>
      </c>
      <c r="AQ143" s="478">
        <v>2.503725409280863E-5</v>
      </c>
      <c r="AR143" s="478">
        <v>2.7170650554815706E-3</v>
      </c>
      <c r="AS143" s="479">
        <v>56</v>
      </c>
      <c r="AT143" s="479">
        <v>13737</v>
      </c>
      <c r="AU143" s="478">
        <v>2.5496875961724269E-5</v>
      </c>
      <c r="AV143" s="478">
        <v>2.6959955922361781E-3</v>
      </c>
      <c r="AW143" s="479">
        <v>57</v>
      </c>
      <c r="AX143" s="479">
        <v>13696</v>
      </c>
      <c r="AY143" s="478">
        <v>2.5964328593798822E-5</v>
      </c>
      <c r="AZ143" s="478">
        <v>2.6805374463877828E-3</v>
      </c>
      <c r="BA143" s="479">
        <v>58</v>
      </c>
      <c r="BB143" s="479">
        <v>13694</v>
      </c>
      <c r="BC143" s="478">
        <v>2.4191673315643545E-5</v>
      </c>
      <c r="BD143" s="478">
        <v>2.6637532331681723E-3</v>
      </c>
      <c r="BE143" s="479">
        <v>54</v>
      </c>
      <c r="BF143" s="479">
        <v>13695</v>
      </c>
      <c r="BG143" s="478">
        <v>2.4205249760076668E-5</v>
      </c>
      <c r="BH143" s="478">
        <v>2.6463476634170408E-3</v>
      </c>
      <c r="BI143" s="479">
        <v>54</v>
      </c>
      <c r="BJ143" s="479">
        <v>13695</v>
      </c>
    </row>
    <row r="144" spans="1:62">
      <c r="A144" s="461" t="s">
        <v>1361</v>
      </c>
      <c r="B144" s="462" t="s">
        <v>104</v>
      </c>
      <c r="C144" s="478">
        <v>6.5004175117860778E-4</v>
      </c>
      <c r="D144" s="478">
        <v>6.1862445534428103E-3</v>
      </c>
      <c r="E144" s="479">
        <v>1497</v>
      </c>
      <c r="F144" s="479">
        <v>29142</v>
      </c>
      <c r="G144" s="478">
        <v>6.4021515398824942E-4</v>
      </c>
      <c r="H144" s="478">
        <v>6.0949007544693224E-3</v>
      </c>
      <c r="I144" s="479">
        <v>1474</v>
      </c>
      <c r="J144" s="479">
        <v>29142</v>
      </c>
      <c r="K144" s="478">
        <v>6.342534207328755E-4</v>
      </c>
      <c r="L144" s="471">
        <v>6.0115116771126617E-3</v>
      </c>
      <c r="M144" s="479">
        <v>1460</v>
      </c>
      <c r="N144" s="479">
        <v>29179</v>
      </c>
      <c r="O144" s="478">
        <v>6.3106409758486421E-4</v>
      </c>
      <c r="P144" s="478">
        <v>5.9583423105229226E-3</v>
      </c>
      <c r="Q144" s="479">
        <v>1451</v>
      </c>
      <c r="R144" s="479">
        <v>29259</v>
      </c>
      <c r="S144" s="478">
        <v>6.4101838804546396E-4</v>
      </c>
      <c r="T144" s="478">
        <v>5.9129592997698649E-3</v>
      </c>
      <c r="U144" s="479">
        <v>1473</v>
      </c>
      <c r="V144" s="479">
        <v>29270</v>
      </c>
      <c r="W144" s="478">
        <v>6.4483094631227235E-4</v>
      </c>
      <c r="X144" s="478">
        <v>5.8926482581285059E-3</v>
      </c>
      <c r="Y144" s="479">
        <v>1481</v>
      </c>
      <c r="Z144" s="479">
        <v>29278</v>
      </c>
      <c r="AA144" s="133">
        <v>6.5097055393277829E-4</v>
      </c>
      <c r="AB144" s="478">
        <v>5.8756516450562141E-3</v>
      </c>
      <c r="AC144" s="479">
        <v>1478</v>
      </c>
      <c r="AD144" s="479">
        <v>29321</v>
      </c>
      <c r="AE144" s="478">
        <v>6.5280230467596259E-4</v>
      </c>
      <c r="AF144" s="478">
        <v>5.8680988119473735E-3</v>
      </c>
      <c r="AG144" s="479">
        <v>1472</v>
      </c>
      <c r="AH144" s="479">
        <v>29355</v>
      </c>
      <c r="AI144" s="478">
        <v>6.6800773604686579E-4</v>
      </c>
      <c r="AJ144" s="478">
        <v>5.8581136997463102E-3</v>
      </c>
      <c r="AK144" s="479">
        <v>1498</v>
      </c>
      <c r="AL144" s="479">
        <v>29391</v>
      </c>
      <c r="AM144" s="478">
        <v>6.6581434095320852E-4</v>
      </c>
      <c r="AN144" s="478">
        <v>5.8477638758756504E-3</v>
      </c>
      <c r="AO144" s="479">
        <v>1491</v>
      </c>
      <c r="AP144" s="479">
        <v>29440</v>
      </c>
      <c r="AQ144" s="478">
        <v>6.7690004815200476E-4</v>
      </c>
      <c r="AR144" s="478">
        <v>5.8943914769168148E-3</v>
      </c>
      <c r="AS144" s="479">
        <v>1514</v>
      </c>
      <c r="AT144" s="479">
        <v>29801</v>
      </c>
      <c r="AU144" s="478">
        <v>6.817059467661015E-4</v>
      </c>
      <c r="AV144" s="478">
        <v>6.0691396100924248E-3</v>
      </c>
      <c r="AW144" s="479">
        <v>1524</v>
      </c>
      <c r="AX144" s="479">
        <v>30832</v>
      </c>
      <c r="AY144" s="478">
        <v>6.7910149097918644E-4</v>
      </c>
      <c r="AZ144" s="478">
        <v>6.1399458215894249E-3</v>
      </c>
      <c r="BA144" s="479">
        <v>1517</v>
      </c>
      <c r="BB144" s="479">
        <v>31367</v>
      </c>
      <c r="BC144" s="478">
        <v>6.7915882863917802E-4</v>
      </c>
      <c r="BD144" s="478">
        <v>6.2058934397563855E-3</v>
      </c>
      <c r="BE144" s="479">
        <v>1516</v>
      </c>
      <c r="BF144" s="479">
        <v>31906</v>
      </c>
      <c r="BG144" s="478">
        <v>6.7729874791621931E-4</v>
      </c>
      <c r="BH144" s="478">
        <v>6.2998339921666565E-3</v>
      </c>
      <c r="BI144" s="479">
        <v>1511</v>
      </c>
      <c r="BJ144" s="479">
        <v>32602</v>
      </c>
    </row>
    <row r="145" spans="1:62">
      <c r="A145" s="461" t="s">
        <v>1362</v>
      </c>
      <c r="B145" s="462" t="s">
        <v>104</v>
      </c>
      <c r="C145" s="478">
        <v>1.1819730438932335E-3</v>
      </c>
      <c r="D145" s="478">
        <v>1.2414095857708309E-3</v>
      </c>
      <c r="E145" s="479">
        <v>2722</v>
      </c>
      <c r="F145" s="479">
        <v>5848</v>
      </c>
      <c r="G145" s="478">
        <v>1.1866131619375153E-3</v>
      </c>
      <c r="H145" s="478">
        <v>1.2341640708298494E-3</v>
      </c>
      <c r="I145" s="479">
        <v>2732</v>
      </c>
      <c r="J145" s="479">
        <v>5901</v>
      </c>
      <c r="K145" s="478">
        <v>1.185098172437866E-3</v>
      </c>
      <c r="L145" s="471">
        <v>1.2161470040095972E-3</v>
      </c>
      <c r="M145" s="479">
        <v>2728</v>
      </c>
      <c r="N145" s="479">
        <v>5903</v>
      </c>
      <c r="O145" s="478">
        <v>1.1899320268726316E-3</v>
      </c>
      <c r="P145" s="478">
        <v>1.2161461525835775E-3</v>
      </c>
      <c r="Q145" s="479">
        <v>2736</v>
      </c>
      <c r="R145" s="479">
        <v>5972</v>
      </c>
      <c r="S145" s="478">
        <v>1.1880381529966848E-3</v>
      </c>
      <c r="T145" s="478">
        <v>1.2116819227885088E-3</v>
      </c>
      <c r="U145" s="479">
        <v>2730</v>
      </c>
      <c r="V145" s="479">
        <v>5998</v>
      </c>
      <c r="W145" s="478">
        <v>1.1873423299078776E-3</v>
      </c>
      <c r="X145" s="478">
        <v>1.2063847824039301E-3</v>
      </c>
      <c r="Y145" s="479">
        <v>2727</v>
      </c>
      <c r="Z145" s="479">
        <v>5994</v>
      </c>
      <c r="AA145" s="133">
        <v>1.1944737092460722E-3</v>
      </c>
      <c r="AB145" s="478">
        <v>1.2013414144166981E-3</v>
      </c>
      <c r="AC145" s="479">
        <v>2712</v>
      </c>
      <c r="AD145" s="479">
        <v>5995</v>
      </c>
      <c r="AE145" s="478">
        <v>1.2013868501135753E-3</v>
      </c>
      <c r="AF145" s="478">
        <v>1.1994070131726873E-3</v>
      </c>
      <c r="AG145" s="479">
        <v>2709</v>
      </c>
      <c r="AH145" s="479">
        <v>6000</v>
      </c>
      <c r="AI145" s="478">
        <v>1.2058030162020862E-3</v>
      </c>
      <c r="AJ145" s="478">
        <v>1.1982912987946927E-3</v>
      </c>
      <c r="AK145" s="479">
        <v>2704</v>
      </c>
      <c r="AL145" s="479">
        <v>6012</v>
      </c>
      <c r="AM145" s="478">
        <v>1.2079327916018974E-3</v>
      </c>
      <c r="AN145" s="478">
        <v>1.198155968046261E-3</v>
      </c>
      <c r="AO145" s="479">
        <v>2705</v>
      </c>
      <c r="AP145" s="479">
        <v>6032</v>
      </c>
      <c r="AQ145" s="478">
        <v>1.2143068235012185E-3</v>
      </c>
      <c r="AR145" s="478">
        <v>1.1962444096638668E-3</v>
      </c>
      <c r="AS145" s="479">
        <v>2716</v>
      </c>
      <c r="AT145" s="479">
        <v>6048</v>
      </c>
      <c r="AU145" s="478">
        <v>1.2207188508692199E-3</v>
      </c>
      <c r="AV145" s="478">
        <v>1.1948520184633181E-3</v>
      </c>
      <c r="AW145" s="479">
        <v>2729</v>
      </c>
      <c r="AX145" s="479">
        <v>6070</v>
      </c>
      <c r="AY145" s="478">
        <v>1.221666426422017E-3</v>
      </c>
      <c r="AZ145" s="478">
        <v>1.1877830600760236E-3</v>
      </c>
      <c r="BA145" s="479">
        <v>2729</v>
      </c>
      <c r="BB145" s="479">
        <v>6068</v>
      </c>
      <c r="BC145" s="478">
        <v>1.2212315084897095E-3</v>
      </c>
      <c r="BD145" s="478">
        <v>1.1818156001993292E-3</v>
      </c>
      <c r="BE145" s="479">
        <v>2726</v>
      </c>
      <c r="BF145" s="479">
        <v>6076</v>
      </c>
      <c r="BG145" s="478">
        <v>1.220123886054235E-3</v>
      </c>
      <c r="BH145" s="478">
        <v>1.174673051910346E-3</v>
      </c>
      <c r="BI145" s="479">
        <v>2722</v>
      </c>
      <c r="BJ145" s="479">
        <v>6079</v>
      </c>
    </row>
    <row r="146" spans="1:62">
      <c r="A146" s="461" t="s">
        <v>1363</v>
      </c>
      <c r="B146" s="462" t="s">
        <v>104</v>
      </c>
      <c r="C146" s="478">
        <v>2.3578668730125853E-4</v>
      </c>
      <c r="D146" s="478">
        <v>5.6075710700619471E-3</v>
      </c>
      <c r="E146" s="479">
        <v>543</v>
      </c>
      <c r="F146" s="479">
        <v>26416</v>
      </c>
      <c r="G146" s="478">
        <v>2.315024946239735E-4</v>
      </c>
      <c r="H146" s="478">
        <v>5.5239351700996408E-3</v>
      </c>
      <c r="I146" s="479">
        <v>533</v>
      </c>
      <c r="J146" s="479">
        <v>26412</v>
      </c>
      <c r="K146" s="478">
        <v>2.2937383982668373E-4</v>
      </c>
      <c r="L146" s="471">
        <v>5.4410371634581508E-3</v>
      </c>
      <c r="M146" s="479">
        <v>528</v>
      </c>
      <c r="N146" s="479">
        <v>26410</v>
      </c>
      <c r="O146" s="478">
        <v>2.3876925539220568E-4</v>
      </c>
      <c r="P146" s="478">
        <v>5.3830554918610661E-3</v>
      </c>
      <c r="Q146" s="479">
        <v>549</v>
      </c>
      <c r="R146" s="479">
        <v>26434</v>
      </c>
      <c r="S146" s="478">
        <v>2.5632031945606131E-4</v>
      </c>
      <c r="T146" s="478">
        <v>5.3412587593411427E-3</v>
      </c>
      <c r="U146" s="479">
        <v>589</v>
      </c>
      <c r="V146" s="479">
        <v>26440</v>
      </c>
      <c r="W146" s="478">
        <v>2.5296879122716425E-4</v>
      </c>
      <c r="X146" s="478">
        <v>5.3242747803993263E-3</v>
      </c>
      <c r="Y146" s="479">
        <v>581</v>
      </c>
      <c r="Z146" s="479">
        <v>26454</v>
      </c>
      <c r="AA146" s="133">
        <v>2.6118101385800912E-4</v>
      </c>
      <c r="AB146" s="478">
        <v>5.3045385456254243E-3</v>
      </c>
      <c r="AC146" s="479">
        <v>593</v>
      </c>
      <c r="AD146" s="479">
        <v>26471</v>
      </c>
      <c r="AE146" s="478">
        <v>2.3105298963055471E-4</v>
      </c>
      <c r="AF146" s="478">
        <v>5.2981805795214842E-3</v>
      </c>
      <c r="AG146" s="479">
        <v>521</v>
      </c>
      <c r="AH146" s="479">
        <v>26504</v>
      </c>
      <c r="AI146" s="478">
        <v>1.8595408940690457E-4</v>
      </c>
      <c r="AJ146" s="478">
        <v>5.29643956800921E-3</v>
      </c>
      <c r="AK146" s="479">
        <v>417</v>
      </c>
      <c r="AL146" s="479">
        <v>26573</v>
      </c>
      <c r="AM146" s="478">
        <v>1.8889300216177546E-4</v>
      </c>
      <c r="AN146" s="478">
        <v>5.3080772437168813E-3</v>
      </c>
      <c r="AO146" s="479">
        <v>423</v>
      </c>
      <c r="AP146" s="479">
        <v>26723</v>
      </c>
      <c r="AQ146" s="478">
        <v>1.9001487481149407E-4</v>
      </c>
      <c r="AR146" s="478">
        <v>5.3346408685588879E-3</v>
      </c>
      <c r="AS146" s="479">
        <v>425</v>
      </c>
      <c r="AT146" s="479">
        <v>26971</v>
      </c>
      <c r="AU146" s="478">
        <v>1.9100291290625023E-4</v>
      </c>
      <c r="AV146" s="478">
        <v>5.310497158830872E-3</v>
      </c>
      <c r="AW146" s="479">
        <v>427</v>
      </c>
      <c r="AX146" s="479">
        <v>26978</v>
      </c>
      <c r="AY146" s="478">
        <v>1.8980819523742589E-4</v>
      </c>
      <c r="AZ146" s="478">
        <v>5.2802320444216774E-3</v>
      </c>
      <c r="BA146" s="479">
        <v>424</v>
      </c>
      <c r="BB146" s="479">
        <v>26975</v>
      </c>
      <c r="BC146" s="478">
        <v>1.903974288731205E-4</v>
      </c>
      <c r="BD146" s="478">
        <v>5.2545668925913233E-3</v>
      </c>
      <c r="BE146" s="479">
        <v>425</v>
      </c>
      <c r="BF146" s="479">
        <v>27015</v>
      </c>
      <c r="BG146" s="478">
        <v>1.8826305368948519E-4</v>
      </c>
      <c r="BH146" s="478">
        <v>5.2283482094979822E-3</v>
      </c>
      <c r="BI146" s="479">
        <v>420</v>
      </c>
      <c r="BJ146" s="479">
        <v>27057</v>
      </c>
    </row>
    <row r="147" spans="1:62">
      <c r="A147" s="485" t="s">
        <v>1364</v>
      </c>
      <c r="B147" s="462" t="s">
        <v>104</v>
      </c>
      <c r="C147" s="478">
        <v>5.6666966285109097E-3</v>
      </c>
      <c r="D147" s="478">
        <v>9.5916297406753118E-3</v>
      </c>
      <c r="E147" s="479">
        <v>13050</v>
      </c>
      <c r="F147" s="479">
        <v>45184</v>
      </c>
      <c r="G147" s="478">
        <v>5.5790798188460403E-3</v>
      </c>
      <c r="H147" s="478">
        <v>9.5405630264438629E-3</v>
      </c>
      <c r="I147" s="479">
        <v>12845</v>
      </c>
      <c r="J147" s="479">
        <v>45617</v>
      </c>
      <c r="K147" s="478">
        <v>5.4211290666613381E-3</v>
      </c>
      <c r="L147" s="471">
        <v>9.5383997952966856E-3</v>
      </c>
      <c r="M147" s="479">
        <v>12479</v>
      </c>
      <c r="N147" s="479">
        <v>46298</v>
      </c>
      <c r="O147" s="478">
        <v>5.2733647024234866E-3</v>
      </c>
      <c r="P147" s="478">
        <v>9.4489587206761545E-3</v>
      </c>
      <c r="Q147" s="479">
        <v>12125</v>
      </c>
      <c r="R147" s="479">
        <v>46400</v>
      </c>
      <c r="S147" s="478">
        <v>5.090286547839642E-3</v>
      </c>
      <c r="T147" s="478">
        <v>9.5467929821839524E-3</v>
      </c>
      <c r="U147" s="479">
        <v>11697</v>
      </c>
      <c r="V147" s="479">
        <v>47258</v>
      </c>
      <c r="W147" s="478">
        <v>5.0319454736873267E-3</v>
      </c>
      <c r="X147" s="478">
        <v>9.5176393018183928E-3</v>
      </c>
      <c r="Y147" s="479">
        <v>11557</v>
      </c>
      <c r="Z147" s="479">
        <v>47289</v>
      </c>
      <c r="AA147" s="133">
        <v>4.3141113503190548E-3</v>
      </c>
      <c r="AB147" s="478">
        <v>9.4758684676434363E-3</v>
      </c>
      <c r="AC147" s="479">
        <v>9795</v>
      </c>
      <c r="AD147" s="479">
        <v>47287</v>
      </c>
      <c r="AE147" s="478">
        <v>4.1194841087873755E-3</v>
      </c>
      <c r="AF147" s="478">
        <v>9.4479289439301211E-3</v>
      </c>
      <c r="AG147" s="479">
        <v>9289</v>
      </c>
      <c r="AH147" s="479">
        <v>47263</v>
      </c>
      <c r="AI147" s="478">
        <v>4.0642339828645757E-3</v>
      </c>
      <c r="AJ147" s="478">
        <v>9.4230901086355106E-3</v>
      </c>
      <c r="AK147" s="479">
        <v>9114</v>
      </c>
      <c r="AL147" s="479">
        <v>47277</v>
      </c>
      <c r="AM147" s="478">
        <v>4.0444537129531921E-3</v>
      </c>
      <c r="AN147" s="478">
        <v>9.3880048935295803E-3</v>
      </c>
      <c r="AO147" s="479">
        <v>9057</v>
      </c>
      <c r="AP147" s="479">
        <v>47263</v>
      </c>
      <c r="AQ147" s="478">
        <v>4.0211618448343003E-3</v>
      </c>
      <c r="AR147" s="478">
        <v>9.3260780687931515E-3</v>
      </c>
      <c r="AS147" s="479">
        <v>8994</v>
      </c>
      <c r="AT147" s="479">
        <v>47151</v>
      </c>
      <c r="AU147" s="478">
        <v>3.9878008631363485E-3</v>
      </c>
      <c r="AV147" s="478">
        <v>9.2865788591505686E-3</v>
      </c>
      <c r="AW147" s="479">
        <v>8915</v>
      </c>
      <c r="AX147" s="479">
        <v>47177</v>
      </c>
      <c r="AY147" s="478">
        <v>3.93449110363617E-3</v>
      </c>
      <c r="AZ147" s="478">
        <v>9.2626721164794715E-3</v>
      </c>
      <c r="BA147" s="479">
        <v>8789</v>
      </c>
      <c r="BB147" s="479">
        <v>47320</v>
      </c>
      <c r="BC147" s="478">
        <v>3.894859403818611E-3</v>
      </c>
      <c r="BD147" s="478">
        <v>9.2854994960361713E-3</v>
      </c>
      <c r="BE147" s="479">
        <v>8694</v>
      </c>
      <c r="BF147" s="479">
        <v>47739</v>
      </c>
      <c r="BG147" s="478">
        <v>3.8486347118521901E-3</v>
      </c>
      <c r="BH147" s="478">
        <v>9.2665646001580271E-3</v>
      </c>
      <c r="BI147" s="479">
        <v>8586</v>
      </c>
      <c r="BJ147" s="479">
        <v>47955</v>
      </c>
    </row>
    <row r="148" spans="1:62">
      <c r="A148" s="461" t="s">
        <v>1365</v>
      </c>
      <c r="B148" s="462" t="s">
        <v>104</v>
      </c>
      <c r="C148" s="478">
        <v>1.0287768315914212E-2</v>
      </c>
      <c r="D148" s="478">
        <v>1.0828369180945636E-2</v>
      </c>
      <c r="E148" s="479">
        <v>23692</v>
      </c>
      <c r="F148" s="479">
        <v>51010</v>
      </c>
      <c r="G148" s="478">
        <v>1.0279058232215678E-2</v>
      </c>
      <c r="H148" s="478">
        <v>1.068479478911292E-2</v>
      </c>
      <c r="I148" s="479">
        <v>23666</v>
      </c>
      <c r="J148" s="479">
        <v>51088</v>
      </c>
      <c r="K148" s="478">
        <v>1.0287938020408191E-2</v>
      </c>
      <c r="L148" s="471">
        <v>1.0613215807479995E-2</v>
      </c>
      <c r="M148" s="479">
        <v>23682</v>
      </c>
      <c r="N148" s="479">
        <v>51515</v>
      </c>
      <c r="O148" s="478">
        <v>1.0303176066013393E-2</v>
      </c>
      <c r="P148" s="478">
        <v>1.0659199274059309E-2</v>
      </c>
      <c r="Q148" s="479">
        <v>23690</v>
      </c>
      <c r="R148" s="479">
        <v>52343</v>
      </c>
      <c r="S148" s="478">
        <v>1.0320265493888784E-2</v>
      </c>
      <c r="T148" s="478">
        <v>1.0662518100483541E-2</v>
      </c>
      <c r="U148" s="479">
        <v>23715</v>
      </c>
      <c r="V148" s="479">
        <v>52781</v>
      </c>
      <c r="W148" s="478">
        <v>1.0317730543390897E-2</v>
      </c>
      <c r="X148" s="478">
        <v>1.0726640534367676E-2</v>
      </c>
      <c r="Y148" s="479">
        <v>23697</v>
      </c>
      <c r="Z148" s="479">
        <v>53296</v>
      </c>
      <c r="AA148" s="133">
        <v>1.0407600940075474E-2</v>
      </c>
      <c r="AB148" s="478">
        <v>1.0732918458074787E-2</v>
      </c>
      <c r="AC148" s="479">
        <v>23630</v>
      </c>
      <c r="AD148" s="479">
        <v>53560</v>
      </c>
      <c r="AE148" s="478">
        <v>1.0376540981527292E-2</v>
      </c>
      <c r="AF148" s="478">
        <v>1.0716701662697963E-2</v>
      </c>
      <c r="AG148" s="479">
        <v>23398</v>
      </c>
      <c r="AH148" s="479">
        <v>53610</v>
      </c>
      <c r="AI148" s="478">
        <v>1.0371511298383181E-2</v>
      </c>
      <c r="AJ148" s="478">
        <v>1.0686557930169037E-2</v>
      </c>
      <c r="AK148" s="479">
        <v>23258</v>
      </c>
      <c r="AL148" s="479">
        <v>53616</v>
      </c>
      <c r="AM148" s="478">
        <v>1.0381970229926993E-2</v>
      </c>
      <c r="AN148" s="478">
        <v>1.0663826475552314E-2</v>
      </c>
      <c r="AO148" s="479">
        <v>23249</v>
      </c>
      <c r="AP148" s="479">
        <v>53686</v>
      </c>
      <c r="AQ148" s="478">
        <v>1.0381071478230778E-2</v>
      </c>
      <c r="AR148" s="478">
        <v>1.0616866927501219E-2</v>
      </c>
      <c r="AS148" s="479">
        <v>23219</v>
      </c>
      <c r="AT148" s="479">
        <v>53677</v>
      </c>
      <c r="AU148" s="478">
        <v>1.0382596279782141E-2</v>
      </c>
      <c r="AV148" s="478">
        <v>1.0569223958377418E-2</v>
      </c>
      <c r="AW148" s="479">
        <v>23211</v>
      </c>
      <c r="AX148" s="479">
        <v>53693</v>
      </c>
      <c r="AY148" s="478">
        <v>1.0389760385059947E-2</v>
      </c>
      <c r="AZ148" s="478">
        <v>1.0548523619716024E-2</v>
      </c>
      <c r="BA148" s="479">
        <v>23209</v>
      </c>
      <c r="BB148" s="479">
        <v>53889</v>
      </c>
      <c r="BC148" s="478">
        <v>1.0397939586223828E-2</v>
      </c>
      <c r="BD148" s="478">
        <v>1.0536559064910774E-2</v>
      </c>
      <c r="BE148" s="479">
        <v>23210</v>
      </c>
      <c r="BF148" s="479">
        <v>54171</v>
      </c>
      <c r="BG148" s="478">
        <v>1.0398395998782565E-2</v>
      </c>
      <c r="BH148" s="478">
        <v>1.0539594056645174E-2</v>
      </c>
      <c r="BI148" s="479">
        <v>23198</v>
      </c>
      <c r="BJ148" s="479">
        <v>54543</v>
      </c>
    </row>
    <row r="149" spans="1:62">
      <c r="A149" s="461" t="s">
        <v>1366</v>
      </c>
      <c r="B149" s="462" t="s">
        <v>104</v>
      </c>
      <c r="C149" s="478">
        <v>2.1503051114472047E-3</v>
      </c>
      <c r="D149" s="478">
        <v>3.8630594462820758E-3</v>
      </c>
      <c r="E149" s="479">
        <v>4952</v>
      </c>
      <c r="F149" s="479">
        <v>18198</v>
      </c>
      <c r="G149" s="478">
        <v>2.1438955224464037E-3</v>
      </c>
      <c r="H149" s="478">
        <v>3.8995067108324928E-3</v>
      </c>
      <c r="I149" s="479">
        <v>4936</v>
      </c>
      <c r="J149" s="479">
        <v>18645</v>
      </c>
      <c r="K149" s="478">
        <v>2.1477732274680387E-3</v>
      </c>
      <c r="L149" s="471">
        <v>3.8511665163393871E-3</v>
      </c>
      <c r="M149" s="479">
        <v>4944</v>
      </c>
      <c r="N149" s="479">
        <v>18693</v>
      </c>
      <c r="O149" s="478">
        <v>2.1267425480289361E-3</v>
      </c>
      <c r="P149" s="478">
        <v>3.7997439820925943E-3</v>
      </c>
      <c r="Q149" s="479">
        <v>4890</v>
      </c>
      <c r="R149" s="479">
        <v>18659</v>
      </c>
      <c r="S149" s="478">
        <v>2.1332465296665746E-3</v>
      </c>
      <c r="T149" s="478">
        <v>3.7932229850283143E-3</v>
      </c>
      <c r="U149" s="479">
        <v>4902</v>
      </c>
      <c r="V149" s="479">
        <v>18777</v>
      </c>
      <c r="W149" s="478">
        <v>2.1382611595810734E-3</v>
      </c>
      <c r="X149" s="478">
        <v>3.7930476491799241E-3</v>
      </c>
      <c r="Y149" s="479">
        <v>4911</v>
      </c>
      <c r="Z149" s="479">
        <v>18846</v>
      </c>
      <c r="AA149" s="133">
        <v>2.1709295401452396E-3</v>
      </c>
      <c r="AB149" s="478">
        <v>3.7767609070077581E-3</v>
      </c>
      <c r="AC149" s="479">
        <v>4929</v>
      </c>
      <c r="AD149" s="479">
        <v>18847</v>
      </c>
      <c r="AE149" s="478">
        <v>2.1646250333718568E-3</v>
      </c>
      <c r="AF149" s="478">
        <v>3.7763329809742062E-3</v>
      </c>
      <c r="AG149" s="479">
        <v>4881</v>
      </c>
      <c r="AH149" s="479">
        <v>18891</v>
      </c>
      <c r="AI149" s="478">
        <v>2.1516270536890035E-3</v>
      </c>
      <c r="AJ149" s="478">
        <v>3.7987747610991433E-3</v>
      </c>
      <c r="AK149" s="479">
        <v>4825</v>
      </c>
      <c r="AL149" s="479">
        <v>19059</v>
      </c>
      <c r="AM149" s="478">
        <v>2.1550771357747717E-3</v>
      </c>
      <c r="AN149" s="478">
        <v>3.7821763573555791E-3</v>
      </c>
      <c r="AO149" s="479">
        <v>4826</v>
      </c>
      <c r="AP149" s="479">
        <v>19041</v>
      </c>
      <c r="AQ149" s="478">
        <v>2.1487329137506836E-3</v>
      </c>
      <c r="AR149" s="478">
        <v>3.7695148742351147E-3</v>
      </c>
      <c r="AS149" s="479">
        <v>4806</v>
      </c>
      <c r="AT149" s="479">
        <v>19058</v>
      </c>
      <c r="AU149" s="478">
        <v>2.1479999713719289E-3</v>
      </c>
      <c r="AV149" s="478">
        <v>3.7601422169170179E-3</v>
      </c>
      <c r="AW149" s="479">
        <v>4802</v>
      </c>
      <c r="AX149" s="479">
        <v>19102</v>
      </c>
      <c r="AY149" s="478">
        <v>2.1474290390422921E-3</v>
      </c>
      <c r="AZ149" s="478">
        <v>3.7493073059815681E-3</v>
      </c>
      <c r="BA149" s="479">
        <v>4797</v>
      </c>
      <c r="BB149" s="479">
        <v>19154</v>
      </c>
      <c r="BC149" s="478">
        <v>2.1503709613905375E-3</v>
      </c>
      <c r="BD149" s="478">
        <v>3.7300325485553881E-3</v>
      </c>
      <c r="BE149" s="479">
        <v>4800</v>
      </c>
      <c r="BF149" s="479">
        <v>19177</v>
      </c>
      <c r="BG149" s="478">
        <v>2.1493365296216226E-3</v>
      </c>
      <c r="BH149" s="478">
        <v>3.7046934941972619E-3</v>
      </c>
      <c r="BI149" s="479">
        <v>4795</v>
      </c>
      <c r="BJ149" s="479">
        <v>19172</v>
      </c>
    </row>
    <row r="150" spans="1:62">
      <c r="A150" s="485" t="s">
        <v>1367</v>
      </c>
      <c r="B150" s="462" t="s">
        <v>104</v>
      </c>
      <c r="C150" s="478">
        <v>4.6896799684228212E-5</v>
      </c>
      <c r="D150" s="478">
        <v>3.8828014249887599E-3</v>
      </c>
      <c r="E150" s="479">
        <v>108</v>
      </c>
      <c r="F150" s="479">
        <v>18291</v>
      </c>
      <c r="G150" s="478">
        <v>5.0383282132046765E-5</v>
      </c>
      <c r="H150" s="478">
        <v>3.8300706031362533E-3</v>
      </c>
      <c r="I150" s="479">
        <v>116</v>
      </c>
      <c r="J150" s="479">
        <v>18313</v>
      </c>
      <c r="K150" s="478">
        <v>4.9523897235306715E-5</v>
      </c>
      <c r="L150" s="471">
        <v>3.7961586813282807E-3</v>
      </c>
      <c r="M150" s="479">
        <v>114</v>
      </c>
      <c r="N150" s="479">
        <v>18426</v>
      </c>
      <c r="O150" s="478">
        <v>4.8710667766715912E-5</v>
      </c>
      <c r="P150" s="478">
        <v>3.7527028298409522E-3</v>
      </c>
      <c r="Q150" s="479">
        <v>112</v>
      </c>
      <c r="R150" s="479">
        <v>18428</v>
      </c>
      <c r="S150" s="478">
        <v>5.5267708948930023E-5</v>
      </c>
      <c r="T150" s="478">
        <v>3.7279723579758486E-3</v>
      </c>
      <c r="U150" s="479">
        <v>127</v>
      </c>
      <c r="V150" s="479">
        <v>18454</v>
      </c>
      <c r="W150" s="478">
        <v>5.5296104106454144E-5</v>
      </c>
      <c r="X150" s="478">
        <v>3.7195857797142191E-3</v>
      </c>
      <c r="Y150" s="479">
        <v>127</v>
      </c>
      <c r="Z150" s="479">
        <v>18481</v>
      </c>
      <c r="AA150" s="133">
        <v>5.6376340259401638E-5</v>
      </c>
      <c r="AB150" s="478">
        <v>3.7066242105864328E-3</v>
      </c>
      <c r="AC150" s="479">
        <v>128</v>
      </c>
      <c r="AD150" s="479">
        <v>18497</v>
      </c>
      <c r="AE150" s="478">
        <v>5.7652377451002131E-5</v>
      </c>
      <c r="AF150" s="478">
        <v>3.6983715251179819E-3</v>
      </c>
      <c r="AG150" s="479">
        <v>130</v>
      </c>
      <c r="AH150" s="479">
        <v>18501</v>
      </c>
      <c r="AI150" s="478">
        <v>9.4983743510001608E-5</v>
      </c>
      <c r="AJ150" s="478">
        <v>3.6893499568678915E-3</v>
      </c>
      <c r="AK150" s="479">
        <v>213</v>
      </c>
      <c r="AL150" s="479">
        <v>18510</v>
      </c>
      <c r="AM150" s="478">
        <v>9.9581890028548292E-5</v>
      </c>
      <c r="AN150" s="478">
        <v>3.6868323811184763E-3</v>
      </c>
      <c r="AO150" s="479">
        <v>223</v>
      </c>
      <c r="AP150" s="479">
        <v>18561</v>
      </c>
      <c r="AQ150" s="478">
        <v>1.0238448548666387E-4</v>
      </c>
      <c r="AR150" s="478">
        <v>3.6797174268165637E-3</v>
      </c>
      <c r="AS150" s="479">
        <v>229</v>
      </c>
      <c r="AT150" s="479">
        <v>18604</v>
      </c>
      <c r="AU150" s="478">
        <v>1.0243481746026066E-4</v>
      </c>
      <c r="AV150" s="478">
        <v>3.6629005534704151E-3</v>
      </c>
      <c r="AW150" s="479">
        <v>229</v>
      </c>
      <c r="AX150" s="479">
        <v>18608</v>
      </c>
      <c r="AY150" s="478">
        <v>1.0206667102389882E-4</v>
      </c>
      <c r="AZ150" s="478">
        <v>3.6432133016043098E-3</v>
      </c>
      <c r="BA150" s="479">
        <v>228</v>
      </c>
      <c r="BB150" s="479">
        <v>18612</v>
      </c>
      <c r="BC150" s="478">
        <v>1.0124663276547114E-4</v>
      </c>
      <c r="BD150" s="478">
        <v>3.6300567061422124E-3</v>
      </c>
      <c r="BE150" s="479">
        <v>226</v>
      </c>
      <c r="BF150" s="479">
        <v>18663</v>
      </c>
      <c r="BG150" s="478">
        <v>1.0040696196772543E-4</v>
      </c>
      <c r="BH150" s="478">
        <v>3.6074964971400314E-3</v>
      </c>
      <c r="BI150" s="479">
        <v>224</v>
      </c>
      <c r="BJ150" s="479">
        <v>18669</v>
      </c>
    </row>
    <row r="151" spans="1:62">
      <c r="A151" s="461" t="s">
        <v>1368</v>
      </c>
      <c r="B151" s="462" t="s">
        <v>104</v>
      </c>
      <c r="C151" s="478">
        <v>1.9450013439406947E-2</v>
      </c>
      <c r="D151" s="478">
        <v>1.8205713116358373E-2</v>
      </c>
      <c r="E151" s="479">
        <v>44792</v>
      </c>
      <c r="F151" s="479">
        <v>85763</v>
      </c>
      <c r="G151" s="478">
        <v>1.939365457308638E-2</v>
      </c>
      <c r="H151" s="478">
        <v>1.793647600041327E-2</v>
      </c>
      <c r="I151" s="479">
        <v>44651</v>
      </c>
      <c r="J151" s="479">
        <v>85761</v>
      </c>
      <c r="K151" s="478">
        <v>1.9374704322784597E-2</v>
      </c>
      <c r="L151" s="471">
        <v>1.7681619595480209E-2</v>
      </c>
      <c r="M151" s="479">
        <v>44599</v>
      </c>
      <c r="N151" s="479">
        <v>85824</v>
      </c>
      <c r="O151" s="478">
        <v>1.9390325104564843E-2</v>
      </c>
      <c r="P151" s="478">
        <v>1.7507250650328657E-2</v>
      </c>
      <c r="Q151" s="479">
        <v>44584</v>
      </c>
      <c r="R151" s="479">
        <v>85971</v>
      </c>
      <c r="S151" s="478">
        <v>1.9357623854065396E-2</v>
      </c>
      <c r="T151" s="478">
        <v>1.7460098130478628E-2</v>
      </c>
      <c r="U151" s="479">
        <v>44482</v>
      </c>
      <c r="V151" s="479">
        <v>86430</v>
      </c>
      <c r="W151" s="478">
        <v>1.9337091146266468E-2</v>
      </c>
      <c r="X151" s="478">
        <v>1.7458162962175793E-2</v>
      </c>
      <c r="Y151" s="479">
        <v>44412</v>
      </c>
      <c r="Z151" s="479">
        <v>86742</v>
      </c>
      <c r="AA151" s="133">
        <v>1.9527795297508518E-2</v>
      </c>
      <c r="AB151" s="478">
        <v>1.7390894854070582E-2</v>
      </c>
      <c r="AC151" s="479">
        <v>44337</v>
      </c>
      <c r="AD151" s="479">
        <v>86785</v>
      </c>
      <c r="AE151" s="478">
        <v>1.9463442627458319E-2</v>
      </c>
      <c r="AF151" s="478">
        <v>1.7371411574117757E-2</v>
      </c>
      <c r="AG151" s="479">
        <v>43888</v>
      </c>
      <c r="AH151" s="479">
        <v>86900</v>
      </c>
      <c r="AI151" s="478">
        <v>1.9420831049784412E-2</v>
      </c>
      <c r="AJ151" s="478">
        <v>1.7324796736948353E-2</v>
      </c>
      <c r="AK151" s="479">
        <v>43551</v>
      </c>
      <c r="AL151" s="479">
        <v>86921</v>
      </c>
      <c r="AM151" s="478">
        <v>1.9436330777993564E-2</v>
      </c>
      <c r="AN151" s="478">
        <v>1.7307315286440122E-2</v>
      </c>
      <c r="AO151" s="479">
        <v>43525</v>
      </c>
      <c r="AP151" s="479">
        <v>87132</v>
      </c>
      <c r="AQ151" s="478">
        <v>1.9440533615419728E-2</v>
      </c>
      <c r="AR151" s="478">
        <v>1.7282646168586203E-2</v>
      </c>
      <c r="AS151" s="479">
        <v>43482</v>
      </c>
      <c r="AT151" s="479">
        <v>87378</v>
      </c>
      <c r="AU151" s="478">
        <v>1.9442486204848165E-2</v>
      </c>
      <c r="AV151" s="478">
        <v>1.7214136575719467E-2</v>
      </c>
      <c r="AW151" s="479">
        <v>43465</v>
      </c>
      <c r="AX151" s="479">
        <v>87450</v>
      </c>
      <c r="AY151" s="478">
        <v>1.94432531692149E-2</v>
      </c>
      <c r="AZ151" s="478">
        <v>1.7170198859704774E-2</v>
      </c>
      <c r="BA151" s="479">
        <v>43433</v>
      </c>
      <c r="BB151" s="479">
        <v>87717</v>
      </c>
      <c r="BC151" s="478">
        <v>1.9429945618014373E-2</v>
      </c>
      <c r="BD151" s="478">
        <v>1.7190398740226584E-2</v>
      </c>
      <c r="BE151" s="479">
        <v>43371</v>
      </c>
      <c r="BF151" s="479">
        <v>88380</v>
      </c>
      <c r="BG151" s="478">
        <v>1.9428747140754873E-2</v>
      </c>
      <c r="BH151" s="478">
        <v>1.7139907830966885E-2</v>
      </c>
      <c r="BI151" s="479">
        <v>43344</v>
      </c>
      <c r="BJ151" s="479">
        <v>88700</v>
      </c>
    </row>
    <row r="152" spans="1:62">
      <c r="A152" s="437" t="s">
        <v>1369</v>
      </c>
      <c r="B152" s="462" t="s">
        <v>104</v>
      </c>
      <c r="C152" s="478">
        <v>1.6826398034850401E-3</v>
      </c>
      <c r="D152" s="478">
        <v>3.2187916465531989E-3</v>
      </c>
      <c r="E152" s="479">
        <v>3875</v>
      </c>
      <c r="F152" s="479">
        <v>15163</v>
      </c>
      <c r="G152" s="478">
        <v>1.6878399514235667E-3</v>
      </c>
      <c r="H152" s="478">
        <v>3.1783750863245584E-3</v>
      </c>
      <c r="I152" s="479">
        <v>3886</v>
      </c>
      <c r="J152" s="479">
        <v>15197</v>
      </c>
      <c r="K152" s="478">
        <v>1.6851157664539891E-3</v>
      </c>
      <c r="L152" s="471">
        <v>3.137094770464872E-3</v>
      </c>
      <c r="M152" s="479">
        <v>3879</v>
      </c>
      <c r="N152" s="479">
        <v>15227</v>
      </c>
      <c r="O152" s="478">
        <v>1.6922607882168894E-3</v>
      </c>
      <c r="P152" s="478">
        <v>3.1197855086370408E-3</v>
      </c>
      <c r="Q152" s="479">
        <v>3891</v>
      </c>
      <c r="R152" s="479">
        <v>15320</v>
      </c>
      <c r="S152" s="478">
        <v>1.7072064740681298E-3</v>
      </c>
      <c r="T152" s="478">
        <v>3.0934453623975384E-3</v>
      </c>
      <c r="U152" s="479">
        <v>3923</v>
      </c>
      <c r="V152" s="479">
        <v>15313</v>
      </c>
      <c r="W152" s="478">
        <v>1.7120022153273833E-3</v>
      </c>
      <c r="X152" s="478">
        <v>3.0829833328100435E-3</v>
      </c>
      <c r="Y152" s="479">
        <v>3932</v>
      </c>
      <c r="Z152" s="479">
        <v>15318</v>
      </c>
      <c r="AA152" s="133">
        <v>1.6785174431920285E-3</v>
      </c>
      <c r="AB152" s="478">
        <v>3.0707849598868193E-3</v>
      </c>
      <c r="AC152" s="479">
        <v>3811</v>
      </c>
      <c r="AD152" s="479">
        <v>15324</v>
      </c>
      <c r="AE152" s="478">
        <v>1.6883276996612702E-3</v>
      </c>
      <c r="AF152" s="478">
        <v>3.064085116318492E-3</v>
      </c>
      <c r="AG152" s="479">
        <v>3807</v>
      </c>
      <c r="AH152" s="479">
        <v>15328</v>
      </c>
      <c r="AI152" s="478">
        <v>1.6998968556813433E-3</v>
      </c>
      <c r="AJ152" s="478">
        <v>3.0559218551430853E-3</v>
      </c>
      <c r="AK152" s="479">
        <v>3812</v>
      </c>
      <c r="AL152" s="479">
        <v>15332</v>
      </c>
      <c r="AM152" s="478">
        <v>1.6982507972133148E-3</v>
      </c>
      <c r="AN152" s="478">
        <v>3.0450482410724765E-3</v>
      </c>
      <c r="AO152" s="479">
        <v>3803</v>
      </c>
      <c r="AP152" s="479">
        <v>15330</v>
      </c>
      <c r="AQ152" s="478">
        <v>1.7020861844879009E-3</v>
      </c>
      <c r="AR152" s="478">
        <v>3.0331362470561174E-3</v>
      </c>
      <c r="AS152" s="479">
        <v>3807</v>
      </c>
      <c r="AT152" s="479">
        <v>15335</v>
      </c>
      <c r="AU152" s="478">
        <v>1.7033702396885267E-3</v>
      </c>
      <c r="AV152" s="478">
        <v>3.0196095491313506E-3</v>
      </c>
      <c r="AW152" s="479">
        <v>3808</v>
      </c>
      <c r="AX152" s="479">
        <v>15340</v>
      </c>
      <c r="AY152" s="478">
        <v>1.7029018270829435E-3</v>
      </c>
      <c r="AZ152" s="478">
        <v>3.0027343674301587E-3</v>
      </c>
      <c r="BA152" s="479">
        <v>3804</v>
      </c>
      <c r="BB152" s="479">
        <v>15340</v>
      </c>
      <c r="BC152" s="478">
        <v>1.7041689869020009E-3</v>
      </c>
      <c r="BD152" s="478">
        <v>2.9858543908261857E-3</v>
      </c>
      <c r="BE152" s="479">
        <v>3804</v>
      </c>
      <c r="BF152" s="479">
        <v>15351</v>
      </c>
      <c r="BG152" s="478">
        <v>1.7015394090602043E-3</v>
      </c>
      <c r="BH152" s="478">
        <v>2.9659576696449913E-3</v>
      </c>
      <c r="BI152" s="479">
        <v>3796</v>
      </c>
      <c r="BJ152" s="479">
        <v>15349</v>
      </c>
    </row>
    <row r="153" spans="1:62">
      <c r="A153" s="437" t="s">
        <v>1370</v>
      </c>
      <c r="B153" s="462" t="s">
        <v>104</v>
      </c>
      <c r="C153" s="478">
        <v>2.3122727622084745E-3</v>
      </c>
      <c r="D153" s="478">
        <v>2.4734788805406498E-3</v>
      </c>
      <c r="E153" s="479">
        <v>5325</v>
      </c>
      <c r="F153" s="479">
        <v>11652</v>
      </c>
      <c r="G153" s="478">
        <v>2.3085098666536944E-3</v>
      </c>
      <c r="H153" s="478">
        <v>2.4354923919358744E-3</v>
      </c>
      <c r="I153" s="479">
        <v>5315</v>
      </c>
      <c r="J153" s="479">
        <v>11645</v>
      </c>
      <c r="K153" s="478">
        <v>2.3063365826512575E-3</v>
      </c>
      <c r="L153" s="471">
        <v>2.3987124458214031E-3</v>
      </c>
      <c r="M153" s="479">
        <v>5309</v>
      </c>
      <c r="N153" s="479">
        <v>11643</v>
      </c>
      <c r="O153" s="478">
        <v>2.3085377188011434E-3</v>
      </c>
      <c r="P153" s="478">
        <v>2.390138545357242E-3</v>
      </c>
      <c r="Q153" s="479">
        <v>5308</v>
      </c>
      <c r="R153" s="479">
        <v>11737</v>
      </c>
      <c r="S153" s="478">
        <v>2.3077532327257949E-3</v>
      </c>
      <c r="T153" s="478">
        <v>2.3811428516018929E-3</v>
      </c>
      <c r="U153" s="479">
        <v>5303</v>
      </c>
      <c r="V153" s="479">
        <v>11787</v>
      </c>
      <c r="W153" s="478">
        <v>2.3037140695058968E-3</v>
      </c>
      <c r="X153" s="478">
        <v>2.3767430589602952E-3</v>
      </c>
      <c r="Y153" s="479">
        <v>5291</v>
      </c>
      <c r="Z153" s="479">
        <v>11809</v>
      </c>
      <c r="AA153" s="133">
        <v>2.3268453561751472E-3</v>
      </c>
      <c r="AB153" s="478">
        <v>2.3766320558769043E-3</v>
      </c>
      <c r="AC153" s="479">
        <v>5283</v>
      </c>
      <c r="AD153" s="479">
        <v>11860</v>
      </c>
      <c r="AE153" s="478">
        <v>2.3091994568259083E-3</v>
      </c>
      <c r="AF153" s="478">
        <v>2.3632316182879186E-3</v>
      </c>
      <c r="AG153" s="479">
        <v>5207</v>
      </c>
      <c r="AH153" s="479">
        <v>11822</v>
      </c>
      <c r="AI153" s="478">
        <v>2.3224194187797579E-3</v>
      </c>
      <c r="AJ153" s="478">
        <v>2.3593103965124382E-3</v>
      </c>
      <c r="AK153" s="479">
        <v>5208</v>
      </c>
      <c r="AL153" s="479">
        <v>11837</v>
      </c>
      <c r="AM153" s="478">
        <v>2.3207492487819083E-3</v>
      </c>
      <c r="AN153" s="478">
        <v>2.3514208139475525E-3</v>
      </c>
      <c r="AO153" s="479">
        <v>5197</v>
      </c>
      <c r="AP153" s="479">
        <v>11838</v>
      </c>
      <c r="AQ153" s="478">
        <v>2.3244407862234298E-3</v>
      </c>
      <c r="AR153" s="478">
        <v>2.3458099700088392E-3</v>
      </c>
      <c r="AS153" s="479">
        <v>5199</v>
      </c>
      <c r="AT153" s="479">
        <v>11860</v>
      </c>
      <c r="AU153" s="478">
        <v>2.3228995941970898E-3</v>
      </c>
      <c r="AV153" s="478">
        <v>2.3424611235112825E-3</v>
      </c>
      <c r="AW153" s="479">
        <v>5193</v>
      </c>
      <c r="AX153" s="479">
        <v>11900</v>
      </c>
      <c r="AY153" s="478">
        <v>2.3166448357398086E-3</v>
      </c>
      <c r="AZ153" s="478">
        <v>2.329761697598028E-3</v>
      </c>
      <c r="BA153" s="479">
        <v>5175</v>
      </c>
      <c r="BB153" s="479">
        <v>11902</v>
      </c>
      <c r="BC153" s="478">
        <v>2.3152327350971454E-3</v>
      </c>
      <c r="BD153" s="478">
        <v>2.3134487736620841E-3</v>
      </c>
      <c r="BE153" s="479">
        <v>5168</v>
      </c>
      <c r="BF153" s="479">
        <v>11894</v>
      </c>
      <c r="BG153" s="478">
        <v>2.3187732779421594E-3</v>
      </c>
      <c r="BH153" s="478">
        <v>2.2913757278422249E-3</v>
      </c>
      <c r="BI153" s="479">
        <v>5173</v>
      </c>
      <c r="BJ153" s="479">
        <v>11858</v>
      </c>
    </row>
    <row r="154" spans="1:62">
      <c r="A154" s="485" t="s">
        <v>1371</v>
      </c>
      <c r="B154" s="462" t="s">
        <v>104</v>
      </c>
      <c r="C154" s="478">
        <v>3.6588188346232124E-3</v>
      </c>
      <c r="D154" s="478">
        <v>5.8538151055431654E-3</v>
      </c>
      <c r="E154" s="479">
        <v>8426</v>
      </c>
      <c r="F154" s="479">
        <v>27576</v>
      </c>
      <c r="G154" s="478">
        <v>3.6232529271166733E-3</v>
      </c>
      <c r="H154" s="478">
        <v>5.8508286530189859E-3</v>
      </c>
      <c r="I154" s="479">
        <v>8342</v>
      </c>
      <c r="J154" s="479">
        <v>27975</v>
      </c>
      <c r="K154" s="478">
        <v>3.6087281959095866E-3</v>
      </c>
      <c r="L154" s="471">
        <v>5.8353629919647354E-3</v>
      </c>
      <c r="M154" s="479">
        <v>8307</v>
      </c>
      <c r="N154" s="479">
        <v>28324</v>
      </c>
      <c r="O154" s="478">
        <v>3.6167670816786568E-3</v>
      </c>
      <c r="P154" s="478">
        <v>5.9269815423551612E-3</v>
      </c>
      <c r="Q154" s="479">
        <v>8316</v>
      </c>
      <c r="R154" s="479">
        <v>29105</v>
      </c>
      <c r="S154" s="478">
        <v>3.621558061992092E-3</v>
      </c>
      <c r="T154" s="478">
        <v>5.9608366948517054E-3</v>
      </c>
      <c r="U154" s="479">
        <v>8322</v>
      </c>
      <c r="V154" s="479">
        <v>29507</v>
      </c>
      <c r="W154" s="478">
        <v>3.6195001058027818E-3</v>
      </c>
      <c r="X154" s="478">
        <v>5.9634936774488568E-3</v>
      </c>
      <c r="Y154" s="479">
        <v>8313</v>
      </c>
      <c r="Z154" s="479">
        <v>29630</v>
      </c>
      <c r="AA154" s="133">
        <v>3.6494871514797028E-3</v>
      </c>
      <c r="AB154" s="478">
        <v>5.9578117751497668E-3</v>
      </c>
      <c r="AC154" s="479">
        <v>8286</v>
      </c>
      <c r="AD154" s="479">
        <v>29731</v>
      </c>
      <c r="AE154" s="478">
        <v>3.6307693399334957E-3</v>
      </c>
      <c r="AF154" s="478">
        <v>5.9692488033916032E-3</v>
      </c>
      <c r="AG154" s="479">
        <v>8187</v>
      </c>
      <c r="AH154" s="479">
        <v>29861</v>
      </c>
      <c r="AI154" s="478">
        <v>3.6129497179250378E-3</v>
      </c>
      <c r="AJ154" s="478">
        <v>6.0159724337192633E-3</v>
      </c>
      <c r="AK154" s="479">
        <v>8102</v>
      </c>
      <c r="AL154" s="479">
        <v>30183</v>
      </c>
      <c r="AM154" s="478">
        <v>3.6255845970483572E-3</v>
      </c>
      <c r="AN154" s="478">
        <v>6.0019033041256329E-3</v>
      </c>
      <c r="AO154" s="479">
        <v>8119</v>
      </c>
      <c r="AP154" s="479">
        <v>30216</v>
      </c>
      <c r="AQ154" s="478">
        <v>3.6165419349415895E-3</v>
      </c>
      <c r="AR154" s="478">
        <v>6.0168245605117113E-3</v>
      </c>
      <c r="AS154" s="479">
        <v>8089</v>
      </c>
      <c r="AT154" s="479">
        <v>30420</v>
      </c>
      <c r="AU154" s="478">
        <v>3.6147413095911195E-3</v>
      </c>
      <c r="AV154" s="478">
        <v>6.1090992410229115E-3</v>
      </c>
      <c r="AW154" s="479">
        <v>8081</v>
      </c>
      <c r="AX154" s="479">
        <v>31035</v>
      </c>
      <c r="AY154" s="478">
        <v>3.6126229612406294E-3</v>
      </c>
      <c r="AZ154" s="478">
        <v>6.1381841130296556E-3</v>
      </c>
      <c r="BA154" s="479">
        <v>8070</v>
      </c>
      <c r="BB154" s="479">
        <v>31358</v>
      </c>
      <c r="BC154" s="478">
        <v>3.606351299832047E-3</v>
      </c>
      <c r="BD154" s="478">
        <v>6.1115582577128246E-3</v>
      </c>
      <c r="BE154" s="479">
        <v>8050</v>
      </c>
      <c r="BF154" s="479">
        <v>31421</v>
      </c>
      <c r="BG154" s="478">
        <v>3.611064667910697E-3</v>
      </c>
      <c r="BH154" s="478">
        <v>6.0814789093144288E-3</v>
      </c>
      <c r="BI154" s="479">
        <v>8056</v>
      </c>
      <c r="BJ154" s="479">
        <v>31472</v>
      </c>
    </row>
    <row r="155" spans="1:62">
      <c r="A155" s="487" t="s">
        <v>1372</v>
      </c>
      <c r="B155" s="462" t="s">
        <v>104</v>
      </c>
      <c r="C155" s="478">
        <v>1.7195493217550347E-4</v>
      </c>
      <c r="D155" s="478">
        <v>4.5236727552627233E-4</v>
      </c>
      <c r="E155" s="479">
        <v>396</v>
      </c>
      <c r="F155" s="479">
        <v>2131</v>
      </c>
      <c r="G155" s="478">
        <v>1.6852339195891504E-4</v>
      </c>
      <c r="H155" s="478">
        <v>4.4673351216616814E-4</v>
      </c>
      <c r="I155" s="479">
        <v>388</v>
      </c>
      <c r="J155" s="479">
        <v>2136</v>
      </c>
      <c r="K155" s="478">
        <v>1.681205985093307E-4</v>
      </c>
      <c r="L155" s="471">
        <v>4.4047472379680146E-4</v>
      </c>
      <c r="M155" s="479">
        <v>387</v>
      </c>
      <c r="N155" s="479">
        <v>2138</v>
      </c>
      <c r="O155" s="478">
        <v>1.7005242050701716E-4</v>
      </c>
      <c r="P155" s="478">
        <v>4.3619977542431733E-4</v>
      </c>
      <c r="Q155" s="479">
        <v>391</v>
      </c>
      <c r="R155" s="479">
        <v>2142</v>
      </c>
      <c r="S155" s="478">
        <v>1.6971973614238355E-4</v>
      </c>
      <c r="T155" s="478">
        <v>4.3352274196467821E-4</v>
      </c>
      <c r="U155" s="479">
        <v>390</v>
      </c>
      <c r="V155" s="479">
        <v>2146</v>
      </c>
      <c r="W155" s="478">
        <v>1.6937153147567451E-4</v>
      </c>
      <c r="X155" s="478">
        <v>4.3171427398338837E-4</v>
      </c>
      <c r="Y155" s="479">
        <v>389</v>
      </c>
      <c r="Z155" s="479">
        <v>2145</v>
      </c>
      <c r="AA155" s="133">
        <v>1.7133122156958778E-4</v>
      </c>
      <c r="AB155" s="478">
        <v>4.3003814434332515E-4</v>
      </c>
      <c r="AC155" s="479">
        <v>389</v>
      </c>
      <c r="AD155" s="479">
        <v>2146</v>
      </c>
      <c r="AE155" s="478">
        <v>1.6630493495481383E-4</v>
      </c>
      <c r="AF155" s="478">
        <v>4.2998741422240844E-4</v>
      </c>
      <c r="AG155" s="479">
        <v>375</v>
      </c>
      <c r="AH155" s="479">
        <v>2151</v>
      </c>
      <c r="AI155" s="478">
        <v>1.6410336906892296E-4</v>
      </c>
      <c r="AJ155" s="478">
        <v>4.2872997067654428E-4</v>
      </c>
      <c r="AK155" s="479">
        <v>368</v>
      </c>
      <c r="AL155" s="479">
        <v>2151</v>
      </c>
      <c r="AM155" s="478">
        <v>1.6388589076447185E-4</v>
      </c>
      <c r="AN155" s="478">
        <v>4.2785609336399964E-4</v>
      </c>
      <c r="AO155" s="479">
        <v>367</v>
      </c>
      <c r="AP155" s="479">
        <v>2154</v>
      </c>
      <c r="AQ155" s="478">
        <v>1.6318924542634195E-4</v>
      </c>
      <c r="AR155" s="478">
        <v>4.2663677110531755E-4</v>
      </c>
      <c r="AS155" s="479">
        <v>365</v>
      </c>
      <c r="AT155" s="479">
        <v>2157</v>
      </c>
      <c r="AU155" s="478">
        <v>1.6237484165098086E-4</v>
      </c>
      <c r="AV155" s="478">
        <v>4.2439883884792644E-4</v>
      </c>
      <c r="AW155" s="479">
        <v>363</v>
      </c>
      <c r="AX155" s="479">
        <v>2156</v>
      </c>
      <c r="AY155" s="478">
        <v>1.6205322329233059E-4</v>
      </c>
      <c r="AZ155" s="478">
        <v>4.2281005434479415E-4</v>
      </c>
      <c r="BA155" s="479">
        <v>362</v>
      </c>
      <c r="BB155" s="479">
        <v>2160</v>
      </c>
      <c r="BC155" s="478">
        <v>1.6082982815400062E-4</v>
      </c>
      <c r="BD155" s="478">
        <v>4.1993743924133509E-4</v>
      </c>
      <c r="BE155" s="479">
        <v>359</v>
      </c>
      <c r="BF155" s="479">
        <v>2159</v>
      </c>
      <c r="BG155" s="478">
        <v>1.6047184100198976E-4</v>
      </c>
      <c r="BH155" s="478">
        <v>4.1719347245837098E-4</v>
      </c>
      <c r="BI155" s="479">
        <v>358</v>
      </c>
      <c r="BJ155" s="479">
        <v>2159</v>
      </c>
    </row>
    <row r="156" spans="1:62">
      <c r="A156" s="487" t="s">
        <v>1373</v>
      </c>
      <c r="B156" s="462" t="s">
        <v>104</v>
      </c>
      <c r="C156" s="478">
        <v>6.2168655655471796E-3</v>
      </c>
      <c r="D156" s="478">
        <v>6.0688540779073675E-3</v>
      </c>
      <c r="E156" s="479">
        <v>14317</v>
      </c>
      <c r="F156" s="479">
        <v>28589</v>
      </c>
      <c r="G156" s="478">
        <v>6.2301534388110244E-3</v>
      </c>
      <c r="H156" s="478">
        <v>6.0081056198490225E-3</v>
      </c>
      <c r="I156" s="479">
        <v>14344</v>
      </c>
      <c r="J156" s="479">
        <v>28727</v>
      </c>
      <c r="K156" s="478">
        <v>6.2369701105903378E-3</v>
      </c>
      <c r="L156" s="471">
        <v>5.927248738837221E-3</v>
      </c>
      <c r="M156" s="479">
        <v>14357</v>
      </c>
      <c r="N156" s="479">
        <v>28770</v>
      </c>
      <c r="O156" s="478">
        <v>6.2406193909339876E-3</v>
      </c>
      <c r="P156" s="478">
        <v>5.8779039765861317E-3</v>
      </c>
      <c r="Q156" s="479">
        <v>14349</v>
      </c>
      <c r="R156" s="479">
        <v>28864</v>
      </c>
      <c r="S156" s="478">
        <v>6.2474270052822007E-3</v>
      </c>
      <c r="T156" s="478">
        <v>5.8426583145864044E-3</v>
      </c>
      <c r="U156" s="479">
        <v>14356</v>
      </c>
      <c r="V156" s="479">
        <v>28922</v>
      </c>
      <c r="W156" s="478">
        <v>6.2558616047364811E-3</v>
      </c>
      <c r="X156" s="478">
        <v>5.8497787288238614E-3</v>
      </c>
      <c r="Y156" s="479">
        <v>14368</v>
      </c>
      <c r="Z156" s="479">
        <v>29065</v>
      </c>
      <c r="AA156" s="133">
        <v>6.3220780319019612E-3</v>
      </c>
      <c r="AB156" s="478">
        <v>5.8457934514368507E-3</v>
      </c>
      <c r="AC156" s="479">
        <v>14354</v>
      </c>
      <c r="AD156" s="479">
        <v>29172</v>
      </c>
      <c r="AE156" s="478">
        <v>6.3599441924986275E-3</v>
      </c>
      <c r="AF156" s="478">
        <v>5.8427113635018844E-3</v>
      </c>
      <c r="AG156" s="479">
        <v>14341</v>
      </c>
      <c r="AH156" s="479">
        <v>29228</v>
      </c>
      <c r="AI156" s="478">
        <v>6.4183146494810007E-3</v>
      </c>
      <c r="AJ156" s="478">
        <v>5.8270203127516376E-3</v>
      </c>
      <c r="AK156" s="479">
        <v>14393</v>
      </c>
      <c r="AL156" s="479">
        <v>29235</v>
      </c>
      <c r="AM156" s="478">
        <v>6.4353121847596836E-3</v>
      </c>
      <c r="AN156" s="478">
        <v>5.8040645534336447E-3</v>
      </c>
      <c r="AO156" s="479">
        <v>14411</v>
      </c>
      <c r="AP156" s="479">
        <v>29220</v>
      </c>
      <c r="AQ156" s="478">
        <v>6.4435161783135356E-3</v>
      </c>
      <c r="AR156" s="478">
        <v>5.781452396573219E-3</v>
      </c>
      <c r="AS156" s="479">
        <v>14412</v>
      </c>
      <c r="AT156" s="479">
        <v>29230</v>
      </c>
      <c r="AU156" s="478">
        <v>6.4413160324356044E-3</v>
      </c>
      <c r="AV156" s="478">
        <v>5.7608796000572426E-3</v>
      </c>
      <c r="AW156" s="479">
        <v>14400</v>
      </c>
      <c r="AX156" s="479">
        <v>29266</v>
      </c>
      <c r="AY156" s="478">
        <v>6.4575075856128971E-3</v>
      </c>
      <c r="AZ156" s="478">
        <v>5.7439528864322411E-3</v>
      </c>
      <c r="BA156" s="479">
        <v>14425</v>
      </c>
      <c r="BB156" s="479">
        <v>29344</v>
      </c>
      <c r="BC156" s="478">
        <v>6.4555928236745093E-3</v>
      </c>
      <c r="BD156" s="478">
        <v>5.7198241203195652E-3</v>
      </c>
      <c r="BE156" s="479">
        <v>14410</v>
      </c>
      <c r="BF156" s="479">
        <v>29407</v>
      </c>
      <c r="BG156" s="478">
        <v>6.4560780054515599E-3</v>
      </c>
      <c r="BH156" s="478">
        <v>5.6926909210855067E-3</v>
      </c>
      <c r="BI156" s="479">
        <v>14403</v>
      </c>
      <c r="BJ156" s="479">
        <v>29460</v>
      </c>
    </row>
    <row r="157" spans="1:62">
      <c r="A157" s="487" t="s">
        <v>1374</v>
      </c>
      <c r="B157" s="462" t="s">
        <v>104</v>
      </c>
      <c r="C157" s="478">
        <v>1.3248345910794471E-3</v>
      </c>
      <c r="D157" s="478">
        <v>4.9042896135539507E-3</v>
      </c>
      <c r="E157" s="479">
        <v>3051</v>
      </c>
      <c r="F157" s="479">
        <v>23103</v>
      </c>
      <c r="G157" s="478">
        <v>1.3190864468536727E-3</v>
      </c>
      <c r="H157" s="478">
        <v>4.9255716034763228E-3</v>
      </c>
      <c r="I157" s="479">
        <v>3037</v>
      </c>
      <c r="J157" s="479">
        <v>23551</v>
      </c>
      <c r="K157" s="478">
        <v>1.3202028394569921E-3</v>
      </c>
      <c r="L157" s="471">
        <v>4.9319571622879468E-3</v>
      </c>
      <c r="M157" s="479">
        <v>3039</v>
      </c>
      <c r="N157" s="479">
        <v>23939</v>
      </c>
      <c r="O157" s="478">
        <v>1.3208419464956806E-3</v>
      </c>
      <c r="P157" s="478">
        <v>4.9142731001585553E-3</v>
      </c>
      <c r="Q157" s="479">
        <v>3037</v>
      </c>
      <c r="R157" s="479">
        <v>24132</v>
      </c>
      <c r="S157" s="478">
        <v>1.3664614653514982E-3</v>
      </c>
      <c r="T157" s="478">
        <v>4.9170286763374968E-3</v>
      </c>
      <c r="U157" s="479">
        <v>3140</v>
      </c>
      <c r="V157" s="479">
        <v>24340</v>
      </c>
      <c r="W157" s="478">
        <v>1.3750007619541904E-3</v>
      </c>
      <c r="X157" s="478">
        <v>4.9036301031847428E-3</v>
      </c>
      <c r="Y157" s="479">
        <v>3158</v>
      </c>
      <c r="Z157" s="479">
        <v>24364</v>
      </c>
      <c r="AA157" s="133">
        <v>1.4067658655353814E-3</v>
      </c>
      <c r="AB157" s="478">
        <v>4.9484445183662958E-3</v>
      </c>
      <c r="AC157" s="479">
        <v>3194</v>
      </c>
      <c r="AD157" s="479">
        <v>24694</v>
      </c>
      <c r="AE157" s="478">
        <v>1.3818831395178664E-3</v>
      </c>
      <c r="AF157" s="478">
        <v>4.9681437497301334E-3</v>
      </c>
      <c r="AG157" s="479">
        <v>3116</v>
      </c>
      <c r="AH157" s="479">
        <v>24853</v>
      </c>
      <c r="AI157" s="478">
        <v>1.3716901175434973E-3</v>
      </c>
      <c r="AJ157" s="478">
        <v>4.9743439693977287E-3</v>
      </c>
      <c r="AK157" s="479">
        <v>3076</v>
      </c>
      <c r="AL157" s="479">
        <v>24957</v>
      </c>
      <c r="AM157" s="478">
        <v>1.3731583490483679E-3</v>
      </c>
      <c r="AN157" s="478">
        <v>4.9968188879595055E-3</v>
      </c>
      <c r="AO157" s="479">
        <v>3075</v>
      </c>
      <c r="AP157" s="479">
        <v>25156</v>
      </c>
      <c r="AQ157" s="478">
        <v>1.3725780368736159E-3</v>
      </c>
      <c r="AR157" s="478">
        <v>5.0098668406706485E-3</v>
      </c>
      <c r="AS157" s="479">
        <v>3070</v>
      </c>
      <c r="AT157" s="479">
        <v>25329</v>
      </c>
      <c r="AU157" s="478">
        <v>1.3692269705059296E-3</v>
      </c>
      <c r="AV157" s="478">
        <v>5.0091267403354284E-3</v>
      </c>
      <c r="AW157" s="479">
        <v>3061</v>
      </c>
      <c r="AX157" s="479">
        <v>25447</v>
      </c>
      <c r="AY157" s="478">
        <v>1.3644702336879106E-3</v>
      </c>
      <c r="AZ157" s="478">
        <v>5.0375077539644804E-3</v>
      </c>
      <c r="BA157" s="479">
        <v>3048</v>
      </c>
      <c r="BB157" s="479">
        <v>25735</v>
      </c>
      <c r="BC157" s="478">
        <v>1.3619016088806737E-3</v>
      </c>
      <c r="BD157" s="478">
        <v>5.0330250939364454E-3</v>
      </c>
      <c r="BE157" s="479">
        <v>3040</v>
      </c>
      <c r="BF157" s="479">
        <v>25876</v>
      </c>
      <c r="BG157" s="478">
        <v>1.3622176670532037E-3</v>
      </c>
      <c r="BH157" s="478">
        <v>5.0229398439476129E-3</v>
      </c>
      <c r="BI157" s="479">
        <v>3039</v>
      </c>
      <c r="BJ157" s="479">
        <v>25994</v>
      </c>
    </row>
    <row r="158" spans="1:62">
      <c r="A158" s="461" t="s">
        <v>1375</v>
      </c>
      <c r="B158" s="462" t="s">
        <v>104</v>
      </c>
      <c r="C158" s="478">
        <v>7.9750613240790313E-3</v>
      </c>
      <c r="D158" s="478">
        <v>7.048310956968006E-3</v>
      </c>
      <c r="E158" s="479">
        <v>18366</v>
      </c>
      <c r="F158" s="479">
        <v>33203</v>
      </c>
      <c r="G158" s="478">
        <v>7.9614272541415274E-3</v>
      </c>
      <c r="H158" s="478">
        <v>6.9795836928882781E-3</v>
      </c>
      <c r="I158" s="479">
        <v>18330</v>
      </c>
      <c r="J158" s="479">
        <v>33372</v>
      </c>
      <c r="K158" s="478">
        <v>7.8786438619256362E-3</v>
      </c>
      <c r="L158" s="471">
        <v>6.7686419904677804E-3</v>
      </c>
      <c r="M158" s="479">
        <v>18136</v>
      </c>
      <c r="N158" s="479">
        <v>32854</v>
      </c>
      <c r="O158" s="478">
        <v>7.8619887608832456E-3</v>
      </c>
      <c r="P158" s="478">
        <v>6.6790290543262184E-3</v>
      </c>
      <c r="Q158" s="479">
        <v>18077</v>
      </c>
      <c r="R158" s="479">
        <v>32798</v>
      </c>
      <c r="S158" s="478">
        <v>7.780997133912353E-3</v>
      </c>
      <c r="T158" s="478">
        <v>6.5190022754893599E-3</v>
      </c>
      <c r="U158" s="479">
        <v>17880</v>
      </c>
      <c r="V158" s="479">
        <v>32270</v>
      </c>
      <c r="W158" s="478">
        <v>7.7797699856230126E-3</v>
      </c>
      <c r="X158" s="478">
        <v>6.494431791559895E-3</v>
      </c>
      <c r="Y158" s="479">
        <v>17868</v>
      </c>
      <c r="Z158" s="479">
        <v>32268</v>
      </c>
      <c r="AA158" s="133">
        <v>7.8019569637112545E-3</v>
      </c>
      <c r="AB158" s="478">
        <v>6.4539788046903412E-3</v>
      </c>
      <c r="AC158" s="479">
        <v>17714</v>
      </c>
      <c r="AD158" s="479">
        <v>32207</v>
      </c>
      <c r="AE158" s="478">
        <v>7.8030275480798651E-3</v>
      </c>
      <c r="AF158" s="478">
        <v>6.4745989582750286E-3</v>
      </c>
      <c r="AG158" s="479">
        <v>17595</v>
      </c>
      <c r="AH158" s="479">
        <v>32389</v>
      </c>
      <c r="AI158" s="478">
        <v>7.6651435079503174E-3</v>
      </c>
      <c r="AJ158" s="478">
        <v>6.3364734996643511E-3</v>
      </c>
      <c r="AK158" s="479">
        <v>17189</v>
      </c>
      <c r="AL158" s="479">
        <v>31791</v>
      </c>
      <c r="AM158" s="478">
        <v>7.6731641989262129E-3</v>
      </c>
      <c r="AN158" s="478">
        <v>6.3695735124899618E-3</v>
      </c>
      <c r="AO158" s="479">
        <v>17183</v>
      </c>
      <c r="AP158" s="479">
        <v>32067</v>
      </c>
      <c r="AQ158" s="478">
        <v>7.666764878276471E-3</v>
      </c>
      <c r="AR158" s="478">
        <v>6.4300114936776858E-3</v>
      </c>
      <c r="AS158" s="479">
        <v>17148</v>
      </c>
      <c r="AT158" s="479">
        <v>32509</v>
      </c>
      <c r="AU158" s="478">
        <v>7.670533841958733E-3</v>
      </c>
      <c r="AV158" s="478">
        <v>6.4417680896560262E-3</v>
      </c>
      <c r="AW158" s="479">
        <v>17148</v>
      </c>
      <c r="AX158" s="479">
        <v>32725</v>
      </c>
      <c r="AY158" s="478">
        <v>7.6760403861701448E-3</v>
      </c>
      <c r="AZ158" s="478">
        <v>6.4300404977648811E-3</v>
      </c>
      <c r="BA158" s="479">
        <v>17147</v>
      </c>
      <c r="BB158" s="479">
        <v>32849</v>
      </c>
      <c r="BC158" s="478">
        <v>7.6822002595676947E-3</v>
      </c>
      <c r="BD158" s="478">
        <v>6.4021495195129893E-3</v>
      </c>
      <c r="BE158" s="479">
        <v>17148</v>
      </c>
      <c r="BF158" s="479">
        <v>32915</v>
      </c>
      <c r="BG158" s="478">
        <v>7.6927869700451068E-3</v>
      </c>
      <c r="BH158" s="478">
        <v>6.3632149365697808E-3</v>
      </c>
      <c r="BI158" s="479">
        <v>17162</v>
      </c>
      <c r="BJ158" s="479">
        <v>32930</v>
      </c>
    </row>
    <row r="159" spans="1:62" s="95" customFormat="1">
      <c r="A159" s="464" t="s">
        <v>1376</v>
      </c>
      <c r="B159" s="480"/>
      <c r="C159" s="481">
        <v>0.1320487952516122</v>
      </c>
      <c r="D159" s="481">
        <v>0.19150844425990293</v>
      </c>
      <c r="E159" s="482">
        <v>304099</v>
      </c>
      <c r="F159" s="482">
        <v>902153</v>
      </c>
      <c r="G159" s="481">
        <v>0.13164282943825678</v>
      </c>
      <c r="H159" s="481">
        <v>0.19007758021020738</v>
      </c>
      <c r="I159" s="482">
        <v>303088</v>
      </c>
      <c r="J159" s="482">
        <v>908832</v>
      </c>
      <c r="K159" s="481">
        <v>0.13129132693200757</v>
      </c>
      <c r="L159" s="481">
        <v>0.18854254783930458</v>
      </c>
      <c r="M159" s="482">
        <v>302222</v>
      </c>
      <c r="N159" s="482">
        <v>915158</v>
      </c>
      <c r="O159" s="481">
        <v>0.13109997821067448</v>
      </c>
      <c r="P159" s="481">
        <v>0.18788521307198269</v>
      </c>
      <c r="Q159" s="482">
        <v>301437</v>
      </c>
      <c r="R159" s="482">
        <v>922628</v>
      </c>
      <c r="S159" s="481">
        <v>0.13090091587732483</v>
      </c>
      <c r="T159" s="481">
        <v>0.18776403272308848</v>
      </c>
      <c r="U159" s="482">
        <v>300798</v>
      </c>
      <c r="V159" s="482">
        <v>929459</v>
      </c>
      <c r="W159" s="481">
        <v>0.13084582139967937</v>
      </c>
      <c r="X159" s="481">
        <v>0.18787500774871771</v>
      </c>
      <c r="Y159" s="482">
        <v>300517</v>
      </c>
      <c r="Z159" s="482">
        <v>933469</v>
      </c>
      <c r="AA159" s="481">
        <v>0.13082614241368257</v>
      </c>
      <c r="AB159" s="481">
        <v>0.18798337960685377</v>
      </c>
      <c r="AC159" s="482">
        <v>297035</v>
      </c>
      <c r="AD159" s="482">
        <v>938085</v>
      </c>
      <c r="AE159" s="481">
        <v>0.1302855034427339</v>
      </c>
      <c r="AF159" s="481">
        <v>0.18804762925209781</v>
      </c>
      <c r="AG159" s="482">
        <v>293780</v>
      </c>
      <c r="AH159" s="482">
        <v>940703</v>
      </c>
      <c r="AI159" s="481">
        <v>0.13036808653241999</v>
      </c>
      <c r="AJ159" s="481">
        <v>0.18850844225320224</v>
      </c>
      <c r="AK159" s="482">
        <v>292349</v>
      </c>
      <c r="AL159" s="482">
        <v>945774</v>
      </c>
      <c r="AM159" s="481">
        <v>0.13061258938367742</v>
      </c>
      <c r="AN159" s="481">
        <v>0.18911020830076575</v>
      </c>
      <c r="AO159" s="482">
        <v>292489</v>
      </c>
      <c r="AP159" s="482">
        <v>952057</v>
      </c>
      <c r="AQ159" s="481">
        <v>0.13064081510569076</v>
      </c>
      <c r="AR159" s="481">
        <v>0.18956122475015444</v>
      </c>
      <c r="AS159" s="482">
        <v>292200</v>
      </c>
      <c r="AT159" s="482">
        <v>958388</v>
      </c>
      <c r="AU159" s="481">
        <v>0.13064330854619496</v>
      </c>
      <c r="AV159" s="481">
        <v>0.19014268737769743</v>
      </c>
      <c r="AW159" s="482">
        <v>292062</v>
      </c>
      <c r="AX159" s="482">
        <v>965949</v>
      </c>
      <c r="AY159" s="481">
        <v>0.13061445031278063</v>
      </c>
      <c r="AZ159" s="481">
        <v>0.190630764090194</v>
      </c>
      <c r="BA159" s="482">
        <v>291771</v>
      </c>
      <c r="BB159" s="482">
        <v>973871</v>
      </c>
      <c r="BC159" s="481">
        <v>0.1305987483945017</v>
      </c>
      <c r="BD159" s="481">
        <v>0.1913236140216702</v>
      </c>
      <c r="BE159" s="482">
        <v>291519</v>
      </c>
      <c r="BF159" s="482">
        <v>983641</v>
      </c>
      <c r="BG159" s="481">
        <v>0.13057073737707431</v>
      </c>
      <c r="BH159" s="481">
        <v>0.19192291022108551</v>
      </c>
      <c r="BI159" s="482">
        <v>291293</v>
      </c>
      <c r="BJ159" s="482">
        <v>993212</v>
      </c>
    </row>
    <row r="160" spans="1:62" s="95" customFormat="1">
      <c r="A160" s="466" t="s">
        <v>1377</v>
      </c>
      <c r="B160" s="74"/>
      <c r="C160" s="483"/>
      <c r="D160" s="74"/>
      <c r="E160" s="484"/>
      <c r="F160" s="484"/>
      <c r="G160" s="483"/>
      <c r="H160" s="74"/>
      <c r="I160" s="484"/>
      <c r="J160" s="484"/>
      <c r="K160" s="483"/>
      <c r="L160" s="74"/>
      <c r="M160" s="484"/>
      <c r="N160" s="484"/>
      <c r="O160" s="483"/>
      <c r="P160" s="74"/>
      <c r="Q160" s="484"/>
      <c r="R160" s="484"/>
      <c r="S160" s="483"/>
      <c r="T160" s="483"/>
      <c r="U160" s="484"/>
      <c r="V160" s="484"/>
      <c r="W160" s="483"/>
      <c r="X160" s="483"/>
      <c r="Y160" s="484"/>
      <c r="Z160" s="484"/>
      <c r="AA160" s="483"/>
      <c r="AB160" s="483"/>
      <c r="AC160" s="484"/>
      <c r="AD160" s="484"/>
      <c r="AE160" s="483"/>
      <c r="AF160" s="483"/>
      <c r="AG160" s="484"/>
      <c r="AH160" s="484"/>
      <c r="AI160" s="483"/>
      <c r="AJ160" s="483"/>
      <c r="AK160" s="484"/>
      <c r="AL160" s="484"/>
      <c r="AM160" s="483"/>
      <c r="AN160" s="483"/>
      <c r="AO160" s="484"/>
      <c r="AP160" s="484"/>
      <c r="AQ160" s="483"/>
      <c r="AR160" s="483"/>
      <c r="AS160" s="484"/>
      <c r="AT160" s="484"/>
      <c r="AU160" s="483"/>
      <c r="AV160" s="483"/>
      <c r="AW160" s="484"/>
      <c r="AX160" s="484"/>
      <c r="AY160" s="483"/>
      <c r="AZ160" s="483"/>
      <c r="BA160" s="484"/>
      <c r="BB160" s="484"/>
      <c r="BC160" s="483"/>
      <c r="BD160" s="483"/>
      <c r="BE160" s="484"/>
      <c r="BF160" s="484"/>
      <c r="BG160" s="483"/>
      <c r="BH160" s="483"/>
      <c r="BI160" s="484"/>
      <c r="BJ160" s="484"/>
    </row>
    <row r="161" spans="1:62">
      <c r="A161" s="461" t="s">
        <v>1378</v>
      </c>
      <c r="B161" s="462" t="s">
        <v>104</v>
      </c>
      <c r="C161" s="478">
        <v>1.3000835023572156E-3</v>
      </c>
      <c r="D161" s="478">
        <v>1.5693811675109015E-3</v>
      </c>
      <c r="E161" s="479">
        <v>2994</v>
      </c>
      <c r="F161" s="479">
        <v>7393</v>
      </c>
      <c r="G161" s="478">
        <v>1.3186521082146033E-3</v>
      </c>
      <c r="H161" s="478">
        <v>1.8900424856955343E-3</v>
      </c>
      <c r="I161" s="479">
        <v>3036</v>
      </c>
      <c r="J161" s="479">
        <v>9037</v>
      </c>
      <c r="K161" s="478">
        <v>1.3223749402129267E-3</v>
      </c>
      <c r="L161" s="471">
        <v>2.2845763387197059E-3</v>
      </c>
      <c r="M161" s="479">
        <v>3044</v>
      </c>
      <c r="N161" s="479">
        <v>11089</v>
      </c>
      <c r="O161" s="478">
        <v>1.3338894467903367E-3</v>
      </c>
      <c r="P161" s="478">
        <v>2.5471460275477875E-3</v>
      </c>
      <c r="Q161" s="479">
        <v>3067</v>
      </c>
      <c r="R161" s="479">
        <v>12508</v>
      </c>
      <c r="S161" s="478">
        <v>1.3416562731460729E-3</v>
      </c>
      <c r="T161" s="478">
        <v>2.7005274998060662E-3</v>
      </c>
      <c r="U161" s="479">
        <v>3083</v>
      </c>
      <c r="V161" s="479">
        <v>13368</v>
      </c>
      <c r="W161" s="478">
        <v>1.3375561560238357E-3</v>
      </c>
      <c r="X161" s="478">
        <v>2.7597511071609424E-3</v>
      </c>
      <c r="Y161" s="479">
        <v>3072</v>
      </c>
      <c r="Z161" s="479">
        <v>13712</v>
      </c>
      <c r="AA161" s="133">
        <v>1.3451042433766608E-3</v>
      </c>
      <c r="AB161" s="478">
        <v>2.8369291749620008E-3</v>
      </c>
      <c r="AC161" s="479">
        <v>3054</v>
      </c>
      <c r="AD161" s="479">
        <v>14157</v>
      </c>
      <c r="AE161" s="478">
        <v>1.3468482332207191E-3</v>
      </c>
      <c r="AF161" s="478">
        <v>2.8645837497941018E-3</v>
      </c>
      <c r="AG161" s="479">
        <v>3037</v>
      </c>
      <c r="AH161" s="479">
        <v>14330</v>
      </c>
      <c r="AI161" s="478">
        <v>1.3480556649330276E-3</v>
      </c>
      <c r="AJ161" s="478">
        <v>2.8926815734210539E-3</v>
      </c>
      <c r="AK161" s="479">
        <v>3023</v>
      </c>
      <c r="AL161" s="479">
        <v>14513</v>
      </c>
      <c r="AM161" s="478">
        <v>1.3468115709690657E-3</v>
      </c>
      <c r="AN161" s="478">
        <v>2.9528823973766103E-3</v>
      </c>
      <c r="AO161" s="479">
        <v>3016</v>
      </c>
      <c r="AP161" s="479">
        <v>14866</v>
      </c>
      <c r="AQ161" s="478">
        <v>1.3435169383730346E-3</v>
      </c>
      <c r="AR161" s="478">
        <v>3.0277958702272607E-3</v>
      </c>
      <c r="AS161" s="479">
        <v>3005</v>
      </c>
      <c r="AT161" s="479">
        <v>15308</v>
      </c>
      <c r="AU161" s="478">
        <v>1.349545171517932E-3</v>
      </c>
      <c r="AV161" s="478">
        <v>3.1168512125779534E-3</v>
      </c>
      <c r="AW161" s="479">
        <v>3017</v>
      </c>
      <c r="AX161" s="479">
        <v>15834</v>
      </c>
      <c r="AY161" s="478">
        <v>1.3519357302288354E-3</v>
      </c>
      <c r="AZ161" s="478">
        <v>3.1751860608920861E-3</v>
      </c>
      <c r="BA161" s="479">
        <v>3020</v>
      </c>
      <c r="BB161" s="479">
        <v>16221</v>
      </c>
      <c r="BC161" s="478">
        <v>1.3538377177754592E-3</v>
      </c>
      <c r="BD161" s="478">
        <v>3.2509654281980892E-3</v>
      </c>
      <c r="BE161" s="479">
        <v>3022</v>
      </c>
      <c r="BF161" s="479">
        <v>16714</v>
      </c>
      <c r="BG161" s="478">
        <v>1.3577352133939302E-3</v>
      </c>
      <c r="BH161" s="478">
        <v>3.370977363147884E-3</v>
      </c>
      <c r="BI161" s="479">
        <v>3029</v>
      </c>
      <c r="BJ161" s="479">
        <v>17445</v>
      </c>
    </row>
    <row r="162" spans="1:62">
      <c r="A162" s="461" t="s">
        <v>1379</v>
      </c>
      <c r="B162" s="462" t="s">
        <v>104</v>
      </c>
      <c r="C162" s="478">
        <v>1.2979123542236864E-3</v>
      </c>
      <c r="D162" s="478">
        <v>1.234404367520072E-3</v>
      </c>
      <c r="E162" s="479">
        <v>2989</v>
      </c>
      <c r="F162" s="479">
        <v>5815</v>
      </c>
      <c r="G162" s="478">
        <v>1.2965008376220654E-3</v>
      </c>
      <c r="H162" s="478">
        <v>1.2385561137865393E-3</v>
      </c>
      <c r="I162" s="479">
        <v>2985</v>
      </c>
      <c r="J162" s="479">
        <v>5922</v>
      </c>
      <c r="K162" s="478">
        <v>1.2884901684203484E-3</v>
      </c>
      <c r="L162" s="471">
        <v>1.2320106867656094E-3</v>
      </c>
      <c r="M162" s="479">
        <v>2966</v>
      </c>
      <c r="N162" s="479">
        <v>5980</v>
      </c>
      <c r="O162" s="478">
        <v>1.286918445729575E-3</v>
      </c>
      <c r="P162" s="478">
        <v>1.2365102877574484E-3</v>
      </c>
      <c r="Q162" s="479">
        <v>2959</v>
      </c>
      <c r="R162" s="479">
        <v>6072</v>
      </c>
      <c r="S162" s="478">
        <v>1.2859533853865216E-3</v>
      </c>
      <c r="T162" s="478">
        <v>1.2322873839629715E-3</v>
      </c>
      <c r="U162" s="479">
        <v>2955</v>
      </c>
      <c r="V162" s="479">
        <v>6100</v>
      </c>
      <c r="W162" s="478">
        <v>1.2774706255774524E-3</v>
      </c>
      <c r="X162" s="478">
        <v>1.2271151181709645E-3</v>
      </c>
      <c r="Y162" s="479">
        <v>2934</v>
      </c>
      <c r="Z162" s="479">
        <v>6097</v>
      </c>
      <c r="AA162" s="133">
        <v>1.2763955786855151E-3</v>
      </c>
      <c r="AB162" s="478">
        <v>1.2183746121190199E-3</v>
      </c>
      <c r="AC162" s="479">
        <v>2898</v>
      </c>
      <c r="AD162" s="479">
        <v>6080</v>
      </c>
      <c r="AE162" s="478">
        <v>1.2781088601060626E-3</v>
      </c>
      <c r="AF162" s="478">
        <v>1.2169983160325536E-3</v>
      </c>
      <c r="AG162" s="479">
        <v>2882</v>
      </c>
      <c r="AH162" s="479">
        <v>6088</v>
      </c>
      <c r="AI162" s="478">
        <v>1.2825035039190828E-3</v>
      </c>
      <c r="AJ162" s="478">
        <v>1.2134393591254307E-3</v>
      </c>
      <c r="AK162" s="479">
        <v>2876</v>
      </c>
      <c r="AL162" s="479">
        <v>6088</v>
      </c>
      <c r="AM162" s="478">
        <v>1.2816144591118099E-3</v>
      </c>
      <c r="AN162" s="478">
        <v>1.2108684982112079E-3</v>
      </c>
      <c r="AO162" s="479">
        <v>2870</v>
      </c>
      <c r="AP162" s="479">
        <v>6096</v>
      </c>
      <c r="AQ162" s="478">
        <v>1.2880773043103869E-3</v>
      </c>
      <c r="AR162" s="478">
        <v>1.2075185385247863E-3</v>
      </c>
      <c r="AS162" s="479">
        <v>2881</v>
      </c>
      <c r="AT162" s="479">
        <v>6105</v>
      </c>
      <c r="AU162" s="478">
        <v>1.2842373839668487E-3</v>
      </c>
      <c r="AV162" s="478">
        <v>1.202332146420749E-3</v>
      </c>
      <c r="AW162" s="479">
        <v>2871</v>
      </c>
      <c r="AX162" s="479">
        <v>6108</v>
      </c>
      <c r="AY162" s="478">
        <v>1.2834436220417454E-3</v>
      </c>
      <c r="AZ162" s="478">
        <v>1.1967873482704036E-3</v>
      </c>
      <c r="BA162" s="479">
        <v>2867</v>
      </c>
      <c r="BB162" s="479">
        <v>6114</v>
      </c>
      <c r="BC162" s="478">
        <v>1.2861906312817153E-3</v>
      </c>
      <c r="BD162" s="478">
        <v>1.1999046144880944E-3</v>
      </c>
      <c r="BE162" s="479">
        <v>2871</v>
      </c>
      <c r="BF162" s="479">
        <v>6169</v>
      </c>
      <c r="BG162" s="478">
        <v>1.282429991918136E-3</v>
      </c>
      <c r="BH162" s="478">
        <v>1.1914844609441017E-3</v>
      </c>
      <c r="BI162" s="479">
        <v>2861</v>
      </c>
      <c r="BJ162" s="479">
        <v>6166</v>
      </c>
    </row>
    <row r="163" spans="1:62">
      <c r="A163" s="461" t="s">
        <v>1380</v>
      </c>
      <c r="B163" s="462" t="s">
        <v>104</v>
      </c>
      <c r="C163" s="478">
        <v>6.8217474355483816E-4</v>
      </c>
      <c r="D163" s="478">
        <v>6.357766260915934E-4</v>
      </c>
      <c r="E163" s="479">
        <v>1571</v>
      </c>
      <c r="F163" s="479">
        <v>2995</v>
      </c>
      <c r="G163" s="478">
        <v>6.8104298606077001E-4</v>
      </c>
      <c r="H163" s="478">
        <v>6.3517306949843289E-4</v>
      </c>
      <c r="I163" s="479">
        <v>1568</v>
      </c>
      <c r="J163" s="479">
        <v>3037</v>
      </c>
      <c r="K163" s="478">
        <v>6.7899869630512629E-4</v>
      </c>
      <c r="L163" s="471">
        <v>6.3475333209445529E-4</v>
      </c>
      <c r="M163" s="479">
        <v>1563</v>
      </c>
      <c r="N163" s="479">
        <v>3081</v>
      </c>
      <c r="O163" s="478">
        <v>6.7542559858669476E-4</v>
      </c>
      <c r="P163" s="478">
        <v>6.2965905957609197E-4</v>
      </c>
      <c r="Q163" s="479">
        <v>1553</v>
      </c>
      <c r="R163" s="479">
        <v>3092</v>
      </c>
      <c r="S163" s="478">
        <v>6.7278644122083318E-4</v>
      </c>
      <c r="T163" s="478">
        <v>6.3129476637447312E-4</v>
      </c>
      <c r="U163" s="479">
        <v>1546</v>
      </c>
      <c r="V163" s="479">
        <v>3125</v>
      </c>
      <c r="W163" s="478">
        <v>6.7356750435184699E-4</v>
      </c>
      <c r="X163" s="478">
        <v>6.3096701582187524E-4</v>
      </c>
      <c r="Y163" s="479">
        <v>1547</v>
      </c>
      <c r="Z163" s="479">
        <v>3135</v>
      </c>
      <c r="AA163" s="133">
        <v>6.769565232710962E-4</v>
      </c>
      <c r="AB163" s="478">
        <v>6.3022831498590751E-4</v>
      </c>
      <c r="AC163" s="479">
        <v>1537</v>
      </c>
      <c r="AD163" s="479">
        <v>3145</v>
      </c>
      <c r="AE163" s="478">
        <v>6.6699365912544005E-4</v>
      </c>
      <c r="AF163" s="478">
        <v>6.2848927490248823E-4</v>
      </c>
      <c r="AG163" s="479">
        <v>1504</v>
      </c>
      <c r="AH163" s="479">
        <v>3144</v>
      </c>
      <c r="AI163" s="478">
        <v>6.6756180297874372E-4</v>
      </c>
      <c r="AJ163" s="478">
        <v>6.3043835297531823E-4</v>
      </c>
      <c r="AK163" s="479">
        <v>1497</v>
      </c>
      <c r="AL163" s="479">
        <v>3163</v>
      </c>
      <c r="AM163" s="478">
        <v>6.6536778539254238E-4</v>
      </c>
      <c r="AN163" s="478">
        <v>6.3920190735624466E-4</v>
      </c>
      <c r="AO163" s="479">
        <v>1490</v>
      </c>
      <c r="AP163" s="479">
        <v>3218</v>
      </c>
      <c r="AQ163" s="478">
        <v>6.6527560875177219E-4</v>
      </c>
      <c r="AR163" s="478">
        <v>6.4875688883886959E-4</v>
      </c>
      <c r="AS163" s="479">
        <v>1488</v>
      </c>
      <c r="AT163" s="479">
        <v>3280</v>
      </c>
      <c r="AU163" s="478">
        <v>6.6649728391173966E-4</v>
      </c>
      <c r="AV163" s="478">
        <v>6.6002286950700244E-4</v>
      </c>
      <c r="AW163" s="479">
        <v>1490</v>
      </c>
      <c r="AX163" s="479">
        <v>3353</v>
      </c>
      <c r="AY163" s="478">
        <v>6.6567166584446296E-4</v>
      </c>
      <c r="AZ163" s="478">
        <v>6.7532161457849063E-4</v>
      </c>
      <c r="BA163" s="479">
        <v>1487</v>
      </c>
      <c r="BB163" s="479">
        <v>3450</v>
      </c>
      <c r="BC163" s="478">
        <v>6.661670040807769E-4</v>
      </c>
      <c r="BD163" s="478">
        <v>7.0702760150173833E-4</v>
      </c>
      <c r="BE163" s="479">
        <v>1487</v>
      </c>
      <c r="BF163" s="479">
        <v>3635</v>
      </c>
      <c r="BG163" s="478">
        <v>6.669891044998904E-4</v>
      </c>
      <c r="BH163" s="478">
        <v>7.1033034032282158E-4</v>
      </c>
      <c r="BI163" s="479">
        <v>1488</v>
      </c>
      <c r="BJ163" s="479">
        <v>3676</v>
      </c>
    </row>
    <row r="164" spans="1:62">
      <c r="A164" s="461" t="s">
        <v>1381</v>
      </c>
      <c r="B164" s="462" t="s">
        <v>104</v>
      </c>
      <c r="C164" s="478">
        <v>1.2071583622421707E-4</v>
      </c>
      <c r="D164" s="478">
        <v>9.8964628742537848E-4</v>
      </c>
      <c r="E164" s="479">
        <v>278</v>
      </c>
      <c r="F164" s="479">
        <v>4662</v>
      </c>
      <c r="G164" s="478">
        <v>1.1814010982686828E-4</v>
      </c>
      <c r="H164" s="478">
        <v>9.8298104268772961E-4</v>
      </c>
      <c r="I164" s="479">
        <v>272</v>
      </c>
      <c r="J164" s="479">
        <v>4700</v>
      </c>
      <c r="K164" s="478">
        <v>1.1989996172758468E-4</v>
      </c>
      <c r="L164" s="471">
        <v>9.7489541300582998E-4</v>
      </c>
      <c r="M164" s="479">
        <v>276</v>
      </c>
      <c r="N164" s="479">
        <v>4732</v>
      </c>
      <c r="O164" s="478">
        <v>1.2003700271083564E-4</v>
      </c>
      <c r="P164" s="478">
        <v>9.6851826886930586E-4</v>
      </c>
      <c r="Q164" s="479">
        <v>276</v>
      </c>
      <c r="R164" s="479">
        <v>4756</v>
      </c>
      <c r="S164" s="478">
        <v>1.1836863648904699E-4</v>
      </c>
      <c r="T164" s="478">
        <v>9.6199221679207718E-4</v>
      </c>
      <c r="U164" s="479">
        <v>272</v>
      </c>
      <c r="V164" s="479">
        <v>4762</v>
      </c>
      <c r="W164" s="478">
        <v>1.1799404892007144E-4</v>
      </c>
      <c r="X164" s="478">
        <v>9.5661442622053375E-4</v>
      </c>
      <c r="Y164" s="479">
        <v>271</v>
      </c>
      <c r="Z164" s="479">
        <v>4753</v>
      </c>
      <c r="AA164" s="133">
        <v>1.1803796241812217E-4</v>
      </c>
      <c r="AB164" s="478">
        <v>9.5265672796279949E-4</v>
      </c>
      <c r="AC164" s="479">
        <v>268</v>
      </c>
      <c r="AD164" s="479">
        <v>4754</v>
      </c>
      <c r="AE164" s="478">
        <v>1.2018303299401213E-4</v>
      </c>
      <c r="AF164" s="478">
        <v>9.5292887196570019E-4</v>
      </c>
      <c r="AG164" s="479">
        <v>271</v>
      </c>
      <c r="AH164" s="479">
        <v>4767</v>
      </c>
      <c r="AI164" s="478">
        <v>1.101454678261521E-4</v>
      </c>
      <c r="AJ164" s="478">
        <v>9.5034146917050816E-4</v>
      </c>
      <c r="AK164" s="479">
        <v>247</v>
      </c>
      <c r="AL164" s="479">
        <v>4768</v>
      </c>
      <c r="AM164" s="478">
        <v>1.0940611236320328E-4</v>
      </c>
      <c r="AN164" s="478">
        <v>9.4827529699152019E-4</v>
      </c>
      <c r="AO164" s="479">
        <v>245</v>
      </c>
      <c r="AP164" s="479">
        <v>4774</v>
      </c>
      <c r="AQ164" s="478">
        <v>1.0953798665603776E-4</v>
      </c>
      <c r="AR164" s="478">
        <v>9.4603786564521745E-4</v>
      </c>
      <c r="AS164" s="479">
        <v>245</v>
      </c>
      <c r="AT164" s="479">
        <v>4783</v>
      </c>
      <c r="AU164" s="478">
        <v>1.1003914888744158E-4</v>
      </c>
      <c r="AV164" s="478">
        <v>9.4446457736194396E-4</v>
      </c>
      <c r="AW164" s="479">
        <v>246</v>
      </c>
      <c r="AX164" s="479">
        <v>4798</v>
      </c>
      <c r="AY164" s="478">
        <v>1.1012456610473293E-4</v>
      </c>
      <c r="AZ164" s="478">
        <v>9.4055662552163704E-4</v>
      </c>
      <c r="BA164" s="479">
        <v>246</v>
      </c>
      <c r="BB164" s="479">
        <v>4805</v>
      </c>
      <c r="BC164" s="478">
        <v>1.1065450572155474E-4</v>
      </c>
      <c r="BD164" s="478">
        <v>9.3596061029611129E-4</v>
      </c>
      <c r="BE164" s="479">
        <v>247</v>
      </c>
      <c r="BF164" s="479">
        <v>4812</v>
      </c>
      <c r="BG164" s="478">
        <v>1.1071660538405438E-4</v>
      </c>
      <c r="BH164" s="478">
        <v>9.3293658408013667E-4</v>
      </c>
      <c r="BI164" s="479">
        <v>247</v>
      </c>
      <c r="BJ164" s="479">
        <v>4828</v>
      </c>
    </row>
    <row r="165" spans="1:62">
      <c r="A165" s="461" t="s">
        <v>1382</v>
      </c>
      <c r="B165" s="462" t="s">
        <v>104</v>
      </c>
      <c r="C165" s="478">
        <v>1.6422564482013991E-3</v>
      </c>
      <c r="D165" s="478">
        <v>4.9066246863042036E-3</v>
      </c>
      <c r="E165" s="479">
        <v>3782</v>
      </c>
      <c r="F165" s="479">
        <v>23114</v>
      </c>
      <c r="G165" s="478">
        <v>1.6179114305333983E-3</v>
      </c>
      <c r="H165" s="478">
        <v>4.9013107947631787E-3</v>
      </c>
      <c r="I165" s="479">
        <v>3725</v>
      </c>
      <c r="J165" s="479">
        <v>23435</v>
      </c>
      <c r="K165" s="478">
        <v>1.6056168787867862E-3</v>
      </c>
      <c r="L165" s="471">
        <v>4.9226861788591088E-3</v>
      </c>
      <c r="M165" s="479">
        <v>3696</v>
      </c>
      <c r="N165" s="479">
        <v>23894</v>
      </c>
      <c r="O165" s="478">
        <v>1.6017981195072743E-3</v>
      </c>
      <c r="P165" s="478">
        <v>4.9146803828620323E-3</v>
      </c>
      <c r="Q165" s="479">
        <v>3683</v>
      </c>
      <c r="R165" s="479">
        <v>24134</v>
      </c>
      <c r="S165" s="478">
        <v>1.5818749766091389E-3</v>
      </c>
      <c r="T165" s="478">
        <v>4.8822822123962455E-3</v>
      </c>
      <c r="U165" s="479">
        <v>3635</v>
      </c>
      <c r="V165" s="479">
        <v>24168</v>
      </c>
      <c r="W165" s="478">
        <v>1.5805106921766027E-3</v>
      </c>
      <c r="X165" s="478">
        <v>4.8676035973371787E-3</v>
      </c>
      <c r="Y165" s="479">
        <v>3630</v>
      </c>
      <c r="Z165" s="479">
        <v>24185</v>
      </c>
      <c r="AA165" s="133">
        <v>1.5899889713784367E-3</v>
      </c>
      <c r="AB165" s="478">
        <v>4.8626773581710754E-3</v>
      </c>
      <c r="AC165" s="479">
        <v>3610</v>
      </c>
      <c r="AD165" s="479">
        <v>24266</v>
      </c>
      <c r="AE165" s="478">
        <v>1.6022926133113131E-3</v>
      </c>
      <c r="AF165" s="478">
        <v>4.8621961302332123E-3</v>
      </c>
      <c r="AG165" s="479">
        <v>3613</v>
      </c>
      <c r="AH165" s="479">
        <v>24323</v>
      </c>
      <c r="AI165" s="478">
        <v>1.6093724428525625E-3</v>
      </c>
      <c r="AJ165" s="478">
        <v>4.8473793058361487E-3</v>
      </c>
      <c r="AK165" s="479">
        <v>3609</v>
      </c>
      <c r="AL165" s="479">
        <v>24320</v>
      </c>
      <c r="AM165" s="478">
        <v>1.6129586851260827E-3</v>
      </c>
      <c r="AN165" s="478">
        <v>4.833542328653467E-3</v>
      </c>
      <c r="AO165" s="479">
        <v>3612</v>
      </c>
      <c r="AP165" s="479">
        <v>24334</v>
      </c>
      <c r="AQ165" s="478">
        <v>1.6153499828092425E-3</v>
      </c>
      <c r="AR165" s="478">
        <v>4.8193934004414317E-3</v>
      </c>
      <c r="AS165" s="479">
        <v>3613</v>
      </c>
      <c r="AT165" s="479">
        <v>24366</v>
      </c>
      <c r="AU165" s="478">
        <v>1.6125655761757192E-3</v>
      </c>
      <c r="AV165" s="478">
        <v>4.801848457725565E-3</v>
      </c>
      <c r="AW165" s="479">
        <v>3605</v>
      </c>
      <c r="AX165" s="479">
        <v>24394</v>
      </c>
      <c r="AY165" s="478">
        <v>1.6124743378424717E-3</v>
      </c>
      <c r="AZ165" s="478">
        <v>4.7820600127978343E-3</v>
      </c>
      <c r="BA165" s="479">
        <v>3602</v>
      </c>
      <c r="BB165" s="479">
        <v>24430</v>
      </c>
      <c r="BC165" s="478">
        <v>1.6150181907943514E-3</v>
      </c>
      <c r="BD165" s="478">
        <v>4.7611063630150071E-3</v>
      </c>
      <c r="BE165" s="479">
        <v>3605</v>
      </c>
      <c r="BF165" s="479">
        <v>24478</v>
      </c>
      <c r="BG165" s="478">
        <v>1.607856127581389E-3</v>
      </c>
      <c r="BH165" s="478">
        <v>4.737918828720147E-3</v>
      </c>
      <c r="BI165" s="479">
        <v>3587</v>
      </c>
      <c r="BJ165" s="479">
        <v>24519</v>
      </c>
    </row>
    <row r="166" spans="1:62">
      <c r="A166" s="461" t="s">
        <v>1383</v>
      </c>
      <c r="B166" s="462" t="s">
        <v>104</v>
      </c>
      <c r="C166" s="478">
        <v>3.8003776929293087E-3</v>
      </c>
      <c r="D166" s="478">
        <v>1.0652389607312938E-2</v>
      </c>
      <c r="E166" s="479">
        <v>8752</v>
      </c>
      <c r="F166" s="479">
        <v>50181</v>
      </c>
      <c r="G166" s="478">
        <v>3.7839582235723399E-3</v>
      </c>
      <c r="H166" s="478">
        <v>1.0540275661347555E-2</v>
      </c>
      <c r="I166" s="479">
        <v>8712</v>
      </c>
      <c r="J166" s="479">
        <v>50397</v>
      </c>
      <c r="K166" s="478">
        <v>3.7729390130582354E-3</v>
      </c>
      <c r="L166" s="471">
        <v>1.0525038453979044E-2</v>
      </c>
      <c r="M166" s="479">
        <v>8685</v>
      </c>
      <c r="N166" s="479">
        <v>51087</v>
      </c>
      <c r="O166" s="478">
        <v>3.7746418352439946E-3</v>
      </c>
      <c r="P166" s="478">
        <v>1.0522759568394373E-2</v>
      </c>
      <c r="Q166" s="479">
        <v>8679</v>
      </c>
      <c r="R166" s="479">
        <v>51673</v>
      </c>
      <c r="S166" s="478">
        <v>3.7991110167256625E-3</v>
      </c>
      <c r="T166" s="478">
        <v>1.0495654267835441E-2</v>
      </c>
      <c r="U166" s="479">
        <v>8730</v>
      </c>
      <c r="V166" s="479">
        <v>51955</v>
      </c>
      <c r="W166" s="478">
        <v>3.8520049844866125E-3</v>
      </c>
      <c r="X166" s="478">
        <v>1.0526381465550207E-2</v>
      </c>
      <c r="Y166" s="479">
        <v>8847</v>
      </c>
      <c r="Z166" s="479">
        <v>52301</v>
      </c>
      <c r="AA166" s="133">
        <v>3.7957132840275259E-3</v>
      </c>
      <c r="AB166" s="478">
        <v>1.0289454146130809E-2</v>
      </c>
      <c r="AC166" s="479">
        <v>8618</v>
      </c>
      <c r="AD166" s="479">
        <v>51347</v>
      </c>
      <c r="AE166" s="478">
        <v>3.8627092892171426E-3</v>
      </c>
      <c r="AF166" s="478">
        <v>1.0281516818085139E-2</v>
      </c>
      <c r="AG166" s="479">
        <v>8710</v>
      </c>
      <c r="AH166" s="479">
        <v>51433</v>
      </c>
      <c r="AI166" s="478">
        <v>3.888982287092601E-3</v>
      </c>
      <c r="AJ166" s="478">
        <v>1.0292110411819952E-2</v>
      </c>
      <c r="AK166" s="479">
        <v>8721</v>
      </c>
      <c r="AL166" s="479">
        <v>51637</v>
      </c>
      <c r="AM166" s="478">
        <v>3.8917317112053739E-3</v>
      </c>
      <c r="AN166" s="478">
        <v>1.0308074264217624E-2</v>
      </c>
      <c r="AO166" s="479">
        <v>8715</v>
      </c>
      <c r="AP166" s="479">
        <v>51895</v>
      </c>
      <c r="AQ166" s="478">
        <v>3.8646790067542462E-3</v>
      </c>
      <c r="AR166" s="478">
        <v>1.0250161051919737E-2</v>
      </c>
      <c r="AS166" s="479">
        <v>8644</v>
      </c>
      <c r="AT166" s="479">
        <v>51823</v>
      </c>
      <c r="AU166" s="478">
        <v>3.8580799152609091E-3</v>
      </c>
      <c r="AV166" s="478">
        <v>1.0259586030034289E-2</v>
      </c>
      <c r="AW166" s="479">
        <v>8625</v>
      </c>
      <c r="AX166" s="479">
        <v>52120</v>
      </c>
      <c r="AY166" s="478">
        <v>3.863313030422135E-3</v>
      </c>
      <c r="AZ166" s="478">
        <v>1.0268411958712599E-2</v>
      </c>
      <c r="BA166" s="479">
        <v>8630</v>
      </c>
      <c r="BB166" s="479">
        <v>52458</v>
      </c>
      <c r="BC166" s="478">
        <v>3.8630518333480426E-3</v>
      </c>
      <c r="BD166" s="478">
        <v>1.0282729348278102E-2</v>
      </c>
      <c r="BE166" s="479">
        <v>8623</v>
      </c>
      <c r="BF166" s="479">
        <v>52866</v>
      </c>
      <c r="BG166" s="478">
        <v>3.8634268089277925E-3</v>
      </c>
      <c r="BH166" s="478">
        <v>1.0266360351199997E-2</v>
      </c>
      <c r="BI166" s="479">
        <v>8619</v>
      </c>
      <c r="BJ166" s="479">
        <v>53129</v>
      </c>
    </row>
    <row r="167" spans="1:62">
      <c r="A167" s="461" t="s">
        <v>1384</v>
      </c>
      <c r="B167" s="462" t="s">
        <v>104</v>
      </c>
      <c r="C167" s="478">
        <v>9.4314674920503412E-4</v>
      </c>
      <c r="D167" s="478">
        <v>1.8230549799247426E-3</v>
      </c>
      <c r="E167" s="479">
        <v>2172</v>
      </c>
      <c r="F167" s="479">
        <v>8588</v>
      </c>
      <c r="G167" s="478">
        <v>9.3817146038983629E-4</v>
      </c>
      <c r="H167" s="478">
        <v>2.0636327549361333E-3</v>
      </c>
      <c r="I167" s="479">
        <v>2160</v>
      </c>
      <c r="J167" s="479">
        <v>9867</v>
      </c>
      <c r="K167" s="478">
        <v>9.4660150943625732E-4</v>
      </c>
      <c r="L167" s="471">
        <v>2.2025796408379817E-3</v>
      </c>
      <c r="M167" s="479">
        <v>2179</v>
      </c>
      <c r="N167" s="479">
        <v>10691</v>
      </c>
      <c r="O167" s="478">
        <v>9.5638177159828837E-4</v>
      </c>
      <c r="P167" s="478">
        <v>2.2925943378743997E-3</v>
      </c>
      <c r="Q167" s="479">
        <v>2199</v>
      </c>
      <c r="R167" s="479">
        <v>11258</v>
      </c>
      <c r="S167" s="478">
        <v>9.6522660195847874E-4</v>
      </c>
      <c r="T167" s="478">
        <v>2.2908424482196883E-3</v>
      </c>
      <c r="U167" s="479">
        <v>2218</v>
      </c>
      <c r="V167" s="479">
        <v>11340</v>
      </c>
      <c r="W167" s="478">
        <v>9.6615791348206098E-4</v>
      </c>
      <c r="X167" s="478">
        <v>2.2835571807065381E-3</v>
      </c>
      <c r="Y167" s="479">
        <v>2219</v>
      </c>
      <c r="Z167" s="479">
        <v>11346</v>
      </c>
      <c r="AA167" s="133">
        <v>9.7689627105744395E-4</v>
      </c>
      <c r="AB167" s="478">
        <v>2.2784406808870491E-3</v>
      </c>
      <c r="AC167" s="479">
        <v>2218</v>
      </c>
      <c r="AD167" s="479">
        <v>11370</v>
      </c>
      <c r="AE167" s="478">
        <v>1.0124644440049067E-3</v>
      </c>
      <c r="AF167" s="478">
        <v>2.2918669010041437E-3</v>
      </c>
      <c r="AG167" s="479">
        <v>2283</v>
      </c>
      <c r="AH167" s="479">
        <v>11465</v>
      </c>
      <c r="AI167" s="478">
        <v>1.0194029937270596E-3</v>
      </c>
      <c r="AJ167" s="478">
        <v>2.2983195220228881E-3</v>
      </c>
      <c r="AK167" s="479">
        <v>2286</v>
      </c>
      <c r="AL167" s="479">
        <v>11531</v>
      </c>
      <c r="AM167" s="478">
        <v>1.0217191228041188E-3</v>
      </c>
      <c r="AN167" s="478">
        <v>2.2940157949214632E-3</v>
      </c>
      <c r="AO167" s="479">
        <v>2288</v>
      </c>
      <c r="AP167" s="479">
        <v>11549</v>
      </c>
      <c r="AQ167" s="478">
        <v>1.0251861363358963E-3</v>
      </c>
      <c r="AR167" s="478">
        <v>2.2884503670322319E-3</v>
      </c>
      <c r="AS167" s="479">
        <v>2293</v>
      </c>
      <c r="AT167" s="479">
        <v>11570</v>
      </c>
      <c r="AU167" s="478">
        <v>1.031505192416424E-3</v>
      </c>
      <c r="AV167" s="478">
        <v>2.28439170910491E-3</v>
      </c>
      <c r="AW167" s="479">
        <v>2306</v>
      </c>
      <c r="AX167" s="479">
        <v>11605</v>
      </c>
      <c r="AY167" s="478">
        <v>1.0394684654276012E-3</v>
      </c>
      <c r="AZ167" s="478">
        <v>2.2839572750440085E-3</v>
      </c>
      <c r="BA167" s="479">
        <v>2322</v>
      </c>
      <c r="BB167" s="479">
        <v>11668</v>
      </c>
      <c r="BC167" s="478">
        <v>1.0514418013299149E-3</v>
      </c>
      <c r="BD167" s="478">
        <v>2.2903026155936639E-3</v>
      </c>
      <c r="BE167" s="479">
        <v>2347</v>
      </c>
      <c r="BF167" s="479">
        <v>11775</v>
      </c>
      <c r="BG167" s="478">
        <v>1.0596520450522453E-3</v>
      </c>
      <c r="BH167" s="478">
        <v>2.2869313323505423E-3</v>
      </c>
      <c r="BI167" s="479">
        <v>2364</v>
      </c>
      <c r="BJ167" s="479">
        <v>11835</v>
      </c>
    </row>
    <row r="168" spans="1:62">
      <c r="A168" s="437" t="s">
        <v>1385</v>
      </c>
      <c r="B168" s="462" t="s">
        <v>104</v>
      </c>
      <c r="C168" s="478">
        <v>0</v>
      </c>
      <c r="D168" s="478">
        <v>0</v>
      </c>
      <c r="E168" s="479">
        <v>0</v>
      </c>
      <c r="F168" s="479">
        <v>0</v>
      </c>
      <c r="G168" s="478">
        <v>0</v>
      </c>
      <c r="H168" s="478">
        <v>0</v>
      </c>
      <c r="I168" s="479">
        <v>0</v>
      </c>
      <c r="J168" s="479">
        <v>0</v>
      </c>
      <c r="K168" s="478">
        <v>0</v>
      </c>
      <c r="L168" s="471">
        <v>0</v>
      </c>
      <c r="M168" s="479">
        <v>0</v>
      </c>
      <c r="N168" s="479">
        <v>0</v>
      </c>
      <c r="O168" s="478">
        <v>0</v>
      </c>
      <c r="P168" s="478">
        <v>0</v>
      </c>
      <c r="Q168" s="479">
        <v>0</v>
      </c>
      <c r="R168" s="479">
        <v>0</v>
      </c>
      <c r="S168" s="478">
        <v>0</v>
      </c>
      <c r="T168" s="478">
        <v>0</v>
      </c>
      <c r="U168" s="479">
        <v>0</v>
      </c>
      <c r="V168" s="479">
        <v>0</v>
      </c>
      <c r="W168" s="478">
        <v>0</v>
      </c>
      <c r="X168" s="478">
        <v>0</v>
      </c>
      <c r="Y168" s="479">
        <v>0</v>
      </c>
      <c r="Z168" s="479">
        <v>0</v>
      </c>
      <c r="AA168" s="133">
        <v>1.515114144471419E-4</v>
      </c>
      <c r="AB168" s="478">
        <v>2.7381366282885344E-3</v>
      </c>
      <c r="AC168" s="479">
        <v>344</v>
      </c>
      <c r="AD168" s="479">
        <v>13664</v>
      </c>
      <c r="AE168" s="478">
        <v>1.4191354449477449E-4</v>
      </c>
      <c r="AF168" s="478">
        <v>2.7942185383546376E-3</v>
      </c>
      <c r="AG168" s="479">
        <v>320</v>
      </c>
      <c r="AH168" s="479">
        <v>13978</v>
      </c>
      <c r="AI168" s="478">
        <v>1.5964403838770224E-4</v>
      </c>
      <c r="AJ168" s="478">
        <v>2.8695608497583485E-3</v>
      </c>
      <c r="AK168" s="479">
        <v>358</v>
      </c>
      <c r="AL168" s="479">
        <v>14397</v>
      </c>
      <c r="AM168" s="478">
        <v>1.5540133511181528E-4</v>
      </c>
      <c r="AN168" s="478">
        <v>2.9685744267989671E-3</v>
      </c>
      <c r="AO168" s="479">
        <v>348</v>
      </c>
      <c r="AP168" s="479">
        <v>14945</v>
      </c>
      <c r="AQ168" s="478">
        <v>1.5067061837993766E-4</v>
      </c>
      <c r="AR168" s="478">
        <v>3.043223625510624E-3</v>
      </c>
      <c r="AS168" s="479">
        <v>337</v>
      </c>
      <c r="AT168" s="479">
        <v>15386</v>
      </c>
      <c r="AU168" s="478">
        <v>1.4940274686343693E-4</v>
      </c>
      <c r="AV168" s="478">
        <v>3.0999225019374514E-3</v>
      </c>
      <c r="AW168" s="479">
        <v>334</v>
      </c>
      <c r="AX168" s="479">
        <v>15748</v>
      </c>
      <c r="AY168" s="478">
        <v>1.499663806710794E-4</v>
      </c>
      <c r="AZ168" s="478">
        <v>3.1732286069367861E-3</v>
      </c>
      <c r="BA168" s="479">
        <v>335</v>
      </c>
      <c r="BB168" s="479">
        <v>16211</v>
      </c>
      <c r="BC168" s="478">
        <v>1.4873399149617885E-4</v>
      </c>
      <c r="BD168" s="478">
        <v>3.2217895987000805E-3</v>
      </c>
      <c r="BE168" s="479">
        <v>332</v>
      </c>
      <c r="BF168" s="479">
        <v>16564</v>
      </c>
      <c r="BG168" s="478">
        <v>1.4478325319453267E-4</v>
      </c>
      <c r="BH168" s="478">
        <v>3.2266311269615001E-3</v>
      </c>
      <c r="BI168" s="479">
        <v>323</v>
      </c>
      <c r="BJ168" s="479">
        <v>16698</v>
      </c>
    </row>
    <row r="169" spans="1:62">
      <c r="A169" s="461" t="s">
        <v>1386</v>
      </c>
      <c r="B169" s="462" t="s">
        <v>104</v>
      </c>
      <c r="C169" s="478">
        <v>2.3813152728546995E-3</v>
      </c>
      <c r="D169" s="478">
        <v>6.223817996787789E-3</v>
      </c>
      <c r="E169" s="479">
        <v>5484</v>
      </c>
      <c r="F169" s="479">
        <v>29319</v>
      </c>
      <c r="G169" s="478">
        <v>2.389296853520597E-3</v>
      </c>
      <c r="H169" s="478">
        <v>6.3818475609730592E-3</v>
      </c>
      <c r="I169" s="479">
        <v>5501</v>
      </c>
      <c r="J169" s="479">
        <v>30514</v>
      </c>
      <c r="K169" s="478">
        <v>2.3810568486554045E-3</v>
      </c>
      <c r="L169" s="471">
        <v>6.5484046285693804E-3</v>
      </c>
      <c r="M169" s="479">
        <v>5481</v>
      </c>
      <c r="N169" s="479">
        <v>31785</v>
      </c>
      <c r="O169" s="478">
        <v>2.3724704702449582E-3</v>
      </c>
      <c r="P169" s="478">
        <v>6.5796520746777276E-3</v>
      </c>
      <c r="Q169" s="479">
        <v>5455</v>
      </c>
      <c r="R169" s="479">
        <v>32310</v>
      </c>
      <c r="S169" s="478">
        <v>2.3517062925985659E-3</v>
      </c>
      <c r="T169" s="478">
        <v>6.580212616037028E-3</v>
      </c>
      <c r="U169" s="479">
        <v>5404</v>
      </c>
      <c r="V169" s="479">
        <v>32573</v>
      </c>
      <c r="W169" s="478">
        <v>2.3494313209324927E-3</v>
      </c>
      <c r="X169" s="478">
        <v>6.5866113428346704E-3</v>
      </c>
      <c r="Y169" s="479">
        <v>5396</v>
      </c>
      <c r="Z169" s="479">
        <v>32726</v>
      </c>
      <c r="AA169" s="133">
        <v>2.3607592483624435E-3</v>
      </c>
      <c r="AB169" s="478">
        <v>6.6108846141129064E-3</v>
      </c>
      <c r="AC169" s="479">
        <v>5360</v>
      </c>
      <c r="AD169" s="479">
        <v>32990</v>
      </c>
      <c r="AE169" s="478">
        <v>2.4120867765846199E-3</v>
      </c>
      <c r="AF169" s="478">
        <v>6.6111314566078532E-3</v>
      </c>
      <c r="AG169" s="479">
        <v>5439</v>
      </c>
      <c r="AH169" s="479">
        <v>33072</v>
      </c>
      <c r="AI169" s="478">
        <v>2.4200787606984916E-3</v>
      </c>
      <c r="AJ169" s="478">
        <v>6.6133242338669174E-3</v>
      </c>
      <c r="AK169" s="479">
        <v>5427</v>
      </c>
      <c r="AL169" s="479">
        <v>33180</v>
      </c>
      <c r="AM169" s="478">
        <v>2.4265829166597824E-3</v>
      </c>
      <c r="AN169" s="478">
        <v>6.6101184192048192E-3</v>
      </c>
      <c r="AO169" s="479">
        <v>5434</v>
      </c>
      <c r="AP169" s="479">
        <v>33278</v>
      </c>
      <c r="AQ169" s="478">
        <v>2.4317433037640383E-3</v>
      </c>
      <c r="AR169" s="478">
        <v>6.6100019719835916E-3</v>
      </c>
      <c r="AS169" s="479">
        <v>5439</v>
      </c>
      <c r="AT169" s="479">
        <v>33419</v>
      </c>
      <c r="AU169" s="478">
        <v>2.4369645656048037E-3</v>
      </c>
      <c r="AV169" s="478">
        <v>6.6039687590487405E-3</v>
      </c>
      <c r="AW169" s="479">
        <v>5448</v>
      </c>
      <c r="AX169" s="479">
        <v>33549</v>
      </c>
      <c r="AY169" s="478">
        <v>2.4393039053036171E-3</v>
      </c>
      <c r="AZ169" s="478">
        <v>6.5854623418156993E-3</v>
      </c>
      <c r="BA169" s="479">
        <v>5449</v>
      </c>
      <c r="BB169" s="479">
        <v>33643</v>
      </c>
      <c r="BC169" s="478">
        <v>2.4393270593273909E-3</v>
      </c>
      <c r="BD169" s="478">
        <v>6.6238858236978533E-3</v>
      </c>
      <c r="BE169" s="479">
        <v>5445</v>
      </c>
      <c r="BF169" s="479">
        <v>34055</v>
      </c>
      <c r="BG169" s="478">
        <v>2.4393512813766153E-3</v>
      </c>
      <c r="BH169" s="478">
        <v>6.5873670570198552E-3</v>
      </c>
      <c r="BI169" s="479">
        <v>5442</v>
      </c>
      <c r="BJ169" s="479">
        <v>34090</v>
      </c>
    </row>
    <row r="170" spans="1:62">
      <c r="A170" s="461" t="s">
        <v>1387</v>
      </c>
      <c r="B170" s="462" t="s">
        <v>104</v>
      </c>
      <c r="C170" s="478">
        <v>8.2937858700811014E-5</v>
      </c>
      <c r="D170" s="478">
        <v>9.8816033203885396E-4</v>
      </c>
      <c r="E170" s="479">
        <v>191</v>
      </c>
      <c r="F170" s="479">
        <v>4655</v>
      </c>
      <c r="G170" s="478">
        <v>7.7746616393416991E-5</v>
      </c>
      <c r="H170" s="478">
        <v>1.009124155525169E-3</v>
      </c>
      <c r="I170" s="479">
        <v>179</v>
      </c>
      <c r="J170" s="479">
        <v>4825</v>
      </c>
      <c r="K170" s="478">
        <v>7.7326786911268377E-5</v>
      </c>
      <c r="L170" s="471">
        <v>1.0156877400927182E-3</v>
      </c>
      <c r="M170" s="479">
        <v>178</v>
      </c>
      <c r="N170" s="479">
        <v>4930</v>
      </c>
      <c r="O170" s="478">
        <v>7.7850085091447758E-5</v>
      </c>
      <c r="P170" s="478">
        <v>1.0241123578939738E-3</v>
      </c>
      <c r="Q170" s="479">
        <v>179</v>
      </c>
      <c r="R170" s="479">
        <v>5029</v>
      </c>
      <c r="S170" s="478">
        <v>7.572111304814035E-5</v>
      </c>
      <c r="T170" s="478">
        <v>1.0260307578931038E-3</v>
      </c>
      <c r="U170" s="479">
        <v>174</v>
      </c>
      <c r="V170" s="479">
        <v>5079</v>
      </c>
      <c r="W170" s="478">
        <v>7.4889211860709552E-5</v>
      </c>
      <c r="X170" s="478">
        <v>1.0256484569787167E-3</v>
      </c>
      <c r="Y170" s="479">
        <v>172</v>
      </c>
      <c r="Z170" s="479">
        <v>5096</v>
      </c>
      <c r="AA170" s="133">
        <v>7.3113066273911492E-5</v>
      </c>
      <c r="AB170" s="478">
        <v>1.0219918621393095E-3</v>
      </c>
      <c r="AC170" s="479">
        <v>166</v>
      </c>
      <c r="AD170" s="479">
        <v>5100</v>
      </c>
      <c r="AE170" s="478">
        <v>6.6078494155379363E-5</v>
      </c>
      <c r="AF170" s="478">
        <v>1.0246933915871992E-3</v>
      </c>
      <c r="AG170" s="479">
        <v>149</v>
      </c>
      <c r="AH170" s="479">
        <v>5126</v>
      </c>
      <c r="AI170" s="478">
        <v>6.555216101394477E-5</v>
      </c>
      <c r="AJ170" s="478">
        <v>1.0274769869072923E-3</v>
      </c>
      <c r="AK170" s="479">
        <v>147</v>
      </c>
      <c r="AL170" s="479">
        <v>5155</v>
      </c>
      <c r="AM170" s="478">
        <v>6.3857445175257425E-5</v>
      </c>
      <c r="AN170" s="478">
        <v>1.0315026429151579E-3</v>
      </c>
      <c r="AO170" s="479">
        <v>143</v>
      </c>
      <c r="AP170" s="479">
        <v>5193</v>
      </c>
      <c r="AQ170" s="478">
        <v>6.4381510524365044E-5</v>
      </c>
      <c r="AR170" s="478">
        <v>1.0328684370477369E-3</v>
      </c>
      <c r="AS170" s="479">
        <v>144</v>
      </c>
      <c r="AT170" s="479">
        <v>5222</v>
      </c>
      <c r="AU170" s="478">
        <v>6.4860473937719635E-5</v>
      </c>
      <c r="AV170" s="478">
        <v>1.0328481945431679E-3</v>
      </c>
      <c r="AW170" s="479">
        <v>145</v>
      </c>
      <c r="AX170" s="479">
        <v>5247</v>
      </c>
      <c r="AY170" s="478">
        <v>6.4910821484497058E-5</v>
      </c>
      <c r="AZ170" s="478">
        <v>1.0337314337939157E-3</v>
      </c>
      <c r="BA170" s="479">
        <v>145</v>
      </c>
      <c r="BB170" s="479">
        <v>5281</v>
      </c>
      <c r="BC170" s="478">
        <v>6.4959122792005811E-5</v>
      </c>
      <c r="BD170" s="478">
        <v>1.0328243642294993E-3</v>
      </c>
      <c r="BE170" s="479">
        <v>145</v>
      </c>
      <c r="BF170" s="479">
        <v>5310</v>
      </c>
      <c r="BG170" s="478">
        <v>6.5892068791319821E-5</v>
      </c>
      <c r="BH170" s="478">
        <v>1.0365103224949986E-3</v>
      </c>
      <c r="BI170" s="479">
        <v>147</v>
      </c>
      <c r="BJ170" s="479">
        <v>5364</v>
      </c>
    </row>
    <row r="171" spans="1:62">
      <c r="A171" s="461" t="s">
        <v>1388</v>
      </c>
      <c r="B171" s="462" t="s">
        <v>104</v>
      </c>
      <c r="C171" s="478">
        <v>0</v>
      </c>
      <c r="D171" s="478">
        <v>0</v>
      </c>
      <c r="E171" s="479">
        <v>0</v>
      </c>
      <c r="F171" s="479">
        <v>0</v>
      </c>
      <c r="G171" s="478">
        <v>0</v>
      </c>
      <c r="H171" s="478">
        <v>0</v>
      </c>
      <c r="I171" s="479">
        <v>0</v>
      </c>
      <c r="J171" s="479">
        <v>0</v>
      </c>
      <c r="K171" s="478">
        <v>0</v>
      </c>
      <c r="L171" s="471">
        <v>0</v>
      </c>
      <c r="M171" s="479">
        <v>0</v>
      </c>
      <c r="N171" s="479">
        <v>0</v>
      </c>
      <c r="O171" s="478">
        <v>0</v>
      </c>
      <c r="P171" s="478">
        <v>0</v>
      </c>
      <c r="Q171" s="479">
        <v>0</v>
      </c>
      <c r="R171" s="479">
        <v>0</v>
      </c>
      <c r="S171" s="478">
        <v>0</v>
      </c>
      <c r="T171" s="478">
        <v>0</v>
      </c>
      <c r="U171" s="479">
        <v>0</v>
      </c>
      <c r="V171" s="479">
        <v>0</v>
      </c>
      <c r="W171" s="478">
        <v>0</v>
      </c>
      <c r="X171" s="478">
        <v>0</v>
      </c>
      <c r="Y171" s="479">
        <v>0</v>
      </c>
      <c r="Z171" s="479">
        <v>0</v>
      </c>
      <c r="AA171" s="133">
        <v>0</v>
      </c>
      <c r="AB171" s="478">
        <v>0</v>
      </c>
      <c r="AC171" s="479">
        <v>0</v>
      </c>
      <c r="AD171" s="479">
        <v>0</v>
      </c>
      <c r="AE171" s="478">
        <v>4.732373229074183E-3</v>
      </c>
      <c r="AF171" s="478">
        <v>5.2975808760148983E-3</v>
      </c>
      <c r="AG171" s="479">
        <v>10671</v>
      </c>
      <c r="AH171" s="479">
        <v>26501</v>
      </c>
      <c r="AI171" s="478">
        <v>4.7585517699306442E-3</v>
      </c>
      <c r="AJ171" s="478">
        <v>5.2890648544271406E-3</v>
      </c>
      <c r="AK171" s="479">
        <v>10671</v>
      </c>
      <c r="AL171" s="479">
        <v>26536</v>
      </c>
      <c r="AM171" s="478">
        <v>4.7589426100190096E-3</v>
      </c>
      <c r="AN171" s="478">
        <v>5.2701382865058674E-3</v>
      </c>
      <c r="AO171" s="479">
        <v>10657</v>
      </c>
      <c r="AP171" s="479">
        <v>26532</v>
      </c>
      <c r="AQ171" s="478">
        <v>4.7619963096875838E-3</v>
      </c>
      <c r="AR171" s="478">
        <v>5.2571065086732668E-3</v>
      </c>
      <c r="AS171" s="479">
        <v>10651</v>
      </c>
      <c r="AT171" s="479">
        <v>26579</v>
      </c>
      <c r="AU171" s="478">
        <v>4.7705996865226195E-3</v>
      </c>
      <c r="AV171" s="478">
        <v>5.3278195604165015E-3</v>
      </c>
      <c r="AW171" s="479">
        <v>10665</v>
      </c>
      <c r="AX171" s="479">
        <v>27066</v>
      </c>
      <c r="AY171" s="478">
        <v>4.7841513738263453E-3</v>
      </c>
      <c r="AZ171" s="478">
        <v>5.3808451777240954E-3</v>
      </c>
      <c r="BA171" s="479">
        <v>10687</v>
      </c>
      <c r="BB171" s="479">
        <v>27489</v>
      </c>
      <c r="BC171" s="478">
        <v>4.7921912862488704E-3</v>
      </c>
      <c r="BD171" s="478">
        <v>5.5048955096842359E-3</v>
      </c>
      <c r="BE171" s="479">
        <v>10697</v>
      </c>
      <c r="BF171" s="479">
        <v>28302</v>
      </c>
      <c r="BG171" s="478">
        <v>4.8002596237159455E-3</v>
      </c>
      <c r="BH171" s="478">
        <v>5.6111459255424627E-3</v>
      </c>
      <c r="BI171" s="479">
        <v>10709</v>
      </c>
      <c r="BJ171" s="479">
        <v>29038</v>
      </c>
    </row>
    <row r="172" spans="1:62">
      <c r="A172" s="461" t="s">
        <v>1389</v>
      </c>
      <c r="B172" s="462" t="s">
        <v>104</v>
      </c>
      <c r="C172" s="478">
        <v>1.1515769700238261E-3</v>
      </c>
      <c r="D172" s="478">
        <v>2.8281976592381634E-3</v>
      </c>
      <c r="E172" s="479">
        <v>2652</v>
      </c>
      <c r="F172" s="479">
        <v>13323</v>
      </c>
      <c r="G172" s="478">
        <v>1.1740173414045035E-3</v>
      </c>
      <c r="H172" s="478">
        <v>2.9742496612898302E-3</v>
      </c>
      <c r="I172" s="479">
        <v>2703</v>
      </c>
      <c r="J172" s="479">
        <v>14221</v>
      </c>
      <c r="K172" s="478">
        <v>1.172065567902259E-3</v>
      </c>
      <c r="L172" s="471">
        <v>3.3429106025850796E-3</v>
      </c>
      <c r="M172" s="479">
        <v>2698</v>
      </c>
      <c r="N172" s="479">
        <v>16226</v>
      </c>
      <c r="O172" s="478">
        <v>1.1807987766663723E-3</v>
      </c>
      <c r="P172" s="478">
        <v>3.6464020442333453E-3</v>
      </c>
      <c r="Q172" s="479">
        <v>2715</v>
      </c>
      <c r="R172" s="479">
        <v>17906</v>
      </c>
      <c r="S172" s="478">
        <v>1.1897788682391707E-3</v>
      </c>
      <c r="T172" s="478">
        <v>3.7002963954179918E-3</v>
      </c>
      <c r="U172" s="479">
        <v>2734</v>
      </c>
      <c r="V172" s="479">
        <v>18317</v>
      </c>
      <c r="W172" s="478">
        <v>1.1795050868061755E-3</v>
      </c>
      <c r="X172" s="478">
        <v>3.6966415245934239E-3</v>
      </c>
      <c r="Y172" s="479">
        <v>2709</v>
      </c>
      <c r="Z172" s="479">
        <v>18367</v>
      </c>
      <c r="AA172" s="133">
        <v>1.1794987438646686E-3</v>
      </c>
      <c r="AB172" s="478">
        <v>3.7288675628800532E-3</v>
      </c>
      <c r="AC172" s="479">
        <v>2678</v>
      </c>
      <c r="AD172" s="479">
        <v>18608</v>
      </c>
      <c r="AE172" s="478">
        <v>1.172117181561528E-3</v>
      </c>
      <c r="AF172" s="478">
        <v>3.7607406898029615E-3</v>
      </c>
      <c r="AG172" s="479">
        <v>2643</v>
      </c>
      <c r="AH172" s="479">
        <v>18813</v>
      </c>
      <c r="AI172" s="478">
        <v>1.1826144966597383E-3</v>
      </c>
      <c r="AJ172" s="478">
        <v>3.8266790827610289E-3</v>
      </c>
      <c r="AK172" s="479">
        <v>2652</v>
      </c>
      <c r="AL172" s="479">
        <v>19199</v>
      </c>
      <c r="AM172" s="478">
        <v>1.189624013614586E-3</v>
      </c>
      <c r="AN172" s="478">
        <v>3.9516105484602645E-3</v>
      </c>
      <c r="AO172" s="479">
        <v>2664</v>
      </c>
      <c r="AP172" s="479">
        <v>19894</v>
      </c>
      <c r="AQ172" s="478">
        <v>1.1897166632314957E-3</v>
      </c>
      <c r="AR172" s="478">
        <v>4.0280286710986518E-3</v>
      </c>
      <c r="AS172" s="479">
        <v>2661</v>
      </c>
      <c r="AT172" s="479">
        <v>20365</v>
      </c>
      <c r="AU172" s="478">
        <v>1.1903015251604962E-3</v>
      </c>
      <c r="AV172" s="478">
        <v>4.0977322023642319E-3</v>
      </c>
      <c r="AW172" s="479">
        <v>2661</v>
      </c>
      <c r="AX172" s="479">
        <v>20817</v>
      </c>
      <c r="AY172" s="478">
        <v>1.1916731502878012E-3</v>
      </c>
      <c r="AZ172" s="478">
        <v>4.1558704924973726E-3</v>
      </c>
      <c r="BA172" s="479">
        <v>2662</v>
      </c>
      <c r="BB172" s="479">
        <v>21231</v>
      </c>
      <c r="BC172" s="478">
        <v>1.1970398351740658E-3</v>
      </c>
      <c r="BD172" s="478">
        <v>4.2583095679993282E-3</v>
      </c>
      <c r="BE172" s="479">
        <v>2672</v>
      </c>
      <c r="BF172" s="479">
        <v>21893</v>
      </c>
      <c r="BG172" s="478">
        <v>1.1945739001963762E-3</v>
      </c>
      <c r="BH172" s="478">
        <v>4.3502902480107948E-3</v>
      </c>
      <c r="BI172" s="479">
        <v>2665</v>
      </c>
      <c r="BJ172" s="479">
        <v>22513</v>
      </c>
    </row>
    <row r="173" spans="1:62">
      <c r="A173" s="461" t="s">
        <v>1390</v>
      </c>
      <c r="B173" s="462" t="s">
        <v>104</v>
      </c>
      <c r="C173" s="478">
        <v>0</v>
      </c>
      <c r="D173" s="478">
        <v>0</v>
      </c>
      <c r="E173" s="479">
        <v>0</v>
      </c>
      <c r="F173" s="479">
        <v>0</v>
      </c>
      <c r="G173" s="478">
        <v>0</v>
      </c>
      <c r="H173" s="478">
        <v>0</v>
      </c>
      <c r="I173" s="479">
        <v>0</v>
      </c>
      <c r="J173" s="479">
        <v>0</v>
      </c>
      <c r="K173" s="478">
        <v>0</v>
      </c>
      <c r="L173" s="471">
        <v>0</v>
      </c>
      <c r="M173" s="479">
        <v>0</v>
      </c>
      <c r="N173" s="479">
        <v>0</v>
      </c>
      <c r="O173" s="478">
        <v>0</v>
      </c>
      <c r="P173" s="478">
        <v>0</v>
      </c>
      <c r="Q173" s="479">
        <v>0</v>
      </c>
      <c r="R173" s="479">
        <v>0</v>
      </c>
      <c r="S173" s="478">
        <v>1.7441966729709571E-3</v>
      </c>
      <c r="T173" s="478">
        <v>4.8154154707418613E-3</v>
      </c>
      <c r="U173" s="479">
        <v>4008</v>
      </c>
      <c r="V173" s="479">
        <v>23837</v>
      </c>
      <c r="W173" s="478">
        <v>1.7420449805505751E-3</v>
      </c>
      <c r="X173" s="478">
        <v>4.8873276061252302E-3</v>
      </c>
      <c r="Y173" s="479">
        <v>4001</v>
      </c>
      <c r="Z173" s="479">
        <v>24283</v>
      </c>
      <c r="AA173" s="133">
        <v>1.7533922700990461E-3</v>
      </c>
      <c r="AB173" s="478">
        <v>5.019382777032436E-3</v>
      </c>
      <c r="AC173" s="479">
        <v>3981</v>
      </c>
      <c r="AD173" s="479">
        <v>25048</v>
      </c>
      <c r="AE173" s="478">
        <v>1.7761367053174119E-3</v>
      </c>
      <c r="AF173" s="478">
        <v>5.0890839568917129E-3</v>
      </c>
      <c r="AG173" s="479">
        <v>4005</v>
      </c>
      <c r="AH173" s="479">
        <v>25458</v>
      </c>
      <c r="AI173" s="478">
        <v>1.771246146580875E-3</v>
      </c>
      <c r="AJ173" s="478">
        <v>5.1571172762830807E-3</v>
      </c>
      <c r="AK173" s="479">
        <v>3972</v>
      </c>
      <c r="AL173" s="479">
        <v>25874</v>
      </c>
      <c r="AM173" s="478">
        <v>1.764787575752569E-3</v>
      </c>
      <c r="AN173" s="478">
        <v>5.2349801952684362E-3</v>
      </c>
      <c r="AO173" s="479">
        <v>3952</v>
      </c>
      <c r="AP173" s="479">
        <v>26355</v>
      </c>
      <c r="AQ173" s="478">
        <v>1.7669147888353519E-3</v>
      </c>
      <c r="AR173" s="478">
        <v>5.3546178337334988E-3</v>
      </c>
      <c r="AS173" s="479">
        <v>3952</v>
      </c>
      <c r="AT173" s="479">
        <v>27072</v>
      </c>
      <c r="AU173" s="478">
        <v>1.7740457905999728E-3</v>
      </c>
      <c r="AV173" s="478">
        <v>5.4333287337107912E-3</v>
      </c>
      <c r="AW173" s="479">
        <v>3966</v>
      </c>
      <c r="AX173" s="479">
        <v>27602</v>
      </c>
      <c r="AY173" s="478">
        <v>1.7798994911886917E-3</v>
      </c>
      <c r="AZ173" s="478">
        <v>5.5249137888341735E-3</v>
      </c>
      <c r="BA173" s="479">
        <v>3976</v>
      </c>
      <c r="BB173" s="479">
        <v>28225</v>
      </c>
      <c r="BC173" s="478">
        <v>1.7843599040038563E-3</v>
      </c>
      <c r="BD173" s="478">
        <v>5.6151801451867081E-3</v>
      </c>
      <c r="BE173" s="479">
        <v>3983</v>
      </c>
      <c r="BF173" s="479">
        <v>28869</v>
      </c>
      <c r="BG173" s="478">
        <v>1.7907402368797462E-3</v>
      </c>
      <c r="BH173" s="478">
        <v>5.7512410008237593E-3</v>
      </c>
      <c r="BI173" s="479">
        <v>3995</v>
      </c>
      <c r="BJ173" s="479">
        <v>29763</v>
      </c>
    </row>
    <row r="174" spans="1:62">
      <c r="A174" s="461" t="s">
        <v>1391</v>
      </c>
      <c r="B174" s="462" t="s">
        <v>104</v>
      </c>
      <c r="C174" s="478">
        <v>2.5610863383109077E-3</v>
      </c>
      <c r="D174" s="478">
        <v>1.043374188615289E-2</v>
      </c>
      <c r="E174" s="479">
        <v>5898</v>
      </c>
      <c r="F174" s="479">
        <v>49151</v>
      </c>
      <c r="G174" s="478">
        <v>2.5378406680823212E-3</v>
      </c>
      <c r="H174" s="478">
        <v>1.0523334924228894E-2</v>
      </c>
      <c r="I174" s="479">
        <v>5843</v>
      </c>
      <c r="J174" s="479">
        <v>50316</v>
      </c>
      <c r="K174" s="478">
        <v>2.5287597000589507E-3</v>
      </c>
      <c r="L174" s="471">
        <v>1.0744245706607574E-2</v>
      </c>
      <c r="M174" s="479">
        <v>5821</v>
      </c>
      <c r="N174" s="479">
        <v>52151</v>
      </c>
      <c r="O174" s="478">
        <v>2.5194723068980829E-3</v>
      </c>
      <c r="P174" s="478">
        <v>1.0729048257705686E-2</v>
      </c>
      <c r="Q174" s="479">
        <v>5793</v>
      </c>
      <c r="R174" s="479">
        <v>52686</v>
      </c>
      <c r="S174" s="478">
        <v>2.4948801212930382E-3</v>
      </c>
      <c r="T174" s="478">
        <v>1.070029477930339E-2</v>
      </c>
      <c r="U174" s="479">
        <v>5733</v>
      </c>
      <c r="V174" s="479">
        <v>52968</v>
      </c>
      <c r="W174" s="478">
        <v>2.4952911231030605E-3</v>
      </c>
      <c r="X174" s="478">
        <v>1.0672902673690024E-2</v>
      </c>
      <c r="Y174" s="479">
        <v>5731</v>
      </c>
      <c r="Z174" s="479">
        <v>53029</v>
      </c>
      <c r="AA174" s="133">
        <v>2.5272456281909888E-3</v>
      </c>
      <c r="AB174" s="478">
        <v>1.071187744914839E-2</v>
      </c>
      <c r="AC174" s="479">
        <v>5738</v>
      </c>
      <c r="AD174" s="479">
        <v>53455</v>
      </c>
      <c r="AE174" s="478">
        <v>2.5473481236812021E-3</v>
      </c>
      <c r="AF174" s="478">
        <v>1.0692713522434508E-2</v>
      </c>
      <c r="AG174" s="479">
        <v>5744</v>
      </c>
      <c r="AH174" s="479">
        <v>53490</v>
      </c>
      <c r="AI174" s="478">
        <v>2.5476156181814045E-3</v>
      </c>
      <c r="AJ174" s="478">
        <v>1.0663237889923032E-2</v>
      </c>
      <c r="AK174" s="479">
        <v>5713</v>
      </c>
      <c r="AL174" s="479">
        <v>53499</v>
      </c>
      <c r="AM174" s="478">
        <v>2.5516184736463004E-3</v>
      </c>
      <c r="AN174" s="478">
        <v>1.0647737179562303E-2</v>
      </c>
      <c r="AO174" s="479">
        <v>5714</v>
      </c>
      <c r="AP174" s="479">
        <v>53605</v>
      </c>
      <c r="AQ174" s="478">
        <v>2.5506702607048792E-3</v>
      </c>
      <c r="AR174" s="478">
        <v>1.0607175132515518E-2</v>
      </c>
      <c r="AS174" s="479">
        <v>5705</v>
      </c>
      <c r="AT174" s="479">
        <v>53628</v>
      </c>
      <c r="AU174" s="478">
        <v>2.5528187914659719E-3</v>
      </c>
      <c r="AV174" s="478">
        <v>1.0563712285145627E-2</v>
      </c>
      <c r="AW174" s="479">
        <v>5707</v>
      </c>
      <c r="AX174" s="479">
        <v>53665</v>
      </c>
      <c r="AY174" s="478">
        <v>2.5565910448135357E-3</v>
      </c>
      <c r="AZ174" s="478">
        <v>1.0510549012983204E-2</v>
      </c>
      <c r="BA174" s="479">
        <v>5711</v>
      </c>
      <c r="BB174" s="479">
        <v>53695</v>
      </c>
      <c r="BC174" s="478">
        <v>2.5558054864027115E-3</v>
      </c>
      <c r="BD174" s="478">
        <v>1.0460701908215953E-2</v>
      </c>
      <c r="BE174" s="479">
        <v>5705</v>
      </c>
      <c r="BF174" s="479">
        <v>53781</v>
      </c>
      <c r="BG174" s="478">
        <v>2.5567915672495799E-3</v>
      </c>
      <c r="BH174" s="478">
        <v>1.0432735330258198E-2</v>
      </c>
      <c r="BI174" s="479">
        <v>5704</v>
      </c>
      <c r="BJ174" s="479">
        <v>53990</v>
      </c>
    </row>
    <row r="175" spans="1:62">
      <c r="A175" s="461" t="s">
        <v>1392</v>
      </c>
      <c r="B175" s="462" t="s">
        <v>104</v>
      </c>
      <c r="C175" s="478">
        <v>5.1065404100604061E-4</v>
      </c>
      <c r="D175" s="478">
        <v>6.1497325068024912E-3</v>
      </c>
      <c r="E175" s="479">
        <v>1176</v>
      </c>
      <c r="F175" s="479">
        <v>28970</v>
      </c>
      <c r="G175" s="478">
        <v>5.0383282132046765E-4</v>
      </c>
      <c r="H175" s="478">
        <v>6.9712178967802976E-3</v>
      </c>
      <c r="I175" s="479">
        <v>1160</v>
      </c>
      <c r="J175" s="479">
        <v>33332</v>
      </c>
      <c r="K175" s="478">
        <v>4.8872267008526367E-4</v>
      </c>
      <c r="L175" s="471">
        <v>7.2408440797766061E-3</v>
      </c>
      <c r="M175" s="479">
        <v>1125</v>
      </c>
      <c r="N175" s="479">
        <v>35146</v>
      </c>
      <c r="O175" s="478">
        <v>4.8232259422578526E-4</v>
      </c>
      <c r="P175" s="478">
        <v>7.4573463006715685E-3</v>
      </c>
      <c r="Q175" s="479">
        <v>1109</v>
      </c>
      <c r="R175" s="479">
        <v>36620</v>
      </c>
      <c r="S175" s="478">
        <v>4.7608561881991692E-4</v>
      </c>
      <c r="T175" s="478">
        <v>7.4525104724226209E-3</v>
      </c>
      <c r="U175" s="479">
        <v>1094</v>
      </c>
      <c r="V175" s="479">
        <v>36891</v>
      </c>
      <c r="W175" s="478">
        <v>4.7110539089120773E-4</v>
      </c>
      <c r="X175" s="478">
        <v>7.466946184048349E-3</v>
      </c>
      <c r="Y175" s="479">
        <v>1082</v>
      </c>
      <c r="Z175" s="479">
        <v>37100</v>
      </c>
      <c r="AA175" s="133">
        <v>4.699496488811058E-4</v>
      </c>
      <c r="AB175" s="478">
        <v>7.49761284743966E-3</v>
      </c>
      <c r="AC175" s="479">
        <v>1067</v>
      </c>
      <c r="AD175" s="479">
        <v>37415</v>
      </c>
      <c r="AE175" s="478">
        <v>4.7940169249641005E-4</v>
      </c>
      <c r="AF175" s="478">
        <v>7.5122859258382659E-3</v>
      </c>
      <c r="AG175" s="479">
        <v>1081</v>
      </c>
      <c r="AH175" s="479">
        <v>37580</v>
      </c>
      <c r="AI175" s="478">
        <v>4.6377039084695621E-4</v>
      </c>
      <c r="AJ175" s="478">
        <v>7.5146338235458259E-3</v>
      </c>
      <c r="AK175" s="479">
        <v>1040</v>
      </c>
      <c r="AL175" s="479">
        <v>37702</v>
      </c>
      <c r="AM175" s="478">
        <v>4.6218500528945062E-4</v>
      </c>
      <c r="AN175" s="478">
        <v>7.5087353952395146E-3</v>
      </c>
      <c r="AO175" s="479">
        <v>1035</v>
      </c>
      <c r="AP175" s="479">
        <v>37802</v>
      </c>
      <c r="AQ175" s="478">
        <v>4.6095373160153034E-4</v>
      </c>
      <c r="AR175" s="478">
        <v>7.4834502711032405E-3</v>
      </c>
      <c r="AS175" s="479">
        <v>1031</v>
      </c>
      <c r="AT175" s="479">
        <v>37835</v>
      </c>
      <c r="AU175" s="478">
        <v>4.6162764899121834E-4</v>
      </c>
      <c r="AV175" s="478">
        <v>7.4771752753425257E-3</v>
      </c>
      <c r="AW175" s="479">
        <v>1032</v>
      </c>
      <c r="AX175" s="479">
        <v>37985</v>
      </c>
      <c r="AY175" s="478">
        <v>4.6377662798578588E-4</v>
      </c>
      <c r="AZ175" s="478">
        <v>7.5778914971527857E-3</v>
      </c>
      <c r="BA175" s="479">
        <v>1036</v>
      </c>
      <c r="BB175" s="479">
        <v>38713</v>
      </c>
      <c r="BC175" s="478">
        <v>4.6591370830128311E-4</v>
      </c>
      <c r="BD175" s="478">
        <v>7.5835761086523448E-3</v>
      </c>
      <c r="BE175" s="479">
        <v>1040</v>
      </c>
      <c r="BF175" s="479">
        <v>38989</v>
      </c>
      <c r="BG175" s="478">
        <v>4.6169272690516609E-4</v>
      </c>
      <c r="BH175" s="478">
        <v>7.5896748576875575E-3</v>
      </c>
      <c r="BI175" s="479">
        <v>1030</v>
      </c>
      <c r="BJ175" s="479">
        <v>39277</v>
      </c>
    </row>
    <row r="176" spans="1:62">
      <c r="A176" s="461" t="s">
        <v>1393</v>
      </c>
      <c r="B176" s="462" t="s">
        <v>104</v>
      </c>
      <c r="C176" s="478">
        <v>1.5198036934703587E-3</v>
      </c>
      <c r="D176" s="478">
        <v>1.7092732531851455E-3</v>
      </c>
      <c r="E176" s="479">
        <v>3500</v>
      </c>
      <c r="F176" s="479">
        <v>8052</v>
      </c>
      <c r="G176" s="478">
        <v>1.5128014798786111E-3</v>
      </c>
      <c r="H176" s="478">
        <v>1.7428044741950744E-3</v>
      </c>
      <c r="I176" s="479">
        <v>3483</v>
      </c>
      <c r="J176" s="479">
        <v>8333</v>
      </c>
      <c r="K176" s="478">
        <v>1.5096100253744809E-3</v>
      </c>
      <c r="L176" s="471">
        <v>1.7349100323165881E-3</v>
      </c>
      <c r="M176" s="479">
        <v>3475</v>
      </c>
      <c r="N176" s="479">
        <v>8421</v>
      </c>
      <c r="O176" s="478">
        <v>1.5204687010039182E-3</v>
      </c>
      <c r="P176" s="478">
        <v>1.7228058357094886E-3</v>
      </c>
      <c r="Q176" s="479">
        <v>3496</v>
      </c>
      <c r="R176" s="479">
        <v>8460</v>
      </c>
      <c r="S176" s="478">
        <v>1.5396626319788538E-3</v>
      </c>
      <c r="T176" s="478">
        <v>1.7203539937424043E-3</v>
      </c>
      <c r="U176" s="479">
        <v>3538</v>
      </c>
      <c r="V176" s="479">
        <v>8516</v>
      </c>
      <c r="W176" s="478">
        <v>1.5456785006134821E-3</v>
      </c>
      <c r="X176" s="478">
        <v>1.7184039493101024E-3</v>
      </c>
      <c r="Y176" s="479">
        <v>3550</v>
      </c>
      <c r="Z176" s="479">
        <v>8538</v>
      </c>
      <c r="AA176" s="133">
        <v>1.5512302374500982E-3</v>
      </c>
      <c r="AB176" s="478">
        <v>1.7097322681907036E-3</v>
      </c>
      <c r="AC176" s="479">
        <v>3522</v>
      </c>
      <c r="AD176" s="479">
        <v>8532</v>
      </c>
      <c r="AE176" s="478">
        <v>1.5535098323912343E-3</v>
      </c>
      <c r="AF176" s="478">
        <v>1.7077556855890448E-3</v>
      </c>
      <c r="AG176" s="479">
        <v>3503</v>
      </c>
      <c r="AH176" s="479">
        <v>8543</v>
      </c>
      <c r="AI176" s="478">
        <v>1.5736977974027966E-3</v>
      </c>
      <c r="AJ176" s="478">
        <v>1.7045554203746194E-3</v>
      </c>
      <c r="AK176" s="479">
        <v>3529</v>
      </c>
      <c r="AL176" s="479">
        <v>8552</v>
      </c>
      <c r="AM176" s="478">
        <v>1.5758945735907936E-3</v>
      </c>
      <c r="AN176" s="478">
        <v>1.6995063764263607E-3</v>
      </c>
      <c r="AO176" s="479">
        <v>3529</v>
      </c>
      <c r="AP176" s="479">
        <v>8556</v>
      </c>
      <c r="AQ176" s="478">
        <v>1.5737702572622568E-3</v>
      </c>
      <c r="AR176" s="478">
        <v>1.6919104960755153E-3</v>
      </c>
      <c r="AS176" s="479">
        <v>3520</v>
      </c>
      <c r="AT176" s="479">
        <v>8554</v>
      </c>
      <c r="AU176" s="478">
        <v>1.5745439190398144E-3</v>
      </c>
      <c r="AV176" s="478">
        <v>1.6842098632573557E-3</v>
      </c>
      <c r="AW176" s="479">
        <v>3520</v>
      </c>
      <c r="AX176" s="479">
        <v>8556</v>
      </c>
      <c r="AY176" s="478">
        <v>1.575766149140894E-3</v>
      </c>
      <c r="AZ176" s="478">
        <v>1.6771465489010169E-3</v>
      </c>
      <c r="BA176" s="479">
        <v>3520</v>
      </c>
      <c r="BB176" s="479">
        <v>8568</v>
      </c>
      <c r="BC176" s="478">
        <v>1.5738027473676996E-3</v>
      </c>
      <c r="BD176" s="478">
        <v>1.6702189859959908E-3</v>
      </c>
      <c r="BE176" s="479">
        <v>3513</v>
      </c>
      <c r="BF176" s="479">
        <v>8587</v>
      </c>
      <c r="BG176" s="478">
        <v>1.5733412344049835E-3</v>
      </c>
      <c r="BH176" s="478">
        <v>1.6625903830624475E-3</v>
      </c>
      <c r="BI176" s="479">
        <v>3510</v>
      </c>
      <c r="BJ176" s="479">
        <v>8604</v>
      </c>
    </row>
    <row r="177" spans="1:62">
      <c r="A177" s="461" t="s">
        <v>1394</v>
      </c>
      <c r="B177" s="462" t="s">
        <v>104</v>
      </c>
      <c r="C177" s="478">
        <v>1.8485155208866622E-3</v>
      </c>
      <c r="D177" s="478">
        <v>7.6870594938326479E-3</v>
      </c>
      <c r="E177" s="479">
        <v>4257</v>
      </c>
      <c r="F177" s="479">
        <v>36212</v>
      </c>
      <c r="G177" s="478">
        <v>1.8281313318429728E-3</v>
      </c>
      <c r="H177" s="478">
        <v>7.6831471455694536E-3</v>
      </c>
      <c r="I177" s="479">
        <v>4209</v>
      </c>
      <c r="J177" s="479">
        <v>36736</v>
      </c>
      <c r="K177" s="478">
        <v>1.8154418118100594E-3</v>
      </c>
      <c r="L177" s="471">
        <v>7.6495914380613839E-3</v>
      </c>
      <c r="M177" s="479">
        <v>4179</v>
      </c>
      <c r="N177" s="479">
        <v>37130</v>
      </c>
      <c r="O177" s="478">
        <v>1.7835932902794819E-3</v>
      </c>
      <c r="P177" s="478">
        <v>7.7061960324962724E-3</v>
      </c>
      <c r="Q177" s="479">
        <v>4101</v>
      </c>
      <c r="R177" s="479">
        <v>37842</v>
      </c>
      <c r="S177" s="478">
        <v>1.7807516930631628E-3</v>
      </c>
      <c r="T177" s="478">
        <v>7.7440171437436972E-3</v>
      </c>
      <c r="U177" s="479">
        <v>4092</v>
      </c>
      <c r="V177" s="479">
        <v>38334</v>
      </c>
      <c r="W177" s="478">
        <v>1.7773125745082347E-3</v>
      </c>
      <c r="X177" s="478">
        <v>7.7509316575171414E-3</v>
      </c>
      <c r="Y177" s="479">
        <v>4082</v>
      </c>
      <c r="Z177" s="479">
        <v>38511</v>
      </c>
      <c r="AA177" s="133">
        <v>1.7864252819697894E-3</v>
      </c>
      <c r="AB177" s="478">
        <v>7.7979982986841351E-3</v>
      </c>
      <c r="AC177" s="479">
        <v>4056</v>
      </c>
      <c r="AD177" s="479">
        <v>38914</v>
      </c>
      <c r="AE177" s="478">
        <v>1.7242495656115098E-3</v>
      </c>
      <c r="AF177" s="478">
        <v>7.7983444984799513E-3</v>
      </c>
      <c r="AG177" s="479">
        <v>3888</v>
      </c>
      <c r="AH177" s="479">
        <v>39011</v>
      </c>
      <c r="AI177" s="478">
        <v>1.7217475760193249E-3</v>
      </c>
      <c r="AJ177" s="478">
        <v>7.7934777235813841E-3</v>
      </c>
      <c r="AK177" s="479">
        <v>3861</v>
      </c>
      <c r="AL177" s="479">
        <v>39101</v>
      </c>
      <c r="AM177" s="478">
        <v>1.7053956861839729E-3</v>
      </c>
      <c r="AN177" s="478">
        <v>7.7967536567890971E-3</v>
      </c>
      <c r="AO177" s="479">
        <v>3819</v>
      </c>
      <c r="AP177" s="479">
        <v>39252</v>
      </c>
      <c r="AQ177" s="478">
        <v>1.6958268709646989E-3</v>
      </c>
      <c r="AR177" s="478">
        <v>7.8072353403194688E-3</v>
      </c>
      <c r="AS177" s="479">
        <v>3793</v>
      </c>
      <c r="AT177" s="479">
        <v>39472</v>
      </c>
      <c r="AU177" s="478">
        <v>1.6935293401945278E-3</v>
      </c>
      <c r="AV177" s="478">
        <v>7.8124031151189724E-3</v>
      </c>
      <c r="AW177" s="479">
        <v>3786</v>
      </c>
      <c r="AX177" s="479">
        <v>39688</v>
      </c>
      <c r="AY177" s="478">
        <v>1.6903673236238683E-3</v>
      </c>
      <c r="AZ177" s="478">
        <v>7.7986923033106226E-3</v>
      </c>
      <c r="BA177" s="479">
        <v>3776</v>
      </c>
      <c r="BB177" s="479">
        <v>39841</v>
      </c>
      <c r="BC177" s="478">
        <v>1.6889371925921512E-3</v>
      </c>
      <c r="BD177" s="478">
        <v>7.7747750446292936E-3</v>
      </c>
      <c r="BE177" s="479">
        <v>3770</v>
      </c>
      <c r="BF177" s="479">
        <v>39972</v>
      </c>
      <c r="BG177" s="478">
        <v>1.6970569554009308E-3</v>
      </c>
      <c r="BH177" s="478">
        <v>8.1013600429908315E-3</v>
      </c>
      <c r="BI177" s="479">
        <v>3786</v>
      </c>
      <c r="BJ177" s="479">
        <v>41925</v>
      </c>
    </row>
    <row r="178" spans="1:62">
      <c r="A178" s="461" t="s">
        <v>1395</v>
      </c>
      <c r="B178" s="462" t="s">
        <v>104</v>
      </c>
      <c r="C178" s="478">
        <v>2.5897454936734915E-3</v>
      </c>
      <c r="D178" s="478">
        <v>7.4815730918103901E-3</v>
      </c>
      <c r="E178" s="479">
        <v>5964</v>
      </c>
      <c r="F178" s="479">
        <v>35244</v>
      </c>
      <c r="G178" s="478">
        <v>2.5630323091483443E-3</v>
      </c>
      <c r="H178" s="478">
        <v>7.4677278957889512E-3</v>
      </c>
      <c r="I178" s="479">
        <v>5901</v>
      </c>
      <c r="J178" s="479">
        <v>35706</v>
      </c>
      <c r="K178" s="478">
        <v>2.5561281695837255E-3</v>
      </c>
      <c r="L178" s="471">
        <v>7.5228879978672617E-3</v>
      </c>
      <c r="M178" s="479">
        <v>5884</v>
      </c>
      <c r="N178" s="479">
        <v>36515</v>
      </c>
      <c r="O178" s="478">
        <v>2.5416530573989984E-3</v>
      </c>
      <c r="P178" s="478">
        <v>7.5530577359887623E-3</v>
      </c>
      <c r="Q178" s="479">
        <v>5844</v>
      </c>
      <c r="R178" s="479">
        <v>37090</v>
      </c>
      <c r="S178" s="478">
        <v>2.5375276447339445E-3</v>
      </c>
      <c r="T178" s="478">
        <v>7.5494773485377392E-3</v>
      </c>
      <c r="U178" s="479">
        <v>5831</v>
      </c>
      <c r="V178" s="479">
        <v>37371</v>
      </c>
      <c r="W178" s="478">
        <v>2.5318649242443373E-3</v>
      </c>
      <c r="X178" s="478">
        <v>7.5355776840149383E-3</v>
      </c>
      <c r="Y178" s="479">
        <v>5815</v>
      </c>
      <c r="Z178" s="479">
        <v>37441</v>
      </c>
      <c r="AA178" s="133">
        <v>2.5439823542054989E-3</v>
      </c>
      <c r="AB178" s="478">
        <v>7.5124417489687402E-3</v>
      </c>
      <c r="AC178" s="479">
        <v>5776</v>
      </c>
      <c r="AD178" s="479">
        <v>37489</v>
      </c>
      <c r="AE178" s="478">
        <v>2.5047740603327696E-3</v>
      </c>
      <c r="AF178" s="478">
        <v>7.5310766357113042E-3</v>
      </c>
      <c r="AG178" s="479">
        <v>5648</v>
      </c>
      <c r="AH178" s="479">
        <v>37674</v>
      </c>
      <c r="AI178" s="478">
        <v>2.5150625042084933E-3</v>
      </c>
      <c r="AJ178" s="478">
        <v>7.5287853009600681E-3</v>
      </c>
      <c r="AK178" s="479">
        <v>5640</v>
      </c>
      <c r="AL178" s="479">
        <v>37773</v>
      </c>
      <c r="AM178" s="478">
        <v>2.5038370286550237E-3</v>
      </c>
      <c r="AN178" s="478">
        <v>7.532174122731136E-3</v>
      </c>
      <c r="AO178" s="479">
        <v>5607</v>
      </c>
      <c r="AP178" s="479">
        <v>37920</v>
      </c>
      <c r="AQ178" s="478">
        <v>2.5014899401654338E-3</v>
      </c>
      <c r="AR178" s="478">
        <v>7.5295357452189286E-3</v>
      </c>
      <c r="AS178" s="479">
        <v>5595</v>
      </c>
      <c r="AT178" s="479">
        <v>38068</v>
      </c>
      <c r="AU178" s="478">
        <v>2.5071928029028866E-3</v>
      </c>
      <c r="AV178" s="478">
        <v>7.5330793895506945E-3</v>
      </c>
      <c r="AW178" s="479">
        <v>5605</v>
      </c>
      <c r="AX178" s="479">
        <v>38269</v>
      </c>
      <c r="AY178" s="478">
        <v>2.5069006918150586E-3</v>
      </c>
      <c r="AZ178" s="478">
        <v>7.5183848969116659E-3</v>
      </c>
      <c r="BA178" s="479">
        <v>5600</v>
      </c>
      <c r="BB178" s="479">
        <v>38409</v>
      </c>
      <c r="BC178" s="478">
        <v>2.5101101034731626E-3</v>
      </c>
      <c r="BD178" s="478">
        <v>7.5088859851374437E-3</v>
      </c>
      <c r="BE178" s="479">
        <v>5603</v>
      </c>
      <c r="BF178" s="479">
        <v>38605</v>
      </c>
      <c r="BG178" s="478">
        <v>2.5043468594360806E-3</v>
      </c>
      <c r="BH178" s="478">
        <v>7.4841687734067469E-3</v>
      </c>
      <c r="BI178" s="479">
        <v>5587</v>
      </c>
      <c r="BJ178" s="479">
        <v>38731</v>
      </c>
    </row>
    <row r="179" spans="1:62">
      <c r="A179" s="461" t="s">
        <v>1396</v>
      </c>
      <c r="B179" s="462" t="s">
        <v>104</v>
      </c>
      <c r="C179" s="478">
        <v>1.1433266071164156E-3</v>
      </c>
      <c r="D179" s="478">
        <v>3.0918486006758124E-3</v>
      </c>
      <c r="E179" s="479">
        <v>2633</v>
      </c>
      <c r="F179" s="479">
        <v>14565</v>
      </c>
      <c r="G179" s="478">
        <v>1.1614215208714917E-3</v>
      </c>
      <c r="H179" s="478">
        <v>3.4101076385156235E-3</v>
      </c>
      <c r="I179" s="479">
        <v>2674</v>
      </c>
      <c r="J179" s="479">
        <v>16305</v>
      </c>
      <c r="K179" s="478">
        <v>1.1698934671463244E-3</v>
      </c>
      <c r="L179" s="471">
        <v>3.5899308055001244E-3</v>
      </c>
      <c r="M179" s="479">
        <v>2693</v>
      </c>
      <c r="N179" s="479">
        <v>17425</v>
      </c>
      <c r="O179" s="478">
        <v>1.1681861930482049E-3</v>
      </c>
      <c r="P179" s="478">
        <v>3.7221566270801455E-3</v>
      </c>
      <c r="Q179" s="479">
        <v>2686</v>
      </c>
      <c r="R179" s="479">
        <v>18278</v>
      </c>
      <c r="S179" s="478">
        <v>1.159316351495666E-3</v>
      </c>
      <c r="T179" s="478">
        <v>3.7899907558244768E-3</v>
      </c>
      <c r="U179" s="479">
        <v>2664</v>
      </c>
      <c r="V179" s="479">
        <v>18761</v>
      </c>
      <c r="W179" s="478">
        <v>1.159041174262842E-3</v>
      </c>
      <c r="X179" s="478">
        <v>3.7992868764496141E-3</v>
      </c>
      <c r="Y179" s="479">
        <v>2662</v>
      </c>
      <c r="Z179" s="479">
        <v>18877</v>
      </c>
      <c r="AA179" s="133">
        <v>1.1698090603825839E-3</v>
      </c>
      <c r="AB179" s="478">
        <v>3.8470979939902871E-3</v>
      </c>
      <c r="AC179" s="479">
        <v>2656</v>
      </c>
      <c r="AD179" s="479">
        <v>19198</v>
      </c>
      <c r="AE179" s="478">
        <v>1.1659084639898815E-3</v>
      </c>
      <c r="AF179" s="478">
        <v>3.8494968087777401E-3</v>
      </c>
      <c r="AG179" s="479">
        <v>2629</v>
      </c>
      <c r="AH179" s="479">
        <v>19257</v>
      </c>
      <c r="AI179" s="478">
        <v>1.1647771739348553E-3</v>
      </c>
      <c r="AJ179" s="478">
        <v>3.8637519672546773E-3</v>
      </c>
      <c r="AK179" s="479">
        <v>2612</v>
      </c>
      <c r="AL179" s="479">
        <v>19385</v>
      </c>
      <c r="AM179" s="478">
        <v>1.1757807912339358E-3</v>
      </c>
      <c r="AN179" s="478">
        <v>3.8729517680646543E-3</v>
      </c>
      <c r="AO179" s="479">
        <v>2633</v>
      </c>
      <c r="AP179" s="479">
        <v>19498</v>
      </c>
      <c r="AQ179" s="478">
        <v>1.1830102558852077E-3</v>
      </c>
      <c r="AR179" s="478">
        <v>3.910540380863808E-3</v>
      </c>
      <c r="AS179" s="479">
        <v>2646</v>
      </c>
      <c r="AT179" s="479">
        <v>19771</v>
      </c>
      <c r="AU179" s="478">
        <v>1.1898542115471326E-3</v>
      </c>
      <c r="AV179" s="478">
        <v>3.9666331176366259E-3</v>
      </c>
      <c r="AW179" s="479">
        <v>2660</v>
      </c>
      <c r="AX179" s="479">
        <v>20151</v>
      </c>
      <c r="AY179" s="478">
        <v>1.1921208111256253E-3</v>
      </c>
      <c r="AZ179" s="478">
        <v>3.9885081793192253E-3</v>
      </c>
      <c r="BA179" s="479">
        <v>2663</v>
      </c>
      <c r="BB179" s="479">
        <v>20376</v>
      </c>
      <c r="BC179" s="478">
        <v>1.1947998654226173E-3</v>
      </c>
      <c r="BD179" s="478">
        <v>3.9992282020570123E-3</v>
      </c>
      <c r="BE179" s="479">
        <v>2667</v>
      </c>
      <c r="BF179" s="479">
        <v>20561</v>
      </c>
      <c r="BG179" s="478">
        <v>1.2021940714171413E-3</v>
      </c>
      <c r="BH179" s="478">
        <v>4.010197375603786E-3</v>
      </c>
      <c r="BI179" s="479">
        <v>2682</v>
      </c>
      <c r="BJ179" s="479">
        <v>20753</v>
      </c>
    </row>
    <row r="180" spans="1:62">
      <c r="A180" s="461" t="s">
        <v>1397</v>
      </c>
      <c r="B180" s="462" t="s">
        <v>104</v>
      </c>
      <c r="C180" s="478">
        <v>4.2511080454499467E-4</v>
      </c>
      <c r="D180" s="478">
        <v>2.9848598128460421E-3</v>
      </c>
      <c r="E180" s="479">
        <v>979</v>
      </c>
      <c r="F180" s="479">
        <v>14061</v>
      </c>
      <c r="G180" s="478">
        <v>4.1653075486752452E-4</v>
      </c>
      <c r="H180" s="478">
        <v>3.005412251792058E-3</v>
      </c>
      <c r="I180" s="479">
        <v>959</v>
      </c>
      <c r="J180" s="479">
        <v>14370</v>
      </c>
      <c r="K180" s="478">
        <v>4.0487958090619177E-4</v>
      </c>
      <c r="L180" s="471">
        <v>2.9937035600988409E-3</v>
      </c>
      <c r="M180" s="479">
        <v>932</v>
      </c>
      <c r="N180" s="479">
        <v>14531</v>
      </c>
      <c r="O180" s="478">
        <v>3.9751384231052092E-4</v>
      </c>
      <c r="P180" s="478">
        <v>2.9792729759373308E-3</v>
      </c>
      <c r="Q180" s="479">
        <v>914</v>
      </c>
      <c r="R180" s="479">
        <v>14630</v>
      </c>
      <c r="S180" s="478">
        <v>3.947071812336971E-4</v>
      </c>
      <c r="T180" s="478">
        <v>2.9744589248312777E-3</v>
      </c>
      <c r="U180" s="479">
        <v>907</v>
      </c>
      <c r="V180" s="479">
        <v>14724</v>
      </c>
      <c r="W180" s="478">
        <v>3.8837893592879604E-4</v>
      </c>
      <c r="X180" s="478">
        <v>2.9640354838943407E-3</v>
      </c>
      <c r="Y180" s="479">
        <v>892</v>
      </c>
      <c r="Z180" s="479">
        <v>14727</v>
      </c>
      <c r="AA180" s="133">
        <v>3.8802777944166284E-4</v>
      </c>
      <c r="AB180" s="478">
        <v>2.9725935848969641E-3</v>
      </c>
      <c r="AC180" s="479">
        <v>881</v>
      </c>
      <c r="AD180" s="479">
        <v>14834</v>
      </c>
      <c r="AE180" s="478">
        <v>2.5455742043750174E-4</v>
      </c>
      <c r="AF180" s="478">
        <v>2.9693319622778498E-3</v>
      </c>
      <c r="AG180" s="479">
        <v>574</v>
      </c>
      <c r="AH180" s="479">
        <v>14854</v>
      </c>
      <c r="AI180" s="478">
        <v>2.5284404962521557E-4</v>
      </c>
      <c r="AJ180" s="478">
        <v>2.9600505785761779E-3</v>
      </c>
      <c r="AK180" s="479">
        <v>567</v>
      </c>
      <c r="AL180" s="479">
        <v>14851</v>
      </c>
      <c r="AM180" s="478">
        <v>2.415865583203795E-4</v>
      </c>
      <c r="AN180" s="478">
        <v>2.953875563795747E-3</v>
      </c>
      <c r="AO180" s="479">
        <v>541</v>
      </c>
      <c r="AP180" s="479">
        <v>14871</v>
      </c>
      <c r="AQ180" s="478">
        <v>2.391951953509396E-4</v>
      </c>
      <c r="AR180" s="478">
        <v>2.9474924260600105E-3</v>
      </c>
      <c r="AS180" s="479">
        <v>535</v>
      </c>
      <c r="AT180" s="479">
        <v>14902</v>
      </c>
      <c r="AU180" s="478">
        <v>2.3662890146933577E-4</v>
      </c>
      <c r="AV180" s="478">
        <v>2.9335880776208941E-3</v>
      </c>
      <c r="AW180" s="479">
        <v>529</v>
      </c>
      <c r="AX180" s="479">
        <v>14903</v>
      </c>
      <c r="AY180" s="478">
        <v>2.3546960069548587E-4</v>
      </c>
      <c r="AZ180" s="478">
        <v>2.9201298105164999E-3</v>
      </c>
      <c r="BA180" s="479">
        <v>526</v>
      </c>
      <c r="BB180" s="479">
        <v>14918</v>
      </c>
      <c r="BC180" s="478">
        <v>2.3519682390209001E-4</v>
      </c>
      <c r="BD180" s="478">
        <v>2.9152488834410053E-3</v>
      </c>
      <c r="BE180" s="479">
        <v>525</v>
      </c>
      <c r="BF180" s="479">
        <v>14988</v>
      </c>
      <c r="BG180" s="478">
        <v>2.303981180866557E-4</v>
      </c>
      <c r="BH180" s="478">
        <v>2.9321416169908851E-3</v>
      </c>
      <c r="BI180" s="479">
        <v>514</v>
      </c>
      <c r="BJ180" s="479">
        <v>15174</v>
      </c>
    </row>
    <row r="181" spans="1:62">
      <c r="A181" s="461" t="s">
        <v>1398</v>
      </c>
      <c r="B181" s="462" t="s">
        <v>104</v>
      </c>
      <c r="C181" s="478">
        <v>0</v>
      </c>
      <c r="D181" s="478">
        <v>0</v>
      </c>
      <c r="E181" s="479">
        <v>0</v>
      </c>
      <c r="F181" s="479">
        <v>0</v>
      </c>
      <c r="G181" s="478">
        <v>0</v>
      </c>
      <c r="H181" s="478">
        <v>0</v>
      </c>
      <c r="I181" s="479">
        <v>0</v>
      </c>
      <c r="J181" s="479">
        <v>0</v>
      </c>
      <c r="K181" s="478">
        <v>9.9916634772987239E-6</v>
      </c>
      <c r="L181" s="471">
        <v>2.6782841016643682E-5</v>
      </c>
      <c r="M181" s="479">
        <v>23</v>
      </c>
      <c r="N181" s="479">
        <v>130</v>
      </c>
      <c r="O181" s="478">
        <v>3.1748917383663048E-5</v>
      </c>
      <c r="P181" s="478">
        <v>8.2067464750700217E-5</v>
      </c>
      <c r="Q181" s="479">
        <v>73</v>
      </c>
      <c r="R181" s="479">
        <v>403</v>
      </c>
      <c r="S181" s="478">
        <v>5.9184318244523495E-5</v>
      </c>
      <c r="T181" s="478">
        <v>1.0565349210043183E-4</v>
      </c>
      <c r="U181" s="479">
        <v>136</v>
      </c>
      <c r="V181" s="479">
        <v>523</v>
      </c>
      <c r="W181" s="478">
        <v>5.8343920868227206E-5</v>
      </c>
      <c r="X181" s="478">
        <v>1.0385294423096895E-4</v>
      </c>
      <c r="Y181" s="479">
        <v>134</v>
      </c>
      <c r="Z181" s="479">
        <v>516</v>
      </c>
      <c r="AA181" s="133">
        <v>6.0340301683890815E-5</v>
      </c>
      <c r="AB181" s="478">
        <v>9.6989031622632507E-5</v>
      </c>
      <c r="AC181" s="479">
        <v>137</v>
      </c>
      <c r="AD181" s="479">
        <v>484</v>
      </c>
      <c r="AE181" s="478">
        <v>6.0756736236825322E-5</v>
      </c>
      <c r="AF181" s="478">
        <v>9.7151968066987675E-5</v>
      </c>
      <c r="AG181" s="479">
        <v>137</v>
      </c>
      <c r="AH181" s="479">
        <v>486</v>
      </c>
      <c r="AI181" s="478">
        <v>6.1092830332724036E-5</v>
      </c>
      <c r="AJ181" s="478">
        <v>9.7266492650001672E-5</v>
      </c>
      <c r="AK181" s="479">
        <v>137</v>
      </c>
      <c r="AL181" s="479">
        <v>488</v>
      </c>
      <c r="AM181" s="478">
        <v>6.3410889614591294E-5</v>
      </c>
      <c r="AN181" s="478">
        <v>9.8124842210685156E-5</v>
      </c>
      <c r="AO181" s="479">
        <v>142</v>
      </c>
      <c r="AP181" s="479">
        <v>494</v>
      </c>
      <c r="AQ181" s="478">
        <v>6.4381510524365044E-5</v>
      </c>
      <c r="AR181" s="478">
        <v>9.8698075466645095E-5</v>
      </c>
      <c r="AS181" s="479">
        <v>144</v>
      </c>
      <c r="AT181" s="479">
        <v>499</v>
      </c>
      <c r="AU181" s="478">
        <v>1.2480049812843983E-4</v>
      </c>
      <c r="AV181" s="478">
        <v>1.2814640263914662E-4</v>
      </c>
      <c r="AW181" s="479">
        <v>279</v>
      </c>
      <c r="AX181" s="479">
        <v>651</v>
      </c>
      <c r="AY181" s="478">
        <v>1.2400205207728059E-4</v>
      </c>
      <c r="AZ181" s="478">
        <v>1.2703876169896825E-4</v>
      </c>
      <c r="BA181" s="479">
        <v>277</v>
      </c>
      <c r="BB181" s="479">
        <v>649</v>
      </c>
      <c r="BC181" s="478">
        <v>1.2499031213082499E-4</v>
      </c>
      <c r="BD181" s="478">
        <v>1.2720661661131687E-4</v>
      </c>
      <c r="BE181" s="479">
        <v>279</v>
      </c>
      <c r="BF181" s="479">
        <v>654</v>
      </c>
      <c r="BG181" s="478">
        <v>1.039929248951442E-4</v>
      </c>
      <c r="BH181" s="478">
        <v>1.1806633240947877E-4</v>
      </c>
      <c r="BI181" s="479">
        <v>232</v>
      </c>
      <c r="BJ181" s="479">
        <v>611</v>
      </c>
    </row>
    <row r="182" spans="1:62">
      <c r="A182" s="461" t="s">
        <v>1399</v>
      </c>
      <c r="B182" s="462" t="s">
        <v>104</v>
      </c>
      <c r="C182" s="478">
        <v>1.1511427403971203E-3</v>
      </c>
      <c r="D182" s="478">
        <v>2.2168331573537599E-3</v>
      </c>
      <c r="E182" s="479">
        <v>2651</v>
      </c>
      <c r="F182" s="479">
        <v>10443</v>
      </c>
      <c r="G182" s="478">
        <v>1.1418762821133702E-3</v>
      </c>
      <c r="H182" s="478">
        <v>2.4509691147356388E-3</v>
      </c>
      <c r="I182" s="479">
        <v>2629</v>
      </c>
      <c r="J182" s="479">
        <v>11719</v>
      </c>
      <c r="K182" s="478">
        <v>1.1342710147489985E-3</v>
      </c>
      <c r="L182" s="471">
        <v>2.8004550610710582E-3</v>
      </c>
      <c r="M182" s="479">
        <v>2611</v>
      </c>
      <c r="N182" s="479">
        <v>13593</v>
      </c>
      <c r="O182" s="478">
        <v>1.1290436921642367E-3</v>
      </c>
      <c r="P182" s="478">
        <v>2.9110531231048625E-3</v>
      </c>
      <c r="Q182" s="479">
        <v>2596</v>
      </c>
      <c r="R182" s="479">
        <v>14295</v>
      </c>
      <c r="S182" s="478">
        <v>1.113622576380409E-3</v>
      </c>
      <c r="T182" s="478">
        <v>2.9417326041424247E-3</v>
      </c>
      <c r="U182" s="479">
        <v>2559</v>
      </c>
      <c r="V182" s="479">
        <v>14562</v>
      </c>
      <c r="W182" s="478">
        <v>1.1098407036799339E-3</v>
      </c>
      <c r="X182" s="478">
        <v>2.9352545322954477E-3</v>
      </c>
      <c r="Y182" s="479">
        <v>2549</v>
      </c>
      <c r="Z182" s="479">
        <v>14584</v>
      </c>
      <c r="AA182" s="133">
        <v>1.0988981949000554E-3</v>
      </c>
      <c r="AB182" s="478">
        <v>2.9369240650026903E-3</v>
      </c>
      <c r="AC182" s="479">
        <v>2495</v>
      </c>
      <c r="AD182" s="479">
        <v>14656</v>
      </c>
      <c r="AE182" s="478">
        <v>1.1016038891406869E-3</v>
      </c>
      <c r="AF182" s="478">
        <v>2.9351488624024284E-3</v>
      </c>
      <c r="AG182" s="479">
        <v>2484</v>
      </c>
      <c r="AH182" s="479">
        <v>14683</v>
      </c>
      <c r="AI182" s="478">
        <v>1.1041302766702534E-3</v>
      </c>
      <c r="AJ182" s="478">
        <v>2.9343387393305832E-3</v>
      </c>
      <c r="AK182" s="479">
        <v>2476</v>
      </c>
      <c r="AL182" s="479">
        <v>14722</v>
      </c>
      <c r="AM182" s="478">
        <v>1.1083509015733493E-3</v>
      </c>
      <c r="AN182" s="478">
        <v>2.9340122354130174E-3</v>
      </c>
      <c r="AO182" s="479">
        <v>2482</v>
      </c>
      <c r="AP182" s="479">
        <v>14771</v>
      </c>
      <c r="AQ182" s="478">
        <v>1.1070043059606101E-3</v>
      </c>
      <c r="AR182" s="478">
        <v>2.9267242939477905E-3</v>
      </c>
      <c r="AS182" s="479">
        <v>2476</v>
      </c>
      <c r="AT182" s="479">
        <v>14797</v>
      </c>
      <c r="AU182" s="478">
        <v>1.1142582108886869E-3</v>
      </c>
      <c r="AV182" s="478">
        <v>2.9392965963252493E-3</v>
      </c>
      <c r="AW182" s="479">
        <v>2491</v>
      </c>
      <c r="AX182" s="479">
        <v>14932</v>
      </c>
      <c r="AY182" s="478">
        <v>1.1128848428307565E-3</v>
      </c>
      <c r="AZ182" s="478">
        <v>2.9445979849577492E-3</v>
      </c>
      <c r="BA182" s="479">
        <v>2486</v>
      </c>
      <c r="BB182" s="479">
        <v>15043</v>
      </c>
      <c r="BC182" s="478">
        <v>1.101169129812071E-3</v>
      </c>
      <c r="BD182" s="478">
        <v>2.9930510954356945E-3</v>
      </c>
      <c r="BE182" s="479">
        <v>2458</v>
      </c>
      <c r="BF182" s="479">
        <v>15388</v>
      </c>
      <c r="BG182" s="478">
        <v>1.1017871094494158E-3</v>
      </c>
      <c r="BH182" s="478">
        <v>3.0216092305843201E-3</v>
      </c>
      <c r="BI182" s="479">
        <v>2458</v>
      </c>
      <c r="BJ182" s="479">
        <v>15637</v>
      </c>
    </row>
    <row r="183" spans="1:62">
      <c r="A183" s="461" t="s">
        <v>1400</v>
      </c>
      <c r="B183" s="462" t="s">
        <v>104</v>
      </c>
      <c r="C183" s="478">
        <v>2.7877542034513439E-4</v>
      </c>
      <c r="D183" s="478">
        <v>6.2138408677639813E-3</v>
      </c>
      <c r="E183" s="479">
        <v>642</v>
      </c>
      <c r="F183" s="479">
        <v>29272</v>
      </c>
      <c r="G183" s="478">
        <v>2.7884540628253469E-4</v>
      </c>
      <c r="H183" s="478">
        <v>6.4830736938796254E-3</v>
      </c>
      <c r="I183" s="479">
        <v>642</v>
      </c>
      <c r="J183" s="479">
        <v>30998</v>
      </c>
      <c r="K183" s="478">
        <v>2.7455353555012142E-4</v>
      </c>
      <c r="L183" s="471">
        <v>6.702714997196043E-3</v>
      </c>
      <c r="M183" s="479">
        <v>632</v>
      </c>
      <c r="N183" s="479">
        <v>32534</v>
      </c>
      <c r="O183" s="478">
        <v>2.6312458927556362E-4</v>
      </c>
      <c r="P183" s="478">
        <v>6.8885760052653511E-3</v>
      </c>
      <c r="Q183" s="479">
        <v>605</v>
      </c>
      <c r="R183" s="479">
        <v>33827</v>
      </c>
      <c r="S183" s="478">
        <v>2.6067210756227624E-4</v>
      </c>
      <c r="T183" s="478">
        <v>6.9771707651332974E-3</v>
      </c>
      <c r="U183" s="479">
        <v>599</v>
      </c>
      <c r="V183" s="479">
        <v>34538</v>
      </c>
      <c r="W183" s="478">
        <v>2.5296879122716425E-4</v>
      </c>
      <c r="X183" s="478">
        <v>7.0197344745886337E-3</v>
      </c>
      <c r="Y183" s="479">
        <v>581</v>
      </c>
      <c r="Z183" s="479">
        <v>34878</v>
      </c>
      <c r="AA183" s="133">
        <v>2.404803264190101E-4</v>
      </c>
      <c r="AB183" s="478">
        <v>7.1435227257925695E-3</v>
      </c>
      <c r="AC183" s="479">
        <v>546</v>
      </c>
      <c r="AD183" s="479">
        <v>35648</v>
      </c>
      <c r="AE183" s="478">
        <v>2.4701826338621681E-4</v>
      </c>
      <c r="AF183" s="478">
        <v>7.215432690078025E-3</v>
      </c>
      <c r="AG183" s="479">
        <v>557</v>
      </c>
      <c r="AH183" s="479">
        <v>36095</v>
      </c>
      <c r="AI183" s="478">
        <v>2.4570912053526237E-4</v>
      </c>
      <c r="AJ183" s="478">
        <v>7.2782443557529945E-3</v>
      </c>
      <c r="AK183" s="479">
        <v>551</v>
      </c>
      <c r="AL183" s="479">
        <v>36516</v>
      </c>
      <c r="AM183" s="478">
        <v>2.4024689163838111E-4</v>
      </c>
      <c r="AN183" s="478">
        <v>7.3206296754550638E-3</v>
      </c>
      <c r="AO183" s="479">
        <v>538</v>
      </c>
      <c r="AP183" s="479">
        <v>36855</v>
      </c>
      <c r="AQ183" s="478">
        <v>2.3785391388168197E-4</v>
      </c>
      <c r="AR183" s="478">
        <v>7.4537815109429265E-3</v>
      </c>
      <c r="AS183" s="479">
        <v>532</v>
      </c>
      <c r="AT183" s="479">
        <v>37685</v>
      </c>
      <c r="AU183" s="478">
        <v>2.3752352869606293E-4</v>
      </c>
      <c r="AV183" s="478">
        <v>7.4826869485743169E-3</v>
      </c>
      <c r="AW183" s="479">
        <v>531</v>
      </c>
      <c r="AX183" s="479">
        <v>38013</v>
      </c>
      <c r="AY183" s="478">
        <v>2.3949854823590293E-4</v>
      </c>
      <c r="AZ183" s="478">
        <v>7.4856954158581566E-3</v>
      </c>
      <c r="BA183" s="479">
        <v>535</v>
      </c>
      <c r="BB183" s="479">
        <v>38242</v>
      </c>
      <c r="BC183" s="478">
        <v>2.374367936535385E-4</v>
      </c>
      <c r="BD183" s="478">
        <v>7.5011057639379746E-3</v>
      </c>
      <c r="BE183" s="479">
        <v>530</v>
      </c>
      <c r="BF183" s="479">
        <v>38565</v>
      </c>
      <c r="BG183" s="478">
        <v>2.3801828930742057E-4</v>
      </c>
      <c r="BH183" s="478">
        <v>7.4735408711440283E-3</v>
      </c>
      <c r="BI183" s="479">
        <v>531</v>
      </c>
      <c r="BJ183" s="479">
        <v>38676</v>
      </c>
    </row>
    <row r="184" spans="1:62">
      <c r="A184" s="461" t="s">
        <v>1401</v>
      </c>
      <c r="B184" s="462" t="s">
        <v>104</v>
      </c>
      <c r="C184" s="478">
        <v>0</v>
      </c>
      <c r="D184" s="478">
        <v>0</v>
      </c>
      <c r="E184" s="479">
        <v>0</v>
      </c>
      <c r="F184" s="479">
        <v>0</v>
      </c>
      <c r="G184" s="478">
        <v>0</v>
      </c>
      <c r="H184" s="478">
        <v>0</v>
      </c>
      <c r="I184" s="479">
        <v>0</v>
      </c>
      <c r="J184" s="479">
        <v>0</v>
      </c>
      <c r="K184" s="478">
        <v>0</v>
      </c>
      <c r="L184" s="471">
        <v>0</v>
      </c>
      <c r="M184" s="479">
        <v>0</v>
      </c>
      <c r="N184" s="479">
        <v>0</v>
      </c>
      <c r="O184" s="478">
        <v>0</v>
      </c>
      <c r="P184" s="478">
        <v>0</v>
      </c>
      <c r="Q184" s="479">
        <v>0</v>
      </c>
      <c r="R184" s="479">
        <v>0</v>
      </c>
      <c r="S184" s="478">
        <v>7.5547041523891753E-4</v>
      </c>
      <c r="T184" s="478">
        <v>2.0205472810487938E-3</v>
      </c>
      <c r="U184" s="479">
        <v>1736</v>
      </c>
      <c r="V184" s="479">
        <v>10002</v>
      </c>
      <c r="W184" s="478">
        <v>7.4715050902893947E-4</v>
      </c>
      <c r="X184" s="478">
        <v>2.0545171602901766E-3</v>
      </c>
      <c r="Y184" s="479">
        <v>1716</v>
      </c>
      <c r="Z184" s="479">
        <v>10208</v>
      </c>
      <c r="AA184" s="133">
        <v>7.5006958954500766E-4</v>
      </c>
      <c r="AB184" s="478">
        <v>2.06201887478696E-3</v>
      </c>
      <c r="AC184" s="479">
        <v>1703</v>
      </c>
      <c r="AD184" s="479">
        <v>10290</v>
      </c>
      <c r="AE184" s="478">
        <v>7.481504673833892E-4</v>
      </c>
      <c r="AF184" s="478">
        <v>2.0659785801899542E-3</v>
      </c>
      <c r="AG184" s="479">
        <v>1687</v>
      </c>
      <c r="AH184" s="479">
        <v>10335</v>
      </c>
      <c r="AI184" s="478">
        <v>7.4738382217259477E-4</v>
      </c>
      <c r="AJ184" s="478">
        <v>2.067510918562433E-3</v>
      </c>
      <c r="AK184" s="479">
        <v>1676</v>
      </c>
      <c r="AL184" s="479">
        <v>10373</v>
      </c>
      <c r="AM184" s="478">
        <v>7.4619434187311298E-4</v>
      </c>
      <c r="AN184" s="478">
        <v>2.0818754477939091E-3</v>
      </c>
      <c r="AO184" s="479">
        <v>1671</v>
      </c>
      <c r="AP184" s="479">
        <v>10481</v>
      </c>
      <c r="AQ184" s="478">
        <v>7.4709377837648609E-4</v>
      </c>
      <c r="AR184" s="478">
        <v>2.1464359017315283E-3</v>
      </c>
      <c r="AS184" s="479">
        <v>1671</v>
      </c>
      <c r="AT184" s="479">
        <v>10852</v>
      </c>
      <c r="AU184" s="478">
        <v>7.496976159973662E-4</v>
      </c>
      <c r="AV184" s="478">
        <v>2.1473872602003848E-3</v>
      </c>
      <c r="AW184" s="479">
        <v>1676</v>
      </c>
      <c r="AX184" s="479">
        <v>10909</v>
      </c>
      <c r="AY184" s="478">
        <v>7.5207020754451768E-4</v>
      </c>
      <c r="AZ184" s="478">
        <v>2.1659228015394202E-3</v>
      </c>
      <c r="BA184" s="479">
        <v>1680</v>
      </c>
      <c r="BB184" s="479">
        <v>11065</v>
      </c>
      <c r="BC184" s="478">
        <v>7.5352582438726744E-4</v>
      </c>
      <c r="BD184" s="478">
        <v>2.1829355630409927E-3</v>
      </c>
      <c r="BE184" s="479">
        <v>1682</v>
      </c>
      <c r="BF184" s="479">
        <v>11223</v>
      </c>
      <c r="BG184" s="478">
        <v>7.5484519622165012E-4</v>
      </c>
      <c r="BH184" s="478">
        <v>2.187801989427363E-3</v>
      </c>
      <c r="BI184" s="479">
        <v>1684</v>
      </c>
      <c r="BJ184" s="479">
        <v>11322</v>
      </c>
    </row>
    <row r="185" spans="1:62">
      <c r="A185" s="461" t="s">
        <v>1402</v>
      </c>
      <c r="B185" s="462" t="s">
        <v>104</v>
      </c>
      <c r="C185" s="478">
        <v>2.4234355466451637E-2</v>
      </c>
      <c r="D185" s="478">
        <v>3.4382035733406015E-2</v>
      </c>
      <c r="E185" s="479">
        <v>55810</v>
      </c>
      <c r="F185" s="479">
        <v>161966</v>
      </c>
      <c r="G185" s="478">
        <v>2.4271711828474461E-2</v>
      </c>
      <c r="H185" s="478">
        <v>3.5839279671491919E-2</v>
      </c>
      <c r="I185" s="479">
        <v>55882</v>
      </c>
      <c r="J185" s="479">
        <v>171361</v>
      </c>
      <c r="K185" s="478">
        <v>2.4356200196444792E-2</v>
      </c>
      <c r="L185" s="471">
        <v>3.71500667304785E-2</v>
      </c>
      <c r="M185" s="479">
        <v>56066</v>
      </c>
      <c r="N185" s="479">
        <v>180321</v>
      </c>
      <c r="O185" s="478">
        <v>2.433924196632788E-2</v>
      </c>
      <c r="P185" s="478">
        <v>3.7949176820563868E-2</v>
      </c>
      <c r="Q185" s="479">
        <v>55963</v>
      </c>
      <c r="R185" s="479">
        <v>186353</v>
      </c>
      <c r="S185" s="478">
        <v>2.1801588054515719E-2</v>
      </c>
      <c r="T185" s="478">
        <v>3.1603929097820185E-2</v>
      </c>
      <c r="U185" s="479">
        <v>50098</v>
      </c>
      <c r="V185" s="479">
        <v>156444</v>
      </c>
      <c r="W185" s="478">
        <v>2.173136891383648E-2</v>
      </c>
      <c r="X185" s="478">
        <v>3.1697890980170527E-2</v>
      </c>
      <c r="Y185" s="479">
        <v>49911</v>
      </c>
      <c r="Z185" s="479">
        <v>157493</v>
      </c>
      <c r="AA185" s="133">
        <v>2.1757303378704542E-2</v>
      </c>
      <c r="AB185" s="478">
        <v>2.9427153522214797E-2</v>
      </c>
      <c r="AC185" s="479">
        <v>49399</v>
      </c>
      <c r="AD185" s="479">
        <v>146849</v>
      </c>
      <c r="AE185" s="478">
        <v>1.7160451888204059E-2</v>
      </c>
      <c r="AF185" s="478">
        <v>2.4181844496081139E-2</v>
      </c>
      <c r="AG185" s="479">
        <v>38695</v>
      </c>
      <c r="AH185" s="479">
        <v>120969</v>
      </c>
      <c r="AI185" s="478">
        <v>1.7214800161784519E-2</v>
      </c>
      <c r="AJ185" s="478">
        <v>2.4224140267849598E-2</v>
      </c>
      <c r="AK185" s="479">
        <v>38604</v>
      </c>
      <c r="AL185" s="479">
        <v>121536</v>
      </c>
      <c r="AM185" s="478">
        <v>1.7166935418688262E-2</v>
      </c>
      <c r="AN185" s="478">
        <v>2.4250343089339491E-2</v>
      </c>
      <c r="AO185" s="479">
        <v>38443</v>
      </c>
      <c r="AP185" s="479">
        <v>122086</v>
      </c>
      <c r="AQ185" s="478">
        <v>1.7182262715013007E-2</v>
      </c>
      <c r="AR185" s="478">
        <v>2.4306230657204574E-2</v>
      </c>
      <c r="AS185" s="479">
        <v>38431</v>
      </c>
      <c r="AT185" s="479">
        <v>122888</v>
      </c>
      <c r="AU185" s="478">
        <v>1.7136584527958892E-2</v>
      </c>
      <c r="AV185" s="478">
        <v>2.4338761609699916E-2</v>
      </c>
      <c r="AW185" s="479">
        <v>38310</v>
      </c>
      <c r="AX185" s="479">
        <v>123644</v>
      </c>
      <c r="AY185" s="478">
        <v>1.7155706287933659E-2</v>
      </c>
      <c r="AZ185" s="478">
        <v>2.4436072196382743E-2</v>
      </c>
      <c r="BA185" s="479">
        <v>38323</v>
      </c>
      <c r="BB185" s="479">
        <v>124836</v>
      </c>
      <c r="BC185" s="478">
        <v>1.7206551642726615E-2</v>
      </c>
      <c r="BD185" s="478">
        <v>2.4620704491249392E-2</v>
      </c>
      <c r="BE185" s="479">
        <v>38408</v>
      </c>
      <c r="BF185" s="479">
        <v>126581</v>
      </c>
      <c r="BG185" s="478">
        <v>1.725251588917761E-2</v>
      </c>
      <c r="BH185" s="478">
        <v>2.4411518559119251E-2</v>
      </c>
      <c r="BI185" s="479">
        <v>38489</v>
      </c>
      <c r="BJ185" s="479">
        <v>126331</v>
      </c>
    </row>
    <row r="186" spans="1:62" s="95" customFormat="1">
      <c r="A186" s="464" t="s">
        <v>1403</v>
      </c>
      <c r="B186" s="480"/>
      <c r="C186" s="481">
        <v>4.9665013554477798E-2</v>
      </c>
      <c r="D186" s="481">
        <v>0.11420225211398381</v>
      </c>
      <c r="E186" s="482">
        <v>114375</v>
      </c>
      <c r="F186" s="482">
        <v>537981</v>
      </c>
      <c r="G186" s="481">
        <v>4.9611462370420502E-2</v>
      </c>
      <c r="H186" s="481">
        <v>0.1181942680074807</v>
      </c>
      <c r="I186" s="482">
        <v>114223</v>
      </c>
      <c r="J186" s="482">
        <v>565131</v>
      </c>
      <c r="K186" s="481">
        <v>4.9613822206602404E-2</v>
      </c>
      <c r="L186" s="481">
        <v>0.12183967626549955</v>
      </c>
      <c r="M186" s="482">
        <v>114207</v>
      </c>
      <c r="N186" s="482">
        <v>591392</v>
      </c>
      <c r="O186" s="481">
        <v>4.9556580702486114E-2</v>
      </c>
      <c r="P186" s="481">
        <v>0.12406279158896052</v>
      </c>
      <c r="Q186" s="482">
        <v>113945</v>
      </c>
      <c r="R186" s="482">
        <v>609222</v>
      </c>
      <c r="S186" s="481">
        <v>4.9499848992952719E-2</v>
      </c>
      <c r="T186" s="481">
        <v>0.12489697269412768</v>
      </c>
      <c r="U186" s="482">
        <v>113746</v>
      </c>
      <c r="V186" s="482">
        <v>618258</v>
      </c>
      <c r="W186" s="481">
        <v>4.9419477987361141E-2</v>
      </c>
      <c r="X186" s="481">
        <v>0.12516755344200056</v>
      </c>
      <c r="Y186" s="482">
        <v>113503</v>
      </c>
      <c r="Z186" s="482">
        <v>621903</v>
      </c>
      <c r="AA186" s="481">
        <v>4.9641129359036251E-2</v>
      </c>
      <c r="AB186" s="481">
        <v>0.12590398687041043</v>
      </c>
      <c r="AC186" s="482">
        <v>112708</v>
      </c>
      <c r="AD186" s="482">
        <v>628293</v>
      </c>
      <c r="AE186" s="481">
        <v>4.9738036466459183E-2</v>
      </c>
      <c r="AF186" s="481">
        <v>0.12623259060720379</v>
      </c>
      <c r="AG186" s="482">
        <v>112154</v>
      </c>
      <c r="AH186" s="482">
        <v>631475</v>
      </c>
      <c r="AI186" s="481">
        <v>4.9896342858315026E-2</v>
      </c>
      <c r="AJ186" s="481">
        <v>0.1265379267567365</v>
      </c>
      <c r="AK186" s="482">
        <v>111892</v>
      </c>
      <c r="AL186" s="482">
        <v>634859</v>
      </c>
      <c r="AM186" s="481">
        <v>4.9830241903612765E-2</v>
      </c>
      <c r="AN186" s="481">
        <v>0.12695050435970262</v>
      </c>
      <c r="AO186" s="482">
        <v>111588</v>
      </c>
      <c r="AP186" s="482">
        <v>639120</v>
      </c>
      <c r="AQ186" s="481">
        <v>4.9820558894104486E-2</v>
      </c>
      <c r="AR186" s="481">
        <v>0.12742317126212685</v>
      </c>
      <c r="AS186" s="482">
        <v>111432</v>
      </c>
      <c r="AT186" s="482">
        <v>644229</v>
      </c>
      <c r="AU186" s="481">
        <v>4.9877704458106395E-2</v>
      </c>
      <c r="AV186" s="481">
        <v>0.12787219689586501</v>
      </c>
      <c r="AW186" s="482">
        <v>111505</v>
      </c>
      <c r="AX186" s="482">
        <v>649607</v>
      </c>
      <c r="AY186" s="481">
        <v>4.9941490728496386E-2</v>
      </c>
      <c r="AZ186" s="481">
        <v>0.12832696214695116</v>
      </c>
      <c r="BA186" s="482">
        <v>111561</v>
      </c>
      <c r="BB186" s="482">
        <v>655581</v>
      </c>
      <c r="BC186" s="481">
        <v>5.0021212513546215E-2</v>
      </c>
      <c r="BD186" s="481">
        <v>0.12902252023927296</v>
      </c>
      <c r="BE186" s="482">
        <v>111656</v>
      </c>
      <c r="BF186" s="482">
        <v>663336</v>
      </c>
      <c r="BG186" s="481">
        <v>5.0061387202863745E-2</v>
      </c>
      <c r="BH186" s="481">
        <v>0.1294855303043039</v>
      </c>
      <c r="BI186" s="482">
        <v>111683</v>
      </c>
      <c r="BJ186" s="482">
        <v>670095</v>
      </c>
    </row>
    <row r="187" spans="1:62" s="95" customFormat="1">
      <c r="A187" s="466" t="s">
        <v>1404</v>
      </c>
      <c r="B187" s="74"/>
      <c r="C187" s="483"/>
      <c r="D187" s="74"/>
      <c r="E187" s="484"/>
      <c r="F187" s="484"/>
      <c r="G187" s="483"/>
      <c r="H187" s="74"/>
      <c r="I187" s="484"/>
      <c r="J187" s="484"/>
      <c r="K187" s="483"/>
      <c r="L187" s="74"/>
      <c r="M187" s="484"/>
      <c r="N187" s="484"/>
      <c r="O187" s="483"/>
      <c r="P187" s="74"/>
      <c r="Q187" s="484"/>
      <c r="R187" s="484"/>
      <c r="S187" s="483"/>
      <c r="T187" s="483"/>
      <c r="U187" s="484"/>
      <c r="V187" s="484"/>
      <c r="W187" s="483"/>
      <c r="X187" s="483"/>
      <c r="Y187" s="484"/>
      <c r="Z187" s="484"/>
      <c r="AA187" s="483"/>
      <c r="AB187" s="483"/>
      <c r="AC187" s="484"/>
      <c r="AD187" s="484"/>
      <c r="AE187" s="483"/>
      <c r="AF187" s="483"/>
      <c r="AG187" s="484"/>
      <c r="AH187" s="484"/>
      <c r="AI187" s="483"/>
      <c r="AJ187" s="483"/>
      <c r="AK187" s="484"/>
      <c r="AL187" s="484"/>
      <c r="AM187" s="483"/>
      <c r="AN187" s="483"/>
      <c r="AO187" s="484"/>
      <c r="AP187" s="484"/>
      <c r="AQ187" s="483"/>
      <c r="AR187" s="483"/>
      <c r="AS187" s="484"/>
      <c r="AT187" s="484"/>
      <c r="AU187" s="483"/>
      <c r="AV187" s="483"/>
      <c r="AW187" s="484"/>
      <c r="AX187" s="484"/>
      <c r="AY187" s="483"/>
      <c r="AZ187" s="483"/>
      <c r="BA187" s="484"/>
      <c r="BB187" s="484"/>
      <c r="BC187" s="483"/>
      <c r="BD187" s="483"/>
      <c r="BE187" s="484"/>
      <c r="BF187" s="484"/>
      <c r="BG187" s="483"/>
      <c r="BH187" s="483"/>
      <c r="BI187" s="484"/>
      <c r="BJ187" s="484"/>
    </row>
    <row r="188" spans="1:62">
      <c r="A188" s="461" t="s">
        <v>1405</v>
      </c>
      <c r="B188" s="462" t="s">
        <v>104</v>
      </c>
      <c r="C188" s="478">
        <v>5.0023252996510097E-4</v>
      </c>
      <c r="D188" s="478">
        <v>1.5613145525554823E-3</v>
      </c>
      <c r="E188" s="479">
        <v>1152</v>
      </c>
      <c r="F188" s="479">
        <v>7355</v>
      </c>
      <c r="G188" s="478">
        <v>5.0470149859860639E-4</v>
      </c>
      <c r="H188" s="478">
        <v>1.6990931895308754E-3</v>
      </c>
      <c r="I188" s="479">
        <v>1162</v>
      </c>
      <c r="J188" s="479">
        <v>8124</v>
      </c>
      <c r="K188" s="478">
        <v>5.0001759401612303E-4</v>
      </c>
      <c r="L188" s="471">
        <v>1.876241024142877E-3</v>
      </c>
      <c r="M188" s="479">
        <v>1151</v>
      </c>
      <c r="N188" s="479">
        <v>9107</v>
      </c>
      <c r="O188" s="478">
        <v>4.9841451125586108E-4</v>
      </c>
      <c r="P188" s="478">
        <v>1.9244107739308117E-3</v>
      </c>
      <c r="Q188" s="479">
        <v>1146</v>
      </c>
      <c r="R188" s="479">
        <v>9450</v>
      </c>
      <c r="S188" s="478">
        <v>4.9566866529788427E-4</v>
      </c>
      <c r="T188" s="478">
        <v>1.935095221472345E-3</v>
      </c>
      <c r="U188" s="479">
        <v>1139</v>
      </c>
      <c r="V188" s="479">
        <v>9579</v>
      </c>
      <c r="W188" s="478">
        <v>5.0071275371986034E-4</v>
      </c>
      <c r="X188" s="478">
        <v>1.9389908231030133E-3</v>
      </c>
      <c r="Y188" s="479">
        <v>1150</v>
      </c>
      <c r="Z188" s="479">
        <v>9634</v>
      </c>
      <c r="AA188" s="133">
        <v>5.0606574185978496E-4</v>
      </c>
      <c r="AB188" s="478">
        <v>1.9411833663810767E-3</v>
      </c>
      <c r="AC188" s="488">
        <v>1149</v>
      </c>
      <c r="AD188" s="488">
        <v>9687</v>
      </c>
      <c r="AE188" s="478">
        <v>4.9403652677243361E-4</v>
      </c>
      <c r="AF188" s="478">
        <v>1.950635605756514E-3</v>
      </c>
      <c r="AG188" s="479">
        <v>1114</v>
      </c>
      <c r="AH188" s="479">
        <v>9758</v>
      </c>
      <c r="AI188" s="478">
        <v>4.9320197334301304E-4</v>
      </c>
      <c r="AJ188" s="478">
        <v>1.9457284861666318E-3</v>
      </c>
      <c r="AK188" s="479">
        <v>1106</v>
      </c>
      <c r="AL188" s="479">
        <v>9762</v>
      </c>
      <c r="AM188" s="478">
        <v>4.8897833892941876E-4</v>
      </c>
      <c r="AN188" s="478">
        <v>1.9452157485207282E-3</v>
      </c>
      <c r="AO188" s="479">
        <v>1095</v>
      </c>
      <c r="AP188" s="479">
        <v>9793</v>
      </c>
      <c r="AQ188" s="478">
        <v>4.8956773627902592E-4</v>
      </c>
      <c r="AR188" s="478">
        <v>1.9474574169230212E-3</v>
      </c>
      <c r="AS188" s="479">
        <v>1095</v>
      </c>
      <c r="AT188" s="479">
        <v>9846</v>
      </c>
      <c r="AU188" s="478">
        <v>4.9070303385985122E-4</v>
      </c>
      <c r="AV188" s="478">
        <v>1.9615651340999939E-3</v>
      </c>
      <c r="AW188" s="479">
        <v>1097</v>
      </c>
      <c r="AX188" s="479">
        <v>9965</v>
      </c>
      <c r="AY188" s="478">
        <v>4.9376990412000176E-4</v>
      </c>
      <c r="AZ188" s="478">
        <v>1.959215663859743E-3</v>
      </c>
      <c r="BA188" s="479">
        <v>1103</v>
      </c>
      <c r="BB188" s="479">
        <v>10009</v>
      </c>
      <c r="BC188" s="478">
        <v>4.9413732716953394E-4</v>
      </c>
      <c r="BD188" s="478">
        <v>1.9598377201462216E-3</v>
      </c>
      <c r="BE188" s="479">
        <v>1103</v>
      </c>
      <c r="BF188" s="479">
        <v>10076</v>
      </c>
      <c r="BG188" s="478">
        <v>4.9575937471564439E-4</v>
      </c>
      <c r="BH188" s="478">
        <v>1.9595919426587958E-3</v>
      </c>
      <c r="BI188" s="479">
        <v>1106</v>
      </c>
      <c r="BJ188" s="479">
        <v>10141</v>
      </c>
    </row>
    <row r="189" spans="1:62">
      <c r="A189" s="461" t="s">
        <v>1406</v>
      </c>
      <c r="B189" s="462" t="s">
        <v>104</v>
      </c>
      <c r="C189" s="478">
        <v>5.5225323924445778E-3</v>
      </c>
      <c r="D189" s="478">
        <v>5.2560364814784148E-3</v>
      </c>
      <c r="E189" s="479">
        <v>12718</v>
      </c>
      <c r="F189" s="479">
        <v>24760</v>
      </c>
      <c r="G189" s="478">
        <v>5.5404236799688669E-3</v>
      </c>
      <c r="H189" s="478">
        <v>5.4591002502627902E-3</v>
      </c>
      <c r="I189" s="479">
        <v>12756</v>
      </c>
      <c r="J189" s="479">
        <v>26102</v>
      </c>
      <c r="K189" s="478">
        <v>5.5371192470282399E-3</v>
      </c>
      <c r="L189" s="471">
        <v>5.6552998915913007E-3</v>
      </c>
      <c r="M189" s="479">
        <v>12746</v>
      </c>
      <c r="N189" s="479">
        <v>27450</v>
      </c>
      <c r="O189" s="478">
        <v>5.5438828751993548E-3</v>
      </c>
      <c r="P189" s="478">
        <v>5.7265984522442701E-3</v>
      </c>
      <c r="Q189" s="479">
        <v>12747</v>
      </c>
      <c r="R189" s="479">
        <v>28121</v>
      </c>
      <c r="S189" s="478">
        <v>5.536780007537297E-3</v>
      </c>
      <c r="T189" s="478">
        <v>5.7434692808936471E-3</v>
      </c>
      <c r="U189" s="479">
        <v>12723</v>
      </c>
      <c r="V189" s="479">
        <v>28431</v>
      </c>
      <c r="W189" s="478">
        <v>5.5522513351614431E-3</v>
      </c>
      <c r="X189" s="478">
        <v>5.750554888696211E-3</v>
      </c>
      <c r="Y189" s="479">
        <v>12752</v>
      </c>
      <c r="Z189" s="479">
        <v>28572</v>
      </c>
      <c r="AA189" s="133">
        <v>5.6261825818249723E-3</v>
      </c>
      <c r="AB189" s="478">
        <v>5.7486040292530141E-3</v>
      </c>
      <c r="AC189" s="479">
        <v>12774</v>
      </c>
      <c r="AD189" s="479">
        <v>28687</v>
      </c>
      <c r="AE189" s="478">
        <v>5.6082458865028689E-3</v>
      </c>
      <c r="AF189" s="478">
        <v>5.7513565293318986E-3</v>
      </c>
      <c r="AG189" s="479">
        <v>12646</v>
      </c>
      <c r="AH189" s="479">
        <v>28771</v>
      </c>
      <c r="AI189" s="478">
        <v>5.6281212527686869E-3</v>
      </c>
      <c r="AJ189" s="478">
        <v>5.7530738603476404E-3</v>
      </c>
      <c r="AK189" s="479">
        <v>12621</v>
      </c>
      <c r="AL189" s="479">
        <v>28864</v>
      </c>
      <c r="AM189" s="478">
        <v>5.6248138421506472E-3</v>
      </c>
      <c r="AN189" s="478">
        <v>5.7534130660576834E-3</v>
      </c>
      <c r="AO189" s="479">
        <v>12596</v>
      </c>
      <c r="AP189" s="479">
        <v>28965</v>
      </c>
      <c r="AQ189" s="478">
        <v>5.6302525141203406E-3</v>
      </c>
      <c r="AR189" s="478">
        <v>5.7492123438656773E-3</v>
      </c>
      <c r="AS189" s="479">
        <v>12593</v>
      </c>
      <c r="AT189" s="479">
        <v>29067</v>
      </c>
      <c r="AU189" s="478">
        <v>5.6348095875410637E-3</v>
      </c>
      <c r="AV189" s="478">
        <v>5.7463130350875087E-3</v>
      </c>
      <c r="AW189" s="479">
        <v>12597</v>
      </c>
      <c r="AX189" s="479">
        <v>29192</v>
      </c>
      <c r="AY189" s="478">
        <v>5.6396312349082343E-3</v>
      </c>
      <c r="AZ189" s="478">
        <v>5.7439528864322411E-3</v>
      </c>
      <c r="BA189" s="479">
        <v>12598</v>
      </c>
      <c r="BB189" s="479">
        <v>29344</v>
      </c>
      <c r="BC189" s="478">
        <v>5.5672208202500436E-3</v>
      </c>
      <c r="BD189" s="478">
        <v>5.6180977281365084E-3</v>
      </c>
      <c r="BE189" s="479">
        <v>12427</v>
      </c>
      <c r="BF189" s="479">
        <v>28884</v>
      </c>
      <c r="BG189" s="478">
        <v>5.5761723521361804E-3</v>
      </c>
      <c r="BH189" s="478">
        <v>5.6165564939671198E-3</v>
      </c>
      <c r="BI189" s="479">
        <v>12440</v>
      </c>
      <c r="BJ189" s="479">
        <v>29066</v>
      </c>
    </row>
    <row r="190" spans="1:62">
      <c r="A190" s="461" t="s">
        <v>1407</v>
      </c>
      <c r="B190" s="462" t="s">
        <v>104</v>
      </c>
      <c r="C190" s="478">
        <v>0</v>
      </c>
      <c r="D190" s="478">
        <v>0</v>
      </c>
      <c r="E190" s="479">
        <v>0</v>
      </c>
      <c r="F190" s="479">
        <v>0</v>
      </c>
      <c r="G190" s="478">
        <v>0</v>
      </c>
      <c r="H190" s="478">
        <v>0</v>
      </c>
      <c r="I190" s="479">
        <v>0</v>
      </c>
      <c r="J190" s="479">
        <v>0</v>
      </c>
      <c r="K190" s="478">
        <v>1.6073545593915336E-5</v>
      </c>
      <c r="L190" s="471">
        <v>1.2773354946399295E-5</v>
      </c>
      <c r="M190" s="479">
        <v>37</v>
      </c>
      <c r="N190" s="479">
        <v>62</v>
      </c>
      <c r="O190" s="478">
        <v>1.6526833706564326E-5</v>
      </c>
      <c r="P190" s="478">
        <v>1.2218481104322614E-5</v>
      </c>
      <c r="Q190" s="479">
        <v>38</v>
      </c>
      <c r="R190" s="479">
        <v>60</v>
      </c>
      <c r="S190" s="478">
        <v>1.6101615992995362E-5</v>
      </c>
      <c r="T190" s="478">
        <v>1.2120859514389884E-5</v>
      </c>
      <c r="U190" s="479">
        <v>37</v>
      </c>
      <c r="V190" s="479">
        <v>60</v>
      </c>
      <c r="W190" s="478">
        <v>1.6545290992482343E-5</v>
      </c>
      <c r="X190" s="478">
        <v>1.2679719935176441E-5</v>
      </c>
      <c r="Y190" s="479">
        <v>38</v>
      </c>
      <c r="Z190" s="479">
        <v>63</v>
      </c>
      <c r="AA190" s="133">
        <v>1.5415405539680136E-5</v>
      </c>
      <c r="AB190" s="478">
        <v>1.2023433672227171E-5</v>
      </c>
      <c r="AC190" s="479">
        <v>35</v>
      </c>
      <c r="AD190" s="479">
        <v>60</v>
      </c>
      <c r="AE190" s="478">
        <v>1.5078314102569789E-5</v>
      </c>
      <c r="AF190" s="478">
        <v>1.2193971300588989E-5</v>
      </c>
      <c r="AG190" s="479">
        <v>34</v>
      </c>
      <c r="AH190" s="479">
        <v>61</v>
      </c>
      <c r="AI190" s="478">
        <v>1.5161724316150492E-5</v>
      </c>
      <c r="AJ190" s="478">
        <v>1.1958994997951025E-5</v>
      </c>
      <c r="AK190" s="479">
        <v>34</v>
      </c>
      <c r="AL190" s="479">
        <v>60</v>
      </c>
      <c r="AM190" s="478">
        <v>1.518288906264862E-5</v>
      </c>
      <c r="AN190" s="478">
        <v>1.2116630313465171E-5</v>
      </c>
      <c r="AO190" s="479">
        <v>34</v>
      </c>
      <c r="AP190" s="479">
        <v>61</v>
      </c>
      <c r="AQ190" s="478">
        <v>1.5648283808005393E-5</v>
      </c>
      <c r="AR190" s="478">
        <v>1.2263087532929851E-5</v>
      </c>
      <c r="AS190" s="479">
        <v>35</v>
      </c>
      <c r="AT190" s="479">
        <v>62</v>
      </c>
      <c r="AU190" s="478">
        <v>1.6997917307816179E-5</v>
      </c>
      <c r="AV190" s="478">
        <v>1.2794955716658265E-5</v>
      </c>
      <c r="AW190" s="479">
        <v>38</v>
      </c>
      <c r="AX190" s="479">
        <v>65</v>
      </c>
      <c r="AY190" s="478">
        <v>1.6115790161668234E-5</v>
      </c>
      <c r="AZ190" s="478">
        <v>1.2331959918389829E-5</v>
      </c>
      <c r="BA190" s="479">
        <v>36</v>
      </c>
      <c r="BB190" s="479">
        <v>63</v>
      </c>
      <c r="BC190" s="478">
        <v>1.6127782210429031E-5</v>
      </c>
      <c r="BD190" s="478">
        <v>1.2448353919150275E-5</v>
      </c>
      <c r="BE190" s="479">
        <v>36</v>
      </c>
      <c r="BF190" s="479">
        <v>64</v>
      </c>
      <c r="BG190" s="478">
        <v>1.6136833173384444E-5</v>
      </c>
      <c r="BH190" s="478">
        <v>1.2560248128667955E-5</v>
      </c>
      <c r="BI190" s="479">
        <v>36</v>
      </c>
      <c r="BJ190" s="479">
        <v>65</v>
      </c>
    </row>
    <row r="191" spans="1:62">
      <c r="A191" s="461" t="s">
        <v>1408</v>
      </c>
      <c r="B191" s="462" t="s">
        <v>104</v>
      </c>
      <c r="C191" s="478">
        <v>2.562389027191025E-3</v>
      </c>
      <c r="D191" s="478">
        <v>2.0699358534287571E-3</v>
      </c>
      <c r="E191" s="479">
        <v>5901</v>
      </c>
      <c r="F191" s="479">
        <v>9751</v>
      </c>
      <c r="G191" s="478">
        <v>2.5804058547111192E-3</v>
      </c>
      <c r="H191" s="478">
        <v>2.0609138712010398E-3</v>
      </c>
      <c r="I191" s="479">
        <v>5941</v>
      </c>
      <c r="J191" s="479">
        <v>9854</v>
      </c>
      <c r="K191" s="478">
        <v>2.6017422854583503E-3</v>
      </c>
      <c r="L191" s="471">
        <v>2.0628968238434859E-3</v>
      </c>
      <c r="M191" s="479">
        <v>5989</v>
      </c>
      <c r="N191" s="479">
        <v>10013</v>
      </c>
      <c r="O191" s="478">
        <v>2.6112397256371636E-3</v>
      </c>
      <c r="P191" s="478">
        <v>2.0579995006714054E-3</v>
      </c>
      <c r="Q191" s="479">
        <v>6004</v>
      </c>
      <c r="R191" s="479">
        <v>10106</v>
      </c>
      <c r="S191" s="478">
        <v>2.6097673272971133E-3</v>
      </c>
      <c r="T191" s="478">
        <v>2.0870099940526981E-3</v>
      </c>
      <c r="U191" s="479">
        <v>5997</v>
      </c>
      <c r="V191" s="479">
        <v>10331</v>
      </c>
      <c r="W191" s="478">
        <v>2.6154621839958271E-3</v>
      </c>
      <c r="X191" s="478">
        <v>2.088732277575573E-3</v>
      </c>
      <c r="Y191" s="479">
        <v>6007</v>
      </c>
      <c r="Z191" s="479">
        <v>10378</v>
      </c>
      <c r="AA191" s="133">
        <v>2.6510093126667065E-3</v>
      </c>
      <c r="AB191" s="478">
        <v>2.0832602742745609E-3</v>
      </c>
      <c r="AC191" s="479">
        <v>6019</v>
      </c>
      <c r="AD191" s="479">
        <v>10396</v>
      </c>
      <c r="AE191" s="478">
        <v>2.6316092907249741E-3</v>
      </c>
      <c r="AF191" s="478">
        <v>2.0713759117492311E-3</v>
      </c>
      <c r="AG191" s="479">
        <v>5934</v>
      </c>
      <c r="AH191" s="479">
        <v>10362</v>
      </c>
      <c r="AI191" s="478">
        <v>2.6720309441874632E-3</v>
      </c>
      <c r="AJ191" s="478">
        <v>2.0850507778927612E-3</v>
      </c>
      <c r="AK191" s="479">
        <v>5992</v>
      </c>
      <c r="AL191" s="479">
        <v>10461</v>
      </c>
      <c r="AM191" s="478">
        <v>2.6413761413401934E-3</v>
      </c>
      <c r="AN191" s="478">
        <v>2.0713478837510626E-3</v>
      </c>
      <c r="AO191" s="479">
        <v>5915</v>
      </c>
      <c r="AP191" s="479">
        <v>10428</v>
      </c>
      <c r="AQ191" s="478">
        <v>2.6387477438527952E-3</v>
      </c>
      <c r="AR191" s="478">
        <v>2.0641545402202569E-3</v>
      </c>
      <c r="AS191" s="479">
        <v>5902</v>
      </c>
      <c r="AT191" s="479">
        <v>10436</v>
      </c>
      <c r="AU191" s="478">
        <v>2.6418342005253251E-3</v>
      </c>
      <c r="AV191" s="478">
        <v>2.0574288792386489E-3</v>
      </c>
      <c r="AW191" s="479">
        <v>5906</v>
      </c>
      <c r="AX191" s="479">
        <v>10452</v>
      </c>
      <c r="AY191" s="478">
        <v>2.6326933872436358E-3</v>
      </c>
      <c r="AZ191" s="478">
        <v>2.0396670214225718E-3</v>
      </c>
      <c r="BA191" s="479">
        <v>5881</v>
      </c>
      <c r="BB191" s="479">
        <v>10420</v>
      </c>
      <c r="BC191" s="478">
        <v>2.6324124519022493E-3</v>
      </c>
      <c r="BD191" s="478">
        <v>2.0298597109414417E-3</v>
      </c>
      <c r="BE191" s="479">
        <v>5876</v>
      </c>
      <c r="BF191" s="479">
        <v>10436</v>
      </c>
      <c r="BG191" s="478">
        <v>2.6406134506779936E-3</v>
      </c>
      <c r="BH191" s="478">
        <v>2.0216202449557562E-3</v>
      </c>
      <c r="BI191" s="479">
        <v>5891</v>
      </c>
      <c r="BJ191" s="479">
        <v>10462</v>
      </c>
    </row>
    <row r="192" spans="1:62">
      <c r="A192" s="461" t="s">
        <v>1409</v>
      </c>
      <c r="B192" s="462" t="s">
        <v>104</v>
      </c>
      <c r="C192" s="478">
        <v>2.5736789974853762E-3</v>
      </c>
      <c r="D192" s="478">
        <v>4.8909160150752296E-3</v>
      </c>
      <c r="E192" s="479">
        <v>5927</v>
      </c>
      <c r="F192" s="479">
        <v>23040</v>
      </c>
      <c r="G192" s="478">
        <v>2.5686787114562464E-3</v>
      </c>
      <c r="H192" s="478">
        <v>4.9167875175629436E-3</v>
      </c>
      <c r="I192" s="479">
        <v>5914</v>
      </c>
      <c r="J192" s="479">
        <v>23509</v>
      </c>
      <c r="K192" s="478">
        <v>2.5409234642921842E-3</v>
      </c>
      <c r="L192" s="471">
        <v>5.0116876197759553E-3</v>
      </c>
      <c r="M192" s="479">
        <v>5849</v>
      </c>
      <c r="N192" s="479">
        <v>24326</v>
      </c>
      <c r="O192" s="478">
        <v>2.5468720575168606E-3</v>
      </c>
      <c r="P192" s="478">
        <v>5.1739158236254103E-3</v>
      </c>
      <c r="Q192" s="479">
        <v>5856</v>
      </c>
      <c r="R192" s="479">
        <v>25407</v>
      </c>
      <c r="S192" s="478">
        <v>2.5719067707730432E-3</v>
      </c>
      <c r="T192" s="478">
        <v>5.3115626535308871E-3</v>
      </c>
      <c r="U192" s="479">
        <v>5910</v>
      </c>
      <c r="V192" s="479">
        <v>26293</v>
      </c>
      <c r="W192" s="478">
        <v>2.570615737358309E-3</v>
      </c>
      <c r="X192" s="478">
        <v>5.335545642563928E-3</v>
      </c>
      <c r="Y192" s="479">
        <v>5904</v>
      </c>
      <c r="Z192" s="479">
        <v>26510</v>
      </c>
      <c r="AA192" s="133">
        <v>2.5941925322490282E-3</v>
      </c>
      <c r="AB192" s="478">
        <v>5.3582432160280387E-3</v>
      </c>
      <c r="AC192" s="479">
        <v>5890</v>
      </c>
      <c r="AD192" s="479">
        <v>26739</v>
      </c>
      <c r="AE192" s="478">
        <v>2.5730699536208796E-3</v>
      </c>
      <c r="AF192" s="478">
        <v>5.3687456921298112E-3</v>
      </c>
      <c r="AG192" s="479">
        <v>5802</v>
      </c>
      <c r="AH192" s="479">
        <v>26857</v>
      </c>
      <c r="AI192" s="478">
        <v>2.5734797361324849E-3</v>
      </c>
      <c r="AJ192" s="478">
        <v>5.3996855581581876E-3</v>
      </c>
      <c r="AK192" s="479">
        <v>5771</v>
      </c>
      <c r="AL192" s="479">
        <v>27091</v>
      </c>
      <c r="AM192" s="478">
        <v>2.5618892515416212E-3</v>
      </c>
      <c r="AN192" s="478">
        <v>5.4544699738976006E-3</v>
      </c>
      <c r="AO192" s="479">
        <v>5737</v>
      </c>
      <c r="AP192" s="479">
        <v>27460</v>
      </c>
      <c r="AQ192" s="478">
        <v>2.5564824804049954E-3</v>
      </c>
      <c r="AR192" s="478">
        <v>5.6503164766646304E-3</v>
      </c>
      <c r="AS192" s="479">
        <v>5718</v>
      </c>
      <c r="AT192" s="479">
        <v>28567</v>
      </c>
      <c r="AU192" s="478">
        <v>2.5505822233991542E-3</v>
      </c>
      <c r="AV192" s="478">
        <v>5.7047786403765103E-3</v>
      </c>
      <c r="AW192" s="479">
        <v>5702</v>
      </c>
      <c r="AX192" s="479">
        <v>28981</v>
      </c>
      <c r="AY192" s="478">
        <v>2.5453995238679328E-3</v>
      </c>
      <c r="AZ192" s="478">
        <v>5.8426085657793591E-3</v>
      </c>
      <c r="BA192" s="479">
        <v>5686</v>
      </c>
      <c r="BB192" s="479">
        <v>29848</v>
      </c>
      <c r="BC192" s="478">
        <v>2.5338537828385166E-3</v>
      </c>
      <c r="BD192" s="478">
        <v>5.9331966867149999E-3</v>
      </c>
      <c r="BE192" s="479">
        <v>5656</v>
      </c>
      <c r="BF192" s="479">
        <v>30504</v>
      </c>
      <c r="BG192" s="478">
        <v>2.520483692609465E-3</v>
      </c>
      <c r="BH192" s="478">
        <v>6.0246679408555307E-3</v>
      </c>
      <c r="BI192" s="479">
        <v>5623</v>
      </c>
      <c r="BJ192" s="479">
        <v>31178</v>
      </c>
    </row>
    <row r="193" spans="1:62">
      <c r="A193" s="461" t="s">
        <v>1410</v>
      </c>
      <c r="B193" s="462" t="s">
        <v>104</v>
      </c>
      <c r="C193" s="478">
        <v>8.4674777207634276E-4</v>
      </c>
      <c r="D193" s="478">
        <v>5.1150829990995114E-3</v>
      </c>
      <c r="E193" s="479">
        <v>1950</v>
      </c>
      <c r="F193" s="479">
        <v>24096</v>
      </c>
      <c r="G193" s="478">
        <v>8.5130373257596254E-4</v>
      </c>
      <c r="H193" s="478">
        <v>5.1041813503817108E-3</v>
      </c>
      <c r="I193" s="479">
        <v>1960</v>
      </c>
      <c r="J193" s="479">
        <v>24405</v>
      </c>
      <c r="K193" s="478">
        <v>8.5059465602395216E-4</v>
      </c>
      <c r="L193" s="471">
        <v>5.0769965474857714E-3</v>
      </c>
      <c r="M193" s="479">
        <v>1958</v>
      </c>
      <c r="N193" s="479">
        <v>24643</v>
      </c>
      <c r="O193" s="478">
        <v>8.5983026941783354E-4</v>
      </c>
      <c r="P193" s="478">
        <v>5.0784080296599554E-3</v>
      </c>
      <c r="Q193" s="479">
        <v>1977</v>
      </c>
      <c r="R193" s="479">
        <v>24938</v>
      </c>
      <c r="S193" s="478">
        <v>8.7688530340231498E-4</v>
      </c>
      <c r="T193" s="478">
        <v>5.0921750963204299E-3</v>
      </c>
      <c r="U193" s="479">
        <v>2015</v>
      </c>
      <c r="V193" s="479">
        <v>25207</v>
      </c>
      <c r="W193" s="478">
        <v>8.7733582499610315E-4</v>
      </c>
      <c r="X193" s="478">
        <v>5.0875866749426997E-3</v>
      </c>
      <c r="Y193" s="479">
        <v>2015</v>
      </c>
      <c r="Z193" s="479">
        <v>25278</v>
      </c>
      <c r="AA193" s="133">
        <v>8.8792735908557578E-4</v>
      </c>
      <c r="AB193" s="478">
        <v>5.0909222073821881E-3</v>
      </c>
      <c r="AC193" s="479">
        <v>2016</v>
      </c>
      <c r="AD193" s="479">
        <v>25405</v>
      </c>
      <c r="AE193" s="478">
        <v>8.949422899701716E-4</v>
      </c>
      <c r="AF193" s="478">
        <v>5.0888840557228509E-3</v>
      </c>
      <c r="AG193" s="479">
        <v>2018</v>
      </c>
      <c r="AH193" s="479">
        <v>25457</v>
      </c>
      <c r="AI193" s="478">
        <v>8.9900106533409975E-4</v>
      </c>
      <c r="AJ193" s="478">
        <v>5.0779885927133049E-3</v>
      </c>
      <c r="AK193" s="479">
        <v>2016</v>
      </c>
      <c r="AL193" s="479">
        <v>25477</v>
      </c>
      <c r="AM193" s="478">
        <v>9.0516812147025739E-4</v>
      </c>
      <c r="AN193" s="478">
        <v>5.0663405372990602E-3</v>
      </c>
      <c r="AO193" s="479">
        <v>2027</v>
      </c>
      <c r="AP193" s="479">
        <v>25506</v>
      </c>
      <c r="AQ193" s="478">
        <v>9.1073011762591389E-4</v>
      </c>
      <c r="AR193" s="478">
        <v>5.0486340206134586E-3</v>
      </c>
      <c r="AS193" s="479">
        <v>2037</v>
      </c>
      <c r="AT193" s="479">
        <v>25525</v>
      </c>
      <c r="AU193" s="478">
        <v>9.1654559378198295E-4</v>
      </c>
      <c r="AV193" s="478">
        <v>5.0979040484617809E-3</v>
      </c>
      <c r="AW193" s="479">
        <v>2049</v>
      </c>
      <c r="AX193" s="479">
        <v>25898</v>
      </c>
      <c r="AY193" s="478">
        <v>9.2039068256638589E-4</v>
      </c>
      <c r="AZ193" s="478">
        <v>5.1226570010200296E-3</v>
      </c>
      <c r="BA193" s="479">
        <v>2056</v>
      </c>
      <c r="BB193" s="479">
        <v>26170</v>
      </c>
      <c r="BC193" s="478">
        <v>9.2062756784532386E-4</v>
      </c>
      <c r="BD193" s="478">
        <v>5.1732635810568727E-3</v>
      </c>
      <c r="BE193" s="479">
        <v>2055</v>
      </c>
      <c r="BF193" s="479">
        <v>26597</v>
      </c>
      <c r="BG193" s="478">
        <v>9.1979949088291343E-4</v>
      </c>
      <c r="BH193" s="478">
        <v>5.3011976486442569E-3</v>
      </c>
      <c r="BI193" s="479">
        <v>2052</v>
      </c>
      <c r="BJ193" s="479">
        <v>27434</v>
      </c>
    </row>
    <row r="194" spans="1:62">
      <c r="A194" s="461" t="s">
        <v>1411</v>
      </c>
      <c r="B194" s="462" t="s">
        <v>104</v>
      </c>
      <c r="C194" s="478">
        <v>0</v>
      </c>
      <c r="D194" s="478">
        <v>0</v>
      </c>
      <c r="E194" s="479">
        <v>0</v>
      </c>
      <c r="F194" s="479">
        <v>0</v>
      </c>
      <c r="G194" s="478">
        <v>0</v>
      </c>
      <c r="H194" s="478">
        <v>0</v>
      </c>
      <c r="I194" s="479">
        <v>0</v>
      </c>
      <c r="J194" s="479">
        <v>0</v>
      </c>
      <c r="K194" s="478">
        <v>1.0817061764553835E-4</v>
      </c>
      <c r="L194" s="471">
        <v>7.0047430351221932E-5</v>
      </c>
      <c r="M194" s="479">
        <v>249</v>
      </c>
      <c r="N194" s="479">
        <v>340</v>
      </c>
      <c r="O194" s="478">
        <v>1.0524983571022546E-4</v>
      </c>
      <c r="P194" s="478">
        <v>6.9441700942900187E-5</v>
      </c>
      <c r="Q194" s="479">
        <v>242</v>
      </c>
      <c r="R194" s="479">
        <v>341</v>
      </c>
      <c r="S194" s="478">
        <v>1.053132721704021E-4</v>
      </c>
      <c r="T194" s="478">
        <v>6.9694942207741841E-5</v>
      </c>
      <c r="U194" s="479">
        <v>242</v>
      </c>
      <c r="V194" s="479">
        <v>345</v>
      </c>
      <c r="W194" s="478">
        <v>1.066735866620572E-4</v>
      </c>
      <c r="X194" s="478">
        <v>7.0644153924554455E-5</v>
      </c>
      <c r="Y194" s="479">
        <v>245</v>
      </c>
      <c r="Z194" s="479">
        <v>351</v>
      </c>
      <c r="AA194" s="133">
        <v>1.087887190943141E-4</v>
      </c>
      <c r="AB194" s="478">
        <v>7.1138649227344095E-5</v>
      </c>
      <c r="AC194" s="479">
        <v>247</v>
      </c>
      <c r="AD194" s="479">
        <v>355</v>
      </c>
      <c r="AE194" s="478">
        <v>1.104264768099964E-4</v>
      </c>
      <c r="AF194" s="478">
        <v>7.1964420790361245E-5</v>
      </c>
      <c r="AG194" s="479">
        <v>249</v>
      </c>
      <c r="AH194" s="479">
        <v>360</v>
      </c>
      <c r="AI194" s="478">
        <v>1.1059140089427417E-4</v>
      </c>
      <c r="AJ194" s="478">
        <v>7.1953286571005336E-5</v>
      </c>
      <c r="AK194" s="479">
        <v>248</v>
      </c>
      <c r="AL194" s="479">
        <v>361</v>
      </c>
      <c r="AM194" s="478">
        <v>1.1342511240919851E-4</v>
      </c>
      <c r="AN194" s="478">
        <v>7.2501148596963729E-5</v>
      </c>
      <c r="AO194" s="479">
        <v>254</v>
      </c>
      <c r="AP194" s="479">
        <v>365</v>
      </c>
      <c r="AQ194" s="478">
        <v>1.1132636194838123E-4</v>
      </c>
      <c r="AR194" s="478">
        <v>7.0809440915949794E-5</v>
      </c>
      <c r="AS194" s="479">
        <v>249</v>
      </c>
      <c r="AT194" s="479">
        <v>358</v>
      </c>
      <c r="AU194" s="478">
        <v>1.1048646250080516E-4</v>
      </c>
      <c r="AV194" s="478">
        <v>6.9880142760210529E-5</v>
      </c>
      <c r="AW194" s="479">
        <v>247</v>
      </c>
      <c r="AX194" s="479">
        <v>355</v>
      </c>
      <c r="AY194" s="478">
        <v>1.1012456610473293E-4</v>
      </c>
      <c r="AZ194" s="478">
        <v>6.8902379226559049E-5</v>
      </c>
      <c r="BA194" s="479">
        <v>246</v>
      </c>
      <c r="BB194" s="479">
        <v>352</v>
      </c>
      <c r="BC194" s="478">
        <v>1.0886252992039595E-4</v>
      </c>
      <c r="BD194" s="478">
        <v>6.8076935495353075E-5</v>
      </c>
      <c r="BE194" s="479">
        <v>243</v>
      </c>
      <c r="BF194" s="479">
        <v>350</v>
      </c>
      <c r="BG194" s="478">
        <v>1.0892362392034501E-4</v>
      </c>
      <c r="BH194" s="478">
        <v>6.7438870721617177E-5</v>
      </c>
      <c r="BI194" s="479">
        <v>243</v>
      </c>
      <c r="BJ194" s="479">
        <v>349</v>
      </c>
    </row>
    <row r="195" spans="1:62">
      <c r="A195" s="461" t="s">
        <v>1412</v>
      </c>
      <c r="B195" s="462" t="s">
        <v>104</v>
      </c>
      <c r="C195" s="478">
        <v>4.2489368973164174E-3</v>
      </c>
      <c r="D195" s="478">
        <v>9.5954507688120888E-3</v>
      </c>
      <c r="E195" s="479">
        <v>9785</v>
      </c>
      <c r="F195" s="479">
        <v>45202</v>
      </c>
      <c r="G195" s="478">
        <v>4.2426198264295927E-3</v>
      </c>
      <c r="H195" s="478">
        <v>9.8373396433744775E-3</v>
      </c>
      <c r="I195" s="479">
        <v>9768</v>
      </c>
      <c r="J195" s="479">
        <v>47036</v>
      </c>
      <c r="K195" s="478">
        <v>4.2355964740722852E-3</v>
      </c>
      <c r="L195" s="471">
        <v>9.9823768906110479E-3</v>
      </c>
      <c r="M195" s="479">
        <v>9750</v>
      </c>
      <c r="N195" s="479">
        <v>48453</v>
      </c>
      <c r="O195" s="478">
        <v>5.2998946196892872E-3</v>
      </c>
      <c r="P195" s="478">
        <v>1.0704814936848781E-2</v>
      </c>
      <c r="Q195" s="479">
        <v>12186</v>
      </c>
      <c r="R195" s="479">
        <v>52567</v>
      </c>
      <c r="S195" s="478">
        <v>5.3949117152746889E-3</v>
      </c>
      <c r="T195" s="478">
        <v>1.0848371279704186E-2</v>
      </c>
      <c r="U195" s="479">
        <v>12397</v>
      </c>
      <c r="V195" s="479">
        <v>53701</v>
      </c>
      <c r="W195" s="478">
        <v>5.4107455569362651E-3</v>
      </c>
      <c r="X195" s="478">
        <v>1.0895099670649307E-2</v>
      </c>
      <c r="Y195" s="479">
        <v>12427</v>
      </c>
      <c r="Z195" s="479">
        <v>54133</v>
      </c>
      <c r="AA195" s="133">
        <v>5.3971536995211537E-3</v>
      </c>
      <c r="AB195" s="478">
        <v>1.0962365650653123E-2</v>
      </c>
      <c r="AC195" s="479">
        <v>12254</v>
      </c>
      <c r="AD195" s="479">
        <v>54705</v>
      </c>
      <c r="AE195" s="478">
        <v>5.4038016864650842E-3</v>
      </c>
      <c r="AF195" s="478">
        <v>1.0983769624297748E-2</v>
      </c>
      <c r="AG195" s="479">
        <v>12185</v>
      </c>
      <c r="AH195" s="479">
        <v>54946</v>
      </c>
      <c r="AI195" s="478">
        <v>5.4328025689312186E-3</v>
      </c>
      <c r="AJ195" s="478">
        <v>1.0991711619200087E-2</v>
      </c>
      <c r="AK195" s="479">
        <v>12183</v>
      </c>
      <c r="AL195" s="479">
        <v>55147</v>
      </c>
      <c r="AM195" s="478">
        <v>5.4301156177002123E-3</v>
      </c>
      <c r="AN195" s="478">
        <v>1.1024345885698861E-2</v>
      </c>
      <c r="AO195" s="479">
        <v>12160</v>
      </c>
      <c r="AP195" s="479">
        <v>55501</v>
      </c>
      <c r="AQ195" s="478">
        <v>5.4312957628471293E-3</v>
      </c>
      <c r="AR195" s="478">
        <v>1.1009285728554976E-2</v>
      </c>
      <c r="AS195" s="479">
        <v>12148</v>
      </c>
      <c r="AT195" s="479">
        <v>55661</v>
      </c>
      <c r="AU195" s="478">
        <v>5.4294926390071781E-3</v>
      </c>
      <c r="AV195" s="478">
        <v>1.1030629746067371E-2</v>
      </c>
      <c r="AW195" s="479">
        <v>12138</v>
      </c>
      <c r="AX195" s="479">
        <v>56037</v>
      </c>
      <c r="AY195" s="478">
        <v>5.4260970152661299E-3</v>
      </c>
      <c r="AZ195" s="478">
        <v>1.1169819505128235E-2</v>
      </c>
      <c r="BA195" s="479">
        <v>12121</v>
      </c>
      <c r="BB195" s="479">
        <v>57063</v>
      </c>
      <c r="BC195" s="478">
        <v>5.4157988650521266E-3</v>
      </c>
      <c r="BD195" s="478">
        <v>1.1196127317095753E-2</v>
      </c>
      <c r="BE195" s="479">
        <v>12089</v>
      </c>
      <c r="BF195" s="479">
        <v>57562</v>
      </c>
      <c r="BG195" s="478">
        <v>5.4228724369890279E-3</v>
      </c>
      <c r="BH195" s="478">
        <v>1.1235818272146567E-2</v>
      </c>
      <c r="BI195" s="479">
        <v>12098</v>
      </c>
      <c r="BJ195" s="479">
        <v>58146</v>
      </c>
    </row>
    <row r="196" spans="1:62">
      <c r="A196" s="461" t="s">
        <v>1413</v>
      </c>
      <c r="B196" s="462" t="s">
        <v>104</v>
      </c>
      <c r="C196" s="478">
        <v>7.0301776563671745E-4</v>
      </c>
      <c r="D196" s="478">
        <v>1.0023830478813037E-3</v>
      </c>
      <c r="E196" s="479">
        <v>1619</v>
      </c>
      <c r="F196" s="479">
        <v>4722</v>
      </c>
      <c r="G196" s="478">
        <v>7.0275991801423848E-4</v>
      </c>
      <c r="H196" s="478">
        <v>9.8820966525521733E-4</v>
      </c>
      <c r="I196" s="479">
        <v>1618</v>
      </c>
      <c r="J196" s="479">
        <v>4725</v>
      </c>
      <c r="K196" s="478">
        <v>7.0636716582990109E-4</v>
      </c>
      <c r="L196" s="471">
        <v>9.810760686250555E-4</v>
      </c>
      <c r="M196" s="479">
        <v>1626</v>
      </c>
      <c r="N196" s="479">
        <v>4762</v>
      </c>
      <c r="O196" s="478">
        <v>7.0978401602928899E-4</v>
      </c>
      <c r="P196" s="478">
        <v>9.7707120564233165E-4</v>
      </c>
      <c r="Q196" s="479">
        <v>1632</v>
      </c>
      <c r="R196" s="479">
        <v>4798</v>
      </c>
      <c r="S196" s="478">
        <v>7.0934146131303893E-4</v>
      </c>
      <c r="T196" s="478">
        <v>9.7532516225790598E-4</v>
      </c>
      <c r="U196" s="479">
        <v>1630</v>
      </c>
      <c r="V196" s="479">
        <v>4828</v>
      </c>
      <c r="W196" s="478">
        <v>7.0404567196957757E-4</v>
      </c>
      <c r="X196" s="478">
        <v>9.9223840127650562E-4</v>
      </c>
      <c r="Y196" s="479">
        <v>1617</v>
      </c>
      <c r="Z196" s="479">
        <v>4930</v>
      </c>
      <c r="AA196" s="133">
        <v>7.1219173593322217E-4</v>
      </c>
      <c r="AB196" s="478">
        <v>9.8872702897948093E-4</v>
      </c>
      <c r="AC196" s="479">
        <v>1617</v>
      </c>
      <c r="AD196" s="479">
        <v>4934</v>
      </c>
      <c r="AE196" s="478">
        <v>7.1222860143314946E-4</v>
      </c>
      <c r="AF196" s="478">
        <v>9.9051029171177778E-4</v>
      </c>
      <c r="AG196" s="479">
        <v>1606</v>
      </c>
      <c r="AH196" s="479">
        <v>4955</v>
      </c>
      <c r="AI196" s="478">
        <v>7.1438477513156135E-4</v>
      </c>
      <c r="AJ196" s="478">
        <v>9.9060341899694332E-4</v>
      </c>
      <c r="AK196" s="479">
        <v>1602</v>
      </c>
      <c r="AL196" s="479">
        <v>4970</v>
      </c>
      <c r="AM196" s="478">
        <v>7.1538200818714961E-4</v>
      </c>
      <c r="AN196" s="478">
        <v>9.8839922032463424E-4</v>
      </c>
      <c r="AO196" s="479">
        <v>1602</v>
      </c>
      <c r="AP196" s="479">
        <v>4976</v>
      </c>
      <c r="AQ196" s="478">
        <v>7.1624430458356117E-4</v>
      </c>
      <c r="AR196" s="478">
        <v>9.8421167038482168E-4</v>
      </c>
      <c r="AS196" s="479">
        <v>1602</v>
      </c>
      <c r="AT196" s="479">
        <v>4976</v>
      </c>
      <c r="AU196" s="478">
        <v>7.1525446776837028E-4</v>
      </c>
      <c r="AV196" s="478">
        <v>9.8304628998448261E-4</v>
      </c>
      <c r="AW196" s="479">
        <v>1599</v>
      </c>
      <c r="AX196" s="479">
        <v>4994</v>
      </c>
      <c r="AY196" s="478">
        <v>7.1491435800511587E-4</v>
      </c>
      <c r="AZ196" s="478">
        <v>9.7716101448574641E-4</v>
      </c>
      <c r="BA196" s="479">
        <v>1597</v>
      </c>
      <c r="BB196" s="479">
        <v>4992</v>
      </c>
      <c r="BC196" s="478">
        <v>7.0962241725887733E-4</v>
      </c>
      <c r="BD196" s="478">
        <v>9.7116611122370817E-4</v>
      </c>
      <c r="BE196" s="479">
        <v>1584</v>
      </c>
      <c r="BF196" s="479">
        <v>4993</v>
      </c>
      <c r="BG196" s="478">
        <v>7.1136539572669766E-4</v>
      </c>
      <c r="BH196" s="478">
        <v>9.7061732846614058E-4</v>
      </c>
      <c r="BI196" s="479">
        <v>1587</v>
      </c>
      <c r="BJ196" s="479">
        <v>5023</v>
      </c>
    </row>
    <row r="197" spans="1:62">
      <c r="A197" s="461" t="s">
        <v>1414</v>
      </c>
      <c r="B197" s="462" t="s">
        <v>104</v>
      </c>
      <c r="C197" s="478">
        <v>7.8400159101735221E-3</v>
      </c>
      <c r="D197" s="478">
        <v>5.6799583253197882E-3</v>
      </c>
      <c r="E197" s="479">
        <v>18055</v>
      </c>
      <c r="F197" s="479">
        <v>26757</v>
      </c>
      <c r="G197" s="478">
        <v>7.9987803771014929E-3</v>
      </c>
      <c r="H197" s="478">
        <v>5.8648413614998535E-3</v>
      </c>
      <c r="I197" s="479">
        <v>18416</v>
      </c>
      <c r="J197" s="479">
        <v>28042</v>
      </c>
      <c r="K197" s="478">
        <v>8.1436401541496468E-3</v>
      </c>
      <c r="L197" s="471">
        <v>6.1734448543363683E-3</v>
      </c>
      <c r="M197" s="479">
        <v>18746</v>
      </c>
      <c r="N197" s="479">
        <v>29965</v>
      </c>
      <c r="O197" s="478">
        <v>8.2516741030169739E-3</v>
      </c>
      <c r="P197" s="478">
        <v>6.264211620834465E-3</v>
      </c>
      <c r="Q197" s="479">
        <v>18973</v>
      </c>
      <c r="R197" s="479">
        <v>30761</v>
      </c>
      <c r="S197" s="478">
        <v>8.288415627097017E-3</v>
      </c>
      <c r="T197" s="478">
        <v>6.3365833397977921E-3</v>
      </c>
      <c r="U197" s="479">
        <v>19046</v>
      </c>
      <c r="V197" s="479">
        <v>31367</v>
      </c>
      <c r="W197" s="478">
        <v>8.2844013608937249E-3</v>
      </c>
      <c r="X197" s="478">
        <v>6.3893712549541477E-3</v>
      </c>
      <c r="Y197" s="479">
        <v>19027</v>
      </c>
      <c r="Z197" s="479">
        <v>31746</v>
      </c>
      <c r="AA197" s="133">
        <v>8.3828975324780567E-3</v>
      </c>
      <c r="AB197" s="478">
        <v>6.3942624174516136E-3</v>
      </c>
      <c r="AC197" s="479">
        <v>19033</v>
      </c>
      <c r="AD197" s="479">
        <v>31909</v>
      </c>
      <c r="AE197" s="478">
        <v>8.3746730444978785E-3</v>
      </c>
      <c r="AF197" s="478">
        <v>6.386242641637974E-3</v>
      </c>
      <c r="AG197" s="479">
        <v>18884</v>
      </c>
      <c r="AH197" s="479">
        <v>31947</v>
      </c>
      <c r="AI197" s="478">
        <v>8.4053924010329597E-3</v>
      </c>
      <c r="AJ197" s="478">
        <v>6.3675668866590238E-3</v>
      </c>
      <c r="AK197" s="479">
        <v>18849</v>
      </c>
      <c r="AL197" s="479">
        <v>31947</v>
      </c>
      <c r="AM197" s="478">
        <v>8.4180188741173265E-3</v>
      </c>
      <c r="AN197" s="478">
        <v>6.3512992503778499E-3</v>
      </c>
      <c r="AO197" s="479">
        <v>18851</v>
      </c>
      <c r="AP197" s="479">
        <v>31975</v>
      </c>
      <c r="AQ197" s="478">
        <v>8.4420255675073663E-3</v>
      </c>
      <c r="AR197" s="478">
        <v>6.3356648363678868E-3</v>
      </c>
      <c r="AS197" s="479">
        <v>18882</v>
      </c>
      <c r="AT197" s="479">
        <v>32032</v>
      </c>
      <c r="AU197" s="478">
        <v>8.4734617779463652E-3</v>
      </c>
      <c r="AV197" s="478">
        <v>6.3333062342732773E-3</v>
      </c>
      <c r="AW197" s="479">
        <v>18943</v>
      </c>
      <c r="AX197" s="479">
        <v>32174</v>
      </c>
      <c r="AY197" s="478">
        <v>8.5131661529012446E-3</v>
      </c>
      <c r="AZ197" s="478">
        <v>6.3188571131038429E-3</v>
      </c>
      <c r="BA197" s="479">
        <v>19017</v>
      </c>
      <c r="BB197" s="479">
        <v>32281</v>
      </c>
      <c r="BC197" s="478">
        <v>8.5714682508927394E-3</v>
      </c>
      <c r="BD197" s="478">
        <v>6.3469099489967601E-3</v>
      </c>
      <c r="BE197" s="479">
        <v>19133</v>
      </c>
      <c r="BF197" s="479">
        <v>32631</v>
      </c>
      <c r="BG197" s="478">
        <v>8.6385846921518059E-3</v>
      </c>
      <c r="BH197" s="478">
        <v>6.37306990048612E-3</v>
      </c>
      <c r="BI197" s="479">
        <v>19272</v>
      </c>
      <c r="BJ197" s="479">
        <v>32981</v>
      </c>
    </row>
    <row r="198" spans="1:62">
      <c r="A198" s="461" t="s">
        <v>1415</v>
      </c>
      <c r="B198" s="462" t="s">
        <v>104</v>
      </c>
      <c r="C198" s="478">
        <v>3.0522000461151865E-3</v>
      </c>
      <c r="D198" s="478">
        <v>3.5089775056073589E-3</v>
      </c>
      <c r="E198" s="479">
        <v>7029</v>
      </c>
      <c r="F198" s="479">
        <v>16530</v>
      </c>
      <c r="G198" s="478">
        <v>3.0646934372734651E-3</v>
      </c>
      <c r="H198" s="478">
        <v>3.5092423223951944E-3</v>
      </c>
      <c r="I198" s="479">
        <v>7056</v>
      </c>
      <c r="J198" s="479">
        <v>16779</v>
      </c>
      <c r="K198" s="478">
        <v>3.0639653263212128E-3</v>
      </c>
      <c r="L198" s="471">
        <v>3.5205014407108247E-3</v>
      </c>
      <c r="M198" s="479">
        <v>7053</v>
      </c>
      <c r="N198" s="479">
        <v>17088</v>
      </c>
      <c r="O198" s="478">
        <v>3.061813402479286E-3</v>
      </c>
      <c r="P198" s="478">
        <v>3.5142388069549224E-3</v>
      </c>
      <c r="Q198" s="479">
        <v>7040</v>
      </c>
      <c r="R198" s="479">
        <v>17257</v>
      </c>
      <c r="S198" s="478">
        <v>3.0488627472142027E-3</v>
      </c>
      <c r="T198" s="478">
        <v>3.4928276833966852E-3</v>
      </c>
      <c r="U198" s="479">
        <v>7006</v>
      </c>
      <c r="V198" s="479">
        <v>17290</v>
      </c>
      <c r="W198" s="478">
        <v>3.0378025066986657E-3</v>
      </c>
      <c r="X198" s="478">
        <v>3.4784698355500702E-3</v>
      </c>
      <c r="Y198" s="479">
        <v>6977</v>
      </c>
      <c r="Z198" s="479">
        <v>17283</v>
      </c>
      <c r="AA198" s="133">
        <v>3.0755936252453253E-3</v>
      </c>
      <c r="AB198" s="478">
        <v>3.4781789708141168E-3</v>
      </c>
      <c r="AC198" s="479">
        <v>6983</v>
      </c>
      <c r="AD198" s="479">
        <v>17357</v>
      </c>
      <c r="AE198" s="478">
        <v>3.0551325250765668E-3</v>
      </c>
      <c r="AF198" s="478">
        <v>3.4822783615780359E-3</v>
      </c>
      <c r="AG198" s="479">
        <v>6889</v>
      </c>
      <c r="AH198" s="479">
        <v>17420</v>
      </c>
      <c r="AI198" s="478">
        <v>3.0617764457261552E-3</v>
      </c>
      <c r="AJ198" s="478">
        <v>3.4706996649886868E-3</v>
      </c>
      <c r="AK198" s="479">
        <v>6866</v>
      </c>
      <c r="AL198" s="479">
        <v>17413</v>
      </c>
      <c r="AM198" s="478">
        <v>3.057119368320366E-3</v>
      </c>
      <c r="AN198" s="478">
        <v>3.4603904375553568E-3</v>
      </c>
      <c r="AO198" s="479">
        <v>6846</v>
      </c>
      <c r="AP198" s="479">
        <v>17421</v>
      </c>
      <c r="AQ198" s="478">
        <v>3.056780468438082E-3</v>
      </c>
      <c r="AR198" s="478">
        <v>3.4445430546124734E-3</v>
      </c>
      <c r="AS198" s="479">
        <v>6837</v>
      </c>
      <c r="AT198" s="479">
        <v>17415</v>
      </c>
      <c r="AU198" s="478">
        <v>3.070807955741002E-3</v>
      </c>
      <c r="AV198" s="478">
        <v>3.4381030238023577E-3</v>
      </c>
      <c r="AW198" s="479">
        <v>6865</v>
      </c>
      <c r="AX198" s="479">
        <v>17466</v>
      </c>
      <c r="AY198" s="478">
        <v>3.0754299558516883E-3</v>
      </c>
      <c r="AZ198" s="478">
        <v>3.4453147067234824E-3</v>
      </c>
      <c r="BA198" s="479">
        <v>6870</v>
      </c>
      <c r="BB198" s="479">
        <v>17601</v>
      </c>
      <c r="BC198" s="478">
        <v>3.0821983779931034E-3</v>
      </c>
      <c r="BD198" s="478">
        <v>3.4444984305348784E-3</v>
      </c>
      <c r="BE198" s="479">
        <v>6880</v>
      </c>
      <c r="BF198" s="479">
        <v>17709</v>
      </c>
      <c r="BG198" s="478">
        <v>3.0888588166053392E-3</v>
      </c>
      <c r="BH198" s="478">
        <v>3.442474160187994E-3</v>
      </c>
      <c r="BI198" s="479">
        <v>6891</v>
      </c>
      <c r="BJ198" s="479">
        <v>17815</v>
      </c>
    </row>
    <row r="199" spans="1:62">
      <c r="A199" s="461" t="s">
        <v>1416</v>
      </c>
      <c r="B199" s="462" t="s">
        <v>104</v>
      </c>
      <c r="C199" s="478">
        <v>1.2996492727305098E-3</v>
      </c>
      <c r="D199" s="478">
        <v>1.9109386270706257E-3</v>
      </c>
      <c r="E199" s="479">
        <v>2993</v>
      </c>
      <c r="F199" s="479">
        <v>9002</v>
      </c>
      <c r="G199" s="478">
        <v>1.2999755467346203E-3</v>
      </c>
      <c r="H199" s="478">
        <v>1.9134667147978803E-3</v>
      </c>
      <c r="I199" s="479">
        <v>2993</v>
      </c>
      <c r="J199" s="479">
        <v>9149</v>
      </c>
      <c r="K199" s="478">
        <v>1.2932687900834043E-3</v>
      </c>
      <c r="L199" s="471">
        <v>1.9660665524756202E-3</v>
      </c>
      <c r="M199" s="479">
        <v>2977</v>
      </c>
      <c r="N199" s="479">
        <v>9543</v>
      </c>
      <c r="O199" s="478">
        <v>1.3647685308210227E-3</v>
      </c>
      <c r="P199" s="478">
        <v>2.0400790617183993E-3</v>
      </c>
      <c r="Q199" s="479">
        <v>3138</v>
      </c>
      <c r="R199" s="479">
        <v>10018</v>
      </c>
      <c r="S199" s="478">
        <v>1.3608041408134188E-3</v>
      </c>
      <c r="T199" s="478">
        <v>2.0457990717037727E-3</v>
      </c>
      <c r="U199" s="479">
        <v>3127</v>
      </c>
      <c r="V199" s="479">
        <v>10127</v>
      </c>
      <c r="W199" s="478">
        <v>1.3619386901180203E-3</v>
      </c>
      <c r="X199" s="478">
        <v>2.0456614828751325E-3</v>
      </c>
      <c r="Y199" s="479">
        <v>3128</v>
      </c>
      <c r="Z199" s="479">
        <v>10164</v>
      </c>
      <c r="AA199" s="133">
        <v>1.3763754946142976E-3</v>
      </c>
      <c r="AB199" s="478">
        <v>2.0509973939207516E-3</v>
      </c>
      <c r="AC199" s="479">
        <v>3125</v>
      </c>
      <c r="AD199" s="479">
        <v>10235</v>
      </c>
      <c r="AE199" s="478">
        <v>1.3397525559959802E-3</v>
      </c>
      <c r="AF199" s="478">
        <v>2.0711760105803691E-3</v>
      </c>
      <c r="AG199" s="479">
        <v>3021</v>
      </c>
      <c r="AH199" s="479">
        <v>10361</v>
      </c>
      <c r="AI199" s="478">
        <v>1.3449341334561731E-3</v>
      </c>
      <c r="AJ199" s="478">
        <v>2.0645211698129455E-3</v>
      </c>
      <c r="AK199" s="479">
        <v>3016</v>
      </c>
      <c r="AL199" s="479">
        <v>10358</v>
      </c>
      <c r="AM199" s="478">
        <v>1.3472581265297318E-3</v>
      </c>
      <c r="AN199" s="478">
        <v>2.0687656510613075E-3</v>
      </c>
      <c r="AO199" s="479">
        <v>3017</v>
      </c>
      <c r="AP199" s="479">
        <v>10415</v>
      </c>
      <c r="AQ199" s="478">
        <v>1.3444111260192064E-3</v>
      </c>
      <c r="AR199" s="478">
        <v>2.0611876642042254E-3</v>
      </c>
      <c r="AS199" s="479">
        <v>3007</v>
      </c>
      <c r="AT199" s="479">
        <v>10421</v>
      </c>
      <c r="AU199" s="478">
        <v>1.3379150175704788E-3</v>
      </c>
      <c r="AV199" s="478">
        <v>2.0493582148635261E-3</v>
      </c>
      <c r="AW199" s="479">
        <v>2991</v>
      </c>
      <c r="AX199" s="479">
        <v>10411</v>
      </c>
      <c r="AY199" s="478">
        <v>1.3385059050941117E-3</v>
      </c>
      <c r="AZ199" s="478">
        <v>2.0404500030046916E-3</v>
      </c>
      <c r="BA199" s="479">
        <v>2990</v>
      </c>
      <c r="BB199" s="479">
        <v>10424</v>
      </c>
      <c r="BC199" s="478">
        <v>1.3408458932170581E-3</v>
      </c>
      <c r="BD199" s="478">
        <v>2.0327772938912424E-3</v>
      </c>
      <c r="BE199" s="479">
        <v>2993</v>
      </c>
      <c r="BF199" s="479">
        <v>10451</v>
      </c>
      <c r="BG199" s="478">
        <v>1.3424948709524003E-3</v>
      </c>
      <c r="BH199" s="478">
        <v>2.0322481472184752E-3</v>
      </c>
      <c r="BI199" s="479">
        <v>2995</v>
      </c>
      <c r="BJ199" s="479">
        <v>10517</v>
      </c>
    </row>
    <row r="200" spans="1:62">
      <c r="A200" s="461" t="s">
        <v>1417</v>
      </c>
      <c r="B200" s="462" t="s">
        <v>104</v>
      </c>
      <c r="C200" s="478">
        <v>2.8715605214055667E-3</v>
      </c>
      <c r="D200" s="478">
        <v>2.3571498017098676E-3</v>
      </c>
      <c r="E200" s="479">
        <v>6613</v>
      </c>
      <c r="F200" s="479">
        <v>11104</v>
      </c>
      <c r="G200" s="478">
        <v>2.8709784042485267E-3</v>
      </c>
      <c r="H200" s="478">
        <v>2.3332205345158105E-3</v>
      </c>
      <c r="I200" s="479">
        <v>6610</v>
      </c>
      <c r="J200" s="479">
        <v>11156</v>
      </c>
      <c r="K200" s="478">
        <v>2.8650008970776122E-3</v>
      </c>
      <c r="L200" s="471">
        <v>2.3187759664794203E-3</v>
      </c>
      <c r="M200" s="479">
        <v>6595</v>
      </c>
      <c r="N200" s="479">
        <v>11255</v>
      </c>
      <c r="O200" s="478">
        <v>2.8908911486192918E-3</v>
      </c>
      <c r="P200" s="478">
        <v>2.344522882567771E-3</v>
      </c>
      <c r="Q200" s="479">
        <v>6647</v>
      </c>
      <c r="R200" s="479">
        <v>11513</v>
      </c>
      <c r="S200" s="478">
        <v>2.9100407066259457E-3</v>
      </c>
      <c r="T200" s="478">
        <v>2.3492245882139992E-3</v>
      </c>
      <c r="U200" s="479">
        <v>6687</v>
      </c>
      <c r="V200" s="479">
        <v>11629</v>
      </c>
      <c r="W200" s="478">
        <v>2.9163252386222825E-3</v>
      </c>
      <c r="X200" s="478">
        <v>2.3487671689445882E-3</v>
      </c>
      <c r="Y200" s="479">
        <v>6698</v>
      </c>
      <c r="Z200" s="479">
        <v>11670</v>
      </c>
      <c r="AA200" s="133">
        <v>2.9447828982371825E-3</v>
      </c>
      <c r="AB200" s="478">
        <v>2.3632058882762505E-3</v>
      </c>
      <c r="AC200" s="479">
        <v>6686</v>
      </c>
      <c r="AD200" s="479">
        <v>11793</v>
      </c>
      <c r="AE200" s="478">
        <v>2.940714729827655E-3</v>
      </c>
      <c r="AF200" s="478">
        <v>2.3686289498471955E-3</v>
      </c>
      <c r="AG200" s="479">
        <v>6631</v>
      </c>
      <c r="AH200" s="479">
        <v>11849</v>
      </c>
      <c r="AI200" s="478">
        <v>2.9502931786956369E-3</v>
      </c>
      <c r="AJ200" s="478">
        <v>2.3607056125955323E-3</v>
      </c>
      <c r="AK200" s="479">
        <v>6616</v>
      </c>
      <c r="AL200" s="479">
        <v>11844</v>
      </c>
      <c r="AM200" s="478">
        <v>2.9557512560491532E-3</v>
      </c>
      <c r="AN200" s="478">
        <v>2.3514208139475525E-3</v>
      </c>
      <c r="AO200" s="479">
        <v>6619</v>
      </c>
      <c r="AP200" s="479">
        <v>11838</v>
      </c>
      <c r="AQ200" s="478">
        <v>2.9579727335361052E-3</v>
      </c>
      <c r="AR200" s="478">
        <v>2.422750954691254E-3</v>
      </c>
      <c r="AS200" s="479">
        <v>6616</v>
      </c>
      <c r="AT200" s="479">
        <v>12249</v>
      </c>
      <c r="AU200" s="478">
        <v>2.9612161204669238E-3</v>
      </c>
      <c r="AV200" s="478">
        <v>2.4194277032837958E-3</v>
      </c>
      <c r="AW200" s="479">
        <v>6620</v>
      </c>
      <c r="AX200" s="479">
        <v>12291</v>
      </c>
      <c r="AY200" s="478">
        <v>2.9608287813687141E-3</v>
      </c>
      <c r="AZ200" s="478">
        <v>2.4196088341462965E-3</v>
      </c>
      <c r="BA200" s="479">
        <v>6614</v>
      </c>
      <c r="BB200" s="479">
        <v>12361</v>
      </c>
      <c r="BC200" s="478">
        <v>2.9625839932657548E-3</v>
      </c>
      <c r="BD200" s="478">
        <v>2.4392938515634937E-3</v>
      </c>
      <c r="BE200" s="479">
        <v>6613</v>
      </c>
      <c r="BF200" s="479">
        <v>12541</v>
      </c>
      <c r="BG200" s="478">
        <v>2.9629018687797552E-3</v>
      </c>
      <c r="BH200" s="478">
        <v>2.4579439414870214E-3</v>
      </c>
      <c r="BI200" s="479">
        <v>6610</v>
      </c>
      <c r="BJ200" s="479">
        <v>12720</v>
      </c>
    </row>
    <row r="201" spans="1:62">
      <c r="A201" s="461" t="s">
        <v>1418</v>
      </c>
      <c r="B201" s="462" t="s">
        <v>104</v>
      </c>
      <c r="C201" s="478">
        <v>8.8474286441310168E-3</v>
      </c>
      <c r="D201" s="478">
        <v>1.1205801849122883E-2</v>
      </c>
      <c r="E201" s="479">
        <v>20375</v>
      </c>
      <c r="F201" s="479">
        <v>52788</v>
      </c>
      <c r="G201" s="478">
        <v>8.8231551140551551E-3</v>
      </c>
      <c r="H201" s="478">
        <v>1.1111868680425335E-2</v>
      </c>
      <c r="I201" s="479">
        <v>20314</v>
      </c>
      <c r="J201" s="479">
        <v>53130</v>
      </c>
      <c r="K201" s="478">
        <v>8.8091718257679794E-3</v>
      </c>
      <c r="L201" s="471">
        <v>1.1091598552408046E-2</v>
      </c>
      <c r="M201" s="479">
        <v>20278</v>
      </c>
      <c r="N201" s="479">
        <v>53837</v>
      </c>
      <c r="O201" s="478">
        <v>8.7905358651862685E-3</v>
      </c>
      <c r="P201" s="478">
        <v>1.1065056488074558E-2</v>
      </c>
      <c r="Q201" s="479">
        <v>20212</v>
      </c>
      <c r="R201" s="479">
        <v>54336</v>
      </c>
      <c r="S201" s="478">
        <v>8.8080191269790838E-3</v>
      </c>
      <c r="T201" s="478">
        <v>1.1075233366948517E-2</v>
      </c>
      <c r="U201" s="479">
        <v>20240</v>
      </c>
      <c r="V201" s="479">
        <v>54824</v>
      </c>
      <c r="W201" s="478">
        <v>8.829089756462025E-3</v>
      </c>
      <c r="X201" s="478">
        <v>1.1151511784893986E-2</v>
      </c>
      <c r="Y201" s="479">
        <v>20278</v>
      </c>
      <c r="Z201" s="479">
        <v>55407</v>
      </c>
      <c r="AA201" s="133">
        <v>8.8744287491147149E-3</v>
      </c>
      <c r="AB201" s="478">
        <v>1.1141314421808103E-2</v>
      </c>
      <c r="AC201" s="479">
        <v>20149</v>
      </c>
      <c r="AD201" s="479">
        <v>55598</v>
      </c>
      <c r="AE201" s="478">
        <v>8.8815704862401507E-3</v>
      </c>
      <c r="AF201" s="478">
        <v>1.1132695995100023E-2</v>
      </c>
      <c r="AG201" s="479">
        <v>20027</v>
      </c>
      <c r="AH201" s="479">
        <v>55691</v>
      </c>
      <c r="AI201" s="478">
        <v>8.9364986851663483E-3</v>
      </c>
      <c r="AJ201" s="478">
        <v>1.1120868765177958E-2</v>
      </c>
      <c r="AK201" s="479">
        <v>20040</v>
      </c>
      <c r="AL201" s="479">
        <v>55795</v>
      </c>
      <c r="AM201" s="478">
        <v>8.9512062135526926E-3</v>
      </c>
      <c r="AN201" s="478">
        <v>1.1099826533553233E-2</v>
      </c>
      <c r="AO201" s="479">
        <v>20045</v>
      </c>
      <c r="AP201" s="479">
        <v>55881</v>
      </c>
      <c r="AQ201" s="478">
        <v>8.949924150532914E-3</v>
      </c>
      <c r="AR201" s="478">
        <v>1.1076534918251687E-2</v>
      </c>
      <c r="AS201" s="479">
        <v>20018</v>
      </c>
      <c r="AT201" s="479">
        <v>56001</v>
      </c>
      <c r="AU201" s="478">
        <v>8.9583497348324909E-3</v>
      </c>
      <c r="AV201" s="478">
        <v>1.1080431650626056E-2</v>
      </c>
      <c r="AW201" s="479">
        <v>20027</v>
      </c>
      <c r="AX201" s="479">
        <v>56290</v>
      </c>
      <c r="AY201" s="478">
        <v>8.9639606165901314E-3</v>
      </c>
      <c r="AZ201" s="478">
        <v>1.1226585669831935E-2</v>
      </c>
      <c r="BA201" s="479">
        <v>20024</v>
      </c>
      <c r="BB201" s="479">
        <v>57353</v>
      </c>
      <c r="BC201" s="478">
        <v>8.9751108001037555E-3</v>
      </c>
      <c r="BD201" s="478">
        <v>1.1319638328637322E-2</v>
      </c>
      <c r="BE201" s="479">
        <v>20034</v>
      </c>
      <c r="BF201" s="479">
        <v>58197</v>
      </c>
      <c r="BG201" s="478">
        <v>8.9788029248906616E-3</v>
      </c>
      <c r="BH201" s="478">
        <v>1.1473883282831474E-2</v>
      </c>
      <c r="BI201" s="479">
        <v>20031</v>
      </c>
      <c r="BJ201" s="479">
        <v>59378</v>
      </c>
    </row>
    <row r="202" spans="1:62">
      <c r="A202" s="485" t="s">
        <v>1419</v>
      </c>
      <c r="B202" s="462" t="s">
        <v>104</v>
      </c>
      <c r="C202" s="478">
        <v>2.6822364041618305E-3</v>
      </c>
      <c r="D202" s="478">
        <v>1.1969795197137456E-2</v>
      </c>
      <c r="E202" s="479">
        <v>6177</v>
      </c>
      <c r="F202" s="479">
        <v>56387</v>
      </c>
      <c r="G202" s="478">
        <v>2.677697709862658E-3</v>
      </c>
      <c r="H202" s="478">
        <v>1.24248803795729E-2</v>
      </c>
      <c r="I202" s="479">
        <v>6165</v>
      </c>
      <c r="J202" s="479">
        <v>59408</v>
      </c>
      <c r="K202" s="478">
        <v>2.6699462491946938E-3</v>
      </c>
      <c r="L202" s="471">
        <v>1.2561152436805887E-2</v>
      </c>
      <c r="M202" s="479">
        <v>6146</v>
      </c>
      <c r="N202" s="479">
        <v>60970</v>
      </c>
      <c r="O202" s="478">
        <v>2.6803914771988411E-3</v>
      </c>
      <c r="P202" s="478">
        <v>1.2636149516738708E-2</v>
      </c>
      <c r="Q202" s="479">
        <v>6163</v>
      </c>
      <c r="R202" s="479">
        <v>62051</v>
      </c>
      <c r="S202" s="478">
        <v>2.6933216589364404E-3</v>
      </c>
      <c r="T202" s="478">
        <v>1.266589416388695E-2</v>
      </c>
      <c r="U202" s="479">
        <v>6189</v>
      </c>
      <c r="V202" s="479">
        <v>62698</v>
      </c>
      <c r="W202" s="478">
        <v>2.6942700174073879E-3</v>
      </c>
      <c r="X202" s="478">
        <v>1.2717960360377768E-2</v>
      </c>
      <c r="Y202" s="479">
        <v>6188</v>
      </c>
      <c r="Z202" s="479">
        <v>63190</v>
      </c>
      <c r="AA202" s="133">
        <v>2.6937320080195346E-3</v>
      </c>
      <c r="AB202" s="478">
        <v>1.2832209977245651E-2</v>
      </c>
      <c r="AC202" s="479">
        <v>6116</v>
      </c>
      <c r="AD202" s="479">
        <v>64036</v>
      </c>
      <c r="AE202" s="478">
        <v>2.6728529145937682E-3</v>
      </c>
      <c r="AF202" s="478">
        <v>1.2840051878351343E-2</v>
      </c>
      <c r="AG202" s="479">
        <v>6027</v>
      </c>
      <c r="AH202" s="479">
        <v>64232</v>
      </c>
      <c r="AI202" s="478">
        <v>2.6818414716861488E-3</v>
      </c>
      <c r="AJ202" s="478">
        <v>1.2885817110292229E-2</v>
      </c>
      <c r="AK202" s="479">
        <v>6014</v>
      </c>
      <c r="AL202" s="479">
        <v>64650</v>
      </c>
      <c r="AM202" s="478">
        <v>2.682012697360812E-3</v>
      </c>
      <c r="AN202" s="478">
        <v>1.2910567548922881E-2</v>
      </c>
      <c r="AO202" s="479">
        <v>6006</v>
      </c>
      <c r="AP202" s="479">
        <v>64997</v>
      </c>
      <c r="AQ202" s="478">
        <v>2.6780920002843515E-3</v>
      </c>
      <c r="AR202" s="478">
        <v>1.2899185750766987E-2</v>
      </c>
      <c r="AS202" s="479">
        <v>5990</v>
      </c>
      <c r="AT202" s="479">
        <v>65216</v>
      </c>
      <c r="AU202" s="478">
        <v>2.6803031712745932E-3</v>
      </c>
      <c r="AV202" s="478">
        <v>1.2918968364373567E-2</v>
      </c>
      <c r="AW202" s="479">
        <v>5992</v>
      </c>
      <c r="AX202" s="479">
        <v>65630</v>
      </c>
      <c r="AY202" s="478">
        <v>2.6756688276747512E-3</v>
      </c>
      <c r="AZ202" s="478">
        <v>1.2900013056217881E-2</v>
      </c>
      <c r="BA202" s="479">
        <v>5977</v>
      </c>
      <c r="BB202" s="479">
        <v>65902</v>
      </c>
      <c r="BC202" s="478">
        <v>2.6772118469312193E-3</v>
      </c>
      <c r="BD202" s="478">
        <v>1.2844172672673257E-2</v>
      </c>
      <c r="BE202" s="479">
        <v>5976</v>
      </c>
      <c r="BF202" s="479">
        <v>66035</v>
      </c>
      <c r="BG202" s="478">
        <v>2.6818520243433092E-3</v>
      </c>
      <c r="BH202" s="478">
        <v>1.2780342322799535E-2</v>
      </c>
      <c r="BI202" s="479">
        <v>5983</v>
      </c>
      <c r="BJ202" s="479">
        <v>66139</v>
      </c>
    </row>
    <row r="203" spans="1:62">
      <c r="A203" s="461" t="s">
        <v>1420</v>
      </c>
      <c r="B203" s="462" t="s">
        <v>104</v>
      </c>
      <c r="C203" s="478">
        <v>5.1634244911588677E-3</v>
      </c>
      <c r="D203" s="478">
        <v>5.992221235830885E-3</v>
      </c>
      <c r="E203" s="479">
        <v>11891</v>
      </c>
      <c r="F203" s="479">
        <v>28228</v>
      </c>
      <c r="G203" s="478">
        <v>5.177316577706874E-3</v>
      </c>
      <c r="H203" s="478">
        <v>5.9867728397736721E-3</v>
      </c>
      <c r="I203" s="479">
        <v>11920</v>
      </c>
      <c r="J203" s="479">
        <v>28625</v>
      </c>
      <c r="K203" s="478">
        <v>5.174378420787178E-3</v>
      </c>
      <c r="L203" s="471">
        <v>5.9785481804767926E-3</v>
      </c>
      <c r="M203" s="479">
        <v>11911</v>
      </c>
      <c r="N203" s="479">
        <v>29019</v>
      </c>
      <c r="O203" s="478">
        <v>5.1628958665953986E-3</v>
      </c>
      <c r="P203" s="478">
        <v>5.9776882389381003E-3</v>
      </c>
      <c r="Q203" s="479">
        <v>11871</v>
      </c>
      <c r="R203" s="479">
        <v>29354</v>
      </c>
      <c r="S203" s="478">
        <v>5.1620910515921886E-3</v>
      </c>
      <c r="T203" s="478">
        <v>5.9881086287590828E-3</v>
      </c>
      <c r="U203" s="479">
        <v>11862</v>
      </c>
      <c r="V203" s="479">
        <v>29642</v>
      </c>
      <c r="W203" s="478">
        <v>5.1699680327561932E-3</v>
      </c>
      <c r="X203" s="478">
        <v>5.9810037668831476E-3</v>
      </c>
      <c r="Y203" s="479">
        <v>11874</v>
      </c>
      <c r="Z203" s="479">
        <v>29717</v>
      </c>
      <c r="AA203" s="133">
        <v>5.2513680071316071E-3</v>
      </c>
      <c r="AB203" s="478">
        <v>5.9948840289724675E-3</v>
      </c>
      <c r="AC203" s="479">
        <v>11923</v>
      </c>
      <c r="AD203" s="479">
        <v>29916</v>
      </c>
      <c r="AE203" s="478">
        <v>5.2131053610502314E-3</v>
      </c>
      <c r="AF203" s="478">
        <v>5.9860405015760209E-3</v>
      </c>
      <c r="AG203" s="479">
        <v>11755</v>
      </c>
      <c r="AH203" s="479">
        <v>29945</v>
      </c>
      <c r="AI203" s="478">
        <v>5.2129575663470368E-3</v>
      </c>
      <c r="AJ203" s="478">
        <v>5.9649473883946723E-3</v>
      </c>
      <c r="AK203" s="479">
        <v>11690</v>
      </c>
      <c r="AL203" s="479">
        <v>29927</v>
      </c>
      <c r="AM203" s="478">
        <v>5.2121965040951377E-3</v>
      </c>
      <c r="AN203" s="478">
        <v>5.9458887180863351E-3</v>
      </c>
      <c r="AO203" s="479">
        <v>11672</v>
      </c>
      <c r="AP203" s="479">
        <v>29934</v>
      </c>
      <c r="AQ203" s="478">
        <v>5.2162436339428268E-3</v>
      </c>
      <c r="AR203" s="478">
        <v>5.9297961973747895E-3</v>
      </c>
      <c r="AS203" s="479">
        <v>11667</v>
      </c>
      <c r="AT203" s="479">
        <v>29980</v>
      </c>
      <c r="AU203" s="478">
        <v>5.2183606134995671E-3</v>
      </c>
      <c r="AV203" s="478">
        <v>5.9240644968127764E-3</v>
      </c>
      <c r="AW203" s="479">
        <v>11666</v>
      </c>
      <c r="AX203" s="479">
        <v>30095</v>
      </c>
      <c r="AY203" s="478">
        <v>5.2228589948939801E-3</v>
      </c>
      <c r="AZ203" s="478">
        <v>5.9171875614762882E-3</v>
      </c>
      <c r="BA203" s="479">
        <v>11667</v>
      </c>
      <c r="BB203" s="479">
        <v>30229</v>
      </c>
      <c r="BC203" s="478">
        <v>5.1953858415095967E-3</v>
      </c>
      <c r="BD203" s="478">
        <v>5.9075219567567526E-3</v>
      </c>
      <c r="BE203" s="479">
        <v>11597</v>
      </c>
      <c r="BF203" s="479">
        <v>30372</v>
      </c>
      <c r="BG203" s="478">
        <v>5.1938190550001543E-3</v>
      </c>
      <c r="BH203" s="478">
        <v>5.891336076105055E-3</v>
      </c>
      <c r="BI203" s="479">
        <v>11587</v>
      </c>
      <c r="BJ203" s="479">
        <v>30488</v>
      </c>
    </row>
    <row r="204" spans="1:62">
      <c r="A204" s="461" t="s">
        <v>1421</v>
      </c>
      <c r="B204" s="462" t="s">
        <v>104</v>
      </c>
      <c r="C204" s="478">
        <v>4.0665604540999741E-3</v>
      </c>
      <c r="D204" s="478">
        <v>5.9826686654889409E-3</v>
      </c>
      <c r="E204" s="479">
        <v>9365</v>
      </c>
      <c r="F204" s="479">
        <v>28183</v>
      </c>
      <c r="G204" s="478">
        <v>4.0619349525767359E-3</v>
      </c>
      <c r="H204" s="478">
        <v>5.911689819704545E-3</v>
      </c>
      <c r="I204" s="479">
        <v>9352</v>
      </c>
      <c r="J204" s="479">
        <v>28266</v>
      </c>
      <c r="K204" s="478">
        <v>4.0422795067941138E-3</v>
      </c>
      <c r="L204" s="471">
        <v>5.8454580628094707E-3</v>
      </c>
      <c r="M204" s="479">
        <v>9305</v>
      </c>
      <c r="N204" s="479">
        <v>28373</v>
      </c>
      <c r="O204" s="478">
        <v>4.0368965911665817E-3</v>
      </c>
      <c r="P204" s="478">
        <v>5.8133496680849604E-3</v>
      </c>
      <c r="Q204" s="479">
        <v>9282</v>
      </c>
      <c r="R204" s="479">
        <v>28547</v>
      </c>
      <c r="S204" s="478">
        <v>4.051949905696752E-3</v>
      </c>
      <c r="T204" s="478">
        <v>5.870132262819021E-3</v>
      </c>
      <c r="U204" s="479">
        <v>9311</v>
      </c>
      <c r="V204" s="479">
        <v>29058</v>
      </c>
      <c r="W204" s="478">
        <v>4.0583857194981029E-3</v>
      </c>
      <c r="X204" s="478">
        <v>5.8568230176767374E-3</v>
      </c>
      <c r="Y204" s="479">
        <v>9321</v>
      </c>
      <c r="Z204" s="479">
        <v>29100</v>
      </c>
      <c r="AA204" s="133">
        <v>4.0388362513961952E-3</v>
      </c>
      <c r="AB204" s="478">
        <v>5.8598207907211153E-3</v>
      </c>
      <c r="AC204" s="479">
        <v>9170</v>
      </c>
      <c r="AD204" s="479">
        <v>29242</v>
      </c>
      <c r="AE204" s="478">
        <v>4.0755796059593046E-3</v>
      </c>
      <c r="AF204" s="478">
        <v>5.8722967364934773E-3</v>
      </c>
      <c r="AG204" s="479">
        <v>9190</v>
      </c>
      <c r="AH204" s="479">
        <v>29376</v>
      </c>
      <c r="AI204" s="478">
        <v>4.0874225024069236E-3</v>
      </c>
      <c r="AJ204" s="478">
        <v>5.8762515088265355E-3</v>
      </c>
      <c r="AK204" s="479">
        <v>9166</v>
      </c>
      <c r="AL204" s="479">
        <v>29482</v>
      </c>
      <c r="AM204" s="478">
        <v>4.0882161578984742E-3</v>
      </c>
      <c r="AN204" s="478">
        <v>5.860675039324424E-3</v>
      </c>
      <c r="AO204" s="479">
        <v>9155</v>
      </c>
      <c r="AP204" s="479">
        <v>29505</v>
      </c>
      <c r="AQ204" s="478">
        <v>4.0868846368279227E-3</v>
      </c>
      <c r="AR204" s="478">
        <v>5.8496905449419408E-3</v>
      </c>
      <c r="AS204" s="479">
        <v>9141</v>
      </c>
      <c r="AT204" s="479">
        <v>29575</v>
      </c>
      <c r="AU204" s="478">
        <v>4.0897883669832455E-3</v>
      </c>
      <c r="AV204" s="478">
        <v>5.8299723609271971E-3</v>
      </c>
      <c r="AW204" s="479">
        <v>9143</v>
      </c>
      <c r="AX204" s="479">
        <v>29617</v>
      </c>
      <c r="AY204" s="478">
        <v>4.0907247360367867E-3</v>
      </c>
      <c r="AZ204" s="478">
        <v>5.8185318821291692E-3</v>
      </c>
      <c r="BA204" s="479">
        <v>9138</v>
      </c>
      <c r="BB204" s="479">
        <v>29725</v>
      </c>
      <c r="BC204" s="478">
        <v>4.0919767419460764E-3</v>
      </c>
      <c r="BD204" s="478">
        <v>5.8098801807034174E-3</v>
      </c>
      <c r="BE204" s="479">
        <v>9134</v>
      </c>
      <c r="BF204" s="479">
        <v>29870</v>
      </c>
      <c r="BG204" s="478">
        <v>4.0906872094529567E-3</v>
      </c>
      <c r="BH204" s="478">
        <v>5.8397424414842192E-3</v>
      </c>
      <c r="BI204" s="479">
        <v>9126</v>
      </c>
      <c r="BJ204" s="479">
        <v>30221</v>
      </c>
    </row>
    <row r="205" spans="1:62">
      <c r="A205" s="461" t="s">
        <v>1422</v>
      </c>
      <c r="B205" s="462" t="s">
        <v>104</v>
      </c>
      <c r="C205" s="478">
        <v>1.7185505936136113E-2</v>
      </c>
      <c r="D205" s="478">
        <v>1.5074168278928261E-2</v>
      </c>
      <c r="E205" s="479">
        <v>39577</v>
      </c>
      <c r="F205" s="479">
        <v>71011</v>
      </c>
      <c r="G205" s="478">
        <v>1.722587042549116E-2</v>
      </c>
      <c r="H205" s="478">
        <v>1.4981258525269096E-2</v>
      </c>
      <c r="I205" s="479">
        <v>39660</v>
      </c>
      <c r="J205" s="479">
        <v>71631</v>
      </c>
      <c r="K205" s="478">
        <v>1.7442403490305264E-2</v>
      </c>
      <c r="L205" s="471">
        <v>1.5045775995734523E-2</v>
      </c>
      <c r="M205" s="479">
        <v>40151</v>
      </c>
      <c r="N205" s="479">
        <v>73030</v>
      </c>
      <c r="O205" s="478">
        <v>1.7485390061545057E-2</v>
      </c>
      <c r="P205" s="478">
        <v>1.4966621146036509E-2</v>
      </c>
      <c r="Q205" s="479">
        <v>40204</v>
      </c>
      <c r="R205" s="479">
        <v>73495</v>
      </c>
      <c r="S205" s="478">
        <v>1.7454151736406971E-2</v>
      </c>
      <c r="T205" s="478">
        <v>1.4890273899102734E-2</v>
      </c>
      <c r="U205" s="479">
        <v>40108</v>
      </c>
      <c r="V205" s="479">
        <v>73709</v>
      </c>
      <c r="W205" s="478">
        <v>1.7365153701399298E-2</v>
      </c>
      <c r="X205" s="478">
        <v>1.4799849614496262E-2</v>
      </c>
      <c r="Y205" s="479">
        <v>39883</v>
      </c>
      <c r="Z205" s="479">
        <v>73534</v>
      </c>
      <c r="AA205" s="133">
        <v>1.7454203032342401E-2</v>
      </c>
      <c r="AB205" s="478">
        <v>1.4735118746436805E-2</v>
      </c>
      <c r="AC205" s="479">
        <v>39629</v>
      </c>
      <c r="AD205" s="479">
        <v>73532</v>
      </c>
      <c r="AE205" s="478">
        <v>1.7400817954192082E-2</v>
      </c>
      <c r="AF205" s="478">
        <v>1.4697533539418111E-2</v>
      </c>
      <c r="AG205" s="479">
        <v>39237</v>
      </c>
      <c r="AH205" s="479">
        <v>73524</v>
      </c>
      <c r="AI205" s="478">
        <v>1.7433307365164331E-2</v>
      </c>
      <c r="AJ205" s="478">
        <v>1.4667707364986933E-2</v>
      </c>
      <c r="AK205" s="479">
        <v>39094</v>
      </c>
      <c r="AL205" s="479">
        <v>73590</v>
      </c>
      <c r="AM205" s="478">
        <v>1.7447818866347262E-2</v>
      </c>
      <c r="AN205" s="478">
        <v>1.4619608322972953E-2</v>
      </c>
      <c r="AO205" s="479">
        <v>39072</v>
      </c>
      <c r="AP205" s="479">
        <v>73601</v>
      </c>
      <c r="AQ205" s="478">
        <v>1.7467955667964878E-2</v>
      </c>
      <c r="AR205" s="478">
        <v>1.4569734739527076E-2</v>
      </c>
      <c r="AS205" s="479">
        <v>39070</v>
      </c>
      <c r="AT205" s="479">
        <v>73662</v>
      </c>
      <c r="AU205" s="478">
        <v>1.7486831087222578E-2</v>
      </c>
      <c r="AV205" s="478">
        <v>1.4540384521883016E-2</v>
      </c>
      <c r="AW205" s="479">
        <v>39093</v>
      </c>
      <c r="AX205" s="479">
        <v>73867</v>
      </c>
      <c r="AY205" s="478">
        <v>1.7461906301005355E-2</v>
      </c>
      <c r="AZ205" s="478">
        <v>1.4535465835871009E-2</v>
      </c>
      <c r="BA205" s="479">
        <v>39007</v>
      </c>
      <c r="BB205" s="479">
        <v>74257</v>
      </c>
      <c r="BC205" s="478">
        <v>1.7467284121795219E-2</v>
      </c>
      <c r="BD205" s="478">
        <v>1.4498053194150363E-2</v>
      </c>
      <c r="BE205" s="479">
        <v>38990</v>
      </c>
      <c r="BF205" s="479">
        <v>74538</v>
      </c>
      <c r="BG205" s="478">
        <v>1.7399540369201778E-2</v>
      </c>
      <c r="BH205" s="478">
        <v>1.4378778823112479E-2</v>
      </c>
      <c r="BI205" s="479">
        <v>38817</v>
      </c>
      <c r="BJ205" s="479">
        <v>74411</v>
      </c>
    </row>
    <row r="206" spans="1:62">
      <c r="A206" s="461" t="s">
        <v>1423</v>
      </c>
      <c r="B206" s="462" t="s">
        <v>104</v>
      </c>
      <c r="C206" s="478">
        <v>2.469898116702686E-3</v>
      </c>
      <c r="D206" s="478">
        <v>1.5016640577535667E-3</v>
      </c>
      <c r="E206" s="479">
        <v>5688</v>
      </c>
      <c r="F206" s="479">
        <v>7074</v>
      </c>
      <c r="G206" s="478">
        <v>2.508305640625604E-3</v>
      </c>
      <c r="H206" s="478">
        <v>1.527385224414572E-3</v>
      </c>
      <c r="I206" s="479">
        <v>5775</v>
      </c>
      <c r="J206" s="479">
        <v>7303</v>
      </c>
      <c r="K206" s="478">
        <v>2.5087763731043533E-3</v>
      </c>
      <c r="L206" s="471">
        <v>1.561851674978275E-3</v>
      </c>
      <c r="M206" s="479">
        <v>5775</v>
      </c>
      <c r="N206" s="479">
        <v>7581</v>
      </c>
      <c r="O206" s="478">
        <v>2.5081644733093811E-3</v>
      </c>
      <c r="P206" s="478">
        <v>1.5965481976314881E-3</v>
      </c>
      <c r="Q206" s="479">
        <v>5767</v>
      </c>
      <c r="R206" s="479">
        <v>7840</v>
      </c>
      <c r="S206" s="478">
        <v>2.5048892339373323E-3</v>
      </c>
      <c r="T206" s="478">
        <v>1.6025796421275825E-3</v>
      </c>
      <c r="U206" s="479">
        <v>5756</v>
      </c>
      <c r="V206" s="479">
        <v>7933</v>
      </c>
      <c r="W206" s="478">
        <v>2.5000805494429898E-3</v>
      </c>
      <c r="X206" s="478">
        <v>1.6038839391019216E-3</v>
      </c>
      <c r="Y206" s="479">
        <v>5742</v>
      </c>
      <c r="Z206" s="479">
        <v>7969</v>
      </c>
      <c r="AA206" s="133">
        <v>2.528126508507542E-3</v>
      </c>
      <c r="AB206" s="478">
        <v>1.6065311291707538E-3</v>
      </c>
      <c r="AC206" s="479">
        <v>5740</v>
      </c>
      <c r="AD206" s="479">
        <v>8017</v>
      </c>
      <c r="AE206" s="478">
        <v>2.5362611280175477E-3</v>
      </c>
      <c r="AF206" s="478">
        <v>1.6094043105088845E-3</v>
      </c>
      <c r="AG206" s="479">
        <v>5719</v>
      </c>
      <c r="AH206" s="479">
        <v>8051</v>
      </c>
      <c r="AI206" s="478">
        <v>2.5462778189770385E-3</v>
      </c>
      <c r="AJ206" s="478">
        <v>1.6054950784749251E-3</v>
      </c>
      <c r="AK206" s="479">
        <v>5710</v>
      </c>
      <c r="AL206" s="479">
        <v>8055</v>
      </c>
      <c r="AM206" s="478">
        <v>2.5484925847216373E-3</v>
      </c>
      <c r="AN206" s="478">
        <v>1.602374700634812E-3</v>
      </c>
      <c r="AO206" s="479">
        <v>5707</v>
      </c>
      <c r="AP206" s="479">
        <v>8067</v>
      </c>
      <c r="AQ206" s="478">
        <v>2.5488818854125356E-3</v>
      </c>
      <c r="AR206" s="478">
        <v>1.594992546218489E-3</v>
      </c>
      <c r="AS206" s="479">
        <v>5701</v>
      </c>
      <c r="AT206" s="479">
        <v>8064</v>
      </c>
      <c r="AU206" s="478">
        <v>2.545214460038791E-3</v>
      </c>
      <c r="AV206" s="478">
        <v>1.5877555817010087E-3</v>
      </c>
      <c r="AW206" s="479">
        <v>5690</v>
      </c>
      <c r="AX206" s="479">
        <v>8066</v>
      </c>
      <c r="AY206" s="478">
        <v>2.5471901672192293E-3</v>
      </c>
      <c r="AZ206" s="478">
        <v>1.5790781057404882E-3</v>
      </c>
      <c r="BA206" s="479">
        <v>5690</v>
      </c>
      <c r="BB206" s="479">
        <v>8067</v>
      </c>
      <c r="BC206" s="478">
        <v>2.545053631595759E-3</v>
      </c>
      <c r="BD206" s="478">
        <v>1.5686870993429215E-3</v>
      </c>
      <c r="BE206" s="479">
        <v>5681</v>
      </c>
      <c r="BF206" s="479">
        <v>8065</v>
      </c>
      <c r="BG206" s="478">
        <v>2.533482808221358E-3</v>
      </c>
      <c r="BH206" s="478">
        <v>1.570610719843279E-3</v>
      </c>
      <c r="BI206" s="479">
        <v>5652</v>
      </c>
      <c r="BJ206" s="479">
        <v>8128</v>
      </c>
    </row>
    <row r="207" spans="1:62">
      <c r="A207" s="461" t="s">
        <v>1424</v>
      </c>
      <c r="B207" s="462" t="s">
        <v>104</v>
      </c>
      <c r="C207" s="478">
        <v>4.7617620864559874E-3</v>
      </c>
      <c r="D207" s="478">
        <v>6.3883344860101547E-3</v>
      </c>
      <c r="E207" s="479">
        <v>10966</v>
      </c>
      <c r="F207" s="479">
        <v>30094</v>
      </c>
      <c r="G207" s="478">
        <v>4.7581797910049338E-3</v>
      </c>
      <c r="H207" s="478">
        <v>6.4054809349781043E-3</v>
      </c>
      <c r="I207" s="479">
        <v>10955</v>
      </c>
      <c r="J207" s="479">
        <v>30627</v>
      </c>
      <c r="K207" s="478">
        <v>4.7855723854749012E-3</v>
      </c>
      <c r="L207" s="471">
        <v>6.4276758221405092E-3</v>
      </c>
      <c r="M207" s="479">
        <v>11016</v>
      </c>
      <c r="N207" s="479">
        <v>31199</v>
      </c>
      <c r="O207" s="478">
        <v>4.7958261916390748E-3</v>
      </c>
      <c r="P207" s="478">
        <v>6.4263101368184786E-3</v>
      </c>
      <c r="Q207" s="479">
        <v>11027</v>
      </c>
      <c r="R207" s="479">
        <v>31557</v>
      </c>
      <c r="S207" s="478">
        <v>4.8087258573675335E-3</v>
      </c>
      <c r="T207" s="478">
        <v>6.3988037519716601E-3</v>
      </c>
      <c r="U207" s="479">
        <v>11050</v>
      </c>
      <c r="V207" s="479">
        <v>31675</v>
      </c>
      <c r="W207" s="478">
        <v>4.8229523243086027E-3</v>
      </c>
      <c r="X207" s="478">
        <v>6.473701455792861E-3</v>
      </c>
      <c r="Y207" s="479">
        <v>11077</v>
      </c>
      <c r="Z207" s="479">
        <v>32165</v>
      </c>
      <c r="AA207" s="133">
        <v>4.8791960733879014E-3</v>
      </c>
      <c r="AB207" s="478">
        <v>6.454780366935157E-3</v>
      </c>
      <c r="AC207" s="479">
        <v>11078</v>
      </c>
      <c r="AD207" s="479">
        <v>32211</v>
      </c>
      <c r="AE207" s="478">
        <v>4.8592084594663871E-3</v>
      </c>
      <c r="AF207" s="478">
        <v>6.4594064694415082E-3</v>
      </c>
      <c r="AG207" s="479">
        <v>10957</v>
      </c>
      <c r="AH207" s="479">
        <v>32313</v>
      </c>
      <c r="AI207" s="478">
        <v>4.8785077652554821E-3</v>
      </c>
      <c r="AJ207" s="478">
        <v>6.4456989873123037E-3</v>
      </c>
      <c r="AK207" s="479">
        <v>10940</v>
      </c>
      <c r="AL207" s="479">
        <v>32339</v>
      </c>
      <c r="AM207" s="478">
        <v>4.889783389294188E-3</v>
      </c>
      <c r="AN207" s="478">
        <v>6.4394924283971708E-3</v>
      </c>
      <c r="AO207" s="479">
        <v>10950</v>
      </c>
      <c r="AP207" s="479">
        <v>32419</v>
      </c>
      <c r="AQ207" s="478">
        <v>4.8943360813210011E-3</v>
      </c>
      <c r="AR207" s="478">
        <v>6.4365386209129551E-3</v>
      </c>
      <c r="AS207" s="479">
        <v>10947</v>
      </c>
      <c r="AT207" s="479">
        <v>32542</v>
      </c>
      <c r="AU207" s="478">
        <v>4.8980840663312413E-3</v>
      </c>
      <c r="AV207" s="478">
        <v>6.4264141427960364E-3</v>
      </c>
      <c r="AW207" s="479">
        <v>10950</v>
      </c>
      <c r="AX207" s="479">
        <v>32647</v>
      </c>
      <c r="AY207" s="478">
        <v>4.8974095657958469E-3</v>
      </c>
      <c r="AZ207" s="478">
        <v>6.4227979181302715E-3</v>
      </c>
      <c r="BA207" s="479">
        <v>10940</v>
      </c>
      <c r="BB207" s="479">
        <v>32812</v>
      </c>
      <c r="BC207" s="478">
        <v>4.8952298948155004E-3</v>
      </c>
      <c r="BD207" s="478">
        <v>6.4235451278115288E-3</v>
      </c>
      <c r="BE207" s="479">
        <v>10927</v>
      </c>
      <c r="BF207" s="479">
        <v>33025</v>
      </c>
      <c r="BG207" s="478">
        <v>4.8979771134881065E-3</v>
      </c>
      <c r="BH207" s="478">
        <v>6.4207988433750583E-3</v>
      </c>
      <c r="BI207" s="479">
        <v>10927</v>
      </c>
      <c r="BJ207" s="479">
        <v>33228</v>
      </c>
    </row>
    <row r="208" spans="1:62">
      <c r="A208" s="437" t="s">
        <v>1425</v>
      </c>
      <c r="B208" s="462" t="s">
        <v>104</v>
      </c>
      <c r="C208" s="478">
        <v>2.7434627815273505E-3</v>
      </c>
      <c r="D208" s="478">
        <v>6.6710905681316912E-3</v>
      </c>
      <c r="E208" s="479">
        <v>6318</v>
      </c>
      <c r="F208" s="479">
        <v>31426</v>
      </c>
      <c r="G208" s="478">
        <v>2.7389394579714387E-3</v>
      </c>
      <c r="H208" s="478">
        <v>7.1728335829826318E-3</v>
      </c>
      <c r="I208" s="479">
        <v>6306</v>
      </c>
      <c r="J208" s="479">
        <v>34296</v>
      </c>
      <c r="K208" s="478">
        <v>2.7351092718727286E-3</v>
      </c>
      <c r="L208" s="471">
        <v>7.5877848818691291E-3</v>
      </c>
      <c r="M208" s="479">
        <v>6296</v>
      </c>
      <c r="N208" s="479">
        <v>36830</v>
      </c>
      <c r="O208" s="478">
        <v>2.7330163950539535E-3</v>
      </c>
      <c r="P208" s="478">
        <v>8.0505535582864312E-3</v>
      </c>
      <c r="Q208" s="479">
        <v>6284</v>
      </c>
      <c r="R208" s="479">
        <v>39533</v>
      </c>
      <c r="S208" s="478">
        <v>2.7107288113613001E-3</v>
      </c>
      <c r="T208" s="478">
        <v>8.1957211749799606E-3</v>
      </c>
      <c r="U208" s="479">
        <v>6229</v>
      </c>
      <c r="V208" s="479">
        <v>40570</v>
      </c>
      <c r="W208" s="478">
        <v>2.7608865837718561E-3</v>
      </c>
      <c r="X208" s="478">
        <v>8.2371888537613683E-3</v>
      </c>
      <c r="Y208" s="479">
        <v>6341</v>
      </c>
      <c r="Z208" s="479">
        <v>40927</v>
      </c>
      <c r="AA208" s="133">
        <v>2.7809391593582962E-3</v>
      </c>
      <c r="AB208" s="478">
        <v>8.2590969800140478E-3</v>
      </c>
      <c r="AC208" s="479">
        <v>6314</v>
      </c>
      <c r="AD208" s="479">
        <v>41215</v>
      </c>
      <c r="AE208" s="478">
        <v>2.7646532386888254E-3</v>
      </c>
      <c r="AF208" s="478">
        <v>8.2809059201130967E-3</v>
      </c>
      <c r="AG208" s="479">
        <v>6234</v>
      </c>
      <c r="AH208" s="479">
        <v>41425</v>
      </c>
      <c r="AI208" s="478">
        <v>2.7656768884930984E-3</v>
      </c>
      <c r="AJ208" s="478">
        <v>8.3178796542415362E-3</v>
      </c>
      <c r="AK208" s="479">
        <v>6202</v>
      </c>
      <c r="AL208" s="479">
        <v>41732</v>
      </c>
      <c r="AM208" s="478">
        <v>2.7485494759000662E-3</v>
      </c>
      <c r="AN208" s="478">
        <v>8.3082343626443896E-3</v>
      </c>
      <c r="AO208" s="479">
        <v>6155</v>
      </c>
      <c r="AP208" s="479">
        <v>41827</v>
      </c>
      <c r="AQ208" s="478">
        <v>2.7464973552164896E-3</v>
      </c>
      <c r="AR208" s="478">
        <v>8.2852979623693306E-3</v>
      </c>
      <c r="AS208" s="479">
        <v>6143</v>
      </c>
      <c r="AT208" s="479">
        <v>41889</v>
      </c>
      <c r="AU208" s="478">
        <v>2.7496367813459486E-3</v>
      </c>
      <c r="AV208" s="478">
        <v>8.2629824018179074E-3</v>
      </c>
      <c r="AW208" s="479">
        <v>6147</v>
      </c>
      <c r="AX208" s="479">
        <v>41977</v>
      </c>
      <c r="AY208" s="478">
        <v>2.7495328659157305E-3</v>
      </c>
      <c r="AZ208" s="478">
        <v>8.2455790413056059E-3</v>
      </c>
      <c r="BA208" s="479">
        <v>6142</v>
      </c>
      <c r="BB208" s="479">
        <v>42124</v>
      </c>
      <c r="BC208" s="478">
        <v>2.7444109394746735E-3</v>
      </c>
      <c r="BD208" s="478">
        <v>8.2433388663673089E-3</v>
      </c>
      <c r="BE208" s="479">
        <v>6126</v>
      </c>
      <c r="BF208" s="479">
        <v>42381</v>
      </c>
      <c r="BG208" s="478">
        <v>2.7387791858160824E-3</v>
      </c>
      <c r="BH208" s="478">
        <v>8.2441604024844559E-3</v>
      </c>
      <c r="BI208" s="479">
        <v>6110</v>
      </c>
      <c r="BJ208" s="479">
        <v>42664</v>
      </c>
    </row>
    <row r="209" spans="1:62">
      <c r="A209" s="437" t="s">
        <v>1426</v>
      </c>
      <c r="B209" s="462" t="s">
        <v>104</v>
      </c>
      <c r="C209" s="478">
        <v>3.6544765383561542E-3</v>
      </c>
      <c r="D209" s="478">
        <v>3.4777724424903422E-3</v>
      </c>
      <c r="E209" s="479">
        <v>8416</v>
      </c>
      <c r="F209" s="479">
        <v>16383</v>
      </c>
      <c r="G209" s="478">
        <v>3.6597373727985001E-3</v>
      </c>
      <c r="H209" s="478">
        <v>3.4992033670656177E-3</v>
      </c>
      <c r="I209" s="479">
        <v>8426</v>
      </c>
      <c r="J209" s="479">
        <v>16731</v>
      </c>
      <c r="K209" s="478">
        <v>3.6447850684580996E-3</v>
      </c>
      <c r="L209" s="471">
        <v>3.5703587293725771E-3</v>
      </c>
      <c r="M209" s="479">
        <v>8390</v>
      </c>
      <c r="N209" s="479">
        <v>17330</v>
      </c>
      <c r="O209" s="478">
        <v>3.6437319156209457E-3</v>
      </c>
      <c r="P209" s="478">
        <v>3.5899933898017227E-3</v>
      </c>
      <c r="Q209" s="479">
        <v>8378</v>
      </c>
      <c r="R209" s="479">
        <v>17629</v>
      </c>
      <c r="S209" s="478">
        <v>3.6385300356063304E-3</v>
      </c>
      <c r="T209" s="478">
        <v>3.5823200294779305E-3</v>
      </c>
      <c r="U209" s="479">
        <v>8361</v>
      </c>
      <c r="V209" s="479">
        <v>17733</v>
      </c>
      <c r="W209" s="478">
        <v>3.6543322973659025E-3</v>
      </c>
      <c r="X209" s="478">
        <v>3.5791025334482962E-3</v>
      </c>
      <c r="Y209" s="479">
        <v>8393</v>
      </c>
      <c r="Z209" s="479">
        <v>17783</v>
      </c>
      <c r="AA209" s="133">
        <v>3.6952929279404664E-3</v>
      </c>
      <c r="AB209" s="478">
        <v>3.5707594100902657E-3</v>
      </c>
      <c r="AC209" s="479">
        <v>8390</v>
      </c>
      <c r="AD209" s="479">
        <v>17819</v>
      </c>
      <c r="AE209" s="478">
        <v>3.6529433312608045E-3</v>
      </c>
      <c r="AF209" s="478">
        <v>3.5658370501623995E-3</v>
      </c>
      <c r="AG209" s="479">
        <v>8237</v>
      </c>
      <c r="AH209" s="479">
        <v>17838</v>
      </c>
      <c r="AI209" s="478">
        <v>3.6655698199634422E-3</v>
      </c>
      <c r="AJ209" s="478">
        <v>3.5829149013861272E-3</v>
      </c>
      <c r="AK209" s="479">
        <v>8220</v>
      </c>
      <c r="AL209" s="479">
        <v>17976</v>
      </c>
      <c r="AM209" s="478">
        <v>3.6662211530689754E-3</v>
      </c>
      <c r="AN209" s="478">
        <v>3.5742073091883982E-3</v>
      </c>
      <c r="AO209" s="479">
        <v>8210</v>
      </c>
      <c r="AP209" s="479">
        <v>17994</v>
      </c>
      <c r="AQ209" s="478">
        <v>3.6742170381196663E-3</v>
      </c>
      <c r="AR209" s="478">
        <v>3.5614379696441113E-3</v>
      </c>
      <c r="AS209" s="479">
        <v>8218</v>
      </c>
      <c r="AT209" s="479">
        <v>18006</v>
      </c>
      <c r="AU209" s="478">
        <v>3.6755759610085669E-3</v>
      </c>
      <c r="AV209" s="478">
        <v>3.5621156715176607E-3</v>
      </c>
      <c r="AW209" s="479">
        <v>8217</v>
      </c>
      <c r="AX209" s="479">
        <v>18096</v>
      </c>
      <c r="AY209" s="478">
        <v>3.6797720869142471E-3</v>
      </c>
      <c r="AZ209" s="478">
        <v>3.5633491802280707E-3</v>
      </c>
      <c r="BA209" s="479">
        <v>8220</v>
      </c>
      <c r="BB209" s="479">
        <v>18204</v>
      </c>
      <c r="BC209" s="478">
        <v>3.6762383560772394E-3</v>
      </c>
      <c r="BD209" s="478">
        <v>3.5680094420764475E-3</v>
      </c>
      <c r="BE209" s="479">
        <v>8206</v>
      </c>
      <c r="BF209" s="479">
        <v>18344</v>
      </c>
      <c r="BG209" s="478">
        <v>3.676956736702017E-3</v>
      </c>
      <c r="BH209" s="478">
        <v>3.676094775381218E-3</v>
      </c>
      <c r="BI209" s="479">
        <v>8203</v>
      </c>
      <c r="BJ209" s="479">
        <v>19024</v>
      </c>
    </row>
    <row r="210" spans="1:62">
      <c r="A210" s="487" t="s">
        <v>1427</v>
      </c>
      <c r="B210" s="462" t="s">
        <v>104</v>
      </c>
      <c r="C210" s="478">
        <v>3.2593275780538611E-3</v>
      </c>
      <c r="D210" s="478">
        <v>2.0743937195883311E-3</v>
      </c>
      <c r="E210" s="479">
        <v>7506</v>
      </c>
      <c r="F210" s="479">
        <v>9772</v>
      </c>
      <c r="G210" s="478">
        <v>3.3222562502416009E-3</v>
      </c>
      <c r="H210" s="478">
        <v>2.1094354886273276E-3</v>
      </c>
      <c r="I210" s="479">
        <v>7649</v>
      </c>
      <c r="J210" s="479">
        <v>10086</v>
      </c>
      <c r="K210" s="478">
        <v>3.3389532820225212E-3</v>
      </c>
      <c r="L210" s="471">
        <v>2.1335623197566303E-3</v>
      </c>
      <c r="M210" s="479">
        <v>7686</v>
      </c>
      <c r="N210" s="479">
        <v>10356</v>
      </c>
      <c r="O210" s="478">
        <v>3.3432044921673683E-3</v>
      </c>
      <c r="P210" s="478">
        <v>2.1421033789394929E-3</v>
      </c>
      <c r="Q210" s="479">
        <v>7687</v>
      </c>
      <c r="R210" s="479">
        <v>10519</v>
      </c>
      <c r="S210" s="478">
        <v>3.3473954113005491E-3</v>
      </c>
      <c r="T210" s="478">
        <v>2.1387256613140952E-3</v>
      </c>
      <c r="U210" s="479">
        <v>7692</v>
      </c>
      <c r="V210" s="479">
        <v>10587</v>
      </c>
      <c r="W210" s="478">
        <v>3.3521630355558304E-3</v>
      </c>
      <c r="X210" s="478">
        <v>2.1366334417751284E-3</v>
      </c>
      <c r="Y210" s="479">
        <v>7699</v>
      </c>
      <c r="Z210" s="479">
        <v>10616</v>
      </c>
      <c r="AA210" s="133">
        <v>3.3816995352475448E-3</v>
      </c>
      <c r="AB210" s="478">
        <v>2.1335583051367113E-3</v>
      </c>
      <c r="AC210" s="479">
        <v>7678</v>
      </c>
      <c r="AD210" s="479">
        <v>10647</v>
      </c>
      <c r="AE210" s="478">
        <v>3.3983859108233025E-3</v>
      </c>
      <c r="AF210" s="478">
        <v>2.1315461635767275E-3</v>
      </c>
      <c r="AG210" s="479">
        <v>7663</v>
      </c>
      <c r="AH210" s="479">
        <v>10663</v>
      </c>
      <c r="AI210" s="478">
        <v>3.4171851010194477E-3</v>
      </c>
      <c r="AJ210" s="478">
        <v>2.1283024764686843E-3</v>
      </c>
      <c r="AK210" s="479">
        <v>7663</v>
      </c>
      <c r="AL210" s="479">
        <v>10678</v>
      </c>
      <c r="AM210" s="478">
        <v>3.4179362613386039E-3</v>
      </c>
      <c r="AN210" s="478">
        <v>2.1231911708299873E-3</v>
      </c>
      <c r="AO210" s="479">
        <v>7654</v>
      </c>
      <c r="AP210" s="479">
        <v>10689</v>
      </c>
      <c r="AQ210" s="478">
        <v>3.4216090280761507E-3</v>
      </c>
      <c r="AR210" s="478">
        <v>2.1345683976674024E-3</v>
      </c>
      <c r="AS210" s="479">
        <v>7653</v>
      </c>
      <c r="AT210" s="479">
        <v>10792</v>
      </c>
      <c r="AU210" s="478">
        <v>3.4232910830715056E-3</v>
      </c>
      <c r="AV210" s="478">
        <v>2.129080631251935E-3</v>
      </c>
      <c r="AW210" s="479">
        <v>7653</v>
      </c>
      <c r="AX210" s="479">
        <v>10816</v>
      </c>
      <c r="AY210" s="478">
        <v>3.4223671051653794E-3</v>
      </c>
      <c r="AZ210" s="478">
        <v>2.1214885967541109E-3</v>
      </c>
      <c r="BA210" s="479">
        <v>7645</v>
      </c>
      <c r="BB210" s="479">
        <v>10838</v>
      </c>
      <c r="BC210" s="478">
        <v>3.4231217741635617E-3</v>
      </c>
      <c r="BD210" s="478">
        <v>2.1121355501258258E-3</v>
      </c>
      <c r="BE210" s="479">
        <v>7641</v>
      </c>
      <c r="BF210" s="479">
        <v>10859</v>
      </c>
      <c r="BG210" s="478">
        <v>3.4183191605619383E-3</v>
      </c>
      <c r="BH210" s="478">
        <v>2.1020058329792308E-3</v>
      </c>
      <c r="BI210" s="479">
        <v>7626</v>
      </c>
      <c r="BJ210" s="479">
        <v>10878</v>
      </c>
    </row>
    <row r="211" spans="1:62">
      <c r="A211" s="461" t="s">
        <v>1428</v>
      </c>
      <c r="B211" s="462" t="s">
        <v>104</v>
      </c>
      <c r="C211" s="478">
        <v>3.7438844184948819E-2</v>
      </c>
      <c r="D211" s="478">
        <v>2.492520337422258E-2</v>
      </c>
      <c r="E211" s="479">
        <v>86219</v>
      </c>
      <c r="F211" s="479">
        <v>117417</v>
      </c>
      <c r="G211" s="478">
        <v>3.770189688713841E-2</v>
      </c>
      <c r="H211" s="478">
        <v>2.4904347578750374E-2</v>
      </c>
      <c r="I211" s="479">
        <v>86803</v>
      </c>
      <c r="J211" s="479">
        <v>119077</v>
      </c>
      <c r="K211" s="478">
        <v>3.7729824550733537E-2</v>
      </c>
      <c r="L211" s="471">
        <v>2.4666996576328832E-2</v>
      </c>
      <c r="M211" s="479">
        <v>86851</v>
      </c>
      <c r="N211" s="479">
        <v>119730</v>
      </c>
      <c r="O211" s="478">
        <v>3.6746544913192805E-2</v>
      </c>
      <c r="P211" s="478">
        <v>2.4037825159237355E-2</v>
      </c>
      <c r="Q211" s="479">
        <v>84491</v>
      </c>
      <c r="R211" s="479">
        <v>118040</v>
      </c>
      <c r="S211" s="478">
        <v>3.6595926900404106E-2</v>
      </c>
      <c r="T211" s="478">
        <v>2.3859507925426009E-2</v>
      </c>
      <c r="U211" s="479">
        <v>84094</v>
      </c>
      <c r="V211" s="479">
        <v>118108</v>
      </c>
      <c r="W211" s="478">
        <v>3.660210229692179E-2</v>
      </c>
      <c r="X211" s="478">
        <v>2.3821570981072196E-2</v>
      </c>
      <c r="Y211" s="479">
        <v>84065</v>
      </c>
      <c r="Z211" s="479">
        <v>118359</v>
      </c>
      <c r="AA211" s="133">
        <v>3.698287921016747E-2</v>
      </c>
      <c r="AB211" s="478">
        <v>2.3753295172290793E-2</v>
      </c>
      <c r="AC211" s="479">
        <v>83968</v>
      </c>
      <c r="AD211" s="479">
        <v>118535</v>
      </c>
      <c r="AE211" s="478">
        <v>3.7058061265851081E-2</v>
      </c>
      <c r="AF211" s="478">
        <v>2.3695285051070752E-2</v>
      </c>
      <c r="AG211" s="479">
        <v>83562</v>
      </c>
      <c r="AH211" s="479">
        <v>118535</v>
      </c>
      <c r="AI211" s="478">
        <v>3.7125265720366965E-2</v>
      </c>
      <c r="AJ211" s="478">
        <v>2.3599282779206657E-2</v>
      </c>
      <c r="AK211" s="479">
        <v>83253</v>
      </c>
      <c r="AL211" s="479">
        <v>118401</v>
      </c>
      <c r="AM211" s="478">
        <v>3.6984624645490703E-2</v>
      </c>
      <c r="AN211" s="478">
        <v>2.3474084216142412E-2</v>
      </c>
      <c r="AO211" s="479">
        <v>82822</v>
      </c>
      <c r="AP211" s="479">
        <v>118178</v>
      </c>
      <c r="AQ211" s="478">
        <v>3.6902229969861408E-2</v>
      </c>
      <c r="AR211" s="478">
        <v>2.3380367548468371E-2</v>
      </c>
      <c r="AS211" s="479">
        <v>82538</v>
      </c>
      <c r="AT211" s="479">
        <v>118207</v>
      </c>
      <c r="AU211" s="478">
        <v>3.6906504297789196E-2</v>
      </c>
      <c r="AV211" s="478">
        <v>2.3393312804975152E-2</v>
      </c>
      <c r="AW211" s="479">
        <v>82507</v>
      </c>
      <c r="AX211" s="479">
        <v>118841</v>
      </c>
      <c r="AY211" s="478">
        <v>3.6908293096085024E-2</v>
      </c>
      <c r="AZ211" s="478">
        <v>2.3386485385550899E-2</v>
      </c>
      <c r="BA211" s="479">
        <v>82447</v>
      </c>
      <c r="BB211" s="479">
        <v>119474</v>
      </c>
      <c r="BC211" s="478">
        <v>3.699399643307217E-2</v>
      </c>
      <c r="BD211" s="478">
        <v>2.3567457046371285E-2</v>
      </c>
      <c r="BE211" s="479">
        <v>82577</v>
      </c>
      <c r="BF211" s="479">
        <v>121166</v>
      </c>
      <c r="BG211" s="478">
        <v>3.6975311989980816E-2</v>
      </c>
      <c r="BH211" s="478">
        <v>2.35245718066487E-2</v>
      </c>
      <c r="BI211" s="479">
        <v>82489</v>
      </c>
      <c r="BJ211" s="479">
        <v>121741</v>
      </c>
    </row>
    <row r="212" spans="1:62" s="95" customFormat="1">
      <c r="A212" s="464" t="s">
        <v>1429</v>
      </c>
      <c r="B212" s="480"/>
      <c r="C212" s="481">
        <v>0.124293888348273</v>
      </c>
      <c r="D212" s="481">
        <v>0.13821125785274352</v>
      </c>
      <c r="E212" s="482">
        <v>286240</v>
      </c>
      <c r="F212" s="482">
        <v>651082</v>
      </c>
      <c r="G212" s="481">
        <v>0.1248806111665858</v>
      </c>
      <c r="H212" s="481">
        <v>0.13972155284234197</v>
      </c>
      <c r="I212" s="482">
        <v>287519</v>
      </c>
      <c r="J212" s="482">
        <v>668061</v>
      </c>
      <c r="K212" s="481">
        <v>0.12534368064210777</v>
      </c>
      <c r="L212" s="481">
        <v>0.141178947698056</v>
      </c>
      <c r="M212" s="482">
        <v>288531</v>
      </c>
      <c r="N212" s="482">
        <v>685262</v>
      </c>
      <c r="O212" s="481">
        <v>0.12568744017177469</v>
      </c>
      <c r="P212" s="481">
        <v>0.14219013015533355</v>
      </c>
      <c r="Q212" s="482">
        <v>288992</v>
      </c>
      <c r="R212" s="482">
        <v>698238</v>
      </c>
      <c r="S212" s="481">
        <v>0.12570052909039797</v>
      </c>
      <c r="T212" s="481">
        <v>0.14256655967988002</v>
      </c>
      <c r="U212" s="482">
        <v>288848</v>
      </c>
      <c r="V212" s="482">
        <v>705725</v>
      </c>
      <c r="W212" s="481">
        <v>0.12576424005301459</v>
      </c>
      <c r="X212" s="481">
        <v>0.1427935717442706</v>
      </c>
      <c r="Y212" s="482">
        <v>288846</v>
      </c>
      <c r="Z212" s="482">
        <v>709479</v>
      </c>
      <c r="AA212" s="489">
        <v>0.12683927810096296</v>
      </c>
      <c r="AB212" s="481">
        <v>0.14288448185513566</v>
      </c>
      <c r="AC212" s="482">
        <v>287983</v>
      </c>
      <c r="AD212" s="482">
        <v>713030</v>
      </c>
      <c r="AE212" s="481">
        <v>0.12666715153794372</v>
      </c>
      <c r="AF212" s="481">
        <v>0.14286876568224671</v>
      </c>
      <c r="AG212" s="482">
        <v>285621</v>
      </c>
      <c r="AH212" s="482">
        <v>714697</v>
      </c>
      <c r="AI212" s="481">
        <v>0.12705168230479613</v>
      </c>
      <c r="AJ212" s="481">
        <v>0.14278641394386926</v>
      </c>
      <c r="AK212" s="482">
        <v>284912</v>
      </c>
      <c r="AL212" s="482">
        <v>716380</v>
      </c>
      <c r="AM212" s="481">
        <v>0.12691153689687648</v>
      </c>
      <c r="AN212" s="481">
        <v>0.14257817659809913</v>
      </c>
      <c r="AO212" s="482">
        <v>284201</v>
      </c>
      <c r="AP212" s="482">
        <v>717796</v>
      </c>
      <c r="AQ212" s="481">
        <v>0.12688835664853104</v>
      </c>
      <c r="AR212" s="481">
        <v>0.14251863643169471</v>
      </c>
      <c r="AS212" s="482">
        <v>283807</v>
      </c>
      <c r="AT212" s="482">
        <v>720549</v>
      </c>
      <c r="AU212" s="481">
        <v>0.12698204662081403</v>
      </c>
      <c r="AV212" s="481">
        <v>0.14256001867669843</v>
      </c>
      <c r="AW212" s="482">
        <v>283877</v>
      </c>
      <c r="AX212" s="482">
        <v>724223</v>
      </c>
      <c r="AY212" s="481">
        <v>0.12700675162075606</v>
      </c>
      <c r="AZ212" s="481">
        <v>0.14287710888748692</v>
      </c>
      <c r="BA212" s="482">
        <v>283712</v>
      </c>
      <c r="BB212" s="482">
        <v>729913</v>
      </c>
      <c r="BC212" s="481">
        <v>0.1270407804413009</v>
      </c>
      <c r="BD212" s="481">
        <v>0.1430879931347328</v>
      </c>
      <c r="BE212" s="482">
        <v>283577</v>
      </c>
      <c r="BF212" s="482">
        <v>735650</v>
      </c>
      <c r="BG212" s="481">
        <v>0.12703049547698014</v>
      </c>
      <c r="BH212" s="481">
        <v>0.14341813046696877</v>
      </c>
      <c r="BI212" s="482">
        <v>283395</v>
      </c>
      <c r="BJ212" s="482">
        <v>742197</v>
      </c>
    </row>
    <row r="213" spans="1:62" s="95" customFormat="1">
      <c r="A213" s="466" t="s">
        <v>1430</v>
      </c>
      <c r="B213" s="74"/>
      <c r="C213" s="483"/>
      <c r="D213" s="74"/>
      <c r="E213" s="484"/>
      <c r="F213" s="484"/>
      <c r="G213" s="483"/>
      <c r="H213" s="74"/>
      <c r="I213" s="484"/>
      <c r="J213" s="484"/>
      <c r="K213" s="483"/>
      <c r="L213" s="74"/>
      <c r="M213" s="484"/>
      <c r="N213" s="484"/>
      <c r="O213" s="483"/>
      <c r="P213" s="74"/>
      <c r="Q213" s="484"/>
      <c r="R213" s="484"/>
      <c r="S213" s="483"/>
      <c r="T213" s="483"/>
      <c r="U213" s="484"/>
      <c r="V213" s="484"/>
      <c r="W213" s="483"/>
      <c r="X213" s="483"/>
      <c r="Y213" s="484"/>
      <c r="Z213" s="484"/>
      <c r="AA213" s="483"/>
      <c r="AB213" s="483"/>
      <c r="AC213" s="484"/>
      <c r="AD213" s="484"/>
      <c r="AE213" s="483"/>
      <c r="AF213" s="483"/>
      <c r="AG213" s="484"/>
      <c r="AH213" s="484"/>
      <c r="AI213" s="483"/>
      <c r="AJ213" s="483"/>
      <c r="AK213" s="484"/>
      <c r="AL213" s="484"/>
      <c r="AM213" s="483"/>
      <c r="AN213" s="483"/>
      <c r="AO213" s="484"/>
      <c r="AP213" s="484"/>
      <c r="AQ213" s="483"/>
      <c r="AR213" s="483"/>
      <c r="AS213" s="484"/>
      <c r="AT213" s="484"/>
      <c r="AU213" s="483"/>
      <c r="AV213" s="483"/>
      <c r="AW213" s="484"/>
      <c r="AX213" s="484"/>
      <c r="AY213" s="483"/>
      <c r="AZ213" s="483"/>
      <c r="BA213" s="484"/>
      <c r="BB213" s="484"/>
      <c r="BC213" s="483"/>
      <c r="BD213" s="483"/>
      <c r="BE213" s="484"/>
      <c r="BF213" s="484"/>
      <c r="BG213" s="483"/>
      <c r="BH213" s="483"/>
      <c r="BI213" s="484"/>
      <c r="BJ213" s="484"/>
    </row>
    <row r="214" spans="1:62">
      <c r="A214" s="461" t="s">
        <v>1431</v>
      </c>
      <c r="B214" s="462" t="s">
        <v>104</v>
      </c>
      <c r="C214" s="478">
        <v>0</v>
      </c>
      <c r="D214" s="478">
        <v>0</v>
      </c>
      <c r="E214" s="479">
        <v>0</v>
      </c>
      <c r="F214" s="479">
        <v>0</v>
      </c>
      <c r="G214" s="478">
        <v>0</v>
      </c>
      <c r="H214" s="478">
        <v>0</v>
      </c>
      <c r="I214" s="479">
        <v>0</v>
      </c>
      <c r="J214" s="479">
        <v>0</v>
      </c>
      <c r="K214" s="478">
        <v>5.2130418142428123E-6</v>
      </c>
      <c r="L214" s="471">
        <v>3.5023715175610967E-6</v>
      </c>
      <c r="M214" s="479">
        <v>12</v>
      </c>
      <c r="N214" s="479">
        <v>17</v>
      </c>
      <c r="O214" s="478">
        <v>5.2190001178624191E-6</v>
      </c>
      <c r="P214" s="478">
        <v>3.4619029795580737E-6</v>
      </c>
      <c r="Q214" s="479">
        <v>12</v>
      </c>
      <c r="R214" s="479">
        <v>17</v>
      </c>
      <c r="S214" s="478">
        <v>5.222145727457955E-6</v>
      </c>
      <c r="T214" s="478">
        <v>3.4342435290771341E-6</v>
      </c>
      <c r="U214" s="479">
        <v>12</v>
      </c>
      <c r="V214" s="479">
        <v>17</v>
      </c>
      <c r="W214" s="478">
        <v>5.2248287344681083E-6</v>
      </c>
      <c r="X214" s="478">
        <v>3.4215117285396747E-6</v>
      </c>
      <c r="Y214" s="479">
        <v>12</v>
      </c>
      <c r="Z214" s="479">
        <v>17</v>
      </c>
      <c r="AA214" s="133">
        <v>5.2852818993189034E-6</v>
      </c>
      <c r="AB214" s="478">
        <v>3.4066395404643651E-6</v>
      </c>
      <c r="AC214" s="479">
        <v>12</v>
      </c>
      <c r="AD214" s="479">
        <v>17</v>
      </c>
      <c r="AE214" s="478">
        <v>5.321757918554043E-6</v>
      </c>
      <c r="AF214" s="478">
        <v>3.1984187017938331E-6</v>
      </c>
      <c r="AG214" s="479">
        <v>12</v>
      </c>
      <c r="AH214" s="479">
        <v>16</v>
      </c>
      <c r="AI214" s="478">
        <v>4.9052637493428061E-6</v>
      </c>
      <c r="AJ214" s="478">
        <v>3.1890653327869403E-6</v>
      </c>
      <c r="AK214" s="479">
        <v>11</v>
      </c>
      <c r="AL214" s="479">
        <v>16</v>
      </c>
      <c r="AM214" s="478">
        <v>4.9121111673274946E-6</v>
      </c>
      <c r="AN214" s="478">
        <v>3.1781325412367664E-6</v>
      </c>
      <c r="AO214" s="479">
        <v>11</v>
      </c>
      <c r="AP214" s="479">
        <v>16</v>
      </c>
      <c r="AQ214" s="478">
        <v>4.4709382308586837E-6</v>
      </c>
      <c r="AR214" s="478">
        <v>3.1646677504335098E-6</v>
      </c>
      <c r="AS214" s="479">
        <v>10</v>
      </c>
      <c r="AT214" s="479">
        <v>16</v>
      </c>
      <c r="AU214" s="478">
        <v>4.9204497469994203E-6</v>
      </c>
      <c r="AV214" s="478">
        <v>3.1495275610235729E-6</v>
      </c>
      <c r="AW214" s="479">
        <v>11</v>
      </c>
      <c r="AX214" s="479">
        <v>16</v>
      </c>
      <c r="AY214" s="478">
        <v>4.9242692160652941E-6</v>
      </c>
      <c r="AZ214" s="478">
        <v>3.1319263284799566E-6</v>
      </c>
      <c r="BA214" s="479">
        <v>11</v>
      </c>
      <c r="BB214" s="479">
        <v>16</v>
      </c>
      <c r="BC214" s="478">
        <v>4.9279334531866479E-6</v>
      </c>
      <c r="BD214" s="478">
        <v>3.1120884797875688E-6</v>
      </c>
      <c r="BE214" s="479">
        <v>11</v>
      </c>
      <c r="BF214" s="479">
        <v>16</v>
      </c>
      <c r="BG214" s="478">
        <v>4.930699025200803E-6</v>
      </c>
      <c r="BH214" s="478">
        <v>3.091753385518266E-6</v>
      </c>
      <c r="BI214" s="479">
        <v>11</v>
      </c>
      <c r="BJ214" s="479">
        <v>16</v>
      </c>
    </row>
    <row r="215" spans="1:62" s="95" customFormat="1">
      <c r="A215" s="464" t="s">
        <v>1432</v>
      </c>
      <c r="B215" s="480"/>
      <c r="C215" s="481">
        <v>0</v>
      </c>
      <c r="D215" s="481">
        <v>0</v>
      </c>
      <c r="E215" s="482">
        <v>0</v>
      </c>
      <c r="F215" s="482">
        <v>0</v>
      </c>
      <c r="G215" s="481">
        <v>0</v>
      </c>
      <c r="H215" s="481">
        <v>0</v>
      </c>
      <c r="I215" s="482">
        <v>0</v>
      </c>
      <c r="J215" s="482">
        <v>0</v>
      </c>
      <c r="K215" s="481">
        <v>5.2107555204698015E-6</v>
      </c>
      <c r="L215" s="481">
        <v>3.6087487958454388E-6</v>
      </c>
      <c r="M215" s="482">
        <v>12</v>
      </c>
      <c r="N215" s="482">
        <v>17</v>
      </c>
      <c r="O215" s="481">
        <v>5.2107555204698015E-6</v>
      </c>
      <c r="P215" s="481">
        <v>3.6087487958454388E-6</v>
      </c>
      <c r="Q215" s="482">
        <v>12</v>
      </c>
      <c r="R215" s="482">
        <v>17</v>
      </c>
      <c r="S215" s="481">
        <v>5.321757918554043E-6</v>
      </c>
      <c r="T215" s="481">
        <v>3.3983198706559478E-6</v>
      </c>
      <c r="U215" s="482">
        <v>12</v>
      </c>
      <c r="V215" s="482">
        <v>17</v>
      </c>
      <c r="W215" s="481">
        <v>5.2248287344681083E-6</v>
      </c>
      <c r="X215" s="481">
        <v>3.3983198706559478E-6</v>
      </c>
      <c r="Y215" s="482">
        <v>12</v>
      </c>
      <c r="Z215" s="482">
        <v>17</v>
      </c>
      <c r="AA215" s="481">
        <v>5.2852818993189034E-6</v>
      </c>
      <c r="AB215" s="481">
        <v>3.4066395404643651E-6</v>
      </c>
      <c r="AC215" s="482">
        <v>12</v>
      </c>
      <c r="AD215" s="482">
        <v>17</v>
      </c>
      <c r="AE215" s="481">
        <v>5.321757918554043E-6</v>
      </c>
      <c r="AF215" s="481">
        <v>3.1984187017938331E-6</v>
      </c>
      <c r="AG215" s="482">
        <v>12</v>
      </c>
      <c r="AH215" s="482">
        <v>16</v>
      </c>
      <c r="AI215" s="481">
        <v>4.9052637493428061E-6</v>
      </c>
      <c r="AJ215" s="481">
        <v>3.1890653327869403E-6</v>
      </c>
      <c r="AK215" s="482">
        <v>11</v>
      </c>
      <c r="AL215" s="482">
        <v>16</v>
      </c>
      <c r="AM215" s="481">
        <v>4.9121111673274946E-6</v>
      </c>
      <c r="AN215" s="481">
        <v>3.1781325412367664E-6</v>
      </c>
      <c r="AO215" s="482">
        <v>11</v>
      </c>
      <c r="AP215" s="482">
        <v>16</v>
      </c>
      <c r="AQ215" s="481">
        <v>4.4709382308586837E-6</v>
      </c>
      <c r="AR215" s="481">
        <v>3.1646677504335098E-6</v>
      </c>
      <c r="AS215" s="482">
        <v>10</v>
      </c>
      <c r="AT215" s="482">
        <v>16</v>
      </c>
      <c r="AU215" s="481">
        <v>4.9204497469994203E-6</v>
      </c>
      <c r="AV215" s="481">
        <v>3.1495275610235729E-6</v>
      </c>
      <c r="AW215" s="482">
        <v>11</v>
      </c>
      <c r="AX215" s="482">
        <v>16</v>
      </c>
      <c r="AY215" s="481">
        <v>4.9242692160652941E-6</v>
      </c>
      <c r="AZ215" s="481">
        <v>3.1319263284799566E-6</v>
      </c>
      <c r="BA215" s="482">
        <v>11</v>
      </c>
      <c r="BB215" s="482">
        <v>16</v>
      </c>
      <c r="BC215" s="481">
        <v>4.9279334531866479E-6</v>
      </c>
      <c r="BD215" s="481">
        <v>3.1120884797875688E-6</v>
      </c>
      <c r="BE215" s="482">
        <v>11</v>
      </c>
      <c r="BF215" s="482">
        <v>16</v>
      </c>
      <c r="BG215" s="481">
        <v>4.930699025200803E-6</v>
      </c>
      <c r="BH215" s="481">
        <v>3.091753385518266E-6</v>
      </c>
      <c r="BI215" s="482">
        <v>11</v>
      </c>
      <c r="BJ215" s="482">
        <v>16</v>
      </c>
    </row>
    <row r="216" spans="1:62" s="95" customFormat="1">
      <c r="A216" s="466" t="s">
        <v>1433</v>
      </c>
      <c r="B216" s="74"/>
      <c r="C216" s="483"/>
      <c r="D216" s="74"/>
      <c r="E216" s="484"/>
      <c r="F216" s="484"/>
      <c r="G216" s="483"/>
      <c r="H216" s="74"/>
      <c r="I216" s="484"/>
      <c r="J216" s="484"/>
      <c r="K216" s="483"/>
      <c r="L216" s="74"/>
      <c r="M216" s="484"/>
      <c r="N216" s="484"/>
      <c r="O216" s="483"/>
      <c r="P216" s="74"/>
      <c r="Q216" s="484"/>
      <c r="R216" s="484"/>
      <c r="S216" s="483"/>
      <c r="T216" s="483"/>
      <c r="U216" s="484"/>
      <c r="V216" s="484"/>
      <c r="W216" s="483"/>
      <c r="X216" s="483"/>
      <c r="Y216" s="484"/>
      <c r="Z216" s="484"/>
      <c r="AA216" s="483"/>
      <c r="AB216" s="483"/>
      <c r="AC216" s="484"/>
      <c r="AD216" s="484"/>
      <c r="AE216" s="483"/>
      <c r="AF216" s="483"/>
      <c r="AG216" s="484"/>
      <c r="AH216" s="484"/>
      <c r="AI216" s="483"/>
      <c r="AJ216" s="483"/>
      <c r="AK216" s="484"/>
      <c r="AL216" s="484"/>
      <c r="AM216" s="483"/>
      <c r="AN216" s="483"/>
      <c r="AO216" s="484"/>
      <c r="AP216" s="484"/>
      <c r="AQ216" s="483"/>
      <c r="AR216" s="483"/>
      <c r="AS216" s="484"/>
      <c r="AT216" s="484"/>
      <c r="AU216" s="483"/>
      <c r="AV216" s="483"/>
      <c r="AW216" s="484"/>
      <c r="AX216" s="484"/>
      <c r="AY216" s="483"/>
      <c r="AZ216" s="483"/>
      <c r="BA216" s="484"/>
      <c r="BB216" s="484"/>
      <c r="BC216" s="483"/>
      <c r="BD216" s="483"/>
      <c r="BE216" s="484"/>
      <c r="BF216" s="484"/>
      <c r="BG216" s="483"/>
      <c r="BH216" s="483"/>
      <c r="BI216" s="484"/>
      <c r="BJ216" s="484"/>
    </row>
    <row r="217" spans="1:62">
      <c r="A217" s="461" t="s">
        <v>1434</v>
      </c>
      <c r="B217" s="462" t="s">
        <v>104</v>
      </c>
      <c r="C217" s="478">
        <v>8.2069399447399377E-4</v>
      </c>
      <c r="D217" s="478">
        <v>1.2051098184714445E-3</v>
      </c>
      <c r="E217" s="479">
        <v>1890</v>
      </c>
      <c r="F217" s="479">
        <v>5677</v>
      </c>
      <c r="G217" s="478">
        <v>8.1395060961599681E-4</v>
      </c>
      <c r="H217" s="478">
        <v>1.1877339024305566E-3</v>
      </c>
      <c r="I217" s="479">
        <v>1874</v>
      </c>
      <c r="J217" s="479">
        <v>5679</v>
      </c>
      <c r="K217" s="478">
        <v>8.0889032151000974E-4</v>
      </c>
      <c r="L217" s="471">
        <v>1.172882414675019E-3</v>
      </c>
      <c r="M217" s="479">
        <v>1862</v>
      </c>
      <c r="N217" s="479">
        <v>5693</v>
      </c>
      <c r="O217" s="478">
        <v>8.2416710194577376E-4</v>
      </c>
      <c r="P217" s="478">
        <v>1.1666613041110708E-3</v>
      </c>
      <c r="Q217" s="479">
        <v>1895</v>
      </c>
      <c r="R217" s="479">
        <v>5729</v>
      </c>
      <c r="S217" s="478">
        <v>8.0508079964976807E-4</v>
      </c>
      <c r="T217" s="478">
        <v>1.1678448142114653E-3</v>
      </c>
      <c r="U217" s="479">
        <v>1850</v>
      </c>
      <c r="V217" s="479">
        <v>5781</v>
      </c>
      <c r="W217" s="478">
        <v>7.9983419876815951E-4</v>
      </c>
      <c r="X217" s="478">
        <v>1.1637165184950823E-3</v>
      </c>
      <c r="Y217" s="479">
        <v>1837</v>
      </c>
      <c r="Z217" s="479">
        <v>5782</v>
      </c>
      <c r="AA217" s="133">
        <v>8.1217165186200479E-4</v>
      </c>
      <c r="AB217" s="478">
        <v>1.1580570531966802E-3</v>
      </c>
      <c r="AC217" s="479">
        <v>1844</v>
      </c>
      <c r="AD217" s="479">
        <v>5779</v>
      </c>
      <c r="AE217" s="478">
        <v>8.1201156240603772E-4</v>
      </c>
      <c r="AF217" s="478">
        <v>1.1570279653739192E-3</v>
      </c>
      <c r="AG217" s="479">
        <v>1831</v>
      </c>
      <c r="AH217" s="479">
        <v>5788</v>
      </c>
      <c r="AI217" s="478">
        <v>8.0803071943719683E-4</v>
      </c>
      <c r="AJ217" s="478">
        <v>1.1576307158016593E-3</v>
      </c>
      <c r="AK217" s="479">
        <v>1812</v>
      </c>
      <c r="AL217" s="479">
        <v>5808</v>
      </c>
      <c r="AM217" s="478">
        <v>8.0513967588104294E-4</v>
      </c>
      <c r="AN217" s="478">
        <v>1.174915873838467E-3</v>
      </c>
      <c r="AO217" s="479">
        <v>1803</v>
      </c>
      <c r="AP217" s="479">
        <v>5915</v>
      </c>
      <c r="AQ217" s="478">
        <v>8.0611016302382075E-4</v>
      </c>
      <c r="AR217" s="478">
        <v>1.1701359007227903E-3</v>
      </c>
      <c r="AS217" s="479">
        <v>1803</v>
      </c>
      <c r="AT217" s="479">
        <v>5916</v>
      </c>
      <c r="AU217" s="478">
        <v>8.0248062237426904E-4</v>
      </c>
      <c r="AV217" s="478">
        <v>1.1722147891184611E-3</v>
      </c>
      <c r="AW217" s="479">
        <v>1794</v>
      </c>
      <c r="AX217" s="479">
        <v>5955</v>
      </c>
      <c r="AY217" s="478">
        <v>8.0310354305646709E-4</v>
      </c>
      <c r="AZ217" s="478">
        <v>1.1682085205230238E-3</v>
      </c>
      <c r="BA217" s="479">
        <v>1794</v>
      </c>
      <c r="BB217" s="479">
        <v>5968</v>
      </c>
      <c r="BC217" s="478">
        <v>8.0235716496884421E-4</v>
      </c>
      <c r="BD217" s="478">
        <v>1.1613925195507234E-3</v>
      </c>
      <c r="BE217" s="479">
        <v>1791</v>
      </c>
      <c r="BF217" s="479">
        <v>5971</v>
      </c>
      <c r="BG217" s="478">
        <v>7.9832499671660269E-4</v>
      </c>
      <c r="BH217" s="478">
        <v>1.1623060383682731E-3</v>
      </c>
      <c r="BI217" s="479">
        <v>1781</v>
      </c>
      <c r="BJ217" s="479">
        <v>6015</v>
      </c>
    </row>
    <row r="218" spans="1:62">
      <c r="A218" s="461" t="s">
        <v>1435</v>
      </c>
      <c r="B218" s="462" t="s">
        <v>104</v>
      </c>
      <c r="C218" s="478">
        <v>1.8459101431264272E-3</v>
      </c>
      <c r="D218" s="478">
        <v>2.6031815578501536E-3</v>
      </c>
      <c r="E218" s="479">
        <v>4251</v>
      </c>
      <c r="F218" s="479">
        <v>12263</v>
      </c>
      <c r="G218" s="478">
        <v>1.8346464114290131E-3</v>
      </c>
      <c r="H218" s="478">
        <v>2.5622342029717818E-3</v>
      </c>
      <c r="I218" s="479">
        <v>4224</v>
      </c>
      <c r="J218" s="479">
        <v>12251</v>
      </c>
      <c r="K218" s="478">
        <v>1.8349907186134698E-3</v>
      </c>
      <c r="L218" s="471">
        <v>2.5291242793870601E-3</v>
      </c>
      <c r="M218" s="479">
        <v>4224</v>
      </c>
      <c r="N218" s="479">
        <v>12276</v>
      </c>
      <c r="O218" s="478">
        <v>1.8336087080756632E-3</v>
      </c>
      <c r="P218" s="478">
        <v>2.5086578120691711E-3</v>
      </c>
      <c r="Q218" s="479">
        <v>4216</v>
      </c>
      <c r="R218" s="479">
        <v>12319</v>
      </c>
      <c r="S218" s="478">
        <v>1.8334083291483639E-3</v>
      </c>
      <c r="T218" s="478">
        <v>2.4914426731828406E-3</v>
      </c>
      <c r="U218" s="479">
        <v>4213</v>
      </c>
      <c r="V218" s="479">
        <v>12333</v>
      </c>
      <c r="W218" s="478">
        <v>1.8352210929819229E-3</v>
      </c>
      <c r="X218" s="478">
        <v>2.5262832480370586E-3</v>
      </c>
      <c r="Y218" s="479">
        <v>4215</v>
      </c>
      <c r="Z218" s="479">
        <v>12552</v>
      </c>
      <c r="AA218" s="133">
        <v>1.8661449506178495E-3</v>
      </c>
      <c r="AB218" s="478">
        <v>2.5185085732091846E-3</v>
      </c>
      <c r="AC218" s="479">
        <v>4237</v>
      </c>
      <c r="AD218" s="479">
        <v>12568</v>
      </c>
      <c r="AE218" s="478">
        <v>1.8839023031681312E-3</v>
      </c>
      <c r="AF218" s="478">
        <v>2.5123578902590559E-3</v>
      </c>
      <c r="AG218" s="479">
        <v>4248</v>
      </c>
      <c r="AH218" s="479">
        <v>12568</v>
      </c>
      <c r="AI218" s="478">
        <v>1.7592059537415792E-3</v>
      </c>
      <c r="AJ218" s="478">
        <v>2.5091964671534244E-3</v>
      </c>
      <c r="AK218" s="479">
        <v>3945</v>
      </c>
      <c r="AL218" s="479">
        <v>12589</v>
      </c>
      <c r="AM218" s="478">
        <v>1.7656806868739012E-3</v>
      </c>
      <c r="AN218" s="478">
        <v>2.507149308468154E-3</v>
      </c>
      <c r="AO218" s="479">
        <v>3954</v>
      </c>
      <c r="AP218" s="479">
        <v>12622</v>
      </c>
      <c r="AQ218" s="478">
        <v>1.7678089764815237E-3</v>
      </c>
      <c r="AR218" s="478">
        <v>2.5236247392363222E-3</v>
      </c>
      <c r="AS218" s="479">
        <v>3954</v>
      </c>
      <c r="AT218" s="479">
        <v>12759</v>
      </c>
      <c r="AU218" s="478">
        <v>1.7695726544663369E-3</v>
      </c>
      <c r="AV218" s="478">
        <v>2.55190470631935E-3</v>
      </c>
      <c r="AW218" s="479">
        <v>3956</v>
      </c>
      <c r="AX218" s="479">
        <v>12964</v>
      </c>
      <c r="AY218" s="478">
        <v>1.7704986135943853E-3</v>
      </c>
      <c r="AZ218" s="478">
        <v>2.5740519512194643E-3</v>
      </c>
      <c r="BA218" s="479">
        <v>3955</v>
      </c>
      <c r="BB218" s="479">
        <v>13150</v>
      </c>
      <c r="BC218" s="478">
        <v>1.7762960128986419E-3</v>
      </c>
      <c r="BD218" s="478">
        <v>2.5888686041232838E-3</v>
      </c>
      <c r="BE218" s="479">
        <v>3965</v>
      </c>
      <c r="BF218" s="479">
        <v>13310</v>
      </c>
      <c r="BG218" s="478">
        <v>1.7763963851700709E-3</v>
      </c>
      <c r="BH218" s="478">
        <v>2.6324347731822083E-3</v>
      </c>
      <c r="BI218" s="479">
        <v>3963</v>
      </c>
      <c r="BJ218" s="479">
        <v>13623</v>
      </c>
    </row>
    <row r="219" spans="1:62">
      <c r="A219" s="461" t="s">
        <v>1436</v>
      </c>
      <c r="B219" s="462" t="s">
        <v>104</v>
      </c>
      <c r="C219" s="478">
        <v>9.9877156438604921E-3</v>
      </c>
      <c r="D219" s="478">
        <v>8.6709742390528605E-3</v>
      </c>
      <c r="E219" s="479">
        <v>23001</v>
      </c>
      <c r="F219" s="479">
        <v>40847</v>
      </c>
      <c r="G219" s="478">
        <v>9.9341933527946E-3</v>
      </c>
      <c r="H219" s="478">
        <v>8.5726404167504981E-3</v>
      </c>
      <c r="I219" s="479">
        <v>22872</v>
      </c>
      <c r="J219" s="479">
        <v>40989</v>
      </c>
      <c r="K219" s="478">
        <v>9.8826240193508105E-3</v>
      </c>
      <c r="L219" s="471">
        <v>8.4716186354183709E-3</v>
      </c>
      <c r="M219" s="479">
        <v>22749</v>
      </c>
      <c r="N219" s="479">
        <v>41120</v>
      </c>
      <c r="O219" s="478">
        <v>9.8299867219938664E-3</v>
      </c>
      <c r="P219" s="478">
        <v>8.3997984765183196E-3</v>
      </c>
      <c r="Q219" s="479">
        <v>22602</v>
      </c>
      <c r="R219" s="479">
        <v>41248</v>
      </c>
      <c r="S219" s="478">
        <v>9.7823844839606145E-3</v>
      </c>
      <c r="T219" s="478">
        <v>8.3545044346184684E-3</v>
      </c>
      <c r="U219" s="479">
        <v>22479</v>
      </c>
      <c r="V219" s="479">
        <v>41356</v>
      </c>
      <c r="W219" s="478">
        <v>9.7421285778103266E-3</v>
      </c>
      <c r="X219" s="478">
        <v>8.309845661643887E-3</v>
      </c>
      <c r="Y219" s="479">
        <v>22375</v>
      </c>
      <c r="Z219" s="479">
        <v>41288</v>
      </c>
      <c r="AA219" s="133">
        <v>9.8394331358986915E-3</v>
      </c>
      <c r="AB219" s="478">
        <v>8.2893559547558195E-3</v>
      </c>
      <c r="AC219" s="479">
        <v>22340</v>
      </c>
      <c r="AD219" s="479">
        <v>41366</v>
      </c>
      <c r="AE219" s="478">
        <v>9.8825044547548573E-3</v>
      </c>
      <c r="AF219" s="478">
        <v>8.2803062166065099E-3</v>
      </c>
      <c r="AG219" s="479">
        <v>22284</v>
      </c>
      <c r="AH219" s="479">
        <v>41422</v>
      </c>
      <c r="AI219" s="478">
        <v>9.5706155080359373E-3</v>
      </c>
      <c r="AJ219" s="478">
        <v>8.2923671315792407E-3</v>
      </c>
      <c r="AK219" s="479">
        <v>21462</v>
      </c>
      <c r="AL219" s="479">
        <v>41604</v>
      </c>
      <c r="AM219" s="478">
        <v>9.5353008869039982E-3</v>
      </c>
      <c r="AN219" s="478">
        <v>8.2677131727436209E-3</v>
      </c>
      <c r="AO219" s="479">
        <v>21353</v>
      </c>
      <c r="AP219" s="479">
        <v>41623</v>
      </c>
      <c r="AQ219" s="478">
        <v>9.5315932143676275E-3</v>
      </c>
      <c r="AR219" s="478">
        <v>8.2554314104746149E-3</v>
      </c>
      <c r="AS219" s="479">
        <v>21319</v>
      </c>
      <c r="AT219" s="479">
        <v>41738</v>
      </c>
      <c r="AU219" s="478">
        <v>9.5152551834701525E-3</v>
      </c>
      <c r="AV219" s="478">
        <v>8.2316839716802363E-3</v>
      </c>
      <c r="AW219" s="479">
        <v>21272</v>
      </c>
      <c r="AX219" s="479">
        <v>41818</v>
      </c>
      <c r="AY219" s="478">
        <v>9.5011536219790724E-3</v>
      </c>
      <c r="AZ219" s="478">
        <v>8.1913575667437975E-3</v>
      </c>
      <c r="BA219" s="479">
        <v>21224</v>
      </c>
      <c r="BB219" s="479">
        <v>41847</v>
      </c>
      <c r="BC219" s="478">
        <v>9.4777600123287942E-3</v>
      </c>
      <c r="BD219" s="478">
        <v>8.1760399529919037E-3</v>
      </c>
      <c r="BE219" s="479">
        <v>21156</v>
      </c>
      <c r="BF219" s="479">
        <v>42035</v>
      </c>
      <c r="BG219" s="478">
        <v>9.4597702025307033E-3</v>
      </c>
      <c r="BH219" s="478">
        <v>8.1614559994218419E-3</v>
      </c>
      <c r="BI219" s="479">
        <v>21104</v>
      </c>
      <c r="BJ219" s="479">
        <v>42236</v>
      </c>
    </row>
    <row r="220" spans="1:62">
      <c r="A220" s="461" t="s">
        <v>1437</v>
      </c>
      <c r="B220" s="462" t="s">
        <v>104</v>
      </c>
      <c r="C220" s="478">
        <v>6.1417438401270728E-3</v>
      </c>
      <c r="D220" s="478">
        <v>5.3299096921227808E-3</v>
      </c>
      <c r="E220" s="479">
        <v>14144</v>
      </c>
      <c r="F220" s="479">
        <v>25108</v>
      </c>
      <c r="G220" s="478">
        <v>6.1202657631264741E-3</v>
      </c>
      <c r="H220" s="478">
        <v>5.2587394334766531E-3</v>
      </c>
      <c r="I220" s="479">
        <v>14091</v>
      </c>
      <c r="J220" s="479">
        <v>25144</v>
      </c>
      <c r="K220" s="478">
        <v>6.0983900823617168E-3</v>
      </c>
      <c r="L220" s="471">
        <v>5.189072436047726E-3</v>
      </c>
      <c r="M220" s="479">
        <v>14038</v>
      </c>
      <c r="N220" s="479">
        <v>25187</v>
      </c>
      <c r="O220" s="478">
        <v>6.0731764704859015E-3</v>
      </c>
      <c r="P220" s="478">
        <v>5.1307438570568041E-3</v>
      </c>
      <c r="Q220" s="479">
        <v>13964</v>
      </c>
      <c r="R220" s="479">
        <v>25195</v>
      </c>
      <c r="S220" s="478">
        <v>6.0250506330546162E-3</v>
      </c>
      <c r="T220" s="478">
        <v>5.1012657409562224E-3</v>
      </c>
      <c r="U220" s="479">
        <v>13845</v>
      </c>
      <c r="V220" s="479">
        <v>25252</v>
      </c>
      <c r="W220" s="478">
        <v>5.9489029165864802E-3</v>
      </c>
      <c r="X220" s="478">
        <v>5.0666550737798691E-3</v>
      </c>
      <c r="Y220" s="479">
        <v>13663</v>
      </c>
      <c r="Z220" s="479">
        <v>25174</v>
      </c>
      <c r="AA220" s="133">
        <v>6.0252213652235501E-3</v>
      </c>
      <c r="AB220" s="478">
        <v>5.0546515158043023E-3</v>
      </c>
      <c r="AC220" s="479">
        <v>13680</v>
      </c>
      <c r="AD220" s="479">
        <v>25224</v>
      </c>
      <c r="AE220" s="478">
        <v>6.0517257130490391E-3</v>
      </c>
      <c r="AF220" s="478">
        <v>5.0539013511719808E-3</v>
      </c>
      <c r="AG220" s="479">
        <v>13646</v>
      </c>
      <c r="AH220" s="479">
        <v>25282</v>
      </c>
      <c r="AI220" s="478">
        <v>5.8666954442139962E-3</v>
      </c>
      <c r="AJ220" s="478">
        <v>5.0620432660493696E-3</v>
      </c>
      <c r="AK220" s="479">
        <v>13156</v>
      </c>
      <c r="AL220" s="479">
        <v>25397</v>
      </c>
      <c r="AM220" s="478">
        <v>5.8574692892577043E-3</v>
      </c>
      <c r="AN220" s="478">
        <v>5.067532337002024E-3</v>
      </c>
      <c r="AO220" s="479">
        <v>13117</v>
      </c>
      <c r="AP220" s="479">
        <v>25512</v>
      </c>
      <c r="AQ220" s="478">
        <v>5.8694477094712802E-3</v>
      </c>
      <c r="AR220" s="478">
        <v>5.0753359047577421E-3</v>
      </c>
      <c r="AS220" s="479">
        <v>13128</v>
      </c>
      <c r="AT220" s="479">
        <v>25660</v>
      </c>
      <c r="AU220" s="478">
        <v>5.8615975895164006E-3</v>
      </c>
      <c r="AV220" s="478">
        <v>5.0561728082782181E-3</v>
      </c>
      <c r="AW220" s="479">
        <v>13104</v>
      </c>
      <c r="AX220" s="479">
        <v>25686</v>
      </c>
      <c r="AY220" s="478">
        <v>5.8576420629285796E-3</v>
      </c>
      <c r="AZ220" s="478">
        <v>5.0470992783454502E-3</v>
      </c>
      <c r="BA220" s="479">
        <v>13085</v>
      </c>
      <c r="BB220" s="479">
        <v>25784</v>
      </c>
      <c r="BC220" s="478">
        <v>5.8525929665845791E-3</v>
      </c>
      <c r="BD220" s="478">
        <v>5.0108514635179595E-3</v>
      </c>
      <c r="BE220" s="479">
        <v>13064</v>
      </c>
      <c r="BF220" s="479">
        <v>25762</v>
      </c>
      <c r="BG220" s="478">
        <v>5.8446713263266602E-3</v>
      </c>
      <c r="BH220" s="478">
        <v>4.9881576183605321E-3</v>
      </c>
      <c r="BI220" s="479">
        <v>13039</v>
      </c>
      <c r="BJ220" s="479">
        <v>25814</v>
      </c>
    </row>
    <row r="221" spans="1:62" s="95" customFormat="1">
      <c r="A221" s="464" t="s">
        <v>1438</v>
      </c>
      <c r="B221" s="480"/>
      <c r="C221" s="481">
        <v>1.8796063621587988E-2</v>
      </c>
      <c r="D221" s="481">
        <v>1.7809175307497239E-2</v>
      </c>
      <c r="E221" s="482">
        <v>43286</v>
      </c>
      <c r="F221" s="482">
        <v>83895</v>
      </c>
      <c r="G221" s="481">
        <v>1.8703056136966083E-2</v>
      </c>
      <c r="H221" s="481">
        <v>1.7581347955629489E-2</v>
      </c>
      <c r="I221" s="482">
        <v>43061</v>
      </c>
      <c r="J221" s="482">
        <v>84063</v>
      </c>
      <c r="K221" s="481">
        <v>1.8624895141836007E-2</v>
      </c>
      <c r="L221" s="481">
        <v>1.7362697765528175E-2</v>
      </c>
      <c r="M221" s="482">
        <v>42873</v>
      </c>
      <c r="N221" s="482">
        <v>84276</v>
      </c>
      <c r="O221" s="481">
        <v>1.8560939002501206E-2</v>
      </c>
      <c r="P221" s="481">
        <v>1.7205861449755368E-2</v>
      </c>
      <c r="Q221" s="482">
        <v>42677</v>
      </c>
      <c r="R221" s="482">
        <v>84491</v>
      </c>
      <c r="S221" s="481">
        <v>1.8445924245813362E-2</v>
      </c>
      <c r="T221" s="481">
        <v>1.7115057662968995E-2</v>
      </c>
      <c r="U221" s="482">
        <v>42387</v>
      </c>
      <c r="V221" s="482">
        <v>84722</v>
      </c>
      <c r="W221" s="481">
        <v>1.8326086786146889E-2</v>
      </c>
      <c r="X221" s="481">
        <v>1.7066500501955899E-2</v>
      </c>
      <c r="Y221" s="482">
        <v>42090</v>
      </c>
      <c r="Z221" s="482">
        <v>84796</v>
      </c>
      <c r="AA221" s="481">
        <v>1.8542971103602097E-2</v>
      </c>
      <c r="AB221" s="481">
        <v>1.7020573096965988E-2</v>
      </c>
      <c r="AC221" s="482">
        <v>42101</v>
      </c>
      <c r="AD221" s="482">
        <v>84937</v>
      </c>
      <c r="AE221" s="481">
        <v>1.8630144033378065E-2</v>
      </c>
      <c r="AF221" s="481">
        <v>1.7003593423411466E-2</v>
      </c>
      <c r="AG221" s="482">
        <v>42009</v>
      </c>
      <c r="AH221" s="482">
        <v>85060</v>
      </c>
      <c r="AI221" s="481">
        <v>1.8004547625428712E-2</v>
      </c>
      <c r="AJ221" s="481">
        <v>1.7021237580583694E-2</v>
      </c>
      <c r="AK221" s="482">
        <v>40375</v>
      </c>
      <c r="AL221" s="482">
        <v>85398</v>
      </c>
      <c r="AM221" s="481">
        <v>1.7963590538916645E-2</v>
      </c>
      <c r="AN221" s="481">
        <v>1.7017310692052267E-2</v>
      </c>
      <c r="AO221" s="482">
        <v>40227</v>
      </c>
      <c r="AP221" s="482">
        <v>85672</v>
      </c>
      <c r="AQ221" s="481">
        <v>1.7974960063344252E-2</v>
      </c>
      <c r="AR221" s="481">
        <v>1.7024527955191469E-2</v>
      </c>
      <c r="AS221" s="482">
        <v>40204</v>
      </c>
      <c r="AT221" s="482">
        <v>86073</v>
      </c>
      <c r="AU221" s="481">
        <v>1.7948906049827157E-2</v>
      </c>
      <c r="AV221" s="481">
        <v>1.7011976275396266E-2</v>
      </c>
      <c r="AW221" s="482">
        <v>40126</v>
      </c>
      <c r="AX221" s="482">
        <v>86423</v>
      </c>
      <c r="AY221" s="481">
        <v>1.7932397841558503E-2</v>
      </c>
      <c r="AZ221" s="481">
        <v>1.6980717316831734E-2</v>
      </c>
      <c r="BA221" s="482">
        <v>40058</v>
      </c>
      <c r="BB221" s="482">
        <v>86749</v>
      </c>
      <c r="BC221" s="481">
        <v>1.7909006156780861E-2</v>
      </c>
      <c r="BD221" s="481">
        <v>1.693715254018387E-2</v>
      </c>
      <c r="BE221" s="482">
        <v>39976</v>
      </c>
      <c r="BF221" s="482">
        <v>87078</v>
      </c>
      <c r="BG221" s="481">
        <v>1.7879162910744036E-2</v>
      </c>
      <c r="BH221" s="481">
        <v>1.6944354429332856E-2</v>
      </c>
      <c r="BI221" s="482">
        <v>39887</v>
      </c>
      <c r="BJ221" s="482">
        <v>87688</v>
      </c>
    </row>
    <row r="222" spans="1:62" s="95" customFormat="1">
      <c r="A222" s="466" t="s">
        <v>1439</v>
      </c>
      <c r="B222" s="74"/>
      <c r="C222" s="483"/>
      <c r="D222" s="74"/>
      <c r="E222" s="484"/>
      <c r="F222" s="484"/>
      <c r="G222" s="483"/>
      <c r="H222" s="74"/>
      <c r="I222" s="484"/>
      <c r="J222" s="484"/>
      <c r="K222" s="483"/>
      <c r="L222" s="74"/>
      <c r="M222" s="484"/>
      <c r="N222" s="484"/>
      <c r="O222" s="483"/>
      <c r="P222" s="74"/>
      <c r="Q222" s="484"/>
      <c r="R222" s="484"/>
      <c r="S222" s="483"/>
      <c r="T222" s="483"/>
      <c r="U222" s="484"/>
      <c r="V222" s="484"/>
      <c r="W222" s="483"/>
      <c r="X222" s="483"/>
      <c r="Y222" s="484"/>
      <c r="Z222" s="484"/>
      <c r="AA222" s="483"/>
      <c r="AB222" s="483"/>
      <c r="AC222" s="484"/>
      <c r="AD222" s="484"/>
      <c r="AE222" s="483"/>
      <c r="AF222" s="483"/>
      <c r="AG222" s="484"/>
      <c r="AH222" s="484"/>
      <c r="AI222" s="483"/>
      <c r="AJ222" s="483"/>
      <c r="AK222" s="484"/>
      <c r="AL222" s="484"/>
      <c r="AM222" s="483"/>
      <c r="AN222" s="483"/>
      <c r="AO222" s="484"/>
      <c r="AP222" s="484"/>
      <c r="AQ222" s="483"/>
      <c r="AR222" s="483"/>
      <c r="AS222" s="484"/>
      <c r="AT222" s="484"/>
      <c r="AU222" s="483"/>
      <c r="AV222" s="483"/>
      <c r="AW222" s="484"/>
      <c r="AX222" s="484"/>
      <c r="AY222" s="483"/>
      <c r="AZ222" s="483"/>
      <c r="BA222" s="484"/>
      <c r="BB222" s="484"/>
      <c r="BC222" s="483"/>
      <c r="BD222" s="483"/>
      <c r="BE222" s="484"/>
      <c r="BF222" s="484"/>
      <c r="BG222" s="483"/>
      <c r="BH222" s="483"/>
      <c r="BI222" s="484"/>
      <c r="BJ222" s="484"/>
    </row>
    <row r="223" spans="1:62">
      <c r="A223" s="490" t="s">
        <v>1440</v>
      </c>
      <c r="B223" s="462" t="s">
        <v>104</v>
      </c>
      <c r="C223" s="478">
        <v>8.6541964602469292E-4</v>
      </c>
      <c r="D223" s="478">
        <v>8.1302987576988407E-4</v>
      </c>
      <c r="E223" s="479">
        <v>1993</v>
      </c>
      <c r="F223" s="479">
        <v>3830</v>
      </c>
      <c r="G223" s="478">
        <v>8.6389955310897432E-4</v>
      </c>
      <c r="H223" s="478">
        <v>8.2863210449548599E-4</v>
      </c>
      <c r="I223" s="479">
        <v>1989</v>
      </c>
      <c r="J223" s="479">
        <v>3962</v>
      </c>
      <c r="K223" s="478">
        <v>8.6058631950125097E-4</v>
      </c>
      <c r="L223" s="471">
        <v>8.2202719735698679E-4</v>
      </c>
      <c r="M223" s="479">
        <v>1981</v>
      </c>
      <c r="N223" s="479">
        <v>3990</v>
      </c>
      <c r="O223" s="478">
        <v>8.6287468615325338E-4</v>
      </c>
      <c r="P223" s="478">
        <v>8.2230377832091188E-4</v>
      </c>
      <c r="Q223" s="479">
        <v>1984</v>
      </c>
      <c r="R223" s="479">
        <v>4038</v>
      </c>
      <c r="S223" s="478">
        <v>8.6513547551553456E-4</v>
      </c>
      <c r="T223" s="478">
        <v>8.1937010317275618E-4</v>
      </c>
      <c r="U223" s="479">
        <v>1988</v>
      </c>
      <c r="V223" s="479">
        <v>4056</v>
      </c>
      <c r="W223" s="478">
        <v>8.6514455794901087E-4</v>
      </c>
      <c r="X223" s="478">
        <v>8.1693624153779648E-4</v>
      </c>
      <c r="Y223" s="479">
        <v>1987</v>
      </c>
      <c r="Z223" s="479">
        <v>4059</v>
      </c>
      <c r="AA223" s="133">
        <v>8.7075019291278936E-4</v>
      </c>
      <c r="AB223" s="478">
        <v>8.1218294455894543E-4</v>
      </c>
      <c r="AC223" s="479">
        <v>1977</v>
      </c>
      <c r="AD223" s="479">
        <v>4053</v>
      </c>
      <c r="AE223" s="478">
        <v>8.7853353638796326E-4</v>
      </c>
      <c r="AF223" s="478">
        <v>8.1119894324246098E-4</v>
      </c>
      <c r="AG223" s="479">
        <v>1981</v>
      </c>
      <c r="AH223" s="479">
        <v>4058</v>
      </c>
      <c r="AI223" s="478">
        <v>8.789340772686065E-4</v>
      </c>
      <c r="AJ223" s="478">
        <v>8.0882669502808772E-4</v>
      </c>
      <c r="AK223" s="479">
        <v>1971</v>
      </c>
      <c r="AL223" s="479">
        <v>4058</v>
      </c>
      <c r="AM223" s="478">
        <v>8.8060756563361996E-4</v>
      </c>
      <c r="AN223" s="478">
        <v>8.0406753293290191E-4</v>
      </c>
      <c r="AO223" s="479">
        <v>1972</v>
      </c>
      <c r="AP223" s="479">
        <v>4048</v>
      </c>
      <c r="AQ223" s="478">
        <v>8.8211611294841837E-4</v>
      </c>
      <c r="AR223" s="478">
        <v>8.0006756565647176E-4</v>
      </c>
      <c r="AS223" s="479">
        <v>1973</v>
      </c>
      <c r="AT223" s="479">
        <v>4045</v>
      </c>
      <c r="AU223" s="478">
        <v>8.8076050471289622E-4</v>
      </c>
      <c r="AV223" s="478">
        <v>7.9446832726819626E-4</v>
      </c>
      <c r="AW223" s="479">
        <v>1969</v>
      </c>
      <c r="AX223" s="479">
        <v>4036</v>
      </c>
      <c r="AY223" s="478">
        <v>8.7920588548656708E-4</v>
      </c>
      <c r="AZ223" s="478">
        <v>7.8787521700823912E-4</v>
      </c>
      <c r="BA223" s="479">
        <v>1964</v>
      </c>
      <c r="BB223" s="479">
        <v>4025</v>
      </c>
      <c r="BC223" s="478">
        <v>8.6955625751229855E-4</v>
      </c>
      <c r="BD223" s="478">
        <v>7.7782761441690551E-4</v>
      </c>
      <c r="BE223" s="479">
        <v>1941</v>
      </c>
      <c r="BF223" s="479">
        <v>3999</v>
      </c>
      <c r="BG223" s="478">
        <v>8.646653108738498E-4</v>
      </c>
      <c r="BH223" s="478">
        <v>7.6907365464766865E-4</v>
      </c>
      <c r="BI223" s="479">
        <v>1929</v>
      </c>
      <c r="BJ223" s="479">
        <v>3980</v>
      </c>
    </row>
    <row r="224" spans="1:62">
      <c r="A224" s="461" t="s">
        <v>1441</v>
      </c>
      <c r="B224" s="462" t="s">
        <v>104</v>
      </c>
      <c r="C224" s="478">
        <v>5.3757627786180117E-4</v>
      </c>
      <c r="D224" s="478">
        <v>5.6848407501612261E-4</v>
      </c>
      <c r="E224" s="479">
        <v>1238</v>
      </c>
      <c r="F224" s="479">
        <v>2678</v>
      </c>
      <c r="G224" s="478">
        <v>5.377112351678784E-4</v>
      </c>
      <c r="H224" s="478">
        <v>5.7870394576956332E-4</v>
      </c>
      <c r="I224" s="479">
        <v>1238</v>
      </c>
      <c r="J224" s="479">
        <v>2767</v>
      </c>
      <c r="K224" s="478">
        <v>5.3259910535514066E-4</v>
      </c>
      <c r="L224" s="471">
        <v>5.7274075404822639E-4</v>
      </c>
      <c r="M224" s="479">
        <v>1226</v>
      </c>
      <c r="N224" s="479">
        <v>2780</v>
      </c>
      <c r="O224" s="478">
        <v>5.3233801202196679E-4</v>
      </c>
      <c r="P224" s="478">
        <v>5.7447225325490156E-4</v>
      </c>
      <c r="Q224" s="479">
        <v>1224</v>
      </c>
      <c r="R224" s="479">
        <v>2821</v>
      </c>
      <c r="S224" s="478">
        <v>5.3222368539008991E-4</v>
      </c>
      <c r="T224" s="478">
        <v>5.7331665503064153E-4</v>
      </c>
      <c r="U224" s="479">
        <v>1223</v>
      </c>
      <c r="V224" s="479">
        <v>2838</v>
      </c>
      <c r="W224" s="478">
        <v>5.3293253091574698E-4</v>
      </c>
      <c r="X224" s="478">
        <v>5.7078866247873628E-4</v>
      </c>
      <c r="Y224" s="479">
        <v>1224</v>
      </c>
      <c r="Z224" s="479">
        <v>2836</v>
      </c>
      <c r="AA224" s="133">
        <v>5.3645611278086867E-4</v>
      </c>
      <c r="AB224" s="478">
        <v>5.6730567876791865E-4</v>
      </c>
      <c r="AC224" s="479">
        <v>1218</v>
      </c>
      <c r="AD224" s="479">
        <v>2831</v>
      </c>
      <c r="AE224" s="478">
        <v>5.3971494890668918E-4</v>
      </c>
      <c r="AF224" s="478">
        <v>5.6512060437319787E-4</v>
      </c>
      <c r="AG224" s="479">
        <v>1217</v>
      </c>
      <c r="AH224" s="479">
        <v>2827</v>
      </c>
      <c r="AI224" s="478">
        <v>5.3734934708709833E-4</v>
      </c>
      <c r="AJ224" s="478">
        <v>5.6227208148699743E-4</v>
      </c>
      <c r="AK224" s="479">
        <v>1205</v>
      </c>
      <c r="AL224" s="479">
        <v>2821</v>
      </c>
      <c r="AM224" s="478">
        <v>5.3899256172402598E-4</v>
      </c>
      <c r="AN224" s="478">
        <v>5.5994722710915276E-4</v>
      </c>
      <c r="AO224" s="479">
        <v>1207</v>
      </c>
      <c r="AP224" s="479">
        <v>2819</v>
      </c>
      <c r="AQ224" s="478">
        <v>5.378538691722997E-4</v>
      </c>
      <c r="AR224" s="478">
        <v>5.5520139846667888E-4</v>
      </c>
      <c r="AS224" s="479">
        <v>1203</v>
      </c>
      <c r="AT224" s="479">
        <v>2807</v>
      </c>
      <c r="AU224" s="478">
        <v>5.358817088095732E-4</v>
      </c>
      <c r="AV224" s="478">
        <v>5.5136416865168923E-4</v>
      </c>
      <c r="AW224" s="479">
        <v>1198</v>
      </c>
      <c r="AX224" s="479">
        <v>2801</v>
      </c>
      <c r="AY224" s="478">
        <v>5.318210753350517E-4</v>
      </c>
      <c r="AZ224" s="478">
        <v>5.4534667194657243E-4</v>
      </c>
      <c r="BA224" s="479">
        <v>1188</v>
      </c>
      <c r="BB224" s="479">
        <v>2786</v>
      </c>
      <c r="BC224" s="478">
        <v>5.2773687344126105E-4</v>
      </c>
      <c r="BD224" s="478">
        <v>5.3858581253323618E-4</v>
      </c>
      <c r="BE224" s="479">
        <v>1178</v>
      </c>
      <c r="BF224" s="479">
        <v>2769</v>
      </c>
      <c r="BG224" s="478">
        <v>5.2624005959870388E-4</v>
      </c>
      <c r="BH224" s="478">
        <v>5.3332745900190083E-4</v>
      </c>
      <c r="BI224" s="479">
        <v>1174</v>
      </c>
      <c r="BJ224" s="479">
        <v>2760</v>
      </c>
    </row>
    <row r="225" spans="1:62">
      <c r="A225" s="461" t="s">
        <v>1442</v>
      </c>
      <c r="B225" s="462" t="s">
        <v>104</v>
      </c>
      <c r="C225" s="478">
        <v>9.4705481584538649E-4</v>
      </c>
      <c r="D225" s="478">
        <v>7.1941468641883478E-4</v>
      </c>
      <c r="E225" s="479">
        <v>2181</v>
      </c>
      <c r="F225" s="479">
        <v>3389</v>
      </c>
      <c r="G225" s="478">
        <v>9.5424199003540293E-4</v>
      </c>
      <c r="H225" s="478">
        <v>7.3869979633469371E-4</v>
      </c>
      <c r="I225" s="479">
        <v>2197</v>
      </c>
      <c r="J225" s="479">
        <v>3532</v>
      </c>
      <c r="K225" s="478">
        <v>9.6267505503017266E-4</v>
      </c>
      <c r="L225" s="471">
        <v>7.3570404054180451E-4</v>
      </c>
      <c r="M225" s="479">
        <v>2216</v>
      </c>
      <c r="N225" s="479">
        <v>3571</v>
      </c>
      <c r="O225" s="478">
        <v>9.6768960518699024E-4</v>
      </c>
      <c r="P225" s="478">
        <v>7.5245479467453424E-4</v>
      </c>
      <c r="Q225" s="479">
        <v>2225</v>
      </c>
      <c r="R225" s="479">
        <v>3695</v>
      </c>
      <c r="S225" s="478">
        <v>9.7262464173904412E-4</v>
      </c>
      <c r="T225" s="478">
        <v>7.7028062213947712E-4</v>
      </c>
      <c r="U225" s="479">
        <v>2235</v>
      </c>
      <c r="V225" s="479">
        <v>3813</v>
      </c>
      <c r="W225" s="478">
        <v>9.7051193742745106E-4</v>
      </c>
      <c r="X225" s="478">
        <v>7.7607936619111676E-4</v>
      </c>
      <c r="Y225" s="479">
        <v>2229</v>
      </c>
      <c r="Z225" s="479">
        <v>3856</v>
      </c>
      <c r="AA225" s="133">
        <v>9.8218155295676278E-4</v>
      </c>
      <c r="AB225" s="478">
        <v>7.8913803002050994E-4</v>
      </c>
      <c r="AC225" s="479">
        <v>2230</v>
      </c>
      <c r="AD225" s="479">
        <v>3938</v>
      </c>
      <c r="AE225" s="478">
        <v>9.902904526775981E-4</v>
      </c>
      <c r="AF225" s="478">
        <v>8.0860022804725342E-4</v>
      </c>
      <c r="AG225" s="479">
        <v>2233</v>
      </c>
      <c r="AH225" s="479">
        <v>4045</v>
      </c>
      <c r="AI225" s="478">
        <v>9.8684987975414815E-4</v>
      </c>
      <c r="AJ225" s="478">
        <v>8.0982327794458357E-4</v>
      </c>
      <c r="AK225" s="479">
        <v>2213</v>
      </c>
      <c r="AL225" s="479">
        <v>4063</v>
      </c>
      <c r="AM225" s="478">
        <v>9.9358612248215232E-4</v>
      </c>
      <c r="AN225" s="478">
        <v>8.0625249905500211E-4</v>
      </c>
      <c r="AO225" s="479">
        <v>2225</v>
      </c>
      <c r="AP225" s="479">
        <v>4059</v>
      </c>
      <c r="AQ225" s="478">
        <v>9.8673606755051162E-4</v>
      </c>
      <c r="AR225" s="478">
        <v>8.0639690115733877E-4</v>
      </c>
      <c r="AS225" s="479">
        <v>2207</v>
      </c>
      <c r="AT225" s="479">
        <v>4077</v>
      </c>
      <c r="AU225" s="478">
        <v>9.8543189023997477E-4</v>
      </c>
      <c r="AV225" s="478">
        <v>8.0765697392998247E-4</v>
      </c>
      <c r="AW225" s="479">
        <v>2203</v>
      </c>
      <c r="AX225" s="479">
        <v>4103</v>
      </c>
      <c r="AY225" s="478">
        <v>9.8664448656435528E-4</v>
      </c>
      <c r="AZ225" s="478">
        <v>8.0705826577017891E-4</v>
      </c>
      <c r="BA225" s="479">
        <v>2204</v>
      </c>
      <c r="BB225" s="479">
        <v>4123</v>
      </c>
      <c r="BC225" s="478">
        <v>9.8603468458761923E-4</v>
      </c>
      <c r="BD225" s="478">
        <v>8.0544739967502012E-4</v>
      </c>
      <c r="BE225" s="479">
        <v>2201</v>
      </c>
      <c r="BF225" s="479">
        <v>4141</v>
      </c>
      <c r="BG225" s="478">
        <v>9.8748454113794268E-4</v>
      </c>
      <c r="BH225" s="478">
        <v>8.3129519153122373E-4</v>
      </c>
      <c r="BI225" s="479">
        <v>2203</v>
      </c>
      <c r="BJ225" s="479">
        <v>4302</v>
      </c>
    </row>
    <row r="226" spans="1:62">
      <c r="A226" s="461" t="s">
        <v>1443</v>
      </c>
      <c r="B226" s="462" t="s">
        <v>104</v>
      </c>
      <c r="C226" s="478">
        <v>2.5988643158343138E-3</v>
      </c>
      <c r="D226" s="478">
        <v>3.2570019279209743E-3</v>
      </c>
      <c r="E226" s="479">
        <v>5985</v>
      </c>
      <c r="F226" s="479">
        <v>15343</v>
      </c>
      <c r="G226" s="478">
        <v>2.5916986593269228E-3</v>
      </c>
      <c r="H226" s="478">
        <v>3.2810652335500214E-3</v>
      </c>
      <c r="I226" s="479">
        <v>5967</v>
      </c>
      <c r="J226" s="479">
        <v>15688</v>
      </c>
      <c r="K226" s="478">
        <v>3.0244330925632049E-3</v>
      </c>
      <c r="L226" s="471">
        <v>3.4994872116054583E-3</v>
      </c>
      <c r="M226" s="479">
        <v>6962</v>
      </c>
      <c r="N226" s="479">
        <v>16986</v>
      </c>
      <c r="O226" s="478">
        <v>3.0909528198040177E-3</v>
      </c>
      <c r="P226" s="478">
        <v>3.5635200140756904E-3</v>
      </c>
      <c r="Q226" s="479">
        <v>7107</v>
      </c>
      <c r="R226" s="479">
        <v>17499</v>
      </c>
      <c r="S226" s="478">
        <v>3.1036952773525112E-3</v>
      </c>
      <c r="T226" s="478">
        <v>3.574239456468337E-3</v>
      </c>
      <c r="U226" s="479">
        <v>7132</v>
      </c>
      <c r="V226" s="479">
        <v>17693</v>
      </c>
      <c r="W226" s="478">
        <v>3.1044190730631343E-3</v>
      </c>
      <c r="X226" s="478">
        <v>3.5811151874062608E-3</v>
      </c>
      <c r="Y226" s="479">
        <v>7130</v>
      </c>
      <c r="Z226" s="479">
        <v>17793</v>
      </c>
      <c r="AA226" s="133">
        <v>3.1368148072457693E-3</v>
      </c>
      <c r="AB226" s="478">
        <v>3.5835844060073084E-3</v>
      </c>
      <c r="AC226" s="479">
        <v>7122</v>
      </c>
      <c r="AD226" s="479">
        <v>17883</v>
      </c>
      <c r="AE226" s="478">
        <v>3.1664459615396556E-3</v>
      </c>
      <c r="AF226" s="478">
        <v>3.6084159991300302E-3</v>
      </c>
      <c r="AG226" s="479">
        <v>7140</v>
      </c>
      <c r="AH226" s="479">
        <v>18051</v>
      </c>
      <c r="AI226" s="478">
        <v>3.1634491852579878E-3</v>
      </c>
      <c r="AJ226" s="478">
        <v>3.6102212732981153E-3</v>
      </c>
      <c r="AK226" s="479">
        <v>7094</v>
      </c>
      <c r="AL226" s="479">
        <v>18113</v>
      </c>
      <c r="AM226" s="478">
        <v>3.1625064806375743E-3</v>
      </c>
      <c r="AN226" s="478">
        <v>3.6077763341552118E-3</v>
      </c>
      <c r="AO226" s="479">
        <v>7082</v>
      </c>
      <c r="AP226" s="479">
        <v>18163</v>
      </c>
      <c r="AQ226" s="478">
        <v>3.1654242674479484E-3</v>
      </c>
      <c r="AR226" s="478">
        <v>3.6023808586653451E-3</v>
      </c>
      <c r="AS226" s="479">
        <v>7080</v>
      </c>
      <c r="AT226" s="479">
        <v>18213</v>
      </c>
      <c r="AU226" s="478">
        <v>3.1629545600939E-3</v>
      </c>
      <c r="AV226" s="478">
        <v>3.6514835160617047E-3</v>
      </c>
      <c r="AW226" s="479">
        <v>7071</v>
      </c>
      <c r="AX226" s="479">
        <v>18550</v>
      </c>
      <c r="AY226" s="478">
        <v>3.1689910709569286E-3</v>
      </c>
      <c r="AZ226" s="478">
        <v>3.6443877739774895E-3</v>
      </c>
      <c r="BA226" s="479">
        <v>7079</v>
      </c>
      <c r="BB226" s="479">
        <v>18618</v>
      </c>
      <c r="BC226" s="478">
        <v>3.1744851317527809E-3</v>
      </c>
      <c r="BD226" s="478">
        <v>3.6413380268814424E-3</v>
      </c>
      <c r="BE226" s="479">
        <v>7086</v>
      </c>
      <c r="BF226" s="479">
        <v>18721</v>
      </c>
      <c r="BG226" s="478">
        <v>3.1820938527182272E-3</v>
      </c>
      <c r="BH226" s="478">
        <v>3.6476892911517689E-3</v>
      </c>
      <c r="BI226" s="479">
        <v>7099</v>
      </c>
      <c r="BJ226" s="479">
        <v>18877</v>
      </c>
    </row>
    <row r="227" spans="1:62">
      <c r="A227" s="461" t="s">
        <v>1444</v>
      </c>
      <c r="B227" s="462" t="s">
        <v>104</v>
      </c>
      <c r="C227" s="478">
        <v>3.2506429855197446E-3</v>
      </c>
      <c r="D227" s="478">
        <v>3.7467303674512936E-3</v>
      </c>
      <c r="E227" s="479">
        <v>7486</v>
      </c>
      <c r="F227" s="479">
        <v>17650</v>
      </c>
      <c r="G227" s="478">
        <v>3.2614488407718893E-3</v>
      </c>
      <c r="H227" s="478">
        <v>3.8053915046177104E-3</v>
      </c>
      <c r="I227" s="479">
        <v>7509</v>
      </c>
      <c r="J227" s="479">
        <v>18195</v>
      </c>
      <c r="K227" s="478">
        <v>3.2529380920875146E-3</v>
      </c>
      <c r="L227" s="471">
        <v>3.9030840235408813E-3</v>
      </c>
      <c r="M227" s="479">
        <v>7488</v>
      </c>
      <c r="N227" s="479">
        <v>18945</v>
      </c>
      <c r="O227" s="478">
        <v>3.2788368240470648E-3</v>
      </c>
      <c r="P227" s="478">
        <v>4.07506708964333E-3</v>
      </c>
      <c r="Q227" s="479">
        <v>7539</v>
      </c>
      <c r="R227" s="479">
        <v>20011</v>
      </c>
      <c r="S227" s="478">
        <v>3.2677576889568152E-3</v>
      </c>
      <c r="T227" s="478">
        <v>4.1336171230574306E-3</v>
      </c>
      <c r="U227" s="479">
        <v>7509</v>
      </c>
      <c r="V227" s="479">
        <v>20462</v>
      </c>
      <c r="W227" s="478">
        <v>3.2659533614371066E-3</v>
      </c>
      <c r="X227" s="478">
        <v>4.1553253616135365E-3</v>
      </c>
      <c r="Y227" s="479">
        <v>7501</v>
      </c>
      <c r="Z227" s="479">
        <v>20646</v>
      </c>
      <c r="AA227" s="133">
        <v>3.3055033878656975E-3</v>
      </c>
      <c r="AB227" s="478">
        <v>4.1701275786507905E-3</v>
      </c>
      <c r="AC227" s="479">
        <v>7505</v>
      </c>
      <c r="AD227" s="479">
        <v>20810</v>
      </c>
      <c r="AE227" s="478">
        <v>3.3318639368413771E-3</v>
      </c>
      <c r="AF227" s="478">
        <v>4.2159156513019965E-3</v>
      </c>
      <c r="AG227" s="479">
        <v>7513</v>
      </c>
      <c r="AH227" s="479">
        <v>21090</v>
      </c>
      <c r="AI227" s="478">
        <v>3.3315659519400093E-3</v>
      </c>
      <c r="AJ227" s="478">
        <v>4.2362746614408517E-3</v>
      </c>
      <c r="AK227" s="479">
        <v>7471</v>
      </c>
      <c r="AL227" s="479">
        <v>21254</v>
      </c>
      <c r="AM227" s="478">
        <v>3.3371097048580335E-3</v>
      </c>
      <c r="AN227" s="478">
        <v>4.2432042091187375E-3</v>
      </c>
      <c r="AO227" s="479">
        <v>7473</v>
      </c>
      <c r="AP227" s="479">
        <v>21362</v>
      </c>
      <c r="AQ227" s="478">
        <v>3.3362141078667499E-3</v>
      </c>
      <c r="AR227" s="478">
        <v>4.269730170538011E-3</v>
      </c>
      <c r="AS227" s="479">
        <v>7462</v>
      </c>
      <c r="AT227" s="479">
        <v>21587</v>
      </c>
      <c r="AU227" s="478">
        <v>3.3329337331720619E-3</v>
      </c>
      <c r="AV227" s="478">
        <v>4.30323887572102E-3</v>
      </c>
      <c r="AW227" s="479">
        <v>7451</v>
      </c>
      <c r="AX227" s="479">
        <v>21861</v>
      </c>
      <c r="AY227" s="478">
        <v>3.3265676858710183E-3</v>
      </c>
      <c r="AZ227" s="478">
        <v>4.3273434589816504E-3</v>
      </c>
      <c r="BA227" s="479">
        <v>7431</v>
      </c>
      <c r="BB227" s="479">
        <v>22107</v>
      </c>
      <c r="BC227" s="478">
        <v>3.3303870264535947E-3</v>
      </c>
      <c r="BD227" s="478">
        <v>4.374818380461375E-3</v>
      </c>
      <c r="BE227" s="479">
        <v>7434</v>
      </c>
      <c r="BF227" s="479">
        <v>22492</v>
      </c>
      <c r="BG227" s="478">
        <v>3.3353937678653792E-3</v>
      </c>
      <c r="BH227" s="478">
        <v>4.4252652676096127E-3</v>
      </c>
      <c r="BI227" s="479">
        <v>7441</v>
      </c>
      <c r="BJ227" s="479">
        <v>22901</v>
      </c>
    </row>
    <row r="228" spans="1:62">
      <c r="A228" s="461" t="s">
        <v>1445</v>
      </c>
      <c r="B228" s="462" t="s">
        <v>104</v>
      </c>
      <c r="C228" s="478">
        <v>5.8429938569534712E-3</v>
      </c>
      <c r="D228" s="478">
        <v>9.0810979257336475E-3</v>
      </c>
      <c r="E228" s="479">
        <v>13456</v>
      </c>
      <c r="F228" s="479">
        <v>42779</v>
      </c>
      <c r="G228" s="478">
        <v>5.8279558590327886E-3</v>
      </c>
      <c r="H228" s="478">
        <v>9.2521522056212297E-3</v>
      </c>
      <c r="I228" s="479">
        <v>13418</v>
      </c>
      <c r="J228" s="479">
        <v>44238</v>
      </c>
      <c r="K228" s="478">
        <v>5.9367857861201889E-3</v>
      </c>
      <c r="L228" s="471">
        <v>9.5519972376589823E-3</v>
      </c>
      <c r="M228" s="479">
        <v>13666</v>
      </c>
      <c r="N228" s="479">
        <v>46364</v>
      </c>
      <c r="O228" s="478">
        <v>6.0627384702501771E-3</v>
      </c>
      <c r="P228" s="478">
        <v>9.841986529531865E-3</v>
      </c>
      <c r="Q228" s="479">
        <v>13940</v>
      </c>
      <c r="R228" s="479">
        <v>48330</v>
      </c>
      <c r="S228" s="478">
        <v>6.0777072691398171E-3</v>
      </c>
      <c r="T228" s="478">
        <v>1.0021324632172316E-2</v>
      </c>
      <c r="U228" s="479">
        <v>13966</v>
      </c>
      <c r="V228" s="479">
        <v>49607</v>
      </c>
      <c r="W228" s="478">
        <v>6.074734208608254E-3</v>
      </c>
      <c r="X228" s="478">
        <v>1.0068301424717483E-2</v>
      </c>
      <c r="Y228" s="479">
        <v>13952</v>
      </c>
      <c r="Z228" s="479">
        <v>50025</v>
      </c>
      <c r="AA228" s="133">
        <v>6.1419380071668422E-3</v>
      </c>
      <c r="AB228" s="478">
        <v>1.0115114357883514E-2</v>
      </c>
      <c r="AC228" s="479">
        <v>13945</v>
      </c>
      <c r="AD228" s="479">
        <v>50477</v>
      </c>
      <c r="AE228" s="478">
        <v>6.178560943441244E-3</v>
      </c>
      <c r="AF228" s="478">
        <v>1.0154379674688834E-2</v>
      </c>
      <c r="AG228" s="479">
        <v>13932</v>
      </c>
      <c r="AH228" s="479">
        <v>50797</v>
      </c>
      <c r="AI228" s="478">
        <v>6.1632409345151748E-3</v>
      </c>
      <c r="AJ228" s="478">
        <v>1.0179496542255913E-2</v>
      </c>
      <c r="AK228" s="479">
        <v>13821</v>
      </c>
      <c r="AL228" s="479">
        <v>51072</v>
      </c>
      <c r="AM228" s="478">
        <v>6.1910462930753075E-3</v>
      </c>
      <c r="AN228" s="478">
        <v>1.0206374022898047E-2</v>
      </c>
      <c r="AO228" s="479">
        <v>13864</v>
      </c>
      <c r="AP228" s="479">
        <v>51383</v>
      </c>
      <c r="AQ228" s="478">
        <v>6.1985087632624794E-3</v>
      </c>
      <c r="AR228" s="478">
        <v>1.02560948039518E-2</v>
      </c>
      <c r="AS228" s="479">
        <v>13864</v>
      </c>
      <c r="AT228" s="479">
        <v>51853</v>
      </c>
      <c r="AU228" s="478">
        <v>6.2033451901261786E-3</v>
      </c>
      <c r="AV228" s="478">
        <v>1.0315490144242457E-2</v>
      </c>
      <c r="AW228" s="479">
        <v>13868</v>
      </c>
      <c r="AX228" s="479">
        <v>52404</v>
      </c>
      <c r="AY228" s="478">
        <v>6.201445586377502E-3</v>
      </c>
      <c r="AZ228" s="478">
        <v>1.0367067638059717E-2</v>
      </c>
      <c r="BA228" s="479">
        <v>13853</v>
      </c>
      <c r="BB228" s="479">
        <v>52962</v>
      </c>
      <c r="BC228" s="478">
        <v>6.1988922901585137E-3</v>
      </c>
      <c r="BD228" s="478">
        <v>1.0462452457985834E-2</v>
      </c>
      <c r="BE228" s="479">
        <v>13837</v>
      </c>
      <c r="BF228" s="479">
        <v>53790</v>
      </c>
      <c r="BG228" s="478">
        <v>6.1938544663840628E-3</v>
      </c>
      <c r="BH228" s="478">
        <v>1.0523555585957797E-2</v>
      </c>
      <c r="BI228" s="479">
        <v>13818</v>
      </c>
      <c r="BJ228" s="479">
        <v>54460</v>
      </c>
    </row>
    <row r="229" spans="1:62">
      <c r="A229" s="461" t="s">
        <v>1446</v>
      </c>
      <c r="B229" s="462" t="s">
        <v>104</v>
      </c>
      <c r="C229" s="478">
        <v>5.9836842560061557E-4</v>
      </c>
      <c r="D229" s="478">
        <v>4.5470234827652527E-4</v>
      </c>
      <c r="E229" s="479">
        <v>1378</v>
      </c>
      <c r="F229" s="479">
        <v>2142</v>
      </c>
      <c r="G229" s="478">
        <v>6.0329636966735306E-4</v>
      </c>
      <c r="H229" s="478">
        <v>4.5489016337144929E-4</v>
      </c>
      <c r="I229" s="479">
        <v>1389</v>
      </c>
      <c r="J229" s="479">
        <v>2175</v>
      </c>
      <c r="K229" s="478">
        <v>6.0775379151047451E-4</v>
      </c>
      <c r="L229" s="471">
        <v>4.5221796947332983E-4</v>
      </c>
      <c r="M229" s="479">
        <v>1399</v>
      </c>
      <c r="N229" s="479">
        <v>2195</v>
      </c>
      <c r="O229" s="478">
        <v>6.1105793046639157E-4</v>
      </c>
      <c r="P229" s="478">
        <v>4.5778575870862061E-4</v>
      </c>
      <c r="Q229" s="479">
        <v>1405</v>
      </c>
      <c r="R229" s="479">
        <v>2248</v>
      </c>
      <c r="S229" s="478">
        <v>6.1925944751438919E-4</v>
      </c>
      <c r="T229" s="478">
        <v>4.7554172161456314E-4</v>
      </c>
      <c r="U229" s="479">
        <v>1423</v>
      </c>
      <c r="V229" s="479">
        <v>2354</v>
      </c>
      <c r="W229" s="478">
        <v>6.2001300982354886E-4</v>
      </c>
      <c r="X229" s="478">
        <v>4.7659645724599701E-4</v>
      </c>
      <c r="Y229" s="479">
        <v>1424</v>
      </c>
      <c r="Z229" s="479">
        <v>2368</v>
      </c>
      <c r="AA229" s="133">
        <v>6.2366326411963057E-4</v>
      </c>
      <c r="AB229" s="478">
        <v>4.7612797342019597E-4</v>
      </c>
      <c r="AC229" s="479">
        <v>1416</v>
      </c>
      <c r="AD229" s="479">
        <v>2376</v>
      </c>
      <c r="AE229" s="478">
        <v>6.2885439404246942E-4</v>
      </c>
      <c r="AF229" s="478">
        <v>4.7616458422955688E-4</v>
      </c>
      <c r="AG229" s="479">
        <v>1418</v>
      </c>
      <c r="AH229" s="479">
        <v>2382</v>
      </c>
      <c r="AI229" s="478">
        <v>6.2965749218836747E-4</v>
      </c>
      <c r="AJ229" s="478">
        <v>4.7756253358484428E-4</v>
      </c>
      <c r="AK229" s="479">
        <v>1412</v>
      </c>
      <c r="AL229" s="479">
        <v>2396</v>
      </c>
      <c r="AM229" s="478">
        <v>6.0552934026328028E-4</v>
      </c>
      <c r="AN229" s="478">
        <v>4.8903514478280746E-4</v>
      </c>
      <c r="AO229" s="479">
        <v>1356</v>
      </c>
      <c r="AP229" s="479">
        <v>2462</v>
      </c>
      <c r="AQ229" s="478">
        <v>6.0491794263517994E-4</v>
      </c>
      <c r="AR229" s="478">
        <v>4.8696325009795638E-4</v>
      </c>
      <c r="AS229" s="479">
        <v>1353</v>
      </c>
      <c r="AT229" s="479">
        <v>2462</v>
      </c>
      <c r="AU229" s="478">
        <v>6.0297875081411075E-4</v>
      </c>
      <c r="AV229" s="478">
        <v>4.8463355345250225E-4</v>
      </c>
      <c r="AW229" s="479">
        <v>1348</v>
      </c>
      <c r="AX229" s="479">
        <v>2462</v>
      </c>
      <c r="AY229" s="478">
        <v>6.0120850519778995E-4</v>
      </c>
      <c r="AZ229" s="478">
        <v>4.8251239998144336E-4</v>
      </c>
      <c r="BA229" s="479">
        <v>1343</v>
      </c>
      <c r="BB229" s="479">
        <v>2465</v>
      </c>
      <c r="BC229" s="478">
        <v>6.0165587523906079E-4</v>
      </c>
      <c r="BD229" s="478">
        <v>4.8140118671713953E-4</v>
      </c>
      <c r="BE229" s="479">
        <v>1343</v>
      </c>
      <c r="BF229" s="479">
        <v>2475</v>
      </c>
      <c r="BG229" s="478">
        <v>6.0109703570857063E-4</v>
      </c>
      <c r="BH229" s="478">
        <v>4.7941500934192607E-4</v>
      </c>
      <c r="BI229" s="479">
        <v>1341</v>
      </c>
      <c r="BJ229" s="479">
        <v>2481</v>
      </c>
    </row>
    <row r="230" spans="1:62">
      <c r="A230" s="461" t="s">
        <v>1447</v>
      </c>
      <c r="B230" s="462" t="s">
        <v>104</v>
      </c>
      <c r="C230" s="478">
        <v>2.0905985377751551E-2</v>
      </c>
      <c r="D230" s="478">
        <v>1.2577763229566946E-2</v>
      </c>
      <c r="E230" s="479">
        <v>48145</v>
      </c>
      <c r="F230" s="479">
        <v>59251</v>
      </c>
      <c r="G230" s="478">
        <v>2.0878224041425482E-2</v>
      </c>
      <c r="H230" s="478">
        <v>1.239894641163816E-2</v>
      </c>
      <c r="I230" s="479">
        <v>48069</v>
      </c>
      <c r="J230" s="479">
        <v>59284</v>
      </c>
      <c r="K230" s="478">
        <v>2.0258314910298756E-2</v>
      </c>
      <c r="L230" s="471">
        <v>1.1947207311962823E-2</v>
      </c>
      <c r="M230" s="479">
        <v>46633</v>
      </c>
      <c r="N230" s="479">
        <v>57990</v>
      </c>
      <c r="O230" s="478">
        <v>2.0121854954418556E-2</v>
      </c>
      <c r="P230" s="478">
        <v>1.176130626966921E-2</v>
      </c>
      <c r="Q230" s="479">
        <v>46266</v>
      </c>
      <c r="R230" s="479">
        <v>57755</v>
      </c>
      <c r="S230" s="478">
        <v>2.021100950169415E-2</v>
      </c>
      <c r="T230" s="478">
        <v>1.1755617614356268E-2</v>
      </c>
      <c r="U230" s="479">
        <v>46443</v>
      </c>
      <c r="V230" s="479">
        <v>58192</v>
      </c>
      <c r="W230" s="478">
        <v>2.0240115712540373E-2</v>
      </c>
      <c r="X230" s="478">
        <v>1.1776239573446172E-2</v>
      </c>
      <c r="Y230" s="479">
        <v>46486</v>
      </c>
      <c r="Z230" s="479">
        <v>58511</v>
      </c>
      <c r="AA230" s="133">
        <v>2.0435982903874817E-2</v>
      </c>
      <c r="AB230" s="478">
        <v>1.1733067749042885E-2</v>
      </c>
      <c r="AC230" s="479">
        <v>46399</v>
      </c>
      <c r="AD230" s="479">
        <v>58551</v>
      </c>
      <c r="AE230" s="478">
        <v>2.0555289960414991E-2</v>
      </c>
      <c r="AF230" s="478">
        <v>1.1735398019219297E-2</v>
      </c>
      <c r="AG230" s="479">
        <v>46350</v>
      </c>
      <c r="AH230" s="479">
        <v>58706</v>
      </c>
      <c r="AI230" s="478">
        <v>2.0623066601441524E-2</v>
      </c>
      <c r="AJ230" s="478">
        <v>1.1720811680908501E-2</v>
      </c>
      <c r="AK230" s="479">
        <v>46247</v>
      </c>
      <c r="AL230" s="479">
        <v>58805</v>
      </c>
      <c r="AM230" s="478">
        <v>2.0658553347536777E-2</v>
      </c>
      <c r="AN230" s="478">
        <v>1.171539108013403E-2</v>
      </c>
      <c r="AO230" s="479">
        <v>46262</v>
      </c>
      <c r="AP230" s="479">
        <v>58980</v>
      </c>
      <c r="AQ230" s="478">
        <v>2.0505511102010269E-2</v>
      </c>
      <c r="AR230" s="478">
        <v>1.1640241361297656E-2</v>
      </c>
      <c r="AS230" s="479">
        <v>45864</v>
      </c>
      <c r="AT230" s="479">
        <v>58851</v>
      </c>
      <c r="AU230" s="478">
        <v>2.0476227965331405E-2</v>
      </c>
      <c r="AV230" s="478">
        <v>1.1642819165741329E-2</v>
      </c>
      <c r="AW230" s="479">
        <v>45776</v>
      </c>
      <c r="AX230" s="479">
        <v>59147</v>
      </c>
      <c r="AY230" s="478">
        <v>2.0437060229184442E-2</v>
      </c>
      <c r="AZ230" s="478">
        <v>1.1649395724176729E-2</v>
      </c>
      <c r="BA230" s="479">
        <v>45653</v>
      </c>
      <c r="BB230" s="479">
        <v>59513</v>
      </c>
      <c r="BC230" s="478">
        <v>2.0378796804727949E-2</v>
      </c>
      <c r="BD230" s="478">
        <v>1.1626762560486358E-2</v>
      </c>
      <c r="BE230" s="479">
        <v>45489</v>
      </c>
      <c r="BF230" s="479">
        <v>59776</v>
      </c>
      <c r="BG230" s="478">
        <v>2.0314031738461379E-2</v>
      </c>
      <c r="BH230" s="478">
        <v>1.1590596973134788E-2</v>
      </c>
      <c r="BI230" s="479">
        <v>45319</v>
      </c>
      <c r="BJ230" s="479">
        <v>59982</v>
      </c>
    </row>
    <row r="231" spans="1:62" s="95" customFormat="1">
      <c r="A231" s="464" t="s">
        <v>1448</v>
      </c>
      <c r="B231" s="480"/>
      <c r="C231" s="481">
        <v>3.5546905701391573E-2</v>
      </c>
      <c r="D231" s="481">
        <v>3.121822443615423E-2</v>
      </c>
      <c r="E231" s="482">
        <v>81862</v>
      </c>
      <c r="F231" s="482">
        <v>147062</v>
      </c>
      <c r="G231" s="481">
        <v>3.5518476548536695E-2</v>
      </c>
      <c r="H231" s="481">
        <v>3.1338481365398317E-2</v>
      </c>
      <c r="I231" s="482">
        <v>81776</v>
      </c>
      <c r="J231" s="482">
        <v>149841</v>
      </c>
      <c r="K231" s="481">
        <v>3.5436086152466705E-2</v>
      </c>
      <c r="L231" s="481">
        <v>3.1484465746188489E-2</v>
      </c>
      <c r="M231" s="482">
        <v>81571</v>
      </c>
      <c r="N231" s="482">
        <v>152821</v>
      </c>
      <c r="O231" s="481">
        <v>3.5528343302348414E-2</v>
      </c>
      <c r="P231" s="481">
        <v>3.1848896487879058E-2</v>
      </c>
      <c r="Q231" s="482">
        <v>81690</v>
      </c>
      <c r="R231" s="482">
        <v>156397</v>
      </c>
      <c r="S231" s="481">
        <v>3.5649412987302349E-2</v>
      </c>
      <c r="T231" s="481">
        <v>3.2123307928011789E-2</v>
      </c>
      <c r="U231" s="482">
        <v>81919</v>
      </c>
      <c r="V231" s="482">
        <v>159015</v>
      </c>
      <c r="W231" s="481">
        <v>3.5673824391764627E-2</v>
      </c>
      <c r="X231" s="481">
        <v>3.2221382274637098E-2</v>
      </c>
      <c r="Y231" s="482">
        <v>81933</v>
      </c>
      <c r="Z231" s="482">
        <v>160094</v>
      </c>
      <c r="AA231" s="481">
        <v>3.6033290228923175E-2</v>
      </c>
      <c r="AB231" s="481">
        <v>3.2246648718352068E-2</v>
      </c>
      <c r="AC231" s="482">
        <v>81812</v>
      </c>
      <c r="AD231" s="482">
        <v>160919</v>
      </c>
      <c r="AE231" s="481">
        <v>3.6269554134251994E-2</v>
      </c>
      <c r="AF231" s="481">
        <v>3.2375193704232627E-2</v>
      </c>
      <c r="AG231" s="482">
        <v>81784</v>
      </c>
      <c r="AH231" s="482">
        <v>161956</v>
      </c>
      <c r="AI231" s="481">
        <v>3.6314113469452916E-2</v>
      </c>
      <c r="AJ231" s="481">
        <v>3.2405288745947891E-2</v>
      </c>
      <c r="AK231" s="482">
        <v>81434</v>
      </c>
      <c r="AL231" s="482">
        <v>162582</v>
      </c>
      <c r="AM231" s="481">
        <v>3.6367931416210773E-2</v>
      </c>
      <c r="AN231" s="481">
        <v>3.2432048050185888E-2</v>
      </c>
      <c r="AO231" s="482">
        <v>81441</v>
      </c>
      <c r="AP231" s="482">
        <v>163276</v>
      </c>
      <c r="AQ231" s="481">
        <v>3.6217282232893853E-2</v>
      </c>
      <c r="AR231" s="481">
        <v>3.2417076309831261E-2</v>
      </c>
      <c r="AS231" s="482">
        <v>81006</v>
      </c>
      <c r="AT231" s="482">
        <v>163895</v>
      </c>
      <c r="AU231" s="481">
        <v>3.6180514303300104E-2</v>
      </c>
      <c r="AV231" s="481">
        <v>3.2551154725068879E-2</v>
      </c>
      <c r="AW231" s="482">
        <v>80884</v>
      </c>
      <c r="AX231" s="482">
        <v>165364</v>
      </c>
      <c r="AY231" s="481">
        <v>3.6132944524973655E-2</v>
      </c>
      <c r="AZ231" s="481">
        <v>3.2610987149902022E-2</v>
      </c>
      <c r="BA231" s="482">
        <v>80715</v>
      </c>
      <c r="BB231" s="482">
        <v>166599</v>
      </c>
      <c r="BC231" s="481">
        <v>3.6067544943873077E-2</v>
      </c>
      <c r="BD231" s="481">
        <v>3.2708633439157309E-2</v>
      </c>
      <c r="BE231" s="482">
        <v>80509</v>
      </c>
      <c r="BF231" s="482">
        <v>168163</v>
      </c>
      <c r="BG231" s="481">
        <v>3.6004860772748115E-2</v>
      </c>
      <c r="BH231" s="481">
        <v>3.2800218432376689E-2</v>
      </c>
      <c r="BI231" s="482">
        <v>80324</v>
      </c>
      <c r="BJ231" s="482">
        <v>169743</v>
      </c>
    </row>
    <row r="232" spans="1:62" s="95" customFormat="1">
      <c r="A232" s="466" t="s">
        <v>1449</v>
      </c>
      <c r="B232" s="74"/>
      <c r="C232" s="483"/>
      <c r="D232" s="74"/>
      <c r="E232" s="484"/>
      <c r="F232" s="484"/>
      <c r="G232" s="483"/>
      <c r="H232" s="74"/>
      <c r="I232" s="484"/>
      <c r="J232" s="484"/>
      <c r="K232" s="483"/>
      <c r="L232" s="74"/>
      <c r="M232" s="484"/>
      <c r="N232" s="484"/>
      <c r="O232" s="483"/>
      <c r="P232" s="74"/>
      <c r="Q232" s="484"/>
      <c r="R232" s="484"/>
      <c r="S232" s="483"/>
      <c r="T232" s="483"/>
      <c r="U232" s="484"/>
      <c r="V232" s="484"/>
      <c r="W232" s="483"/>
      <c r="X232" s="483"/>
      <c r="Y232" s="484"/>
      <c r="Z232" s="484"/>
      <c r="AA232" s="483"/>
      <c r="AB232" s="483"/>
      <c r="AC232" s="484"/>
      <c r="AD232" s="484"/>
      <c r="AE232" s="483">
        <v>0</v>
      </c>
      <c r="AF232" s="483"/>
      <c r="AG232" s="484"/>
      <c r="AH232" s="484"/>
      <c r="AI232" s="483">
        <v>0</v>
      </c>
      <c r="AJ232" s="483">
        <v>0</v>
      </c>
      <c r="AK232" s="484"/>
      <c r="AL232" s="484"/>
      <c r="AM232" s="483">
        <v>0</v>
      </c>
      <c r="AN232" s="483">
        <v>0</v>
      </c>
      <c r="AO232" s="484"/>
      <c r="AP232" s="484"/>
      <c r="AQ232" s="483">
        <v>0</v>
      </c>
      <c r="AR232" s="483">
        <v>0</v>
      </c>
      <c r="AS232" s="484"/>
      <c r="AT232" s="484"/>
      <c r="AU232" s="483">
        <v>0</v>
      </c>
      <c r="AV232" s="483">
        <v>0</v>
      </c>
      <c r="AW232" s="484"/>
      <c r="AX232" s="484"/>
      <c r="AY232" s="483">
        <v>0</v>
      </c>
      <c r="AZ232" s="483">
        <v>0</v>
      </c>
      <c r="BA232" s="484"/>
      <c r="BB232" s="484"/>
      <c r="BC232" s="483"/>
      <c r="BD232" s="483"/>
      <c r="BE232" s="484"/>
      <c r="BF232" s="484"/>
      <c r="BG232" s="483"/>
      <c r="BH232" s="483"/>
      <c r="BI232" s="484"/>
      <c r="BJ232" s="484"/>
    </row>
    <row r="233" spans="1:62">
      <c r="A233" s="485" t="s">
        <v>1450</v>
      </c>
      <c r="B233" s="462" t="s">
        <v>104</v>
      </c>
      <c r="C233" s="478">
        <v>4.3422962670581679E-7</v>
      </c>
      <c r="D233" s="478">
        <v>6.3683802279625388E-6</v>
      </c>
      <c r="E233" s="479">
        <v>1</v>
      </c>
      <c r="F233" s="479">
        <v>30</v>
      </c>
      <c r="G233" s="478">
        <v>4.3433863906936866E-7</v>
      </c>
      <c r="H233" s="478">
        <v>6.2743470809855075E-6</v>
      </c>
      <c r="I233" s="479">
        <v>1</v>
      </c>
      <c r="J233" s="479">
        <v>30</v>
      </c>
      <c r="K233" s="478">
        <v>4.3442015118690101E-7</v>
      </c>
      <c r="L233" s="471">
        <v>6.1806556192254649E-6</v>
      </c>
      <c r="M233" s="479">
        <v>1</v>
      </c>
      <c r="N233" s="479">
        <v>30</v>
      </c>
      <c r="O233" s="478">
        <v>4.3491667648853493E-7</v>
      </c>
      <c r="P233" s="478">
        <v>6.1092405521613069E-6</v>
      </c>
      <c r="Q233" s="479">
        <v>1</v>
      </c>
      <c r="R233" s="479">
        <v>30</v>
      </c>
      <c r="S233" s="478">
        <v>4.3517881062149627E-7</v>
      </c>
      <c r="T233" s="478">
        <v>6.060429757194942E-6</v>
      </c>
      <c r="U233" s="479">
        <v>1</v>
      </c>
      <c r="V233" s="479">
        <v>30</v>
      </c>
      <c r="W233" s="478">
        <v>4.3540239453900899E-7</v>
      </c>
      <c r="X233" s="478">
        <v>6.0379618738935432E-6</v>
      </c>
      <c r="Y233" s="479">
        <v>1</v>
      </c>
      <c r="Z233" s="479">
        <v>30</v>
      </c>
      <c r="AA233" s="133">
        <v>4.404401582765753E-7</v>
      </c>
      <c r="AB233" s="478">
        <v>6.0117168361135855E-6</v>
      </c>
      <c r="AC233" s="479">
        <v>1</v>
      </c>
      <c r="AD233" s="479">
        <v>30</v>
      </c>
      <c r="AE233" s="478">
        <v>4.4347982654617023E-7</v>
      </c>
      <c r="AF233" s="478">
        <v>5.9970350658634374E-6</v>
      </c>
      <c r="AG233" s="479">
        <v>1</v>
      </c>
      <c r="AH233" s="479">
        <v>30</v>
      </c>
      <c r="AI233" s="478">
        <v>4.4593306812207331E-7</v>
      </c>
      <c r="AJ233" s="478">
        <v>5.9794974989755127E-6</v>
      </c>
      <c r="AK233" s="479">
        <v>1</v>
      </c>
      <c r="AL233" s="479">
        <v>30</v>
      </c>
      <c r="AM233" s="478">
        <v>4.4655556066613586E-7</v>
      </c>
      <c r="AN233" s="478">
        <v>5.9589985148189372E-6</v>
      </c>
      <c r="AO233" s="479">
        <v>1</v>
      </c>
      <c r="AP233" s="479">
        <v>30</v>
      </c>
      <c r="AQ233" s="478">
        <v>1.3412814692576052E-6</v>
      </c>
      <c r="AR233" s="478">
        <v>5.9337520320628315E-6</v>
      </c>
      <c r="AS233" s="479">
        <v>3</v>
      </c>
      <c r="AT233" s="479">
        <v>30</v>
      </c>
      <c r="AU233" s="478">
        <v>1.341940840090751E-6</v>
      </c>
      <c r="AV233" s="478">
        <v>5.9053641769191992E-6</v>
      </c>
      <c r="AW233" s="479">
        <v>3</v>
      </c>
      <c r="AX233" s="479">
        <v>30</v>
      </c>
      <c r="AY233" s="478">
        <v>1.3429825134723529E-6</v>
      </c>
      <c r="AZ233" s="478">
        <v>5.8723618658999191E-6</v>
      </c>
      <c r="BA233" s="479">
        <v>3</v>
      </c>
      <c r="BB233" s="479">
        <v>30</v>
      </c>
      <c r="BC233" s="478">
        <v>1.3439818508690859E-6</v>
      </c>
      <c r="BD233" s="478">
        <v>5.8351658996016912E-6</v>
      </c>
      <c r="BE233" s="479">
        <v>3</v>
      </c>
      <c r="BF233" s="479">
        <v>30</v>
      </c>
      <c r="BG233" s="478">
        <v>8.9649073185469146E-7</v>
      </c>
      <c r="BH233" s="478">
        <v>5.6038030112518564E-6</v>
      </c>
      <c r="BI233" s="479">
        <v>2</v>
      </c>
      <c r="BJ233" s="479">
        <v>29</v>
      </c>
    </row>
    <row r="234" spans="1:62" s="95" customFormat="1">
      <c r="A234" s="464" t="s">
        <v>1451</v>
      </c>
      <c r="B234" s="480"/>
      <c r="C234" s="481">
        <v>4.3422962670581679E-7</v>
      </c>
      <c r="D234" s="481">
        <v>6.3683802279625388E-6</v>
      </c>
      <c r="E234" s="482">
        <v>1</v>
      </c>
      <c r="F234" s="482">
        <v>30</v>
      </c>
      <c r="G234" s="481">
        <v>4.3422962670581679E-7</v>
      </c>
      <c r="H234" s="481">
        <v>6.3683802279625388E-6</v>
      </c>
      <c r="I234" s="482">
        <v>1</v>
      </c>
      <c r="J234" s="482">
        <v>30</v>
      </c>
      <c r="K234" s="481">
        <v>4.3442015118690101E-7</v>
      </c>
      <c r="L234" s="481">
        <v>6.3683802279625388E-6</v>
      </c>
      <c r="M234" s="482">
        <v>1</v>
      </c>
      <c r="N234" s="482">
        <v>30</v>
      </c>
      <c r="O234" s="481">
        <v>4.3422962670581679E-7</v>
      </c>
      <c r="P234" s="481">
        <v>6.3683802279625388E-6</v>
      </c>
      <c r="Q234" s="482">
        <v>1</v>
      </c>
      <c r="R234" s="482">
        <v>30</v>
      </c>
      <c r="S234" s="481">
        <v>4.4347982654617023E-7</v>
      </c>
      <c r="T234" s="481">
        <v>5.9970350658634374E-6</v>
      </c>
      <c r="U234" s="482">
        <v>1</v>
      </c>
      <c r="V234" s="482">
        <v>30</v>
      </c>
      <c r="W234" s="481">
        <v>4.3540239453900899E-7</v>
      </c>
      <c r="X234" s="481">
        <v>5.9970350658634374E-6</v>
      </c>
      <c r="Y234" s="482">
        <v>1</v>
      </c>
      <c r="Z234" s="482">
        <v>30</v>
      </c>
      <c r="AA234" s="481">
        <v>4.404401582765753E-7</v>
      </c>
      <c r="AB234" s="481">
        <v>6.0117168361135855E-6</v>
      </c>
      <c r="AC234" s="482">
        <v>1</v>
      </c>
      <c r="AD234" s="482">
        <v>30</v>
      </c>
      <c r="AE234" s="481">
        <v>4.4347982654617023E-7</v>
      </c>
      <c r="AF234" s="481">
        <v>5.9970350658634374E-6</v>
      </c>
      <c r="AG234" s="482">
        <v>1</v>
      </c>
      <c r="AH234" s="482">
        <v>30</v>
      </c>
      <c r="AI234" s="481">
        <v>4.4593306812207331E-7</v>
      </c>
      <c r="AJ234" s="481">
        <v>5.9794974989755127E-6</v>
      </c>
      <c r="AK234" s="482">
        <v>1</v>
      </c>
      <c r="AL234" s="482">
        <v>30</v>
      </c>
      <c r="AM234" s="481">
        <v>4.4655556066613586E-7</v>
      </c>
      <c r="AN234" s="481">
        <v>5.9589985148189372E-6</v>
      </c>
      <c r="AO234" s="482">
        <v>1</v>
      </c>
      <c r="AP234" s="482">
        <v>30</v>
      </c>
      <c r="AQ234" s="481">
        <v>1.3412814692576052E-6</v>
      </c>
      <c r="AR234" s="481">
        <v>5.9337520320628315E-6</v>
      </c>
      <c r="AS234" s="482">
        <v>3</v>
      </c>
      <c r="AT234" s="482">
        <v>30</v>
      </c>
      <c r="AU234" s="481">
        <v>1.341940840090751E-6</v>
      </c>
      <c r="AV234" s="481">
        <v>5.9053641769191992E-6</v>
      </c>
      <c r="AW234" s="482">
        <v>3</v>
      </c>
      <c r="AX234" s="482">
        <v>30</v>
      </c>
      <c r="AY234" s="481">
        <v>1.3429825134723529E-6</v>
      </c>
      <c r="AZ234" s="481">
        <v>5.8723618658999191E-6</v>
      </c>
      <c r="BA234" s="482">
        <v>3</v>
      </c>
      <c r="BB234" s="482">
        <v>30</v>
      </c>
      <c r="BC234" s="481">
        <v>1.3439818508690859E-6</v>
      </c>
      <c r="BD234" s="481">
        <v>5.8351658996016912E-6</v>
      </c>
      <c r="BE234" s="482">
        <v>3</v>
      </c>
      <c r="BF234" s="482">
        <v>30</v>
      </c>
      <c r="BG234" s="481">
        <v>8.9649073185469146E-7</v>
      </c>
      <c r="BH234" s="481">
        <v>5.6038030112518564E-6</v>
      </c>
      <c r="BI234" s="482">
        <v>2</v>
      </c>
      <c r="BJ234" s="482">
        <v>29</v>
      </c>
    </row>
    <row r="235" spans="1:62" s="95" customFormat="1">
      <c r="A235" s="466" t="s">
        <v>1452</v>
      </c>
      <c r="B235" s="74"/>
      <c r="C235" s="483"/>
      <c r="D235" s="74"/>
      <c r="E235" s="484"/>
      <c r="F235" s="484"/>
      <c r="G235" s="483"/>
      <c r="H235" s="74"/>
      <c r="I235" s="484"/>
      <c r="J235" s="484"/>
      <c r="K235" s="483"/>
      <c r="L235" s="74"/>
      <c r="M235" s="484"/>
      <c r="N235" s="484"/>
      <c r="O235" s="483"/>
      <c r="P235" s="74"/>
      <c r="Q235" s="484"/>
      <c r="R235" s="484"/>
      <c r="S235" s="483"/>
      <c r="T235" s="483"/>
      <c r="U235" s="484"/>
      <c r="V235" s="484"/>
      <c r="W235" s="483"/>
      <c r="X235" s="483"/>
      <c r="Y235" s="484"/>
      <c r="Z235" s="484"/>
      <c r="AA235" s="483"/>
      <c r="AB235" s="483"/>
      <c r="AC235" s="484"/>
      <c r="AD235" s="484"/>
      <c r="AE235" s="483"/>
      <c r="AF235" s="483"/>
      <c r="AG235" s="484"/>
      <c r="AH235" s="484"/>
      <c r="AI235" s="483"/>
      <c r="AJ235" s="483"/>
      <c r="AK235" s="484"/>
      <c r="AL235" s="484"/>
      <c r="AM235" s="483"/>
      <c r="AN235" s="483"/>
      <c r="AO235" s="484"/>
      <c r="AP235" s="484"/>
      <c r="AQ235" s="483"/>
      <c r="AR235" s="483"/>
      <c r="AS235" s="484"/>
      <c r="AT235" s="484"/>
      <c r="AU235" s="483"/>
      <c r="AV235" s="483"/>
      <c r="AW235" s="484"/>
      <c r="AX235" s="484"/>
      <c r="AY235" s="483"/>
      <c r="AZ235" s="483"/>
      <c r="BA235" s="484"/>
      <c r="BB235" s="484"/>
      <c r="BC235" s="483"/>
      <c r="BD235" s="483"/>
      <c r="BE235" s="484"/>
      <c r="BF235" s="484"/>
      <c r="BG235" s="483"/>
      <c r="BH235" s="483"/>
      <c r="BI235" s="484"/>
      <c r="BJ235" s="484"/>
    </row>
    <row r="236" spans="1:62">
      <c r="A236" s="487" t="s">
        <v>1453</v>
      </c>
      <c r="B236" s="462" t="s">
        <v>104</v>
      </c>
      <c r="C236" s="478">
        <v>2.4525289316344534E-3</v>
      </c>
      <c r="D236" s="478">
        <v>5.6803828840016526E-3</v>
      </c>
      <c r="E236" s="479">
        <v>5648</v>
      </c>
      <c r="F236" s="479">
        <v>26759</v>
      </c>
      <c r="G236" s="478">
        <v>2.4700838403874997E-3</v>
      </c>
      <c r="H236" s="478">
        <v>5.732452638091059E-3</v>
      </c>
      <c r="I236" s="479">
        <v>5687</v>
      </c>
      <c r="J236" s="479">
        <v>27409</v>
      </c>
      <c r="K236" s="478">
        <v>2.4727195005558407E-3</v>
      </c>
      <c r="L236" s="471">
        <v>5.8079620853861693E-3</v>
      </c>
      <c r="M236" s="479">
        <v>5692</v>
      </c>
      <c r="N236" s="479">
        <v>28191</v>
      </c>
      <c r="O236" s="478">
        <v>2.472501305837321E-3</v>
      </c>
      <c r="P236" s="478">
        <v>5.8129423853814834E-3</v>
      </c>
      <c r="Q236" s="479">
        <v>5685</v>
      </c>
      <c r="R236" s="479">
        <v>28545</v>
      </c>
      <c r="S236" s="478">
        <v>2.4826951145956364E-3</v>
      </c>
      <c r="T236" s="478">
        <v>5.8062957360432346E-3</v>
      </c>
      <c r="U236" s="479">
        <v>5705</v>
      </c>
      <c r="V236" s="479">
        <v>28742</v>
      </c>
      <c r="W236" s="478">
        <v>2.5166258404354718E-3</v>
      </c>
      <c r="X236" s="478">
        <v>5.8242180235577121E-3</v>
      </c>
      <c r="Y236" s="479">
        <v>5780</v>
      </c>
      <c r="Z236" s="479">
        <v>28938</v>
      </c>
      <c r="AA236" s="133">
        <v>2.5426610337306692E-3</v>
      </c>
      <c r="AB236" s="478">
        <v>5.8546106361298169E-3</v>
      </c>
      <c r="AC236" s="479">
        <v>5773</v>
      </c>
      <c r="AD236" s="479">
        <v>29216</v>
      </c>
      <c r="AE236" s="478">
        <v>2.5491220429873867E-3</v>
      </c>
      <c r="AF236" s="478">
        <v>5.8427113635018844E-3</v>
      </c>
      <c r="AG236" s="479">
        <v>5748</v>
      </c>
      <c r="AH236" s="479">
        <v>29228</v>
      </c>
      <c r="AI236" s="478">
        <v>2.4593208706932342E-3</v>
      </c>
      <c r="AJ236" s="478">
        <v>5.8316045941675188E-3</v>
      </c>
      <c r="AK236" s="479">
        <v>5515</v>
      </c>
      <c r="AL236" s="479">
        <v>29258</v>
      </c>
      <c r="AM236" s="478">
        <v>2.4511434724964198E-3</v>
      </c>
      <c r="AN236" s="478">
        <v>5.8157839171794554E-3</v>
      </c>
      <c r="AO236" s="479">
        <v>5489</v>
      </c>
      <c r="AP236" s="479">
        <v>29279</v>
      </c>
      <c r="AQ236" s="478">
        <v>2.4505212443336447E-3</v>
      </c>
      <c r="AR236" s="478">
        <v>5.8394053747530322E-3</v>
      </c>
      <c r="AS236" s="479">
        <v>5481</v>
      </c>
      <c r="AT236" s="479">
        <v>29523</v>
      </c>
      <c r="AU236" s="478">
        <v>2.4503839740057111E-3</v>
      </c>
      <c r="AV236" s="478">
        <v>5.8929629121476689E-3</v>
      </c>
      <c r="AW236" s="479">
        <v>5478</v>
      </c>
      <c r="AX236" s="479">
        <v>29937</v>
      </c>
      <c r="AY236" s="478">
        <v>2.4509430870870439E-3</v>
      </c>
      <c r="AZ236" s="478">
        <v>5.8776469915792287E-3</v>
      </c>
      <c r="BA236" s="479">
        <v>5475</v>
      </c>
      <c r="BB236" s="479">
        <v>30027</v>
      </c>
      <c r="BC236" s="478">
        <v>2.4509749020349227E-3</v>
      </c>
      <c r="BD236" s="478">
        <v>5.8847648097483055E-3</v>
      </c>
      <c r="BE236" s="479">
        <v>5471</v>
      </c>
      <c r="BF236" s="479">
        <v>30255</v>
      </c>
      <c r="BG236" s="478">
        <v>2.4917959891901146E-3</v>
      </c>
      <c r="BH236" s="478">
        <v>5.9734607754078845E-3</v>
      </c>
      <c r="BI236" s="479">
        <v>5559</v>
      </c>
      <c r="BJ236" s="479">
        <v>30913</v>
      </c>
    </row>
    <row r="237" spans="1:62">
      <c r="A237" s="461" t="s">
        <v>1454</v>
      </c>
      <c r="B237" s="462" t="s">
        <v>104</v>
      </c>
      <c r="C237" s="478">
        <v>8.4023432767575549E-4</v>
      </c>
      <c r="D237" s="478">
        <v>9.0133808159763133E-4</v>
      </c>
      <c r="E237" s="479">
        <v>1935</v>
      </c>
      <c r="F237" s="479">
        <v>4246</v>
      </c>
      <c r="G237" s="478">
        <v>8.4044526659922836E-4</v>
      </c>
      <c r="H237" s="478">
        <v>8.9493103865123289E-4</v>
      </c>
      <c r="I237" s="479">
        <v>1935</v>
      </c>
      <c r="J237" s="479">
        <v>4279</v>
      </c>
      <c r="K237" s="478">
        <v>8.4016857239546661E-4</v>
      </c>
      <c r="L237" s="471">
        <v>8.9001440916846696E-4</v>
      </c>
      <c r="M237" s="479">
        <v>1934</v>
      </c>
      <c r="N237" s="479">
        <v>4320</v>
      </c>
      <c r="O237" s="478">
        <v>8.4504310241722343E-4</v>
      </c>
      <c r="P237" s="478">
        <v>9.0538944983030564E-4</v>
      </c>
      <c r="Q237" s="479">
        <v>1943</v>
      </c>
      <c r="R237" s="479">
        <v>4446</v>
      </c>
      <c r="S237" s="478">
        <v>8.4685796546943174E-4</v>
      </c>
      <c r="T237" s="478">
        <v>9.0260000517156677E-4</v>
      </c>
      <c r="U237" s="479">
        <v>1946</v>
      </c>
      <c r="V237" s="479">
        <v>4468</v>
      </c>
      <c r="W237" s="478">
        <v>8.564365100582307E-4</v>
      </c>
      <c r="X237" s="478">
        <v>9.0146770777230602E-4</v>
      </c>
      <c r="Y237" s="479">
        <v>1967</v>
      </c>
      <c r="Z237" s="479">
        <v>4479</v>
      </c>
      <c r="AA237" s="133">
        <v>8.7207151338761907E-4</v>
      </c>
      <c r="AB237" s="478">
        <v>9.0436260271268708E-4</v>
      </c>
      <c r="AC237" s="479">
        <v>1980</v>
      </c>
      <c r="AD237" s="479">
        <v>4513</v>
      </c>
      <c r="AE237" s="478">
        <v>8.7897701621450941E-4</v>
      </c>
      <c r="AF237" s="478">
        <v>9.0415298676334418E-4</v>
      </c>
      <c r="AG237" s="479">
        <v>1982</v>
      </c>
      <c r="AH237" s="479">
        <v>4523</v>
      </c>
      <c r="AI237" s="478">
        <v>8.5619149079438068E-4</v>
      </c>
      <c r="AJ237" s="478">
        <v>9.0330275551190079E-4</v>
      </c>
      <c r="AK237" s="479">
        <v>1920</v>
      </c>
      <c r="AL237" s="479">
        <v>4532</v>
      </c>
      <c r="AM237" s="478">
        <v>8.6051256540364384E-4</v>
      </c>
      <c r="AN237" s="478">
        <v>9.0636367410396024E-4</v>
      </c>
      <c r="AO237" s="479">
        <v>1927</v>
      </c>
      <c r="AP237" s="479">
        <v>4563</v>
      </c>
      <c r="AQ237" s="478">
        <v>8.6199689090955421E-4</v>
      </c>
      <c r="AR237" s="478">
        <v>9.0450160142077759E-4</v>
      </c>
      <c r="AS237" s="479">
        <v>1928</v>
      </c>
      <c r="AT237" s="479">
        <v>4573</v>
      </c>
      <c r="AU237" s="478">
        <v>8.6242064656498929E-4</v>
      </c>
      <c r="AV237" s="478">
        <v>9.1100084702606845E-4</v>
      </c>
      <c r="AW237" s="479">
        <v>1928</v>
      </c>
      <c r="AX237" s="479">
        <v>4628</v>
      </c>
      <c r="AY237" s="478">
        <v>8.6264243448707474E-4</v>
      </c>
      <c r="AZ237" s="478">
        <v>9.1178205237872742E-4</v>
      </c>
      <c r="BA237" s="479">
        <v>1927</v>
      </c>
      <c r="BB237" s="479">
        <v>4658</v>
      </c>
      <c r="BC237" s="478">
        <v>8.641803301088222E-4</v>
      </c>
      <c r="BD237" s="478">
        <v>9.170935738873992E-4</v>
      </c>
      <c r="BE237" s="479">
        <v>1929</v>
      </c>
      <c r="BF237" s="479">
        <v>4715</v>
      </c>
      <c r="BG237" s="478">
        <v>8.7631969038796085E-4</v>
      </c>
      <c r="BH237" s="478">
        <v>9.3061776904099799E-4</v>
      </c>
      <c r="BI237" s="479">
        <v>1955</v>
      </c>
      <c r="BJ237" s="479">
        <v>4816</v>
      </c>
    </row>
    <row r="238" spans="1:62">
      <c r="A238" s="461" t="s">
        <v>1455</v>
      </c>
      <c r="B238" s="462" t="s">
        <v>104</v>
      </c>
      <c r="C238" s="478">
        <v>5.3019437420780233E-4</v>
      </c>
      <c r="D238" s="478">
        <v>2.5036225469530059E-3</v>
      </c>
      <c r="E238" s="479">
        <v>1221</v>
      </c>
      <c r="F238" s="479">
        <v>11794</v>
      </c>
      <c r="G238" s="478">
        <v>5.3119615558183783E-4</v>
      </c>
      <c r="H238" s="478">
        <v>2.4810859807243694E-3</v>
      </c>
      <c r="I238" s="479">
        <v>1223</v>
      </c>
      <c r="J238" s="479">
        <v>11863</v>
      </c>
      <c r="K238" s="478">
        <v>5.2564838293615022E-4</v>
      </c>
      <c r="L238" s="471">
        <v>2.4664936357789088E-3</v>
      </c>
      <c r="M238" s="479">
        <v>1210</v>
      </c>
      <c r="N238" s="479">
        <v>11972</v>
      </c>
      <c r="O238" s="478">
        <v>5.2494442852166168E-4</v>
      </c>
      <c r="P238" s="478">
        <v>2.5041777023309198E-3</v>
      </c>
      <c r="Q238" s="479">
        <v>1207</v>
      </c>
      <c r="R238" s="479">
        <v>12297</v>
      </c>
      <c r="S238" s="478">
        <v>5.20038678692688E-4</v>
      </c>
      <c r="T238" s="478">
        <v>2.517704535464019E-3</v>
      </c>
      <c r="U238" s="479">
        <v>1195</v>
      </c>
      <c r="V238" s="479">
        <v>12463</v>
      </c>
      <c r="W238" s="478">
        <v>5.2640149499766191E-4</v>
      </c>
      <c r="X238" s="478">
        <v>2.5286984327866158E-3</v>
      </c>
      <c r="Y238" s="479">
        <v>1209</v>
      </c>
      <c r="Z238" s="479">
        <v>12564</v>
      </c>
      <c r="AA238" s="133">
        <v>5.3469435214776239E-4</v>
      </c>
      <c r="AB238" s="478">
        <v>2.5387480198907669E-3</v>
      </c>
      <c r="AC238" s="479">
        <v>1214</v>
      </c>
      <c r="AD238" s="479">
        <v>12669</v>
      </c>
      <c r="AE238" s="478">
        <v>5.3705406994741215E-4</v>
      </c>
      <c r="AF238" s="478">
        <v>2.5391446468865791E-3</v>
      </c>
      <c r="AG238" s="479">
        <v>1211</v>
      </c>
      <c r="AH238" s="479">
        <v>12702</v>
      </c>
      <c r="AI238" s="478">
        <v>5.4180867776831908E-4</v>
      </c>
      <c r="AJ238" s="478">
        <v>2.5396919043981993E-3</v>
      </c>
      <c r="AK238" s="479">
        <v>1215</v>
      </c>
      <c r="AL238" s="479">
        <v>12742</v>
      </c>
      <c r="AM238" s="478">
        <v>5.3899256172402598E-4</v>
      </c>
      <c r="AN238" s="478">
        <v>2.5363484011907667E-3</v>
      </c>
      <c r="AO238" s="479">
        <v>1207</v>
      </c>
      <c r="AP238" s="479">
        <v>12769</v>
      </c>
      <c r="AQ238" s="478">
        <v>5.365125877030421E-4</v>
      </c>
      <c r="AR238" s="478">
        <v>2.5566559588814717E-3</v>
      </c>
      <c r="AS238" s="479">
        <v>1200</v>
      </c>
      <c r="AT238" s="479">
        <v>12926</v>
      </c>
      <c r="AU238" s="478">
        <v>5.4661723553029926E-4</v>
      </c>
      <c r="AV238" s="478">
        <v>2.5900927279967605E-3</v>
      </c>
      <c r="AW238" s="479">
        <v>1222</v>
      </c>
      <c r="AX238" s="479">
        <v>13158</v>
      </c>
      <c r="AY238" s="478">
        <v>5.4704154382107179E-4</v>
      </c>
      <c r="AZ238" s="478">
        <v>2.5955839447277642E-3</v>
      </c>
      <c r="BA238" s="479">
        <v>1222</v>
      </c>
      <c r="BB238" s="479">
        <v>13260</v>
      </c>
      <c r="BC238" s="478">
        <v>5.4610462540313851E-4</v>
      </c>
      <c r="BD238" s="478">
        <v>2.599371902742567E-3</v>
      </c>
      <c r="BE238" s="479">
        <v>1219</v>
      </c>
      <c r="BF238" s="479">
        <v>13364</v>
      </c>
      <c r="BG238" s="478">
        <v>5.428251381380156E-4</v>
      </c>
      <c r="BH238" s="478">
        <v>2.6042225235393545E-3</v>
      </c>
      <c r="BI238" s="479">
        <v>1211</v>
      </c>
      <c r="BJ238" s="479">
        <v>13477</v>
      </c>
    </row>
    <row r="239" spans="1:62">
      <c r="A239" s="461" t="s">
        <v>1456</v>
      </c>
      <c r="B239" s="462" t="s">
        <v>104</v>
      </c>
      <c r="C239" s="478">
        <v>1.0130577191046707E-3</v>
      </c>
      <c r="D239" s="478">
        <v>8.5973133077494267E-4</v>
      </c>
      <c r="E239" s="479">
        <v>2333</v>
      </c>
      <c r="F239" s="479">
        <v>4050</v>
      </c>
      <c r="G239" s="478">
        <v>1.0094029971972128E-3</v>
      </c>
      <c r="H239" s="478">
        <v>8.5205633359783188E-4</v>
      </c>
      <c r="I239" s="479">
        <v>2324</v>
      </c>
      <c r="J239" s="479">
        <v>4074</v>
      </c>
      <c r="K239" s="478">
        <v>1.0052482298464889E-3</v>
      </c>
      <c r="L239" s="471">
        <v>8.4118722977658575E-4</v>
      </c>
      <c r="M239" s="479">
        <v>2314</v>
      </c>
      <c r="N239" s="479">
        <v>4083</v>
      </c>
      <c r="O239" s="478">
        <v>1.0090066894534011E-3</v>
      </c>
      <c r="P239" s="478">
        <v>8.3594774888740551E-4</v>
      </c>
      <c r="Q239" s="479">
        <v>2320</v>
      </c>
      <c r="R239" s="479">
        <v>4105</v>
      </c>
      <c r="S239" s="478">
        <v>1.0083093042100068E-3</v>
      </c>
      <c r="T239" s="478">
        <v>8.3351110593954435E-4</v>
      </c>
      <c r="U239" s="479">
        <v>2317</v>
      </c>
      <c r="V239" s="479">
        <v>4126</v>
      </c>
      <c r="W239" s="478">
        <v>1.0062149337796498E-3</v>
      </c>
      <c r="X239" s="478">
        <v>8.3021975766036228E-4</v>
      </c>
      <c r="Y239" s="479">
        <v>2311</v>
      </c>
      <c r="Z239" s="479">
        <v>4125</v>
      </c>
      <c r="AA239" s="133">
        <v>1.0165358853023358E-3</v>
      </c>
      <c r="AB239" s="478">
        <v>8.2921614226126724E-4</v>
      </c>
      <c r="AC239" s="479">
        <v>2308</v>
      </c>
      <c r="AD239" s="479">
        <v>4138</v>
      </c>
      <c r="AE239" s="478">
        <v>1.0213340405358302E-3</v>
      </c>
      <c r="AF239" s="478">
        <v>8.2759083908915429E-4</v>
      </c>
      <c r="AG239" s="479">
        <v>2303</v>
      </c>
      <c r="AH239" s="479">
        <v>4140</v>
      </c>
      <c r="AI239" s="478">
        <v>1.0060250016833974E-3</v>
      </c>
      <c r="AJ239" s="478">
        <v>8.261672377751167E-4</v>
      </c>
      <c r="AK239" s="479">
        <v>2256</v>
      </c>
      <c r="AL239" s="479">
        <v>4145</v>
      </c>
      <c r="AM239" s="478">
        <v>1.0056431226201379E-3</v>
      </c>
      <c r="AN239" s="478">
        <v>8.2393086131563162E-4</v>
      </c>
      <c r="AO239" s="479">
        <v>2252</v>
      </c>
      <c r="AP239" s="479">
        <v>4148</v>
      </c>
      <c r="AQ239" s="478">
        <v>1.0166913536972647E-3</v>
      </c>
      <c r="AR239" s="478">
        <v>8.2400036551912514E-4</v>
      </c>
      <c r="AS239" s="479">
        <v>2274</v>
      </c>
      <c r="AT239" s="479">
        <v>4166</v>
      </c>
      <c r="AU239" s="478">
        <v>1.0122707070417899E-3</v>
      </c>
      <c r="AV239" s="478">
        <v>8.1986139322894882E-4</v>
      </c>
      <c r="AW239" s="479">
        <v>2263</v>
      </c>
      <c r="AX239" s="479">
        <v>4165</v>
      </c>
      <c r="AY239" s="478">
        <v>1.011713493482506E-3</v>
      </c>
      <c r="AZ239" s="478">
        <v>8.1547531777796873E-4</v>
      </c>
      <c r="BA239" s="479">
        <v>2260</v>
      </c>
      <c r="BB239" s="479">
        <v>4166</v>
      </c>
      <c r="BC239" s="478">
        <v>1.011570339754132E-3</v>
      </c>
      <c r="BD239" s="478">
        <v>8.1011553239470149E-4</v>
      </c>
      <c r="BE239" s="479">
        <v>2258</v>
      </c>
      <c r="BF239" s="479">
        <v>4165</v>
      </c>
      <c r="BG239" s="478">
        <v>9.7807138845346824E-4</v>
      </c>
      <c r="BH239" s="478">
        <v>7.6327661704982184E-4</v>
      </c>
      <c r="BI239" s="479">
        <v>2182</v>
      </c>
      <c r="BJ239" s="479">
        <v>3950</v>
      </c>
    </row>
    <row r="240" spans="1:62">
      <c r="A240" s="490" t="s">
        <v>1457</v>
      </c>
      <c r="B240" s="462" t="s">
        <v>104</v>
      </c>
      <c r="C240" s="478">
        <v>9.3585169147637638E-3</v>
      </c>
      <c r="D240" s="478">
        <v>1.1023878453944086E-2</v>
      </c>
      <c r="E240" s="479">
        <v>21552</v>
      </c>
      <c r="F240" s="479">
        <v>51931</v>
      </c>
      <c r="G240" s="478">
        <v>9.3678157674481431E-3</v>
      </c>
      <c r="H240" s="478">
        <v>1.1019844923237546E-2</v>
      </c>
      <c r="I240" s="479">
        <v>21568</v>
      </c>
      <c r="J240" s="479">
        <v>52690</v>
      </c>
      <c r="K240" s="478">
        <v>9.3652296192872127E-3</v>
      </c>
      <c r="L240" s="471">
        <v>1.1045037613409881E-2</v>
      </c>
      <c r="M240" s="479">
        <v>21558</v>
      </c>
      <c r="N240" s="479">
        <v>53611</v>
      </c>
      <c r="O240" s="478">
        <v>9.3650607948276236E-3</v>
      </c>
      <c r="P240" s="478">
        <v>1.1097435463001014E-2</v>
      </c>
      <c r="Q240" s="479">
        <v>21533</v>
      </c>
      <c r="R240" s="479">
        <v>54495</v>
      </c>
      <c r="S240" s="478">
        <v>9.4150935677960717E-3</v>
      </c>
      <c r="T240" s="478">
        <v>1.1192805704238099E-2</v>
      </c>
      <c r="U240" s="479">
        <v>21635</v>
      </c>
      <c r="V240" s="479">
        <v>55406</v>
      </c>
      <c r="W240" s="478">
        <v>9.495690822501247E-3</v>
      </c>
      <c r="X240" s="478">
        <v>1.1264622937331591E-2</v>
      </c>
      <c r="Y240" s="479">
        <v>21809</v>
      </c>
      <c r="Z240" s="479">
        <v>55969</v>
      </c>
      <c r="AA240" s="133">
        <v>9.6152490953359156E-3</v>
      </c>
      <c r="AB240" s="478">
        <v>1.1287799922048071E-2</v>
      </c>
      <c r="AC240" s="479">
        <v>21831</v>
      </c>
      <c r="AD240" s="479">
        <v>56329</v>
      </c>
      <c r="AE240" s="478">
        <v>9.6683036985330574E-3</v>
      </c>
      <c r="AF240" s="478">
        <v>1.1269028592263985E-2</v>
      </c>
      <c r="AG240" s="479">
        <v>21801</v>
      </c>
      <c r="AH240" s="479">
        <v>56373</v>
      </c>
      <c r="AI240" s="478">
        <v>9.477415496798423E-3</v>
      </c>
      <c r="AJ240" s="478">
        <v>1.1270954152402243E-2</v>
      </c>
      <c r="AK240" s="479">
        <v>21253</v>
      </c>
      <c r="AL240" s="479">
        <v>56548</v>
      </c>
      <c r="AM240" s="478">
        <v>9.4785883306993998E-3</v>
      </c>
      <c r="AN240" s="478">
        <v>1.1360433401934648E-2</v>
      </c>
      <c r="AO240" s="479">
        <v>21226</v>
      </c>
      <c r="AP240" s="479">
        <v>57193</v>
      </c>
      <c r="AQ240" s="478">
        <v>9.4900134888206422E-3</v>
      </c>
      <c r="AR240" s="478">
        <v>1.1451943630146863E-2</v>
      </c>
      <c r="AS240" s="479">
        <v>21226</v>
      </c>
      <c r="AT240" s="479">
        <v>57899</v>
      </c>
      <c r="AU240" s="478">
        <v>9.44636888701216E-3</v>
      </c>
      <c r="AV240" s="478">
        <v>1.1421368009106859E-2</v>
      </c>
      <c r="AW240" s="479">
        <v>21118</v>
      </c>
      <c r="AX240" s="479">
        <v>58022</v>
      </c>
      <c r="AY240" s="478">
        <v>9.4371381221702248E-3</v>
      </c>
      <c r="AZ240" s="478">
        <v>1.1447777966780832E-2</v>
      </c>
      <c r="BA240" s="479">
        <v>21081</v>
      </c>
      <c r="BB240" s="479">
        <v>58483</v>
      </c>
      <c r="BC240" s="478">
        <v>9.4428164842061974E-3</v>
      </c>
      <c r="BD240" s="478">
        <v>1.1433813074739528E-2</v>
      </c>
      <c r="BE240" s="479">
        <v>21078</v>
      </c>
      <c r="BF240" s="479">
        <v>58784</v>
      </c>
      <c r="BG240" s="478">
        <v>9.4799412439974338E-3</v>
      </c>
      <c r="BH240" s="478">
        <v>1.1446250736948405E-2</v>
      </c>
      <c r="BI240" s="479">
        <v>21149</v>
      </c>
      <c r="BJ240" s="479">
        <v>59235</v>
      </c>
    </row>
    <row r="241" spans="1:62">
      <c r="A241" s="487" t="s">
        <v>1458</v>
      </c>
      <c r="B241" s="462" t="s">
        <v>104</v>
      </c>
      <c r="C241" s="478">
        <v>1.1385500812226518E-3</v>
      </c>
      <c r="D241" s="478">
        <v>1.803525280558991E-3</v>
      </c>
      <c r="E241" s="479">
        <v>2622</v>
      </c>
      <c r="F241" s="479">
        <v>8496</v>
      </c>
      <c r="G241" s="478">
        <v>1.1410076048352315E-3</v>
      </c>
      <c r="H241" s="478">
        <v>1.7842151649295789E-3</v>
      </c>
      <c r="I241" s="479">
        <v>2627</v>
      </c>
      <c r="J241" s="479">
        <v>8531</v>
      </c>
      <c r="K241" s="478">
        <v>1.1394840565632414E-3</v>
      </c>
      <c r="L241" s="471">
        <v>1.7602507203554124E-3</v>
      </c>
      <c r="M241" s="479">
        <v>2623</v>
      </c>
      <c r="N241" s="479">
        <v>8544</v>
      </c>
      <c r="O241" s="478">
        <v>1.1455705258708009E-3</v>
      </c>
      <c r="P241" s="478">
        <v>1.7425590468281434E-3</v>
      </c>
      <c r="Q241" s="479">
        <v>2634</v>
      </c>
      <c r="R241" s="479">
        <v>8557</v>
      </c>
      <c r="S241" s="478">
        <v>1.1449554507451567E-3</v>
      </c>
      <c r="T241" s="478">
        <v>1.7357070824606314E-3</v>
      </c>
      <c r="U241" s="479">
        <v>2631</v>
      </c>
      <c r="V241" s="479">
        <v>8592</v>
      </c>
      <c r="W241" s="478">
        <v>1.1507685287666007E-3</v>
      </c>
      <c r="X241" s="478">
        <v>1.7300773422662967E-3</v>
      </c>
      <c r="Y241" s="479">
        <v>2643</v>
      </c>
      <c r="Z241" s="479">
        <v>8596</v>
      </c>
      <c r="AA241" s="133">
        <v>1.1671664194329245E-3</v>
      </c>
      <c r="AB241" s="478">
        <v>1.7223568735465422E-3</v>
      </c>
      <c r="AC241" s="479">
        <v>2650</v>
      </c>
      <c r="AD241" s="479">
        <v>8595</v>
      </c>
      <c r="AE241" s="478">
        <v>1.174778060520805E-3</v>
      </c>
      <c r="AF241" s="478">
        <v>1.7217487674093927E-3</v>
      </c>
      <c r="AG241" s="479">
        <v>2649</v>
      </c>
      <c r="AH241" s="479">
        <v>8613</v>
      </c>
      <c r="AI241" s="478">
        <v>1.1580881779130244E-3</v>
      </c>
      <c r="AJ241" s="478">
        <v>1.7222945962882469E-3</v>
      </c>
      <c r="AK241" s="479">
        <v>2597</v>
      </c>
      <c r="AL241" s="479">
        <v>8641</v>
      </c>
      <c r="AM241" s="478">
        <v>1.1521133465186306E-3</v>
      </c>
      <c r="AN241" s="478">
        <v>1.7249314367562549E-3</v>
      </c>
      <c r="AO241" s="479">
        <v>2580</v>
      </c>
      <c r="AP241" s="479">
        <v>8684</v>
      </c>
      <c r="AQ241" s="478">
        <v>1.1566317203231416E-3</v>
      </c>
      <c r="AR241" s="478">
        <v>1.7221726314390357E-3</v>
      </c>
      <c r="AS241" s="479">
        <v>2587</v>
      </c>
      <c r="AT241" s="479">
        <v>8707</v>
      </c>
      <c r="AU241" s="478">
        <v>1.158094944998318E-3</v>
      </c>
      <c r="AV241" s="478">
        <v>1.7155082933950274E-3</v>
      </c>
      <c r="AW241" s="479">
        <v>2589</v>
      </c>
      <c r="AX241" s="479">
        <v>8715</v>
      </c>
      <c r="AY241" s="478">
        <v>1.1589939091266406E-3</v>
      </c>
      <c r="AZ241" s="478">
        <v>1.7051381404618064E-3</v>
      </c>
      <c r="BA241" s="479">
        <v>2589</v>
      </c>
      <c r="BB241" s="479">
        <v>8711</v>
      </c>
      <c r="BC241" s="478">
        <v>1.1594083433497315E-3</v>
      </c>
      <c r="BD241" s="478">
        <v>1.6949211883043047E-3</v>
      </c>
      <c r="BE241" s="479">
        <v>2588</v>
      </c>
      <c r="BF241" s="479">
        <v>8714</v>
      </c>
      <c r="BG241" s="478">
        <v>1.1614037431177528E-3</v>
      </c>
      <c r="BH241" s="478">
        <v>1.6851988296940497E-3</v>
      </c>
      <c r="BI241" s="479">
        <v>2591</v>
      </c>
      <c r="BJ241" s="479">
        <v>8721</v>
      </c>
    </row>
    <row r="242" spans="1:62">
      <c r="A242" s="461" t="s">
        <v>1459</v>
      </c>
      <c r="B242" s="462" t="s">
        <v>104</v>
      </c>
      <c r="C242" s="478">
        <v>2.38435488024164E-3</v>
      </c>
      <c r="D242" s="478">
        <v>1.9096649510250332E-3</v>
      </c>
      <c r="E242" s="479">
        <v>5491</v>
      </c>
      <c r="F242" s="479">
        <v>8996</v>
      </c>
      <c r="G242" s="478">
        <v>2.3905998694378049E-3</v>
      </c>
      <c r="H242" s="478">
        <v>1.8921339347225295E-3</v>
      </c>
      <c r="I242" s="479">
        <v>5504</v>
      </c>
      <c r="J242" s="479">
        <v>9047</v>
      </c>
      <c r="K242" s="478">
        <v>2.3906140919815163E-3</v>
      </c>
      <c r="L242" s="471">
        <v>1.8791253300985155E-3</v>
      </c>
      <c r="M242" s="479">
        <v>5503</v>
      </c>
      <c r="N242" s="479">
        <v>9121</v>
      </c>
      <c r="O242" s="478">
        <v>2.3955210540988507E-3</v>
      </c>
      <c r="P242" s="478">
        <v>1.8743150014030889E-3</v>
      </c>
      <c r="Q242" s="479">
        <v>5508</v>
      </c>
      <c r="R242" s="479">
        <v>9204</v>
      </c>
      <c r="S242" s="478">
        <v>2.4034925710625238E-3</v>
      </c>
      <c r="T242" s="478">
        <v>1.8773191244537532E-3</v>
      </c>
      <c r="U242" s="479">
        <v>5523</v>
      </c>
      <c r="V242" s="479">
        <v>9293</v>
      </c>
      <c r="W242" s="478">
        <v>2.429109959133131E-3</v>
      </c>
      <c r="X242" s="478">
        <v>1.8729757732817772E-3</v>
      </c>
      <c r="Y242" s="479">
        <v>5579</v>
      </c>
      <c r="Z242" s="479">
        <v>9306</v>
      </c>
      <c r="AA242" s="133">
        <v>2.4682266469819277E-3</v>
      </c>
      <c r="AB242" s="478">
        <v>1.8698443265925289E-3</v>
      </c>
      <c r="AC242" s="479">
        <v>5604</v>
      </c>
      <c r="AD242" s="479">
        <v>9331</v>
      </c>
      <c r="AE242" s="478">
        <v>2.4848174681381917E-3</v>
      </c>
      <c r="AF242" s="478">
        <v>1.8858676270451888E-3</v>
      </c>
      <c r="AG242" s="479">
        <v>5603</v>
      </c>
      <c r="AH242" s="479">
        <v>9434</v>
      </c>
      <c r="AI242" s="478">
        <v>2.4682395320556757E-3</v>
      </c>
      <c r="AJ242" s="478">
        <v>1.88513624484368E-3</v>
      </c>
      <c r="AK242" s="479">
        <v>5535</v>
      </c>
      <c r="AL242" s="479">
        <v>9458</v>
      </c>
      <c r="AM242" s="478">
        <v>2.471238472726396E-3</v>
      </c>
      <c r="AN242" s="478">
        <v>1.8866189297916754E-3</v>
      </c>
      <c r="AO242" s="479">
        <v>5534</v>
      </c>
      <c r="AP242" s="479">
        <v>9498</v>
      </c>
      <c r="AQ242" s="478">
        <v>2.472428841664852E-3</v>
      </c>
      <c r="AR242" s="478">
        <v>1.8839662701799489E-3</v>
      </c>
      <c r="AS242" s="479">
        <v>5530</v>
      </c>
      <c r="AT242" s="479">
        <v>9525</v>
      </c>
      <c r="AU242" s="478">
        <v>2.4731969682872542E-3</v>
      </c>
      <c r="AV242" s="478">
        <v>1.8761341990072295E-3</v>
      </c>
      <c r="AW242" s="479">
        <v>5529</v>
      </c>
      <c r="AX242" s="479">
        <v>9531</v>
      </c>
      <c r="AY242" s="478">
        <v>2.47332612897825E-3</v>
      </c>
      <c r="AZ242" s="478">
        <v>1.8709344904757142E-3</v>
      </c>
      <c r="BA242" s="479">
        <v>5525</v>
      </c>
      <c r="BB242" s="479">
        <v>9558</v>
      </c>
      <c r="BC242" s="478">
        <v>2.4666546902950624E-3</v>
      </c>
      <c r="BD242" s="478">
        <v>1.856944294783245E-3</v>
      </c>
      <c r="BE242" s="479">
        <v>5506</v>
      </c>
      <c r="BF242" s="479">
        <v>9547</v>
      </c>
      <c r="BG242" s="478">
        <v>2.5254143916346658E-3</v>
      </c>
      <c r="BH242" s="478">
        <v>1.8830710463672187E-3</v>
      </c>
      <c r="BI242" s="479">
        <v>5634</v>
      </c>
      <c r="BJ242" s="479">
        <v>9745</v>
      </c>
    </row>
    <row r="243" spans="1:62">
      <c r="A243" s="461" t="s">
        <v>1460</v>
      </c>
      <c r="B243" s="462" t="s">
        <v>104</v>
      </c>
      <c r="C243" s="478">
        <v>5.3822762230185993E-3</v>
      </c>
      <c r="D243" s="478">
        <v>9.4222308266115086E-3</v>
      </c>
      <c r="E243" s="479">
        <v>12395</v>
      </c>
      <c r="F243" s="479">
        <v>44386</v>
      </c>
      <c r="G243" s="478">
        <v>5.3784153675959919E-3</v>
      </c>
      <c r="H243" s="478">
        <v>9.4504215733803715E-3</v>
      </c>
      <c r="I243" s="479">
        <v>12383</v>
      </c>
      <c r="J243" s="479">
        <v>45186</v>
      </c>
      <c r="K243" s="478">
        <v>5.3772526313914607E-3</v>
      </c>
      <c r="L243" s="471">
        <v>9.5175915880452936E-3</v>
      </c>
      <c r="M243" s="479">
        <v>12378</v>
      </c>
      <c r="N243" s="479">
        <v>46197</v>
      </c>
      <c r="O243" s="478">
        <v>5.4007952886346265E-3</v>
      </c>
      <c r="P243" s="478">
        <v>9.535099012461629E-3</v>
      </c>
      <c r="Q243" s="479">
        <v>12418</v>
      </c>
      <c r="R243" s="479">
        <v>46823</v>
      </c>
      <c r="S243" s="478">
        <v>5.4284204836925441E-3</v>
      </c>
      <c r="T243" s="478">
        <v>9.493865228971117E-3</v>
      </c>
      <c r="U243" s="479">
        <v>12474</v>
      </c>
      <c r="V243" s="479">
        <v>46996</v>
      </c>
      <c r="W243" s="478">
        <v>5.4364342982140667E-3</v>
      </c>
      <c r="X243" s="478">
        <v>9.4610837255995894E-3</v>
      </c>
      <c r="Y243" s="479">
        <v>12486</v>
      </c>
      <c r="Z243" s="479">
        <v>47008</v>
      </c>
      <c r="AA243" s="133">
        <v>5.4966931752916592E-3</v>
      </c>
      <c r="AB243" s="478">
        <v>9.4205606727511913E-3</v>
      </c>
      <c r="AC243" s="479">
        <v>12480</v>
      </c>
      <c r="AD243" s="479">
        <v>47011</v>
      </c>
      <c r="AE243" s="478">
        <v>5.534628235296205E-3</v>
      </c>
      <c r="AF243" s="478">
        <v>9.4045503902870416E-3</v>
      </c>
      <c r="AG243" s="479">
        <v>12480</v>
      </c>
      <c r="AH243" s="479">
        <v>47046</v>
      </c>
      <c r="AI243" s="478">
        <v>5.5465155013023478E-3</v>
      </c>
      <c r="AJ243" s="478">
        <v>9.3963816864734203E-3</v>
      </c>
      <c r="AK243" s="479">
        <v>12438</v>
      </c>
      <c r="AL243" s="479">
        <v>47143</v>
      </c>
      <c r="AM243" s="478">
        <v>5.576585841598705E-3</v>
      </c>
      <c r="AN243" s="478">
        <v>9.3933679921929178E-3</v>
      </c>
      <c r="AO243" s="479">
        <v>12488</v>
      </c>
      <c r="AP243" s="479">
        <v>47290</v>
      </c>
      <c r="AQ243" s="478">
        <v>5.5918024453349563E-3</v>
      </c>
      <c r="AR243" s="478">
        <v>9.3680099164863955E-3</v>
      </c>
      <c r="AS243" s="479">
        <v>12507</v>
      </c>
      <c r="AT243" s="479">
        <v>47363</v>
      </c>
      <c r="AU243" s="478">
        <v>5.6017083801521584E-3</v>
      </c>
      <c r="AV243" s="478">
        <v>9.3383492184348927E-3</v>
      </c>
      <c r="AW243" s="479">
        <v>12523</v>
      </c>
      <c r="AX243" s="479">
        <v>47440</v>
      </c>
      <c r="AY243" s="478">
        <v>5.5997894203418871E-3</v>
      </c>
      <c r="AZ243" s="478">
        <v>9.3296170417507315E-3</v>
      </c>
      <c r="BA243" s="479">
        <v>12509</v>
      </c>
      <c r="BB243" s="479">
        <v>47662</v>
      </c>
      <c r="BC243" s="478">
        <v>5.6012683604720606E-3</v>
      </c>
      <c r="BD243" s="478">
        <v>9.2963918057154277E-3</v>
      </c>
      <c r="BE243" s="479">
        <v>12503</v>
      </c>
      <c r="BF243" s="479">
        <v>47795</v>
      </c>
      <c r="BG243" s="478">
        <v>5.5985846204325476E-3</v>
      </c>
      <c r="BH243" s="478">
        <v>9.2710089956497092E-3</v>
      </c>
      <c r="BI243" s="479">
        <v>12490</v>
      </c>
      <c r="BJ243" s="479">
        <v>47978</v>
      </c>
    </row>
    <row r="244" spans="1:62">
      <c r="A244" s="461" t="s">
        <v>1461</v>
      </c>
      <c r="B244" s="462" t="s">
        <v>104</v>
      </c>
      <c r="C244" s="478">
        <v>3.6965968121466185E-3</v>
      </c>
      <c r="D244" s="478">
        <v>1.0999466329736897E-2</v>
      </c>
      <c r="E244" s="479">
        <v>8513</v>
      </c>
      <c r="F244" s="479">
        <v>51816</v>
      </c>
      <c r="G244" s="478">
        <v>3.6749392251659283E-3</v>
      </c>
      <c r="H244" s="478">
        <v>1.090167805321232E-2</v>
      </c>
      <c r="I244" s="479">
        <v>8461</v>
      </c>
      <c r="J244" s="479">
        <v>52125</v>
      </c>
      <c r="K244" s="478">
        <v>3.6517357908770901E-3</v>
      </c>
      <c r="L244" s="471">
        <v>1.0787304274088179E-2</v>
      </c>
      <c r="M244" s="479">
        <v>8406</v>
      </c>
      <c r="N244" s="479">
        <v>52360</v>
      </c>
      <c r="O244" s="478">
        <v>3.6345986654146866E-3</v>
      </c>
      <c r="P244" s="478">
        <v>1.0711738742807897E-2</v>
      </c>
      <c r="Q244" s="479">
        <v>8357</v>
      </c>
      <c r="R244" s="479">
        <v>52601</v>
      </c>
      <c r="S244" s="478">
        <v>3.6219932408027133E-3</v>
      </c>
      <c r="T244" s="478">
        <v>1.0658275799653505E-2</v>
      </c>
      <c r="U244" s="479">
        <v>8323</v>
      </c>
      <c r="V244" s="479">
        <v>52760</v>
      </c>
      <c r="W244" s="478">
        <v>3.6029548148102993E-3</v>
      </c>
      <c r="X244" s="478">
        <v>1.0627416694240025E-2</v>
      </c>
      <c r="Y244" s="479">
        <v>8275</v>
      </c>
      <c r="Z244" s="479">
        <v>52803</v>
      </c>
      <c r="AA244" s="133">
        <v>3.6323099853069162E-3</v>
      </c>
      <c r="AB244" s="478">
        <v>1.0604267717781958E-2</v>
      </c>
      <c r="AC244" s="479">
        <v>8247</v>
      </c>
      <c r="AD244" s="479">
        <v>52918</v>
      </c>
      <c r="AE244" s="478">
        <v>3.6476215733422502E-3</v>
      </c>
      <c r="AF244" s="478">
        <v>1.0596760961380694E-2</v>
      </c>
      <c r="AG244" s="479">
        <v>8225</v>
      </c>
      <c r="AH244" s="479">
        <v>53010</v>
      </c>
      <c r="AI244" s="478">
        <v>3.3039181017164411E-3</v>
      </c>
      <c r="AJ244" s="478">
        <v>1.0586301688769548E-2</v>
      </c>
      <c r="AK244" s="479">
        <v>7409</v>
      </c>
      <c r="AL244" s="479">
        <v>53113</v>
      </c>
      <c r="AM244" s="478">
        <v>3.2911144821094213E-3</v>
      </c>
      <c r="AN244" s="478">
        <v>1.0571064732004967E-2</v>
      </c>
      <c r="AO244" s="479">
        <v>7370</v>
      </c>
      <c r="AP244" s="479">
        <v>53219</v>
      </c>
      <c r="AQ244" s="478">
        <v>3.2910576317350775E-3</v>
      </c>
      <c r="AR244" s="478">
        <v>1.0536563483333969E-2</v>
      </c>
      <c r="AS244" s="479">
        <v>7361</v>
      </c>
      <c r="AT244" s="479">
        <v>53271</v>
      </c>
      <c r="AU244" s="478">
        <v>3.2913335671292485E-3</v>
      </c>
      <c r="AV244" s="478">
        <v>1.0505249179794127E-2</v>
      </c>
      <c r="AW244" s="479">
        <v>7358</v>
      </c>
      <c r="AX244" s="479">
        <v>53368</v>
      </c>
      <c r="AY244" s="478">
        <v>3.2907548188450889E-3</v>
      </c>
      <c r="AZ244" s="478">
        <v>1.0461416918705176E-2</v>
      </c>
      <c r="BA244" s="479">
        <v>7351</v>
      </c>
      <c r="BB244" s="479">
        <v>53444</v>
      </c>
      <c r="BC244" s="478">
        <v>3.287379607225784E-3</v>
      </c>
      <c r="BD244" s="478">
        <v>1.0422967835398528E-2</v>
      </c>
      <c r="BE244" s="479">
        <v>7338</v>
      </c>
      <c r="BF244" s="479">
        <v>53587</v>
      </c>
      <c r="BG244" s="478">
        <v>3.2784666063926065E-3</v>
      </c>
      <c r="BH244" s="478">
        <v>1.034751887756985E-2</v>
      </c>
      <c r="BI244" s="479">
        <v>7314</v>
      </c>
      <c r="BJ244" s="479">
        <v>53549</v>
      </c>
    </row>
    <row r="245" spans="1:62">
      <c r="A245" s="461" t="s">
        <v>1462</v>
      </c>
      <c r="B245" s="462" t="s">
        <v>104</v>
      </c>
      <c r="C245" s="478">
        <v>8.9203792214175952E-3</v>
      </c>
      <c r="D245" s="478">
        <v>9.6612573645010347E-3</v>
      </c>
      <c r="E245" s="479">
        <v>20543</v>
      </c>
      <c r="F245" s="479">
        <v>45512</v>
      </c>
      <c r="G245" s="478">
        <v>8.9234873396801789E-3</v>
      </c>
      <c r="H245" s="478">
        <v>9.6106265688482018E-3</v>
      </c>
      <c r="I245" s="479">
        <v>20545</v>
      </c>
      <c r="J245" s="479">
        <v>45952</v>
      </c>
      <c r="K245" s="478">
        <v>8.9316783084026855E-3</v>
      </c>
      <c r="L245" s="471">
        <v>9.5870209528345924E-3</v>
      </c>
      <c r="M245" s="479">
        <v>20560</v>
      </c>
      <c r="N245" s="479">
        <v>46534</v>
      </c>
      <c r="O245" s="478">
        <v>8.9384075351923702E-3</v>
      </c>
      <c r="P245" s="478">
        <v>9.5458920041037801E-3</v>
      </c>
      <c r="Q245" s="479">
        <v>20552</v>
      </c>
      <c r="R245" s="479">
        <v>46876</v>
      </c>
      <c r="S245" s="478">
        <v>8.9807851147958185E-3</v>
      </c>
      <c r="T245" s="478">
        <v>9.5074001887621856E-3</v>
      </c>
      <c r="U245" s="479">
        <v>20637</v>
      </c>
      <c r="V245" s="479">
        <v>47063</v>
      </c>
      <c r="W245" s="478">
        <v>9.0328580771062809E-3</v>
      </c>
      <c r="X245" s="478">
        <v>9.5001292123841011E-3</v>
      </c>
      <c r="Y245" s="479">
        <v>20746</v>
      </c>
      <c r="Z245" s="479">
        <v>47202</v>
      </c>
      <c r="AA245" s="133">
        <v>9.1272413999654699E-3</v>
      </c>
      <c r="AB245" s="478">
        <v>9.4736641714701954E-3</v>
      </c>
      <c r="AC245" s="479">
        <v>20723</v>
      </c>
      <c r="AD245" s="479">
        <v>47276</v>
      </c>
      <c r="AE245" s="478">
        <v>9.1959976832613859E-3</v>
      </c>
      <c r="AF245" s="478">
        <v>9.474115997051058E-3</v>
      </c>
      <c r="AG245" s="479">
        <v>20736</v>
      </c>
      <c r="AH245" s="479">
        <v>47394</v>
      </c>
      <c r="AI245" s="478">
        <v>9.0377254916300595E-3</v>
      </c>
      <c r="AJ245" s="478">
        <v>9.4896618474574375E-3</v>
      </c>
      <c r="AK245" s="479">
        <v>20267</v>
      </c>
      <c r="AL245" s="479">
        <v>47611</v>
      </c>
      <c r="AM245" s="478">
        <v>9.1200042154844924E-3</v>
      </c>
      <c r="AN245" s="478">
        <v>9.5042053645685489E-3</v>
      </c>
      <c r="AO245" s="479">
        <v>20423</v>
      </c>
      <c r="AP245" s="479">
        <v>47848</v>
      </c>
      <c r="AQ245" s="478">
        <v>9.1314442427057763E-3</v>
      </c>
      <c r="AR245" s="478">
        <v>9.4943988347693346E-3</v>
      </c>
      <c r="AS245" s="479">
        <v>20424</v>
      </c>
      <c r="AT245" s="479">
        <v>48002</v>
      </c>
      <c r="AU245" s="478">
        <v>9.1368278665645598E-3</v>
      </c>
      <c r="AV245" s="478">
        <v>9.4790937313181337E-3</v>
      </c>
      <c r="AW245" s="479">
        <v>20426</v>
      </c>
      <c r="AX245" s="479">
        <v>48155</v>
      </c>
      <c r="AY245" s="478">
        <v>9.1331764132876487E-3</v>
      </c>
      <c r="AZ245" s="478">
        <v>9.4554813310765186E-3</v>
      </c>
      <c r="BA245" s="479">
        <v>20402</v>
      </c>
      <c r="BB245" s="479">
        <v>48305</v>
      </c>
      <c r="BC245" s="478">
        <v>9.1045810517374776E-3</v>
      </c>
      <c r="BD245" s="478">
        <v>9.3948116038887093E-3</v>
      </c>
      <c r="BE245" s="479">
        <v>20323</v>
      </c>
      <c r="BF245" s="479">
        <v>48301</v>
      </c>
      <c r="BG245" s="478">
        <v>9.0644177897827843E-3</v>
      </c>
      <c r="BH245" s="478">
        <v>9.3743894994779767E-3</v>
      </c>
      <c r="BI245" s="479">
        <v>20222</v>
      </c>
      <c r="BJ245" s="479">
        <v>48513</v>
      </c>
    </row>
    <row r="246" spans="1:62">
      <c r="A246" s="461" t="s">
        <v>1463</v>
      </c>
      <c r="B246" s="462" t="s">
        <v>104</v>
      </c>
      <c r="C246" s="478">
        <v>9.3029355225454202E-3</v>
      </c>
      <c r="D246" s="478">
        <v>8.0084504160038237E-3</v>
      </c>
      <c r="E246" s="479">
        <v>21424</v>
      </c>
      <c r="F246" s="479">
        <v>37726</v>
      </c>
      <c r="G246" s="478">
        <v>9.302230632948669E-3</v>
      </c>
      <c r="H246" s="478">
        <v>7.9060956118471391E-3</v>
      </c>
      <c r="I246" s="479">
        <v>21417</v>
      </c>
      <c r="J246" s="479">
        <v>37802</v>
      </c>
      <c r="K246" s="478">
        <v>9.2926814540389997E-3</v>
      </c>
      <c r="L246" s="471">
        <v>7.8710649310836291E-3</v>
      </c>
      <c r="M246" s="479">
        <v>21391</v>
      </c>
      <c r="N246" s="479">
        <v>38205</v>
      </c>
      <c r="O246" s="478">
        <v>9.2980836266483881E-3</v>
      </c>
      <c r="P246" s="478">
        <v>7.7998710542960788E-3</v>
      </c>
      <c r="Q246" s="479">
        <v>21379</v>
      </c>
      <c r="R246" s="479">
        <v>38302</v>
      </c>
      <c r="S246" s="478">
        <v>9.331539236156745E-3</v>
      </c>
      <c r="T246" s="478">
        <v>7.7696729630491561E-3</v>
      </c>
      <c r="U246" s="479">
        <v>21443</v>
      </c>
      <c r="V246" s="479">
        <v>38461</v>
      </c>
      <c r="W246" s="478">
        <v>9.3480894107525227E-3</v>
      </c>
      <c r="X246" s="478">
        <v>7.7611961927027606E-3</v>
      </c>
      <c r="Y246" s="479">
        <v>21470</v>
      </c>
      <c r="Z246" s="479">
        <v>38562</v>
      </c>
      <c r="AA246" s="133">
        <v>9.4157297036366258E-3</v>
      </c>
      <c r="AB246" s="478">
        <v>7.7184432458862326E-3</v>
      </c>
      <c r="AC246" s="479">
        <v>21378</v>
      </c>
      <c r="AD246" s="479">
        <v>38517</v>
      </c>
      <c r="AE246" s="478">
        <v>9.4709551757200111E-3</v>
      </c>
      <c r="AF246" s="478">
        <v>7.7039911467770335E-3</v>
      </c>
      <c r="AG246" s="479">
        <v>21356</v>
      </c>
      <c r="AH246" s="479">
        <v>38539</v>
      </c>
      <c r="AI246" s="478">
        <v>9.4114174027163568E-3</v>
      </c>
      <c r="AJ246" s="478">
        <v>7.7115586078454193E-3</v>
      </c>
      <c r="AK246" s="479">
        <v>21105</v>
      </c>
      <c r="AL246" s="479">
        <v>38690</v>
      </c>
      <c r="AM246" s="478">
        <v>9.306217884282271E-3</v>
      </c>
      <c r="AN246" s="478">
        <v>7.6362579634566405E-3</v>
      </c>
      <c r="AO246" s="479">
        <v>20840</v>
      </c>
      <c r="AP246" s="479">
        <v>38444</v>
      </c>
      <c r="AQ246" s="478">
        <v>9.2776439228548554E-3</v>
      </c>
      <c r="AR246" s="478">
        <v>7.6019275200100954E-3</v>
      </c>
      <c r="AS246" s="479">
        <v>20751</v>
      </c>
      <c r="AT246" s="479">
        <v>38434</v>
      </c>
      <c r="AU246" s="478">
        <v>9.2741531458671797E-3</v>
      </c>
      <c r="AV246" s="478">
        <v>7.5885898128137345E-3</v>
      </c>
      <c r="AW246" s="479">
        <v>20733</v>
      </c>
      <c r="AX246" s="479">
        <v>38551</v>
      </c>
      <c r="AY246" s="478">
        <v>9.2531495178245111E-3</v>
      </c>
      <c r="AZ246" s="478">
        <v>7.5455935068903359E-3</v>
      </c>
      <c r="BA246" s="479">
        <v>20670</v>
      </c>
      <c r="BB246" s="479">
        <v>38548</v>
      </c>
      <c r="BC246" s="478">
        <v>9.2519710613827872E-3</v>
      </c>
      <c r="BD246" s="478">
        <v>7.5094695017274039E-3</v>
      </c>
      <c r="BE246" s="479">
        <v>20652</v>
      </c>
      <c r="BF246" s="479">
        <v>38608</v>
      </c>
      <c r="BG246" s="478">
        <v>9.1392747658926507E-3</v>
      </c>
      <c r="BH246" s="478">
        <v>7.490738749350973E-3</v>
      </c>
      <c r="BI246" s="479">
        <v>20389</v>
      </c>
      <c r="BJ246" s="479">
        <v>38765</v>
      </c>
    </row>
    <row r="247" spans="1:62" s="95" customFormat="1">
      <c r="A247" s="464" t="s">
        <v>1464</v>
      </c>
      <c r="B247" s="480"/>
      <c r="C247" s="481">
        <v>4.5019625007978972E-2</v>
      </c>
      <c r="D247" s="481">
        <v>6.2773548465708609E-2</v>
      </c>
      <c r="E247" s="482">
        <v>103677</v>
      </c>
      <c r="F247" s="482">
        <v>295712</v>
      </c>
      <c r="G247" s="481">
        <v>4.502962406687773E-2</v>
      </c>
      <c r="H247" s="481">
        <v>6.2525541821242189E-2</v>
      </c>
      <c r="I247" s="482">
        <v>103674</v>
      </c>
      <c r="J247" s="482">
        <v>298958</v>
      </c>
      <c r="K247" s="481">
        <v>4.4992460638276152E-2</v>
      </c>
      <c r="L247" s="481">
        <v>6.2453052770025635E-2</v>
      </c>
      <c r="M247" s="482">
        <v>103569</v>
      </c>
      <c r="N247" s="482">
        <v>303138</v>
      </c>
      <c r="O247" s="481">
        <v>4.5029533016916951E-2</v>
      </c>
      <c r="P247" s="481">
        <v>6.2365367611331747E-2</v>
      </c>
      <c r="Q247" s="482">
        <v>103536</v>
      </c>
      <c r="R247" s="482">
        <v>306251</v>
      </c>
      <c r="S247" s="491">
        <v>4.5184180728019337E-2</v>
      </c>
      <c r="T247" s="481">
        <v>6.2295157474206816E-2</v>
      </c>
      <c r="U247" s="482">
        <v>103829</v>
      </c>
      <c r="V247" s="482">
        <v>308370</v>
      </c>
      <c r="W247" s="491">
        <v>4.6243858913101898E-2</v>
      </c>
      <c r="X247" s="481">
        <v>6.2302105799583139E-2</v>
      </c>
      <c r="Y247" s="482">
        <v>104275</v>
      </c>
      <c r="Z247" s="482">
        <v>309552</v>
      </c>
      <c r="AA247" s="481">
        <v>4.5888579210519823E-2</v>
      </c>
      <c r="AB247" s="481">
        <v>6.2223874331071266E-2</v>
      </c>
      <c r="AC247" s="482">
        <v>104188</v>
      </c>
      <c r="AD247" s="482">
        <v>310513</v>
      </c>
      <c r="AE247" s="491">
        <v>4.6163589064497045E-2</v>
      </c>
      <c r="AF247" s="481">
        <v>6.2169663318455359E-2</v>
      </c>
      <c r="AG247" s="482">
        <v>104094</v>
      </c>
      <c r="AH247" s="482">
        <v>311002</v>
      </c>
      <c r="AI247" s="481">
        <v>4.5266665745071662E-2</v>
      </c>
      <c r="AJ247" s="481">
        <v>6.2163055315932733E-2</v>
      </c>
      <c r="AK247" s="482">
        <v>101510</v>
      </c>
      <c r="AL247" s="482">
        <v>311881</v>
      </c>
      <c r="AM247" s="481">
        <v>4.5252154295663545E-2</v>
      </c>
      <c r="AN247" s="481">
        <v>6.2159306674495471E-2</v>
      </c>
      <c r="AO247" s="482">
        <v>101336</v>
      </c>
      <c r="AP247" s="482">
        <v>312935</v>
      </c>
      <c r="AQ247" s="481">
        <v>4.5276744370082805E-2</v>
      </c>
      <c r="AR247" s="481">
        <v>6.2183545586940052E-2</v>
      </c>
      <c r="AS247" s="482">
        <v>101269</v>
      </c>
      <c r="AT247" s="482">
        <v>314389</v>
      </c>
      <c r="AU247" s="481">
        <v>4.5253376323153668E-2</v>
      </c>
      <c r="AV247" s="481">
        <v>6.2138210324269451E-2</v>
      </c>
      <c r="AW247" s="482">
        <v>101167</v>
      </c>
      <c r="AX247" s="482">
        <v>315670</v>
      </c>
      <c r="AY247" s="481">
        <v>4.5218668889451946E-2</v>
      </c>
      <c r="AZ247" s="481">
        <v>6.2016447702604803E-2</v>
      </c>
      <c r="BA247" s="482">
        <v>101011</v>
      </c>
      <c r="BB247" s="482">
        <v>316822</v>
      </c>
      <c r="BC247" s="481">
        <v>4.5186909795970114E-2</v>
      </c>
      <c r="BD247" s="481">
        <v>6.1820665123330121E-2</v>
      </c>
      <c r="BE247" s="482">
        <v>100865</v>
      </c>
      <c r="BF247" s="482">
        <v>317835</v>
      </c>
      <c r="BG247" s="481">
        <v>4.5136515367419999E-2</v>
      </c>
      <c r="BH247" s="481">
        <v>6.1769754420096239E-2</v>
      </c>
      <c r="BI247" s="482">
        <v>100696</v>
      </c>
      <c r="BJ247" s="482">
        <v>319662</v>
      </c>
    </row>
    <row r="248" spans="1:62" s="95" customFormat="1">
      <c r="A248" s="98"/>
      <c r="B248" s="99"/>
      <c r="C248" s="132"/>
      <c r="D248" s="132"/>
      <c r="E248" s="99"/>
      <c r="F248" s="99"/>
      <c r="G248" s="132"/>
      <c r="H248" s="132"/>
      <c r="I248" s="99"/>
      <c r="J248" s="99"/>
      <c r="K248" s="132"/>
      <c r="L248" s="132"/>
      <c r="M248" s="99"/>
      <c r="N248" s="99"/>
      <c r="O248" s="132"/>
      <c r="P248" s="132"/>
      <c r="Q248" s="99"/>
      <c r="R248" s="99"/>
      <c r="S248" s="129"/>
      <c r="T248" s="132"/>
      <c r="U248" s="99"/>
      <c r="V248" s="99"/>
      <c r="W248" s="129"/>
      <c r="X248" s="132"/>
      <c r="Y248" s="127"/>
      <c r="Z248" s="127"/>
      <c r="AA248" s="129"/>
      <c r="AB248" s="132"/>
      <c r="AC248" s="127"/>
      <c r="AD248" s="127"/>
      <c r="AE248" s="129"/>
      <c r="AF248" s="132"/>
      <c r="AG248" s="127"/>
      <c r="AH248" s="127"/>
      <c r="AI248" s="99"/>
      <c r="AJ248" s="132"/>
      <c r="AK248" s="127"/>
      <c r="AL248" s="127"/>
      <c r="AM248" s="132"/>
      <c r="AN248" s="132"/>
      <c r="AO248" s="127"/>
      <c r="AP248" s="127"/>
      <c r="AQ248" s="132"/>
      <c r="AR248" s="132"/>
      <c r="AS248" s="127"/>
      <c r="AT248" s="127"/>
      <c r="AU248" s="132"/>
      <c r="AV248" s="132"/>
      <c r="AW248" s="127"/>
      <c r="AX248" s="127"/>
      <c r="AY248" s="132"/>
      <c r="AZ248" s="132"/>
      <c r="BA248" s="127"/>
      <c r="BB248" s="127"/>
      <c r="BC248" s="132"/>
      <c r="BD248" s="132"/>
      <c r="BE248" s="127"/>
      <c r="BF248" s="127"/>
      <c r="BG248" s="132"/>
      <c r="BH248" s="132"/>
      <c r="BI248" s="127"/>
      <c r="BJ248" s="127"/>
    </row>
    <row r="249" spans="1:62" s="95" customFormat="1">
      <c r="A249" s="464" t="s">
        <v>1465</v>
      </c>
      <c r="B249" s="480"/>
      <c r="C249" s="489">
        <v>1.0000000000000002</v>
      </c>
      <c r="D249" s="489">
        <v>1</v>
      </c>
      <c r="E249" s="482">
        <v>2302929</v>
      </c>
      <c r="F249" s="482">
        <v>4710774</v>
      </c>
      <c r="G249" s="489">
        <v>0.99999999989098753</v>
      </c>
      <c r="H249" s="489">
        <v>1.0000712207055205</v>
      </c>
      <c r="I249" s="482">
        <v>2302351</v>
      </c>
      <c r="J249" s="482">
        <v>4781374</v>
      </c>
      <c r="K249" s="489">
        <v>1</v>
      </c>
      <c r="L249" s="492">
        <v>1.0001444916313451</v>
      </c>
      <c r="M249" s="482">
        <v>2301919</v>
      </c>
      <c r="N249" s="482">
        <v>4853854</v>
      </c>
      <c r="O249" s="489">
        <v>0.99999846306963602</v>
      </c>
      <c r="P249" s="489">
        <v>1.0000804887833039</v>
      </c>
      <c r="Q249" s="482">
        <v>2299291</v>
      </c>
      <c r="R249" s="482">
        <v>4910594</v>
      </c>
      <c r="S249" s="489">
        <v>0.99999546214153012</v>
      </c>
      <c r="T249" s="489">
        <v>0.99997149591242462</v>
      </c>
      <c r="U249" s="482">
        <v>2297906</v>
      </c>
      <c r="V249" s="482">
        <v>4950144</v>
      </c>
      <c r="W249" s="489">
        <v>1.0008568862970477</v>
      </c>
      <c r="X249" s="489">
        <v>0.99996809209623305</v>
      </c>
      <c r="Y249" s="482">
        <v>2296726</v>
      </c>
      <c r="Z249" s="482">
        <v>4968564</v>
      </c>
      <c r="AA249" s="489">
        <v>1.0000008693451252</v>
      </c>
      <c r="AB249" s="489">
        <v>1</v>
      </c>
      <c r="AC249" s="482">
        <v>2270456</v>
      </c>
      <c r="AD249" s="482">
        <v>4990255</v>
      </c>
      <c r="AE249" s="489">
        <v>1.0000000000000002</v>
      </c>
      <c r="AF249" s="489">
        <v>1.0000000000000004</v>
      </c>
      <c r="AG249" s="482">
        <v>2254894</v>
      </c>
      <c r="AH249" s="482">
        <v>5002472</v>
      </c>
      <c r="AI249" s="491">
        <v>0.99999999999999989</v>
      </c>
      <c r="AJ249" s="489">
        <v>1</v>
      </c>
      <c r="AK249" s="482">
        <v>2242489</v>
      </c>
      <c r="AL249" s="482">
        <v>5017144</v>
      </c>
      <c r="AM249" s="489">
        <v>1.0000000000000002</v>
      </c>
      <c r="AN249" s="489">
        <v>1.0000000000000002</v>
      </c>
      <c r="AO249" s="482">
        <v>2239363</v>
      </c>
      <c r="AP249" s="482">
        <v>5034403</v>
      </c>
      <c r="AQ249" s="489">
        <v>1</v>
      </c>
      <c r="AR249" s="489">
        <v>1.0000000000000002</v>
      </c>
      <c r="AS249" s="482">
        <v>2236667</v>
      </c>
      <c r="AT249" s="482">
        <v>5055823</v>
      </c>
      <c r="AU249" s="489">
        <v>0.99999999999999989</v>
      </c>
      <c r="AV249" s="489">
        <v>1</v>
      </c>
      <c r="AW249" s="482">
        <v>2235568</v>
      </c>
      <c r="AX249" s="482">
        <v>5080127</v>
      </c>
      <c r="AY249" s="489">
        <v>0.99999999999999989</v>
      </c>
      <c r="AZ249" s="489">
        <v>0.99999999999999989</v>
      </c>
      <c r="BA249" s="482">
        <v>2233834</v>
      </c>
      <c r="BB249" s="482">
        <v>5108677</v>
      </c>
      <c r="BC249" s="489">
        <v>1</v>
      </c>
      <c r="BD249" s="489">
        <v>1</v>
      </c>
      <c r="BE249" s="482">
        <v>2232173</v>
      </c>
      <c r="BF249" s="482">
        <v>5141242</v>
      </c>
      <c r="BG249" s="489">
        <v>1</v>
      </c>
      <c r="BH249" s="489">
        <v>1</v>
      </c>
      <c r="BI249" s="482">
        <v>2230921</v>
      </c>
      <c r="BJ249" s="482">
        <v>5175057</v>
      </c>
    </row>
    <row r="250" spans="1:62">
      <c r="A250" s="93"/>
      <c r="Y250" s="114"/>
      <c r="Z250" s="114"/>
      <c r="AC250" s="114"/>
      <c r="AD250" s="114"/>
      <c r="AG250" s="114"/>
      <c r="AH250" s="114"/>
      <c r="AK250" s="114"/>
      <c r="AL250" s="114"/>
      <c r="AO250" s="114"/>
      <c r="AP250" s="114"/>
      <c r="AS250" s="114"/>
      <c r="AT250" s="114"/>
      <c r="AW250" s="114"/>
      <c r="AX250" s="114"/>
      <c r="BA250" s="114"/>
      <c r="BB250" s="114"/>
      <c r="BE250" s="114"/>
      <c r="BF250" s="116"/>
      <c r="BH250" s="114"/>
      <c r="BI250" s="844"/>
      <c r="BJ250" s="845"/>
    </row>
    <row r="251" spans="1:62">
      <c r="A251" s="93"/>
    </row>
  </sheetData>
  <autoFilter ref="A4:A251" xr:uid="{00000000-0009-0000-0000-000004000000}"/>
  <mergeCells count="19">
    <mergeCell ref="AU5:AX5"/>
    <mergeCell ref="B3:BJ3"/>
    <mergeCell ref="A4:A7"/>
    <mergeCell ref="B4:B7"/>
    <mergeCell ref="C4:BJ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AA5:AD5"/>
    <mergeCell ref="AE5:AH5"/>
    <mergeCell ref="AI5:AL5"/>
    <mergeCell ref="AM5:AP5"/>
    <mergeCell ref="AQ5:AT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2:O10"/>
  <sheetViews>
    <sheetView zoomScaleNormal="100" workbookViewId="0">
      <selection activeCell="A2" sqref="A2:XFD10"/>
    </sheetView>
  </sheetViews>
  <sheetFormatPr defaultRowHeight="14.45"/>
  <cols>
    <col min="1" max="1" width="3.5703125" customWidth="1"/>
    <col min="2" max="2" width="15" customWidth="1"/>
  </cols>
  <sheetData>
    <row r="2" spans="2:15">
      <c r="B2" s="1151" t="s">
        <v>1466</v>
      </c>
      <c r="C2" s="1152"/>
      <c r="D2" s="1152"/>
      <c r="E2" s="1152"/>
      <c r="F2" s="1152"/>
      <c r="G2" s="1152"/>
      <c r="H2" s="1152"/>
      <c r="I2" s="1152"/>
      <c r="J2" s="1152"/>
      <c r="K2" s="1152"/>
      <c r="L2" s="1152"/>
      <c r="M2" s="1152"/>
      <c r="N2" s="1152"/>
      <c r="O2" s="1152"/>
    </row>
    <row r="3" spans="2:15" ht="29.1">
      <c r="B3" s="58" t="s">
        <v>3</v>
      </c>
      <c r="C3" s="1">
        <v>2005</v>
      </c>
      <c r="D3" s="1">
        <v>2006</v>
      </c>
      <c r="E3" s="1">
        <v>2007</v>
      </c>
      <c r="F3" s="1">
        <v>2008</v>
      </c>
      <c r="G3" s="1">
        <v>2009</v>
      </c>
      <c r="H3" s="1">
        <v>2010</v>
      </c>
      <c r="I3" s="1">
        <v>2011</v>
      </c>
      <c r="J3" s="1">
        <v>2012</v>
      </c>
      <c r="K3" s="1">
        <v>2013</v>
      </c>
      <c r="L3" s="1">
        <v>2014</v>
      </c>
      <c r="M3" s="1">
        <v>2015</v>
      </c>
      <c r="N3" s="1">
        <v>2016</v>
      </c>
      <c r="O3" s="1">
        <v>2017</v>
      </c>
    </row>
    <row r="4" spans="2:15">
      <c r="B4" s="72" t="s">
        <v>1225</v>
      </c>
      <c r="C4" s="1101"/>
      <c r="D4" s="1101"/>
      <c r="E4" s="1101"/>
      <c r="F4" s="1101"/>
      <c r="G4" s="1101"/>
      <c r="H4" s="1101"/>
      <c r="I4" s="1101"/>
      <c r="J4" s="1101"/>
      <c r="K4" s="1101"/>
      <c r="L4" s="1101"/>
      <c r="M4" s="1101"/>
      <c r="N4" s="1102"/>
      <c r="O4" s="1102"/>
    </row>
    <row r="5" spans="2:15">
      <c r="B5" s="1" t="s">
        <v>1467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2:15">
      <c r="B6" s="1" t="s">
        <v>1468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</row>
    <row r="7" spans="2:15">
      <c r="B7" s="1" t="s">
        <v>1469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2:15" ht="29.1">
      <c r="B8" s="10" t="s">
        <v>1470</v>
      </c>
      <c r="C8" s="11"/>
      <c r="D8" s="11"/>
      <c r="E8" s="11"/>
      <c r="F8" s="1"/>
      <c r="G8" s="1"/>
      <c r="H8" s="1"/>
      <c r="I8" s="1"/>
      <c r="J8" s="1"/>
      <c r="K8" s="1"/>
      <c r="L8" s="1"/>
      <c r="M8" s="1"/>
      <c r="N8" s="1"/>
      <c r="O8" s="1"/>
    </row>
    <row r="9" spans="2:15" ht="29.1">
      <c r="B9" s="73" t="s">
        <v>1471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2:15">
      <c r="B10" s="74" t="s">
        <v>1472</v>
      </c>
      <c r="C10" s="1"/>
      <c r="D10" s="1"/>
      <c r="E10" s="12"/>
      <c r="F10" s="1"/>
      <c r="G10" s="1"/>
      <c r="H10" s="1"/>
      <c r="I10" s="1"/>
      <c r="J10" s="1"/>
      <c r="K10" s="1"/>
      <c r="L10" s="1"/>
      <c r="M10" s="1"/>
      <c r="N10" s="1"/>
      <c r="O10" s="1"/>
    </row>
  </sheetData>
  <mergeCells count="1">
    <mergeCell ref="B2:O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2:G11"/>
  <sheetViews>
    <sheetView workbookViewId="0">
      <selection activeCell="B2" sqref="B2:G11"/>
    </sheetView>
  </sheetViews>
  <sheetFormatPr defaultRowHeight="14.45"/>
  <cols>
    <col min="2" max="2" width="14.85546875" customWidth="1"/>
    <col min="4" max="4" width="11.5703125" customWidth="1"/>
    <col min="5" max="5" width="13.140625" customWidth="1"/>
    <col min="6" max="6" width="10.140625" customWidth="1"/>
    <col min="7" max="7" width="14.140625" customWidth="1"/>
  </cols>
  <sheetData>
    <row r="2" spans="1:7">
      <c r="B2" s="1156" t="s">
        <v>1473</v>
      </c>
      <c r="C2" s="1157"/>
      <c r="D2" s="1157"/>
      <c r="E2" s="1157"/>
      <c r="F2" s="1157"/>
      <c r="G2" s="1158"/>
    </row>
    <row r="3" spans="1:7" ht="72.599999999999994">
      <c r="B3" s="59" t="s">
        <v>3</v>
      </c>
      <c r="C3" s="15" t="s">
        <v>1474</v>
      </c>
      <c r="D3" s="15" t="s">
        <v>1475</v>
      </c>
      <c r="E3" s="15" t="s">
        <v>1476</v>
      </c>
      <c r="F3" s="16" t="s">
        <v>22</v>
      </c>
      <c r="G3" s="15" t="s">
        <v>1477</v>
      </c>
    </row>
    <row r="4" spans="1:7">
      <c r="B4" s="1153" t="s">
        <v>1225</v>
      </c>
      <c r="C4" s="1154"/>
      <c r="D4" s="1154"/>
      <c r="E4" s="1154"/>
      <c r="F4" s="1154"/>
      <c r="G4" s="1155"/>
    </row>
    <row r="5" spans="1:7">
      <c r="B5" s="1" t="s">
        <v>1467</v>
      </c>
      <c r="C5" s="1"/>
      <c r="D5" s="1"/>
      <c r="E5" s="1"/>
      <c r="F5" s="8"/>
      <c r="G5" s="1"/>
    </row>
    <row r="6" spans="1:7">
      <c r="B6" s="1" t="s">
        <v>1468</v>
      </c>
      <c r="C6" s="1"/>
      <c r="D6" s="1"/>
      <c r="E6" s="1"/>
      <c r="F6" s="8"/>
      <c r="G6" s="1"/>
    </row>
    <row r="7" spans="1:7">
      <c r="B7" s="1" t="s">
        <v>1469</v>
      </c>
      <c r="C7" s="1"/>
      <c r="D7" s="1"/>
      <c r="E7" s="1"/>
      <c r="F7" s="8"/>
      <c r="G7" s="1"/>
    </row>
    <row r="8" spans="1:7" ht="29.1">
      <c r="B8" s="2" t="s">
        <v>1470</v>
      </c>
      <c r="C8" s="1"/>
      <c r="D8" s="1"/>
      <c r="E8" s="1"/>
      <c r="F8" s="8"/>
      <c r="G8" s="1"/>
    </row>
    <row r="9" spans="1:7" ht="29.1">
      <c r="B9" s="14" t="s">
        <v>1471</v>
      </c>
      <c r="C9" s="1"/>
      <c r="D9" s="1"/>
      <c r="E9" s="1"/>
      <c r="F9" s="8"/>
      <c r="G9" s="1"/>
    </row>
    <row r="10" spans="1:7">
      <c r="B10" s="13" t="s">
        <v>1472</v>
      </c>
      <c r="C10" s="1"/>
      <c r="D10" s="1"/>
      <c r="E10" s="1"/>
      <c r="F10" s="8"/>
      <c r="G10" s="1"/>
    </row>
    <row r="11" spans="1:7">
      <c r="A11" s="9"/>
      <c r="B11" s="55" t="s">
        <v>1478</v>
      </c>
    </row>
  </sheetData>
  <mergeCells count="2">
    <mergeCell ref="B4:G4"/>
    <mergeCell ref="B2:G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2:AD13"/>
  <sheetViews>
    <sheetView zoomScale="70" zoomScaleNormal="70" workbookViewId="0">
      <selection activeCell="I26" sqref="I26"/>
    </sheetView>
  </sheetViews>
  <sheetFormatPr defaultRowHeight="14.45"/>
  <cols>
    <col min="1" max="1" width="10.85546875" customWidth="1"/>
    <col min="2" max="2" width="26.5703125" bestFit="1" customWidth="1"/>
    <col min="3" max="3" width="17.42578125" bestFit="1" customWidth="1"/>
    <col min="4" max="4" width="16.5703125" bestFit="1" customWidth="1"/>
    <col min="5" max="5" width="25.42578125" customWidth="1"/>
    <col min="6" max="6" width="19.5703125" customWidth="1"/>
    <col min="7" max="7" width="12" customWidth="1"/>
    <col min="8" max="8" width="12.140625" customWidth="1"/>
    <col min="9" max="9" width="12.5703125" customWidth="1"/>
    <col min="10" max="11" width="12" customWidth="1"/>
    <col min="12" max="12" width="10" customWidth="1"/>
    <col min="13" max="13" width="17.5703125" customWidth="1"/>
    <col min="14" max="14" width="14.42578125" customWidth="1"/>
    <col min="15" max="15" width="13.85546875" customWidth="1"/>
    <col min="16" max="16" width="11.42578125" customWidth="1"/>
    <col min="17" max="17" width="12.5703125" customWidth="1"/>
    <col min="24" max="24" width="11.140625" customWidth="1"/>
    <col min="25" max="25" width="9.5703125" customWidth="1"/>
    <col min="27" max="27" width="16.5703125" customWidth="1"/>
  </cols>
  <sheetData>
    <row r="2" spans="1:30" ht="15" thickBot="1">
      <c r="F2" s="9"/>
      <c r="G2" s="29"/>
      <c r="H2" s="29"/>
      <c r="I2" s="29"/>
      <c r="J2" s="29"/>
      <c r="K2" s="29"/>
      <c r="L2" s="29"/>
      <c r="M2" s="29"/>
      <c r="N2" s="29"/>
      <c r="O2" s="29"/>
      <c r="P2" s="29"/>
      <c r="Q2" s="32"/>
    </row>
    <row r="3" spans="1:30" ht="15" thickBot="1">
      <c r="B3" s="35"/>
      <c r="C3" s="1159" t="s">
        <v>1479</v>
      </c>
      <c r="D3" s="1160"/>
      <c r="E3" s="1160"/>
      <c r="F3" s="1160"/>
      <c r="G3" s="1160"/>
      <c r="H3" s="1160"/>
      <c r="I3" s="1160"/>
      <c r="J3" s="1160"/>
      <c r="K3" s="1160"/>
      <c r="L3" s="1160"/>
      <c r="M3" s="1160"/>
      <c r="N3" s="1160"/>
      <c r="O3" s="1160"/>
      <c r="P3" s="1160"/>
      <c r="Q3" s="1160"/>
      <c r="R3" s="1160"/>
      <c r="S3" s="1160"/>
      <c r="T3" s="1160"/>
      <c r="U3" s="1160"/>
      <c r="V3" s="1160"/>
      <c r="W3" s="1160"/>
      <c r="X3" s="1160"/>
      <c r="Y3" s="1160"/>
      <c r="Z3" s="1160"/>
      <c r="AA3" s="1160"/>
      <c r="AB3" s="1160"/>
      <c r="AC3" s="1160"/>
      <c r="AD3" s="1161"/>
    </row>
    <row r="4" spans="1:30" ht="78.599999999999994" thickBot="1">
      <c r="A4" s="9"/>
      <c r="B4" s="57" t="s">
        <v>3</v>
      </c>
      <c r="C4" s="56" t="s">
        <v>4</v>
      </c>
      <c r="D4" s="36" t="s">
        <v>5</v>
      </c>
      <c r="E4" s="37" t="s">
        <v>11</v>
      </c>
      <c r="F4" s="38" t="s">
        <v>1480</v>
      </c>
      <c r="G4" s="38" t="s">
        <v>25</v>
      </c>
      <c r="H4" s="38" t="s">
        <v>26</v>
      </c>
      <c r="I4" s="38" t="s">
        <v>27</v>
      </c>
      <c r="J4" s="38" t="s">
        <v>1481</v>
      </c>
      <c r="K4" s="38" t="s">
        <v>1482</v>
      </c>
      <c r="L4" s="38" t="s">
        <v>1483</v>
      </c>
      <c r="M4" s="38" t="s">
        <v>32</v>
      </c>
      <c r="N4" s="38" t="s">
        <v>1484</v>
      </c>
      <c r="O4" s="38" t="s">
        <v>1485</v>
      </c>
      <c r="P4" s="38" t="s">
        <v>34</v>
      </c>
      <c r="Q4" s="38" t="s">
        <v>35</v>
      </c>
      <c r="R4" s="38" t="s">
        <v>38</v>
      </c>
      <c r="S4" s="39" t="s">
        <v>39</v>
      </c>
      <c r="T4" s="38" t="s">
        <v>1486</v>
      </c>
      <c r="U4" s="38" t="s">
        <v>1487</v>
      </c>
      <c r="V4" s="38" t="s">
        <v>1488</v>
      </c>
      <c r="W4" s="38" t="s">
        <v>1489</v>
      </c>
      <c r="X4" s="38" t="s">
        <v>1490</v>
      </c>
      <c r="Y4" s="38" t="s">
        <v>1491</v>
      </c>
      <c r="Z4" s="38" t="s">
        <v>1492</v>
      </c>
      <c r="AA4" s="38" t="s">
        <v>1493</v>
      </c>
      <c r="AB4" s="40" t="s">
        <v>80</v>
      </c>
      <c r="AC4" s="40" t="s">
        <v>81</v>
      </c>
      <c r="AD4" s="40" t="s">
        <v>83</v>
      </c>
    </row>
    <row r="5" spans="1:30">
      <c r="B5" s="41" t="s">
        <v>1343</v>
      </c>
      <c r="C5" s="42"/>
      <c r="D5" s="42"/>
      <c r="E5" s="42"/>
      <c r="F5" s="42"/>
      <c r="G5" s="42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4"/>
      <c r="T5" s="44"/>
      <c r="U5" s="44"/>
      <c r="V5" s="44"/>
      <c r="W5" s="44"/>
      <c r="X5" s="44"/>
      <c r="Y5" s="44"/>
      <c r="Z5" s="44"/>
      <c r="AA5" s="45"/>
      <c r="AB5" s="46"/>
      <c r="AC5" s="46"/>
      <c r="AD5" s="46"/>
    </row>
    <row r="6" spans="1:30" ht="30" customHeight="1">
      <c r="B6" s="47" t="s">
        <v>1494</v>
      </c>
      <c r="C6" s="48" t="s">
        <v>1495</v>
      </c>
      <c r="D6" s="48" t="s">
        <v>1496</v>
      </c>
      <c r="E6" s="48" t="s">
        <v>1497</v>
      </c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6"/>
      <c r="AC6" s="46"/>
      <c r="AD6" s="46"/>
    </row>
    <row r="7" spans="1:30" ht="120" customHeight="1">
      <c r="B7" s="47" t="s">
        <v>1494</v>
      </c>
      <c r="C7" s="48" t="s">
        <v>1498</v>
      </c>
      <c r="D7" s="48"/>
      <c r="E7" s="48" t="s">
        <v>1499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6"/>
      <c r="AC7" s="46"/>
      <c r="AD7" s="46"/>
    </row>
    <row r="8" spans="1:30" ht="30" customHeight="1">
      <c r="B8" s="47" t="s">
        <v>1494</v>
      </c>
      <c r="C8" s="48" t="s">
        <v>1500</v>
      </c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6"/>
      <c r="AC8" s="46"/>
      <c r="AD8" s="46"/>
    </row>
    <row r="9" spans="1:30" ht="30" customHeight="1">
      <c r="B9" s="47" t="s">
        <v>1501</v>
      </c>
      <c r="C9" s="48" t="s">
        <v>1502</v>
      </c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6"/>
      <c r="AC9" s="46"/>
      <c r="AD9" s="46"/>
    </row>
    <row r="10" spans="1:30">
      <c r="B10" s="49" t="s">
        <v>1503</v>
      </c>
      <c r="C10" s="50" t="s">
        <v>150</v>
      </c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6"/>
      <c r="AC10" s="46"/>
      <c r="AD10" s="46"/>
    </row>
    <row r="11" spans="1:30">
      <c r="B11" s="51" t="s">
        <v>1430</v>
      </c>
      <c r="C11" s="52"/>
      <c r="D11" s="52"/>
      <c r="E11" s="52"/>
      <c r="F11" s="52"/>
      <c r="G11" s="52"/>
      <c r="H11" s="52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5"/>
      <c r="T11" s="45"/>
      <c r="U11" s="45"/>
      <c r="V11" s="45"/>
      <c r="W11" s="45"/>
      <c r="X11" s="45"/>
      <c r="Y11" s="45"/>
      <c r="Z11" s="45"/>
      <c r="AA11" s="45"/>
      <c r="AB11" s="46"/>
      <c r="AC11" s="46"/>
      <c r="AD11" s="46"/>
    </row>
    <row r="12" spans="1:30" ht="30" customHeight="1">
      <c r="B12" s="47" t="s">
        <v>1504</v>
      </c>
      <c r="C12" s="48" t="s">
        <v>1505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6"/>
      <c r="AC12" s="46"/>
      <c r="AD12" s="46"/>
    </row>
    <row r="13" spans="1:30">
      <c r="B13" s="54" t="s">
        <v>1506</v>
      </c>
      <c r="C13" s="50" t="s">
        <v>150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6"/>
      <c r="AC13" s="46"/>
      <c r="AD13" s="46"/>
    </row>
  </sheetData>
  <mergeCells count="1">
    <mergeCell ref="C3:AD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2:AE256"/>
  <sheetViews>
    <sheetView workbookViewId="0">
      <pane xSplit="1" ySplit="4" topLeftCell="B5" activePane="bottomRight" state="frozen"/>
      <selection pane="bottomRight" activeCell="A6" sqref="A6"/>
      <selection pane="bottomLeft" activeCell="A4" sqref="A4"/>
      <selection pane="topRight" activeCell="B1" sqref="B1"/>
    </sheetView>
  </sheetViews>
  <sheetFormatPr defaultColWidth="9.140625" defaultRowHeight="10.5"/>
  <cols>
    <col min="1" max="1" width="25.5703125" style="166" customWidth="1"/>
    <col min="2" max="2" width="13.5703125" style="359" customWidth="1"/>
    <col min="3" max="3" width="15.42578125" style="360" customWidth="1"/>
    <col min="4" max="4" width="14.42578125" style="169" customWidth="1"/>
    <col min="5" max="5" width="14" style="171" customWidth="1"/>
    <col min="6" max="6" width="11.140625" style="252" customWidth="1"/>
    <col min="7" max="7" width="13" style="171" customWidth="1"/>
    <col min="8" max="8" width="14.42578125" style="171" customWidth="1"/>
    <col min="9" max="9" width="9.5703125" style="171" customWidth="1"/>
    <col min="10" max="10" width="14.42578125" style="169" bestFit="1" customWidth="1"/>
    <col min="11" max="11" width="11.5703125" style="171" bestFit="1" customWidth="1"/>
    <col min="12" max="13" width="12.140625" style="169" customWidth="1"/>
    <col min="14" max="14" width="16.42578125" style="255" bestFit="1" customWidth="1"/>
    <col min="15" max="15" width="13.85546875" style="255" customWidth="1"/>
    <col min="16" max="16" width="14.5703125" style="174" customWidth="1"/>
    <col min="17" max="17" width="13.5703125" style="324" customWidth="1"/>
    <col min="18" max="19" width="12.42578125" style="171" customWidth="1"/>
    <col min="20" max="20" width="12.5703125" style="176" customWidth="1"/>
    <col min="21" max="21" width="13.5703125" style="176" customWidth="1"/>
    <col min="22" max="23" width="12.5703125" style="326" customWidth="1"/>
    <col min="24" max="24" width="12.5703125" style="324" customWidth="1"/>
    <col min="25" max="25" width="12.5703125" style="177" customWidth="1"/>
    <col min="26" max="26" width="13.5703125" style="177" customWidth="1"/>
    <col min="27" max="27" width="12.5703125" style="171" customWidth="1"/>
    <col min="28" max="28" width="12.5703125" style="178" customWidth="1"/>
    <col min="29" max="29" width="13.5703125" style="177" customWidth="1"/>
    <col min="30" max="30" width="10.42578125" style="179" customWidth="1"/>
    <col min="31" max="31" width="9.5703125" style="179" customWidth="1"/>
    <col min="32" max="16384" width="9.140625" style="179"/>
  </cols>
  <sheetData>
    <row r="2" spans="1:29">
      <c r="B2" s="167" t="s">
        <v>1507</v>
      </c>
      <c r="C2" s="168">
        <v>2017</v>
      </c>
      <c r="E2" s="167" t="s">
        <v>1507</v>
      </c>
      <c r="F2" s="170">
        <v>2017</v>
      </c>
      <c r="N2" s="172"/>
      <c r="O2" s="173" t="s">
        <v>1508</v>
      </c>
      <c r="Q2" s="175"/>
      <c r="V2" s="173" t="s">
        <v>1509</v>
      </c>
      <c r="W2" s="173" t="s">
        <v>1509</v>
      </c>
      <c r="X2" s="175"/>
      <c r="Y2" s="177" t="s">
        <v>1510</v>
      </c>
      <c r="Z2" s="177" t="s">
        <v>1510</v>
      </c>
    </row>
    <row r="3" spans="1:29" s="191" customFormat="1" ht="9" thickBot="1">
      <c r="A3" s="180" t="s">
        <v>1511</v>
      </c>
      <c r="B3" s="181" t="s">
        <v>1512</v>
      </c>
      <c r="C3" s="181" t="s">
        <v>1513</v>
      </c>
      <c r="D3" s="182" t="s">
        <v>1514</v>
      </c>
      <c r="E3" s="183" t="s">
        <v>1515</v>
      </c>
      <c r="F3" s="184" t="s">
        <v>1516</v>
      </c>
      <c r="G3" s="183" t="s">
        <v>1515</v>
      </c>
      <c r="H3" s="183" t="s">
        <v>1517</v>
      </c>
      <c r="I3" s="183" t="s">
        <v>1518</v>
      </c>
      <c r="J3" s="182" t="s">
        <v>1519</v>
      </c>
      <c r="K3" s="183" t="s">
        <v>1520</v>
      </c>
      <c r="L3" s="181" t="s">
        <v>1521</v>
      </c>
      <c r="M3" s="181" t="s">
        <v>1522</v>
      </c>
      <c r="N3" s="185" t="s">
        <v>1523</v>
      </c>
      <c r="O3" s="181" t="s">
        <v>1524</v>
      </c>
      <c r="P3" s="186" t="s">
        <v>1525</v>
      </c>
      <c r="Q3" s="187" t="s">
        <v>1526</v>
      </c>
      <c r="R3" s="187" t="s">
        <v>1527</v>
      </c>
      <c r="S3" s="187" t="s">
        <v>1527</v>
      </c>
      <c r="T3" s="188" t="s">
        <v>1528</v>
      </c>
      <c r="U3" s="189" t="s">
        <v>1529</v>
      </c>
      <c r="V3" s="189" t="s">
        <v>1530</v>
      </c>
      <c r="W3" s="186" t="s">
        <v>1531</v>
      </c>
      <c r="X3" s="187" t="s">
        <v>1532</v>
      </c>
      <c r="Y3" s="190" t="s">
        <v>1533</v>
      </c>
      <c r="Z3" s="190" t="s">
        <v>1534</v>
      </c>
      <c r="AC3" s="190"/>
    </row>
    <row r="4" spans="1:29" s="205" customFormat="1" ht="74.099999999999994" thickBot="1">
      <c r="A4" s="192" t="s">
        <v>1535</v>
      </c>
      <c r="B4" s="192" t="s">
        <v>1536</v>
      </c>
      <c r="C4" s="193" t="s">
        <v>1537</v>
      </c>
      <c r="D4" s="192" t="s">
        <v>1538</v>
      </c>
      <c r="E4" s="194" t="s">
        <v>1539</v>
      </c>
      <c r="F4" s="195" t="s">
        <v>1540</v>
      </c>
      <c r="G4" s="194" t="s">
        <v>1541</v>
      </c>
      <c r="H4" s="192" t="s">
        <v>1542</v>
      </c>
      <c r="I4" s="196" t="s">
        <v>1543</v>
      </c>
      <c r="J4" s="197" t="s">
        <v>1544</v>
      </c>
      <c r="K4" s="196" t="s">
        <v>1545</v>
      </c>
      <c r="L4" s="198" t="s">
        <v>1546</v>
      </c>
      <c r="M4" s="196" t="s">
        <v>1547</v>
      </c>
      <c r="N4" s="199" t="s">
        <v>1548</v>
      </c>
      <c r="O4" s="199" t="s">
        <v>1549</v>
      </c>
      <c r="P4" s="199" t="s">
        <v>1550</v>
      </c>
      <c r="Q4" s="200" t="s">
        <v>1551</v>
      </c>
      <c r="R4" s="201" t="s">
        <v>1552</v>
      </c>
      <c r="S4" s="201" t="s">
        <v>1552</v>
      </c>
      <c r="T4" s="202" t="s">
        <v>1553</v>
      </c>
      <c r="U4" s="202" t="s">
        <v>1554</v>
      </c>
      <c r="V4" s="203" t="s">
        <v>1555</v>
      </c>
      <c r="W4" s="203" t="s">
        <v>1556</v>
      </c>
      <c r="X4" s="200" t="s">
        <v>1557</v>
      </c>
      <c r="Y4" s="204" t="s">
        <v>1558</v>
      </c>
      <c r="Z4" s="204" t="s">
        <v>1559</v>
      </c>
      <c r="AA4" s="194" t="s">
        <v>1560</v>
      </c>
      <c r="AB4" s="192" t="s">
        <v>1561</v>
      </c>
      <c r="AC4" s="204" t="s">
        <v>1562</v>
      </c>
    </row>
    <row r="5" spans="1:29" s="213" customFormat="1" ht="15.95" customHeight="1">
      <c r="A5" s="206" t="s">
        <v>747</v>
      </c>
      <c r="B5" s="207">
        <v>803770.22929310857</v>
      </c>
      <c r="C5" s="207">
        <v>8007.8837250338493</v>
      </c>
      <c r="D5" s="208">
        <f>SUM(B5:C5)</f>
        <v>811778.11301814241</v>
      </c>
      <c r="E5" s="209">
        <v>0</v>
      </c>
      <c r="F5" s="210">
        <v>0</v>
      </c>
      <c r="G5" s="208">
        <f t="shared" ref="G5:G36" si="0">SUM(E5:F5)</f>
        <v>0</v>
      </c>
      <c r="H5" s="208">
        <f>SUM(D5,G5)</f>
        <v>811778.11301814241</v>
      </c>
      <c r="I5" s="209">
        <v>0</v>
      </c>
      <c r="J5" s="208">
        <v>862992.11</v>
      </c>
      <c r="K5" s="208">
        <v>0</v>
      </c>
      <c r="L5" s="208">
        <v>0</v>
      </c>
      <c r="M5" s="208">
        <f>I5+K5</f>
        <v>0</v>
      </c>
      <c r="N5" s="208">
        <f>J5+L5</f>
        <v>862992.11</v>
      </c>
      <c r="O5" s="208">
        <f>K5+N5</f>
        <v>862992.11</v>
      </c>
      <c r="P5" s="208"/>
      <c r="Q5" s="208">
        <f>SUM(O5+P5)</f>
        <v>862992.11</v>
      </c>
      <c r="R5" s="208">
        <f t="shared" ref="R5:R68" si="1">IF(SUM(H5-Q5)&lt;0, H5-Q5)+IF(SUM(H5-Q5)&gt;0, 0)</f>
        <v>-51213.996981857577</v>
      </c>
      <c r="S5" s="208">
        <v>-83461.0388339489</v>
      </c>
      <c r="T5" s="208">
        <f t="shared" ref="T5:T68" si="2">IF(SUM(H5-Q5)&gt;0, H5-Q5)+IF(SUM(H5-Q5)&lt;0, 0)</f>
        <v>0</v>
      </c>
      <c r="U5" s="208">
        <f t="shared" ref="U5:U68" si="3">SUM(R5+T5)</f>
        <v>-51213.996981857577</v>
      </c>
      <c r="V5" s="208">
        <v>0</v>
      </c>
      <c r="W5" s="208">
        <v>0</v>
      </c>
      <c r="X5" s="208">
        <f t="shared" ref="X5:X69" si="4">SUM(V5:W5)</f>
        <v>0</v>
      </c>
      <c r="Y5" s="208">
        <f>IF(SUM($U5-$X5)&gt;0,($U5-$X5),0)</f>
        <v>0</v>
      </c>
      <c r="Z5" s="208">
        <f>IF(SUM($U5-$X5)&lt;0,($U5-$X5),0)</f>
        <v>-51213.996981857577</v>
      </c>
      <c r="AA5" s="208">
        <v>0</v>
      </c>
      <c r="AB5" s="211">
        <v>0</v>
      </c>
      <c r="AC5" s="212">
        <f>Z5/C5</f>
        <v>-6.3954471294026058</v>
      </c>
    </row>
    <row r="6" spans="1:29" s="213" customFormat="1" ht="15.95" customHeight="1">
      <c r="A6" s="214" t="s">
        <v>144</v>
      </c>
      <c r="B6" s="215">
        <v>1266226.682682181</v>
      </c>
      <c r="C6" s="207">
        <v>29002.335163629999</v>
      </c>
      <c r="D6" s="216">
        <f t="shared" ref="D6:D69" si="5">SUM(B6:C6)</f>
        <v>1295229.0178458111</v>
      </c>
      <c r="E6" s="217">
        <v>294000</v>
      </c>
      <c r="F6" s="218">
        <v>0</v>
      </c>
      <c r="G6" s="216">
        <f t="shared" si="0"/>
        <v>294000</v>
      </c>
      <c r="H6" s="216">
        <f t="shared" ref="H6:H70" si="6">SUM(D6,G6)</f>
        <v>1589229.0178458111</v>
      </c>
      <c r="I6" s="217">
        <v>0</v>
      </c>
      <c r="J6" s="216">
        <v>383110</v>
      </c>
      <c r="K6" s="216">
        <v>0</v>
      </c>
      <c r="L6" s="216">
        <v>0</v>
      </c>
      <c r="M6" s="208">
        <f t="shared" ref="M6:N69" si="7">I6+K6</f>
        <v>0</v>
      </c>
      <c r="N6" s="208">
        <f t="shared" si="7"/>
        <v>383110</v>
      </c>
      <c r="O6" s="208">
        <f t="shared" ref="O6:O69" si="8">K6+N6</f>
        <v>383110</v>
      </c>
      <c r="P6" s="216">
        <v>0</v>
      </c>
      <c r="Q6" s="208">
        <f t="shared" ref="Q6:Q69" si="9">SUM(O6+P6)</f>
        <v>383110</v>
      </c>
      <c r="R6" s="216">
        <f t="shared" si="1"/>
        <v>0</v>
      </c>
      <c r="S6" s="216">
        <v>0</v>
      </c>
      <c r="T6" s="216">
        <f t="shared" si="2"/>
        <v>1206119.0178458111</v>
      </c>
      <c r="U6" s="216">
        <f t="shared" si="3"/>
        <v>1206119.0178458111</v>
      </c>
      <c r="V6" s="216">
        <v>0</v>
      </c>
      <c r="W6" s="216">
        <v>0</v>
      </c>
      <c r="X6" s="216">
        <f t="shared" si="4"/>
        <v>0</v>
      </c>
      <c r="Y6" s="216">
        <f>IF(SUM($U6-$X6)&gt;0,($U6-$X6),0)</f>
        <v>1206119.0178458111</v>
      </c>
      <c r="Z6" s="216">
        <f t="shared" ref="Z6:Z70" si="10">IF(SUM($U6-$X6)&lt;0,($U6-$X6),0)</f>
        <v>0</v>
      </c>
      <c r="AA6" s="216">
        <v>900000</v>
      </c>
      <c r="AB6" s="219">
        <v>0</v>
      </c>
      <c r="AC6" s="216">
        <f t="shared" ref="AC6:AC69" si="11">Z6/C6</f>
        <v>0</v>
      </c>
    </row>
    <row r="7" spans="1:29" s="213" customFormat="1" ht="15.95" customHeight="1">
      <c r="A7" s="214" t="s">
        <v>145</v>
      </c>
      <c r="B7" s="215">
        <v>15986584.231769456</v>
      </c>
      <c r="C7" s="207">
        <v>304356.75066733907</v>
      </c>
      <c r="D7" s="216">
        <f t="shared" si="5"/>
        <v>16290940.982436795</v>
      </c>
      <c r="E7" s="217">
        <v>0</v>
      </c>
      <c r="F7" s="218">
        <v>0</v>
      </c>
      <c r="G7" s="216">
        <f t="shared" si="0"/>
        <v>0</v>
      </c>
      <c r="H7" s="216">
        <f t="shared" si="6"/>
        <v>16290940.982436795</v>
      </c>
      <c r="I7" s="217">
        <v>0</v>
      </c>
      <c r="J7" s="216">
        <v>10095933.52</v>
      </c>
      <c r="K7" s="216">
        <v>0</v>
      </c>
      <c r="L7" s="216">
        <v>0</v>
      </c>
      <c r="M7" s="208">
        <f t="shared" si="7"/>
        <v>0</v>
      </c>
      <c r="N7" s="208">
        <f>J7+L7</f>
        <v>10095933.52</v>
      </c>
      <c r="O7" s="208">
        <f t="shared" si="8"/>
        <v>10095933.52</v>
      </c>
      <c r="P7" s="216">
        <v>0</v>
      </c>
      <c r="Q7" s="208">
        <f t="shared" si="9"/>
        <v>10095933.52</v>
      </c>
      <c r="R7" s="216">
        <f t="shared" si="1"/>
        <v>0</v>
      </c>
      <c r="S7" s="216">
        <v>0</v>
      </c>
      <c r="T7" s="216">
        <f t="shared" si="2"/>
        <v>6195007.4624367952</v>
      </c>
      <c r="U7" s="216">
        <f t="shared" si="3"/>
        <v>6195007.4624367952</v>
      </c>
      <c r="V7" s="216">
        <v>0</v>
      </c>
      <c r="W7" s="216">
        <v>0</v>
      </c>
      <c r="X7" s="216">
        <f t="shared" si="4"/>
        <v>0</v>
      </c>
      <c r="Y7" s="216">
        <f t="shared" ref="Y7:Y70" si="12">IF(SUM($U7-$X7)&gt;0,($U7-$X7),0)</f>
        <v>6195007.4624367952</v>
      </c>
      <c r="Z7" s="216">
        <f t="shared" si="10"/>
        <v>0</v>
      </c>
      <c r="AA7" s="216">
        <v>0</v>
      </c>
      <c r="AB7" s="219">
        <v>3384116.41</v>
      </c>
      <c r="AC7" s="216">
        <f t="shared" si="11"/>
        <v>0</v>
      </c>
    </row>
    <row r="8" spans="1:29" s="213" customFormat="1" ht="15.95" customHeight="1">
      <c r="A8" s="214" t="s">
        <v>515</v>
      </c>
      <c r="B8" s="215">
        <v>1042539.3089589237</v>
      </c>
      <c r="C8" s="207">
        <v>42501.118109820149</v>
      </c>
      <c r="D8" s="216">
        <f t="shared" si="5"/>
        <v>1085040.4270687439</v>
      </c>
      <c r="E8" s="217">
        <v>-995561.77396686818</v>
      </c>
      <c r="F8" s="218">
        <v>0</v>
      </c>
      <c r="G8" s="216">
        <f t="shared" si="0"/>
        <v>-995561.77396686818</v>
      </c>
      <c r="H8" s="220">
        <f t="shared" si="6"/>
        <v>89478.65310187568</v>
      </c>
      <c r="I8" s="217">
        <v>0</v>
      </c>
      <c r="J8" s="216">
        <v>0</v>
      </c>
      <c r="K8" s="216">
        <v>0</v>
      </c>
      <c r="L8" s="216">
        <v>0</v>
      </c>
      <c r="M8" s="208">
        <f t="shared" si="7"/>
        <v>0</v>
      </c>
      <c r="N8" s="208">
        <f t="shared" si="7"/>
        <v>0</v>
      </c>
      <c r="O8" s="208">
        <f t="shared" si="8"/>
        <v>0</v>
      </c>
      <c r="P8" s="216">
        <v>0</v>
      </c>
      <c r="Q8" s="208">
        <f t="shared" si="9"/>
        <v>0</v>
      </c>
      <c r="R8" s="216">
        <f t="shared" si="1"/>
        <v>0</v>
      </c>
      <c r="S8" s="216">
        <v>0</v>
      </c>
      <c r="T8" s="216">
        <f t="shared" si="2"/>
        <v>89478.65310187568</v>
      </c>
      <c r="U8" s="216">
        <f t="shared" si="3"/>
        <v>89478.65310187568</v>
      </c>
      <c r="V8" s="216">
        <v>0</v>
      </c>
      <c r="W8" s="216">
        <v>0</v>
      </c>
      <c r="X8" s="216">
        <f t="shared" si="4"/>
        <v>0</v>
      </c>
      <c r="Y8" s="216">
        <f t="shared" si="12"/>
        <v>89478.65310187568</v>
      </c>
      <c r="Z8" s="216">
        <f t="shared" si="10"/>
        <v>0</v>
      </c>
      <c r="AA8" s="216">
        <v>0</v>
      </c>
      <c r="AB8" s="219">
        <v>0</v>
      </c>
      <c r="AC8" s="216">
        <f t="shared" si="11"/>
        <v>0</v>
      </c>
    </row>
    <row r="9" spans="1:29" s="213" customFormat="1" ht="15.95" customHeight="1">
      <c r="A9" s="214" t="s">
        <v>516</v>
      </c>
      <c r="B9" s="215">
        <v>2392.8896782709721</v>
      </c>
      <c r="C9" s="207">
        <v>114.15120233369467</v>
      </c>
      <c r="D9" s="216">
        <f t="shared" si="5"/>
        <v>2507.0408806046667</v>
      </c>
      <c r="E9" s="217">
        <v>0</v>
      </c>
      <c r="F9" s="218">
        <v>0</v>
      </c>
      <c r="G9" s="216">
        <f t="shared" si="0"/>
        <v>0</v>
      </c>
      <c r="H9" s="216">
        <f t="shared" si="6"/>
        <v>2507.0408806046667</v>
      </c>
      <c r="I9" s="217">
        <v>0</v>
      </c>
      <c r="J9" s="216">
        <v>0</v>
      </c>
      <c r="K9" s="216">
        <v>0</v>
      </c>
      <c r="L9" s="216">
        <v>0</v>
      </c>
      <c r="M9" s="208">
        <f t="shared" si="7"/>
        <v>0</v>
      </c>
      <c r="N9" s="208">
        <f t="shared" si="7"/>
        <v>0</v>
      </c>
      <c r="O9" s="208">
        <f t="shared" si="8"/>
        <v>0</v>
      </c>
      <c r="P9" s="216">
        <v>0</v>
      </c>
      <c r="Q9" s="208">
        <f t="shared" si="9"/>
        <v>0</v>
      </c>
      <c r="R9" s="216">
        <f t="shared" si="1"/>
        <v>0</v>
      </c>
      <c r="S9" s="216">
        <v>0</v>
      </c>
      <c r="T9" s="216">
        <f t="shared" si="2"/>
        <v>2507.0408806046667</v>
      </c>
      <c r="U9" s="216">
        <f t="shared" si="3"/>
        <v>2507.0408806046667</v>
      </c>
      <c r="V9" s="216">
        <v>0</v>
      </c>
      <c r="W9" s="216">
        <v>0</v>
      </c>
      <c r="X9" s="216">
        <f t="shared" si="4"/>
        <v>0</v>
      </c>
      <c r="Y9" s="216">
        <f t="shared" si="12"/>
        <v>2507.0408806046667</v>
      </c>
      <c r="Z9" s="216">
        <f t="shared" si="10"/>
        <v>0</v>
      </c>
      <c r="AA9" s="216">
        <v>0</v>
      </c>
      <c r="AB9" s="219">
        <v>0</v>
      </c>
      <c r="AC9" s="216">
        <f t="shared" si="11"/>
        <v>0</v>
      </c>
    </row>
    <row r="10" spans="1:29" s="213" customFormat="1" ht="15.95" customHeight="1">
      <c r="A10" s="214" t="s">
        <v>752</v>
      </c>
      <c r="B10" s="215">
        <v>5694061.2534731589</v>
      </c>
      <c r="C10" s="207">
        <v>119224.46137806162</v>
      </c>
      <c r="D10" s="216">
        <f t="shared" si="5"/>
        <v>5813285.7148512201</v>
      </c>
      <c r="E10" s="217">
        <v>0</v>
      </c>
      <c r="F10" s="218">
        <v>0</v>
      </c>
      <c r="G10" s="216">
        <f t="shared" si="0"/>
        <v>0</v>
      </c>
      <c r="H10" s="216">
        <f t="shared" si="6"/>
        <v>5813285.7148512201</v>
      </c>
      <c r="I10" s="217">
        <v>0</v>
      </c>
      <c r="J10" s="216">
        <v>2877190.99</v>
      </c>
      <c r="K10" s="216">
        <v>0</v>
      </c>
      <c r="L10" s="216">
        <v>0</v>
      </c>
      <c r="M10" s="208">
        <f t="shared" si="7"/>
        <v>0</v>
      </c>
      <c r="N10" s="208">
        <f t="shared" si="7"/>
        <v>2877190.99</v>
      </c>
      <c r="O10" s="208">
        <f t="shared" si="8"/>
        <v>2877190.99</v>
      </c>
      <c r="P10" s="216">
        <v>2555435.9100000039</v>
      </c>
      <c r="Q10" s="208">
        <f t="shared" si="9"/>
        <v>5432626.9000000041</v>
      </c>
      <c r="R10" s="216">
        <f t="shared" si="1"/>
        <v>0</v>
      </c>
      <c r="S10" s="216">
        <v>0</v>
      </c>
      <c r="T10" s="216">
        <f t="shared" si="2"/>
        <v>380658.81485121604</v>
      </c>
      <c r="U10" s="216">
        <f t="shared" si="3"/>
        <v>380658.81485121604</v>
      </c>
      <c r="V10" s="216">
        <v>0</v>
      </c>
      <c r="W10" s="216"/>
      <c r="X10" s="216">
        <f t="shared" si="4"/>
        <v>0</v>
      </c>
      <c r="Y10" s="216">
        <f t="shared" si="12"/>
        <v>380658.81485121604</v>
      </c>
      <c r="Z10" s="216">
        <f t="shared" si="10"/>
        <v>0</v>
      </c>
      <c r="AA10" s="216">
        <v>900000</v>
      </c>
      <c r="AB10" s="221">
        <v>0</v>
      </c>
      <c r="AC10" s="216">
        <f t="shared" si="11"/>
        <v>0</v>
      </c>
    </row>
    <row r="11" spans="1:29" s="213" customFormat="1" ht="15.95" customHeight="1">
      <c r="A11" s="214" t="s">
        <v>157</v>
      </c>
      <c r="B11" s="215">
        <v>10172782.088677147</v>
      </c>
      <c r="C11" s="207">
        <v>192748.01491308078</v>
      </c>
      <c r="D11" s="216">
        <f t="shared" si="5"/>
        <v>10365530.103590228</v>
      </c>
      <c r="E11" s="217">
        <v>100000</v>
      </c>
      <c r="F11" s="218">
        <v>0</v>
      </c>
      <c r="G11" s="216">
        <f t="shared" si="0"/>
        <v>100000</v>
      </c>
      <c r="H11" s="216">
        <f t="shared" si="6"/>
        <v>10465530.103590228</v>
      </c>
      <c r="I11" s="217">
        <v>0</v>
      </c>
      <c r="J11" s="216">
        <v>11246018.610000001</v>
      </c>
      <c r="K11" s="216">
        <v>0</v>
      </c>
      <c r="L11" s="216">
        <v>0</v>
      </c>
      <c r="M11" s="208">
        <f t="shared" si="7"/>
        <v>0</v>
      </c>
      <c r="N11" s="208">
        <f t="shared" si="7"/>
        <v>11246018.610000001</v>
      </c>
      <c r="O11" s="208">
        <f t="shared" si="8"/>
        <v>11246018.610000001</v>
      </c>
      <c r="P11" s="216">
        <v>0</v>
      </c>
      <c r="Q11" s="208">
        <f t="shared" si="9"/>
        <v>11246018.610000001</v>
      </c>
      <c r="R11" s="216">
        <f t="shared" si="1"/>
        <v>-780488.5064097736</v>
      </c>
      <c r="S11" s="216">
        <v>-1452224.3978242483</v>
      </c>
      <c r="T11" s="216">
        <f t="shared" si="2"/>
        <v>0</v>
      </c>
      <c r="U11" s="216">
        <f t="shared" si="3"/>
        <v>-780488.5064097736</v>
      </c>
      <c r="V11" s="216">
        <v>0</v>
      </c>
      <c r="W11" s="216">
        <v>0</v>
      </c>
      <c r="X11" s="216">
        <f t="shared" si="4"/>
        <v>0</v>
      </c>
      <c r="Y11" s="216">
        <f t="shared" si="12"/>
        <v>0</v>
      </c>
      <c r="Z11" s="216">
        <f t="shared" si="10"/>
        <v>-780488.5064097736</v>
      </c>
      <c r="AA11" s="216">
        <v>0</v>
      </c>
      <c r="AB11" s="219">
        <v>0</v>
      </c>
      <c r="AC11" s="222">
        <f t="shared" si="11"/>
        <v>-4.0492687136712293</v>
      </c>
    </row>
    <row r="12" spans="1:29" s="213" customFormat="1" ht="15.95" customHeight="1">
      <c r="A12" s="214" t="s">
        <v>160</v>
      </c>
      <c r="B12" s="215">
        <v>2371320.4361290587</v>
      </c>
      <c r="C12" s="207">
        <v>43810.146772947846</v>
      </c>
      <c r="D12" s="216">
        <f t="shared" si="5"/>
        <v>2415130.5829020063</v>
      </c>
      <c r="E12" s="217">
        <v>0</v>
      </c>
      <c r="F12" s="218">
        <v>0</v>
      </c>
      <c r="G12" s="216">
        <f t="shared" si="0"/>
        <v>0</v>
      </c>
      <c r="H12" s="216">
        <f t="shared" si="6"/>
        <v>2415130.5829020063</v>
      </c>
      <c r="I12" s="217">
        <v>0</v>
      </c>
      <c r="J12" s="216">
        <v>1334807.75</v>
      </c>
      <c r="K12" s="216">
        <v>0</v>
      </c>
      <c r="L12" s="216">
        <v>0</v>
      </c>
      <c r="M12" s="208">
        <f t="shared" si="7"/>
        <v>0</v>
      </c>
      <c r="N12" s="208">
        <f t="shared" si="7"/>
        <v>1334807.75</v>
      </c>
      <c r="O12" s="208">
        <f t="shared" si="8"/>
        <v>1334807.75</v>
      </c>
      <c r="P12" s="216">
        <v>0</v>
      </c>
      <c r="Q12" s="208">
        <f t="shared" si="9"/>
        <v>1334807.75</v>
      </c>
      <c r="R12" s="216">
        <f t="shared" si="1"/>
        <v>0</v>
      </c>
      <c r="S12" s="216">
        <v>0</v>
      </c>
      <c r="T12" s="216">
        <f t="shared" si="2"/>
        <v>1080322.8329020063</v>
      </c>
      <c r="U12" s="216">
        <f t="shared" si="3"/>
        <v>1080322.8329020063</v>
      </c>
      <c r="V12" s="216">
        <v>0</v>
      </c>
      <c r="W12" s="216">
        <v>0</v>
      </c>
      <c r="X12" s="216">
        <f t="shared" si="4"/>
        <v>0</v>
      </c>
      <c r="Y12" s="216">
        <f t="shared" si="12"/>
        <v>1080322.8329020063</v>
      </c>
      <c r="Z12" s="216">
        <f t="shared" si="10"/>
        <v>0</v>
      </c>
      <c r="AA12" s="216">
        <v>940000</v>
      </c>
      <c r="AB12" s="219">
        <v>0</v>
      </c>
      <c r="AC12" s="216">
        <f t="shared" si="11"/>
        <v>0</v>
      </c>
    </row>
    <row r="13" spans="1:29" s="213" customFormat="1" ht="15.95" customHeight="1">
      <c r="A13" s="214" t="s">
        <v>161</v>
      </c>
      <c r="B13" s="215">
        <v>801053.60941222741</v>
      </c>
      <c r="C13" s="207">
        <v>14602.386036041386</v>
      </c>
      <c r="D13" s="216">
        <f t="shared" si="5"/>
        <v>815655.99544826883</v>
      </c>
      <c r="E13" s="217">
        <v>0</v>
      </c>
      <c r="F13" s="218">
        <v>0</v>
      </c>
      <c r="G13" s="216">
        <f t="shared" si="0"/>
        <v>0</v>
      </c>
      <c r="H13" s="216">
        <f t="shared" si="6"/>
        <v>815655.99544826883</v>
      </c>
      <c r="I13" s="217">
        <v>0</v>
      </c>
      <c r="J13" s="216">
        <v>600299.66</v>
      </c>
      <c r="K13" s="216">
        <v>0</v>
      </c>
      <c r="L13" s="216">
        <v>0</v>
      </c>
      <c r="M13" s="208">
        <f t="shared" si="7"/>
        <v>0</v>
      </c>
      <c r="N13" s="208">
        <f t="shared" si="7"/>
        <v>600299.66</v>
      </c>
      <c r="O13" s="208">
        <f t="shared" si="8"/>
        <v>600299.66</v>
      </c>
      <c r="P13" s="216">
        <v>0</v>
      </c>
      <c r="Q13" s="208">
        <f t="shared" si="9"/>
        <v>600299.66</v>
      </c>
      <c r="R13" s="216">
        <f t="shared" si="1"/>
        <v>0</v>
      </c>
      <c r="S13" s="216">
        <v>0</v>
      </c>
      <c r="T13" s="216">
        <f t="shared" si="2"/>
        <v>215356.3354482688</v>
      </c>
      <c r="U13" s="216">
        <f t="shared" si="3"/>
        <v>215356.3354482688</v>
      </c>
      <c r="V13" s="216">
        <v>0</v>
      </c>
      <c r="W13" s="216">
        <v>0</v>
      </c>
      <c r="X13" s="216">
        <f t="shared" si="4"/>
        <v>0</v>
      </c>
      <c r="Y13" s="216">
        <f t="shared" si="12"/>
        <v>215356.3354482688</v>
      </c>
      <c r="Z13" s="216">
        <f t="shared" si="10"/>
        <v>0</v>
      </c>
      <c r="AA13" s="216">
        <v>0</v>
      </c>
      <c r="AB13" s="221">
        <v>0</v>
      </c>
      <c r="AC13" s="216">
        <f t="shared" si="11"/>
        <v>0</v>
      </c>
    </row>
    <row r="14" spans="1:29" s="213" customFormat="1" ht="15.95" customHeight="1">
      <c r="A14" s="214" t="s">
        <v>162</v>
      </c>
      <c r="B14" s="215">
        <v>294471.68275447428</v>
      </c>
      <c r="C14" s="207">
        <v>6443.2863396918619</v>
      </c>
      <c r="D14" s="216">
        <f t="shared" si="5"/>
        <v>300914.96909416612</v>
      </c>
      <c r="E14" s="217">
        <v>-180000</v>
      </c>
      <c r="F14" s="218">
        <v>0</v>
      </c>
      <c r="G14" s="216">
        <f t="shared" si="0"/>
        <v>-180000</v>
      </c>
      <c r="H14" s="216">
        <f t="shared" si="6"/>
        <v>120914.96909416612</v>
      </c>
      <c r="I14" s="217">
        <v>0</v>
      </c>
      <c r="J14" s="216">
        <v>36873</v>
      </c>
      <c r="K14" s="216">
        <v>0</v>
      </c>
      <c r="L14" s="216">
        <v>0</v>
      </c>
      <c r="M14" s="208">
        <f t="shared" si="7"/>
        <v>0</v>
      </c>
      <c r="N14" s="208">
        <f t="shared" si="7"/>
        <v>36873</v>
      </c>
      <c r="O14" s="208">
        <f t="shared" si="8"/>
        <v>36873</v>
      </c>
      <c r="P14" s="216">
        <v>0</v>
      </c>
      <c r="Q14" s="208">
        <f t="shared" si="9"/>
        <v>36873</v>
      </c>
      <c r="R14" s="216">
        <f t="shared" si="1"/>
        <v>0</v>
      </c>
      <c r="S14" s="216">
        <v>0</v>
      </c>
      <c r="T14" s="216">
        <f t="shared" si="2"/>
        <v>84041.969094166125</v>
      </c>
      <c r="U14" s="216">
        <f t="shared" si="3"/>
        <v>84041.969094166125</v>
      </c>
      <c r="V14" s="216">
        <v>0</v>
      </c>
      <c r="W14" s="216">
        <v>0</v>
      </c>
      <c r="X14" s="216">
        <f t="shared" si="4"/>
        <v>0</v>
      </c>
      <c r="Y14" s="216">
        <f t="shared" si="12"/>
        <v>84041.969094166125</v>
      </c>
      <c r="Z14" s="216">
        <f t="shared" si="10"/>
        <v>0</v>
      </c>
      <c r="AA14" s="216">
        <v>0</v>
      </c>
      <c r="AB14" s="219">
        <v>0</v>
      </c>
      <c r="AC14" s="216">
        <f t="shared" si="11"/>
        <v>0</v>
      </c>
    </row>
    <row r="15" spans="1:29" s="224" customFormat="1" ht="15.95" customHeight="1">
      <c r="A15" s="214" t="s">
        <v>163</v>
      </c>
      <c r="B15" s="216">
        <v>7971123.1582663003</v>
      </c>
      <c r="C15" s="207">
        <v>146560.09065355803</v>
      </c>
      <c r="D15" s="216">
        <f t="shared" si="5"/>
        <v>8117683.2489198586</v>
      </c>
      <c r="E15" s="217">
        <v>0</v>
      </c>
      <c r="F15" s="218">
        <v>0</v>
      </c>
      <c r="G15" s="216">
        <f t="shared" si="0"/>
        <v>0</v>
      </c>
      <c r="H15" s="216">
        <f t="shared" si="6"/>
        <v>8117683.2489198586</v>
      </c>
      <c r="I15" s="217">
        <v>0</v>
      </c>
      <c r="J15" s="216">
        <v>5384595.3399999999</v>
      </c>
      <c r="K15" s="216">
        <v>0</v>
      </c>
      <c r="L15" s="216">
        <v>0</v>
      </c>
      <c r="M15" s="208">
        <f t="shared" si="7"/>
        <v>0</v>
      </c>
      <c r="N15" s="208">
        <f t="shared" si="7"/>
        <v>5384595.3399999999</v>
      </c>
      <c r="O15" s="208">
        <f t="shared" si="8"/>
        <v>5384595.3399999999</v>
      </c>
      <c r="P15" s="216">
        <v>40320.659999999996</v>
      </c>
      <c r="Q15" s="208">
        <f t="shared" si="9"/>
        <v>5424916</v>
      </c>
      <c r="R15" s="216">
        <f t="shared" si="1"/>
        <v>0</v>
      </c>
      <c r="S15" s="216">
        <v>0</v>
      </c>
      <c r="T15" s="216">
        <f t="shared" si="2"/>
        <v>2692767.2489198586</v>
      </c>
      <c r="U15" s="216">
        <f t="shared" si="3"/>
        <v>2692767.2489198586</v>
      </c>
      <c r="V15" s="216">
        <v>0</v>
      </c>
      <c r="W15" s="216">
        <v>2959679.34</v>
      </c>
      <c r="X15" s="216">
        <f t="shared" si="4"/>
        <v>2959679.34</v>
      </c>
      <c r="Y15" s="216">
        <f t="shared" si="12"/>
        <v>0</v>
      </c>
      <c r="Z15" s="216">
        <f t="shared" si="10"/>
        <v>-266912.09108014125</v>
      </c>
      <c r="AA15" s="216">
        <v>0</v>
      </c>
      <c r="AB15" s="223">
        <v>0</v>
      </c>
      <c r="AC15" s="216">
        <f t="shared" si="11"/>
        <v>-1.8211785342782978</v>
      </c>
    </row>
    <row r="16" spans="1:29" s="213" customFormat="1" ht="15.95" customHeight="1">
      <c r="A16" s="225" t="s">
        <v>759</v>
      </c>
      <c r="B16" s="217">
        <v>4418.0634764375409</v>
      </c>
      <c r="C16" s="207">
        <v>309.6868398201895</v>
      </c>
      <c r="D16" s="216">
        <f t="shared" si="5"/>
        <v>4727.7503162577304</v>
      </c>
      <c r="E16" s="216">
        <v>0</v>
      </c>
      <c r="F16" s="226">
        <v>0</v>
      </c>
      <c r="G16" s="216">
        <f t="shared" si="0"/>
        <v>0</v>
      </c>
      <c r="H16" s="216">
        <f t="shared" si="6"/>
        <v>4727.7503162577304</v>
      </c>
      <c r="I16" s="217">
        <v>0</v>
      </c>
      <c r="J16" s="216">
        <v>0</v>
      </c>
      <c r="K16" s="216">
        <v>0</v>
      </c>
      <c r="L16" s="216">
        <v>0</v>
      </c>
      <c r="M16" s="208">
        <f t="shared" si="7"/>
        <v>0</v>
      </c>
      <c r="N16" s="208">
        <f t="shared" si="7"/>
        <v>0</v>
      </c>
      <c r="O16" s="208">
        <f t="shared" si="8"/>
        <v>0</v>
      </c>
      <c r="P16" s="216">
        <v>0</v>
      </c>
      <c r="Q16" s="208">
        <f t="shared" si="9"/>
        <v>0</v>
      </c>
      <c r="R16" s="216">
        <f t="shared" si="1"/>
        <v>0</v>
      </c>
      <c r="S16" s="216">
        <v>0</v>
      </c>
      <c r="T16" s="216">
        <f t="shared" si="2"/>
        <v>4727.7503162577304</v>
      </c>
      <c r="U16" s="216">
        <f t="shared" si="3"/>
        <v>4727.7503162577304</v>
      </c>
      <c r="V16" s="216">
        <v>0</v>
      </c>
      <c r="W16" s="216">
        <v>0</v>
      </c>
      <c r="X16" s="216">
        <f t="shared" si="4"/>
        <v>0</v>
      </c>
      <c r="Y16" s="216">
        <f t="shared" si="12"/>
        <v>4727.7503162577304</v>
      </c>
      <c r="Z16" s="216">
        <f t="shared" si="10"/>
        <v>0</v>
      </c>
      <c r="AA16" s="216">
        <v>0</v>
      </c>
      <c r="AB16" s="227">
        <v>0</v>
      </c>
      <c r="AC16" s="216">
        <f t="shared" si="11"/>
        <v>0</v>
      </c>
    </row>
    <row r="17" spans="1:29" s="224" customFormat="1" ht="15.95" customHeight="1">
      <c r="A17" s="214" t="s">
        <v>760</v>
      </c>
      <c r="B17" s="216">
        <v>3200587.9812526489</v>
      </c>
      <c r="C17" s="207">
        <v>54779.22021110553</v>
      </c>
      <c r="D17" s="216">
        <f t="shared" si="5"/>
        <v>3255367.2014637543</v>
      </c>
      <c r="E17" s="217">
        <v>35000</v>
      </c>
      <c r="F17" s="218">
        <v>0</v>
      </c>
      <c r="G17" s="216">
        <f t="shared" si="0"/>
        <v>35000</v>
      </c>
      <c r="H17" s="216">
        <f t="shared" si="6"/>
        <v>3290367.2014637543</v>
      </c>
      <c r="I17" s="217">
        <v>0</v>
      </c>
      <c r="J17" s="216">
        <v>1619506.21</v>
      </c>
      <c r="K17" s="216">
        <v>0</v>
      </c>
      <c r="L17" s="216">
        <v>0</v>
      </c>
      <c r="M17" s="208">
        <f t="shared" si="7"/>
        <v>0</v>
      </c>
      <c r="N17" s="208">
        <f t="shared" si="7"/>
        <v>1619506.21</v>
      </c>
      <c r="O17" s="208">
        <f t="shared" si="8"/>
        <v>1619506.21</v>
      </c>
      <c r="P17" s="216">
        <v>56600.46</v>
      </c>
      <c r="Q17" s="208">
        <f t="shared" si="9"/>
        <v>1676106.67</v>
      </c>
      <c r="R17" s="216">
        <f t="shared" si="1"/>
        <v>0</v>
      </c>
      <c r="S17" s="216">
        <v>0</v>
      </c>
      <c r="T17" s="216">
        <f t="shared" si="2"/>
        <v>1614260.5314637544</v>
      </c>
      <c r="U17" s="216">
        <f t="shared" si="3"/>
        <v>1614260.5314637544</v>
      </c>
      <c r="V17" s="216">
        <v>0</v>
      </c>
      <c r="W17" s="216">
        <v>1943399.54</v>
      </c>
      <c r="X17" s="216">
        <f t="shared" si="4"/>
        <v>1943399.54</v>
      </c>
      <c r="Y17" s="216">
        <f t="shared" si="12"/>
        <v>0</v>
      </c>
      <c r="Z17" s="216">
        <f t="shared" si="10"/>
        <v>-329139.00853624567</v>
      </c>
      <c r="AA17" s="216">
        <v>1600000</v>
      </c>
      <c r="AB17" s="227">
        <v>0</v>
      </c>
      <c r="AC17" s="222">
        <f t="shared" si="11"/>
        <v>-6.008464656266109</v>
      </c>
    </row>
    <row r="18" spans="1:29" s="213" customFormat="1" ht="15.95" customHeight="1">
      <c r="A18" s="214" t="s">
        <v>659</v>
      </c>
      <c r="B18" s="215">
        <v>1566743.2441211829</v>
      </c>
      <c r="C18" s="207">
        <v>15792.6877425522</v>
      </c>
      <c r="D18" s="216">
        <f>SUM(B18:C18)</f>
        <v>1582535.9318637352</v>
      </c>
      <c r="E18" s="217">
        <v>0</v>
      </c>
      <c r="F18" s="218">
        <v>0</v>
      </c>
      <c r="G18" s="216">
        <f t="shared" si="0"/>
        <v>0</v>
      </c>
      <c r="H18" s="216">
        <f t="shared" si="6"/>
        <v>1582535.9318637352</v>
      </c>
      <c r="I18" s="217">
        <v>0</v>
      </c>
      <c r="J18" s="216">
        <v>1531122.74</v>
      </c>
      <c r="K18" s="216">
        <v>0</v>
      </c>
      <c r="L18" s="216">
        <v>0</v>
      </c>
      <c r="M18" s="208">
        <f t="shared" si="7"/>
        <v>0</v>
      </c>
      <c r="N18" s="208">
        <f>J18+L18</f>
        <v>1531122.74</v>
      </c>
      <c r="O18" s="208">
        <f t="shared" si="8"/>
        <v>1531122.74</v>
      </c>
      <c r="P18" s="216"/>
      <c r="Q18" s="208">
        <f>SUM(O18+P18)</f>
        <v>1531122.74</v>
      </c>
      <c r="R18" s="216">
        <f t="shared" si="1"/>
        <v>0</v>
      </c>
      <c r="S18" s="216">
        <v>-26287.701644262997</v>
      </c>
      <c r="T18" s="216">
        <f t="shared" si="2"/>
        <v>51413.191863735206</v>
      </c>
      <c r="U18" s="216">
        <f t="shared" si="3"/>
        <v>51413.191863735206</v>
      </c>
      <c r="V18" s="216">
        <v>0</v>
      </c>
      <c r="W18" s="216">
        <v>0</v>
      </c>
      <c r="X18" s="216">
        <f t="shared" si="4"/>
        <v>0</v>
      </c>
      <c r="Y18" s="216">
        <f t="shared" si="12"/>
        <v>51413.191863735206</v>
      </c>
      <c r="Z18" s="216">
        <f t="shared" si="10"/>
        <v>0</v>
      </c>
      <c r="AA18" s="216">
        <v>0</v>
      </c>
      <c r="AB18" s="219">
        <v>0</v>
      </c>
      <c r="AC18" s="216">
        <f t="shared" si="11"/>
        <v>0</v>
      </c>
    </row>
    <row r="19" spans="1:29" s="224" customFormat="1" ht="15.95" customHeight="1">
      <c r="A19" s="214" t="s">
        <v>168</v>
      </c>
      <c r="B19" s="216">
        <v>4944124.8952789651</v>
      </c>
      <c r="C19" s="207">
        <v>94108.823141477042</v>
      </c>
      <c r="D19" s="216">
        <f t="shared" si="5"/>
        <v>5038233.7184204422</v>
      </c>
      <c r="E19" s="217">
        <v>0</v>
      </c>
      <c r="F19" s="218">
        <v>0</v>
      </c>
      <c r="G19" s="216">
        <f t="shared" si="0"/>
        <v>0</v>
      </c>
      <c r="H19" s="216">
        <f t="shared" si="6"/>
        <v>5038233.7184204422</v>
      </c>
      <c r="I19" s="217">
        <v>0</v>
      </c>
      <c r="J19" s="216">
        <v>5228325.76</v>
      </c>
      <c r="K19" s="216">
        <v>0</v>
      </c>
      <c r="L19" s="216">
        <v>0</v>
      </c>
      <c r="M19" s="208">
        <f t="shared" si="7"/>
        <v>0</v>
      </c>
      <c r="N19" s="208">
        <f t="shared" si="7"/>
        <v>5228325.76</v>
      </c>
      <c r="O19" s="208">
        <f t="shared" si="8"/>
        <v>5228325.76</v>
      </c>
      <c r="P19" s="216">
        <v>0</v>
      </c>
      <c r="Q19" s="208">
        <f t="shared" si="9"/>
        <v>5228325.76</v>
      </c>
      <c r="R19" s="216">
        <f t="shared" si="1"/>
        <v>-190092.04157955758</v>
      </c>
      <c r="S19" s="216">
        <v>-519056.34473197628</v>
      </c>
      <c r="T19" s="216">
        <f t="shared" si="2"/>
        <v>0</v>
      </c>
      <c r="U19" s="216">
        <f t="shared" si="3"/>
        <v>-190092.04157955758</v>
      </c>
      <c r="V19" s="216">
        <v>0</v>
      </c>
      <c r="W19" s="216">
        <v>0</v>
      </c>
      <c r="X19" s="216">
        <f t="shared" si="4"/>
        <v>0</v>
      </c>
      <c r="Y19" s="216">
        <f t="shared" si="12"/>
        <v>0</v>
      </c>
      <c r="Z19" s="216">
        <f t="shared" si="10"/>
        <v>-190092.04157955758</v>
      </c>
      <c r="AA19" s="216">
        <v>0</v>
      </c>
      <c r="AB19" s="223">
        <v>1877844.69</v>
      </c>
      <c r="AC19" s="216">
        <f t="shared" si="11"/>
        <v>-2.0199173173570095</v>
      </c>
    </row>
    <row r="20" spans="1:29" s="213" customFormat="1" ht="15.95" customHeight="1">
      <c r="A20" s="214" t="s">
        <v>174</v>
      </c>
      <c r="B20" s="215">
        <v>5280340.6236543786</v>
      </c>
      <c r="C20" s="207">
        <v>97346.429914416949</v>
      </c>
      <c r="D20" s="216">
        <f t="shared" si="5"/>
        <v>5377687.0535687953</v>
      </c>
      <c r="E20" s="217">
        <v>0</v>
      </c>
      <c r="F20" s="218">
        <v>0</v>
      </c>
      <c r="G20" s="216">
        <f t="shared" si="0"/>
        <v>0</v>
      </c>
      <c r="H20" s="216">
        <f t="shared" si="6"/>
        <v>5377687.0535687953</v>
      </c>
      <c r="I20" s="217">
        <v>0</v>
      </c>
      <c r="J20" s="216">
        <v>2306324.16</v>
      </c>
      <c r="K20" s="216">
        <v>0</v>
      </c>
      <c r="L20" s="216">
        <v>0</v>
      </c>
      <c r="M20" s="208">
        <f t="shared" si="7"/>
        <v>0</v>
      </c>
      <c r="N20" s="208">
        <f t="shared" si="7"/>
        <v>2306324.16</v>
      </c>
      <c r="O20" s="208">
        <f t="shared" si="8"/>
        <v>2306324.16</v>
      </c>
      <c r="P20" s="216">
        <v>137961.3299999999</v>
      </c>
      <c r="Q20" s="208">
        <f t="shared" si="9"/>
        <v>2444285.4900000002</v>
      </c>
      <c r="R20" s="216">
        <f t="shared" si="1"/>
        <v>0</v>
      </c>
      <c r="S20" s="216">
        <v>0</v>
      </c>
      <c r="T20" s="216">
        <f t="shared" si="2"/>
        <v>2933401.5635687951</v>
      </c>
      <c r="U20" s="216">
        <f t="shared" si="3"/>
        <v>2933401.5635687951</v>
      </c>
      <c r="W20" s="216">
        <v>3162038.67</v>
      </c>
      <c r="X20" s="216">
        <f t="shared" si="4"/>
        <v>3162038.67</v>
      </c>
      <c r="Y20" s="216">
        <f t="shared" si="12"/>
        <v>0</v>
      </c>
      <c r="Z20" s="216">
        <f t="shared" si="10"/>
        <v>-228637.10643120483</v>
      </c>
      <c r="AA20" s="216">
        <v>0</v>
      </c>
      <c r="AB20" s="219">
        <v>0</v>
      </c>
      <c r="AC20" s="216">
        <f t="shared" si="11"/>
        <v>-2.3486953412900027</v>
      </c>
    </row>
    <row r="21" spans="1:29" s="213" customFormat="1" ht="15.95" customHeight="1">
      <c r="A21" s="214" t="s">
        <v>179</v>
      </c>
      <c r="B21" s="215">
        <v>11116730.481618335</v>
      </c>
      <c r="C21" s="207">
        <v>208603.3337452769</v>
      </c>
      <c r="D21" s="216">
        <f t="shared" si="5"/>
        <v>11325333.815363612</v>
      </c>
      <c r="E21" s="217">
        <v>75000</v>
      </c>
      <c r="F21" s="218">
        <v>0</v>
      </c>
      <c r="G21" s="216">
        <f t="shared" si="0"/>
        <v>75000</v>
      </c>
      <c r="H21" s="216">
        <f t="shared" si="6"/>
        <v>11400333.815363612</v>
      </c>
      <c r="I21" s="217">
        <v>0</v>
      </c>
      <c r="J21" s="216">
        <v>10117057.59</v>
      </c>
      <c r="K21" s="216">
        <v>0</v>
      </c>
      <c r="L21" s="216">
        <v>16453.849999999991</v>
      </c>
      <c r="M21" s="208">
        <f t="shared" si="7"/>
        <v>0</v>
      </c>
      <c r="N21" s="208">
        <f t="shared" si="7"/>
        <v>10133511.439999999</v>
      </c>
      <c r="O21" s="208">
        <f t="shared" si="8"/>
        <v>10133511.439999999</v>
      </c>
      <c r="P21" s="216">
        <v>0</v>
      </c>
      <c r="Q21" s="208">
        <f t="shared" si="9"/>
        <v>10133511.439999999</v>
      </c>
      <c r="R21" s="216">
        <f t="shared" si="1"/>
        <v>0</v>
      </c>
      <c r="S21" s="216">
        <v>0</v>
      </c>
      <c r="T21" s="216">
        <f t="shared" si="2"/>
        <v>1266822.3753636125</v>
      </c>
      <c r="U21" s="216">
        <f t="shared" si="3"/>
        <v>1266822.3753636125</v>
      </c>
      <c r="V21" s="216"/>
      <c r="W21" s="216">
        <v>0</v>
      </c>
      <c r="X21" s="216">
        <f t="shared" si="4"/>
        <v>0</v>
      </c>
      <c r="Y21" s="216">
        <f t="shared" si="12"/>
        <v>1266822.3753636125</v>
      </c>
      <c r="Z21" s="216">
        <f t="shared" si="10"/>
        <v>0</v>
      </c>
      <c r="AA21" s="216"/>
      <c r="AB21" s="219">
        <v>415397</v>
      </c>
      <c r="AC21" s="216">
        <f t="shared" si="11"/>
        <v>0</v>
      </c>
    </row>
    <row r="22" spans="1:29" s="213" customFormat="1" ht="15.95" customHeight="1">
      <c r="A22" s="214" t="s">
        <v>184</v>
      </c>
      <c r="B22" s="215">
        <v>7637995.1944984868</v>
      </c>
      <c r="C22" s="207">
        <v>139014.75185978564</v>
      </c>
      <c r="D22" s="216">
        <f t="shared" si="5"/>
        <v>7777009.9463582728</v>
      </c>
      <c r="E22" s="217">
        <v>0</v>
      </c>
      <c r="F22" s="218">
        <v>0</v>
      </c>
      <c r="G22" s="216">
        <f t="shared" si="0"/>
        <v>0</v>
      </c>
      <c r="H22" s="216">
        <f t="shared" si="6"/>
        <v>7777009.9463582728</v>
      </c>
      <c r="I22" s="217">
        <v>0</v>
      </c>
      <c r="J22" s="216">
        <v>7879947.0099999998</v>
      </c>
      <c r="K22" s="216">
        <v>0</v>
      </c>
      <c r="L22" s="216">
        <v>0</v>
      </c>
      <c r="M22" s="208">
        <f t="shared" si="7"/>
        <v>0</v>
      </c>
      <c r="N22" s="208">
        <f t="shared" si="7"/>
        <v>7879947.0099999998</v>
      </c>
      <c r="O22" s="208">
        <f t="shared" si="8"/>
        <v>7879947.0099999998</v>
      </c>
      <c r="P22" s="216">
        <v>0</v>
      </c>
      <c r="Q22" s="208">
        <f t="shared" si="9"/>
        <v>7879947.0099999998</v>
      </c>
      <c r="R22" s="216">
        <f t="shared" si="1"/>
        <v>-102937.06364172697</v>
      </c>
      <c r="S22" s="216">
        <v>0</v>
      </c>
      <c r="T22" s="216">
        <f t="shared" si="2"/>
        <v>0</v>
      </c>
      <c r="U22" s="216">
        <f t="shared" si="3"/>
        <v>-102937.06364172697</v>
      </c>
      <c r="V22" s="216">
        <v>0</v>
      </c>
      <c r="W22" s="216">
        <v>0</v>
      </c>
      <c r="X22" s="216">
        <f t="shared" si="4"/>
        <v>0</v>
      </c>
      <c r="Y22" s="216">
        <f t="shared" si="12"/>
        <v>0</v>
      </c>
      <c r="Z22" s="216">
        <f t="shared" si="10"/>
        <v>-102937.06364172697</v>
      </c>
      <c r="AA22" s="216">
        <v>800000</v>
      </c>
      <c r="AB22" s="219">
        <v>2372503.06</v>
      </c>
      <c r="AC22" s="216">
        <f t="shared" si="11"/>
        <v>-0.7404758291087864</v>
      </c>
    </row>
    <row r="23" spans="1:29" s="213" customFormat="1" ht="15.95" customHeight="1">
      <c r="A23" s="214" t="s">
        <v>109</v>
      </c>
      <c r="B23" s="215">
        <v>154225.91073748359</v>
      </c>
      <c r="C23" s="207">
        <v>2846.1186717901569</v>
      </c>
      <c r="D23" s="216">
        <f t="shared" si="5"/>
        <v>157072.02940927373</v>
      </c>
      <c r="E23" s="217">
        <v>-7593</v>
      </c>
      <c r="F23" s="218">
        <v>0</v>
      </c>
      <c r="G23" s="216">
        <f t="shared" si="0"/>
        <v>-7593</v>
      </c>
      <c r="H23" s="216">
        <f t="shared" si="6"/>
        <v>149479.02940927373</v>
      </c>
      <c r="I23" s="217">
        <v>0</v>
      </c>
      <c r="J23" s="216">
        <v>41129</v>
      </c>
      <c r="K23" s="216">
        <v>0</v>
      </c>
      <c r="L23" s="216">
        <v>0</v>
      </c>
      <c r="M23" s="208">
        <f t="shared" si="7"/>
        <v>0</v>
      </c>
      <c r="N23" s="208">
        <f t="shared" si="7"/>
        <v>41129</v>
      </c>
      <c r="O23" s="208">
        <f t="shared" si="8"/>
        <v>41129</v>
      </c>
      <c r="P23" s="216">
        <v>0</v>
      </c>
      <c r="Q23" s="208">
        <f t="shared" si="9"/>
        <v>41129</v>
      </c>
      <c r="R23" s="216">
        <f t="shared" si="1"/>
        <v>0</v>
      </c>
      <c r="S23" s="216">
        <v>0</v>
      </c>
      <c r="T23" s="216">
        <f t="shared" si="2"/>
        <v>108350.02940927373</v>
      </c>
      <c r="U23" s="216">
        <f t="shared" si="3"/>
        <v>108350.02940927373</v>
      </c>
      <c r="V23" s="216">
        <v>0</v>
      </c>
      <c r="W23" s="216">
        <v>0</v>
      </c>
      <c r="X23" s="216">
        <f t="shared" si="4"/>
        <v>0</v>
      </c>
      <c r="Y23" s="216">
        <f t="shared" si="12"/>
        <v>108350.02940927373</v>
      </c>
      <c r="Z23" s="216">
        <f t="shared" si="10"/>
        <v>0</v>
      </c>
      <c r="AA23" s="216">
        <v>0</v>
      </c>
      <c r="AB23" s="221">
        <v>0</v>
      </c>
      <c r="AC23" s="216">
        <f t="shared" si="11"/>
        <v>0</v>
      </c>
    </row>
    <row r="24" spans="1:29" s="213" customFormat="1" ht="15.95" customHeight="1">
      <c r="A24" s="214" t="s">
        <v>664</v>
      </c>
      <c r="B24" s="215">
        <v>1381238.4104723234</v>
      </c>
      <c r="C24" s="207">
        <v>20226.543183404818</v>
      </c>
      <c r="D24" s="216">
        <f t="shared" si="5"/>
        <v>1401464.9536557281</v>
      </c>
      <c r="E24" s="217">
        <v>6052</v>
      </c>
      <c r="F24" s="218">
        <v>0</v>
      </c>
      <c r="G24" s="216">
        <f t="shared" si="0"/>
        <v>6052</v>
      </c>
      <c r="H24" s="216">
        <f t="shared" si="6"/>
        <v>1407516.9536557281</v>
      </c>
      <c r="I24" s="217">
        <v>0</v>
      </c>
      <c r="J24" s="216">
        <v>783566.49</v>
      </c>
      <c r="K24" s="216">
        <v>0</v>
      </c>
      <c r="L24" s="216">
        <v>0</v>
      </c>
      <c r="M24" s="208">
        <f t="shared" si="7"/>
        <v>0</v>
      </c>
      <c r="N24" s="208">
        <f t="shared" si="7"/>
        <v>783566.49</v>
      </c>
      <c r="O24" s="208">
        <f t="shared" si="8"/>
        <v>783566.49</v>
      </c>
      <c r="P24" s="216">
        <v>0</v>
      </c>
      <c r="Q24" s="208">
        <f t="shared" si="9"/>
        <v>783566.49</v>
      </c>
      <c r="R24" s="216">
        <f t="shared" si="1"/>
        <v>0</v>
      </c>
      <c r="S24" s="216">
        <v>0</v>
      </c>
      <c r="T24" s="216">
        <f t="shared" si="2"/>
        <v>623950.46365572815</v>
      </c>
      <c r="U24" s="216">
        <f t="shared" si="3"/>
        <v>623950.46365572815</v>
      </c>
      <c r="V24" s="216">
        <v>0</v>
      </c>
      <c r="W24" s="216">
        <v>0</v>
      </c>
      <c r="X24" s="216">
        <f t="shared" si="4"/>
        <v>0</v>
      </c>
      <c r="Y24" s="216">
        <f t="shared" si="12"/>
        <v>623950.46365572815</v>
      </c>
      <c r="Z24" s="216">
        <f t="shared" si="10"/>
        <v>0</v>
      </c>
      <c r="AA24" s="216">
        <v>0</v>
      </c>
      <c r="AB24" s="221">
        <v>0</v>
      </c>
      <c r="AC24" s="216">
        <f t="shared" si="11"/>
        <v>0</v>
      </c>
    </row>
    <row r="25" spans="1:29" s="213" customFormat="1" ht="15.95" customHeight="1">
      <c r="A25" s="214" t="s">
        <v>188</v>
      </c>
      <c r="B25" s="215">
        <v>177440.23277590267</v>
      </c>
      <c r="C25" s="207">
        <v>3565.1051009304983</v>
      </c>
      <c r="D25" s="216">
        <f t="shared" si="5"/>
        <v>181005.33787683316</v>
      </c>
      <c r="E25" s="217">
        <v>-46875</v>
      </c>
      <c r="F25" s="218">
        <v>0</v>
      </c>
      <c r="G25" s="216">
        <f t="shared" si="0"/>
        <v>-46875</v>
      </c>
      <c r="H25" s="216">
        <f t="shared" si="6"/>
        <v>134130.33787683316</v>
      </c>
      <c r="I25" s="217">
        <v>0</v>
      </c>
      <c r="J25" s="216">
        <v>3362</v>
      </c>
      <c r="K25" s="216">
        <v>0</v>
      </c>
      <c r="L25" s="216">
        <v>0</v>
      </c>
      <c r="M25" s="208">
        <f t="shared" si="7"/>
        <v>0</v>
      </c>
      <c r="N25" s="208">
        <f t="shared" si="7"/>
        <v>3362</v>
      </c>
      <c r="O25" s="208">
        <f t="shared" si="8"/>
        <v>3362</v>
      </c>
      <c r="P25" s="216">
        <v>0</v>
      </c>
      <c r="Q25" s="208">
        <f t="shared" si="9"/>
        <v>3362</v>
      </c>
      <c r="R25" s="216">
        <f t="shared" si="1"/>
        <v>0</v>
      </c>
      <c r="S25" s="216">
        <v>0</v>
      </c>
      <c r="T25" s="216">
        <f t="shared" si="2"/>
        <v>130768.33787683316</v>
      </c>
      <c r="U25" s="216">
        <f t="shared" si="3"/>
        <v>130768.33787683316</v>
      </c>
      <c r="V25" s="216">
        <v>0</v>
      </c>
      <c r="W25" s="216">
        <v>0</v>
      </c>
      <c r="X25" s="216">
        <f t="shared" si="4"/>
        <v>0</v>
      </c>
      <c r="Y25" s="216">
        <f t="shared" si="12"/>
        <v>130768.33787683316</v>
      </c>
      <c r="Z25" s="216">
        <f t="shared" si="10"/>
        <v>0</v>
      </c>
      <c r="AA25" s="216">
        <v>0</v>
      </c>
      <c r="AB25" s="219">
        <v>0</v>
      </c>
      <c r="AC25" s="216">
        <f t="shared" si="11"/>
        <v>0</v>
      </c>
    </row>
    <row r="26" spans="1:29" s="213" customFormat="1" ht="15.95" customHeight="1">
      <c r="A26" s="214" t="s">
        <v>517</v>
      </c>
      <c r="B26" s="215">
        <v>3738768.706458753</v>
      </c>
      <c r="C26" s="207">
        <v>66009.130403740288</v>
      </c>
      <c r="D26" s="216">
        <f t="shared" si="5"/>
        <v>3804777.8368624933</v>
      </c>
      <c r="E26" s="217">
        <v>0</v>
      </c>
      <c r="F26" s="218">
        <v>0</v>
      </c>
      <c r="G26" s="216">
        <f t="shared" si="0"/>
        <v>0</v>
      </c>
      <c r="H26" s="216">
        <f t="shared" si="6"/>
        <v>3804777.8368624933</v>
      </c>
      <c r="I26" s="217">
        <v>0</v>
      </c>
      <c r="J26" s="216">
        <v>1941587.05</v>
      </c>
      <c r="K26" s="216">
        <v>0</v>
      </c>
      <c r="L26" s="216">
        <v>0</v>
      </c>
      <c r="M26" s="208">
        <f t="shared" si="7"/>
        <v>0</v>
      </c>
      <c r="N26" s="208">
        <f t="shared" si="7"/>
        <v>1941587.05</v>
      </c>
      <c r="O26" s="208">
        <f t="shared" si="8"/>
        <v>1941587.05</v>
      </c>
      <c r="P26" s="216">
        <v>3234271.65</v>
      </c>
      <c r="Q26" s="208">
        <f t="shared" si="9"/>
        <v>5175858.7</v>
      </c>
      <c r="R26" s="216">
        <f t="shared" si="1"/>
        <v>-1371080.8631375069</v>
      </c>
      <c r="S26" s="216">
        <v>0</v>
      </c>
      <c r="T26" s="216">
        <f t="shared" si="2"/>
        <v>0</v>
      </c>
      <c r="U26" s="216">
        <f t="shared" si="3"/>
        <v>-1371080.8631375069</v>
      </c>
      <c r="V26" s="216">
        <v>0</v>
      </c>
      <c r="W26" s="228">
        <v>0</v>
      </c>
      <c r="X26" s="216">
        <f t="shared" si="4"/>
        <v>0</v>
      </c>
      <c r="Y26" s="216">
        <f t="shared" si="12"/>
        <v>0</v>
      </c>
      <c r="Z26" s="216">
        <f t="shared" si="10"/>
        <v>-1371080.8631375069</v>
      </c>
      <c r="AA26" s="216"/>
      <c r="AB26" s="219">
        <v>0</v>
      </c>
      <c r="AC26" s="216">
        <f t="shared" si="11"/>
        <v>-20.771079012121284</v>
      </c>
    </row>
    <row r="27" spans="1:29" s="213" customFormat="1" ht="15.95" customHeight="1">
      <c r="A27" s="214" t="s">
        <v>521</v>
      </c>
      <c r="B27" s="215">
        <v>10575247.561522732</v>
      </c>
      <c r="C27" s="207">
        <v>192822.64633976272</v>
      </c>
      <c r="D27" s="216">
        <f t="shared" si="5"/>
        <v>10768070.207862495</v>
      </c>
      <c r="E27" s="217">
        <v>0</v>
      </c>
      <c r="F27" s="218">
        <v>0</v>
      </c>
      <c r="G27" s="216">
        <f t="shared" si="0"/>
        <v>0</v>
      </c>
      <c r="H27" s="216">
        <f t="shared" si="6"/>
        <v>10768070.207862495</v>
      </c>
      <c r="I27" s="217">
        <v>0</v>
      </c>
      <c r="J27" s="216">
        <v>8848555.3600000013</v>
      </c>
      <c r="K27" s="216">
        <v>0</v>
      </c>
      <c r="L27" s="216">
        <v>0</v>
      </c>
      <c r="M27" s="208">
        <f t="shared" si="7"/>
        <v>0</v>
      </c>
      <c r="N27" s="208">
        <f t="shared" si="7"/>
        <v>8848555.3600000013</v>
      </c>
      <c r="O27" s="208">
        <f t="shared" si="8"/>
        <v>8848555.3600000013</v>
      </c>
      <c r="P27" s="216">
        <v>0</v>
      </c>
      <c r="Q27" s="208">
        <f t="shared" si="9"/>
        <v>8848555.3600000013</v>
      </c>
      <c r="R27" s="216">
        <f t="shared" si="1"/>
        <v>0</v>
      </c>
      <c r="S27" s="216">
        <v>0</v>
      </c>
      <c r="T27" s="216">
        <f t="shared" si="2"/>
        <v>1919514.8478624932</v>
      </c>
      <c r="U27" s="216">
        <f t="shared" si="3"/>
        <v>1919514.8478624932</v>
      </c>
      <c r="V27" s="216">
        <v>0</v>
      </c>
      <c r="W27" s="216">
        <v>0</v>
      </c>
      <c r="X27" s="216">
        <f t="shared" si="4"/>
        <v>0</v>
      </c>
      <c r="Y27" s="216">
        <f t="shared" si="12"/>
        <v>1919514.8478624932</v>
      </c>
      <c r="Z27" s="216">
        <f t="shared" si="10"/>
        <v>0</v>
      </c>
      <c r="AA27" s="216">
        <v>0</v>
      </c>
      <c r="AB27" s="219">
        <v>0</v>
      </c>
      <c r="AC27" s="216">
        <f t="shared" si="11"/>
        <v>0</v>
      </c>
    </row>
    <row r="28" spans="1:29" s="213" customFormat="1" ht="15.95" customHeight="1">
      <c r="A28" s="214" t="s">
        <v>189</v>
      </c>
      <c r="B28" s="215">
        <v>1052995.3876719854</v>
      </c>
      <c r="C28" s="207">
        <v>22263.317817739742</v>
      </c>
      <c r="D28" s="216">
        <f t="shared" si="5"/>
        <v>1075258.7054897251</v>
      </c>
      <c r="E28" s="217">
        <v>0</v>
      </c>
      <c r="F28" s="218">
        <v>0</v>
      </c>
      <c r="G28" s="216">
        <f t="shared" si="0"/>
        <v>0</v>
      </c>
      <c r="H28" s="216">
        <f t="shared" si="6"/>
        <v>1075258.7054897251</v>
      </c>
      <c r="I28" s="217">
        <v>0</v>
      </c>
      <c r="J28" s="216">
        <v>0</v>
      </c>
      <c r="K28" s="216">
        <v>0</v>
      </c>
      <c r="L28" s="216">
        <v>0</v>
      </c>
      <c r="M28" s="208">
        <f t="shared" si="7"/>
        <v>0</v>
      </c>
      <c r="N28" s="208">
        <f t="shared" si="7"/>
        <v>0</v>
      </c>
      <c r="O28" s="208">
        <f t="shared" si="8"/>
        <v>0</v>
      </c>
      <c r="P28" s="216">
        <v>0</v>
      </c>
      <c r="Q28" s="208">
        <f t="shared" si="9"/>
        <v>0</v>
      </c>
      <c r="R28" s="216">
        <f t="shared" si="1"/>
        <v>0</v>
      </c>
      <c r="S28" s="216">
        <v>0</v>
      </c>
      <c r="T28" s="216">
        <f t="shared" si="2"/>
        <v>1075258.7054897251</v>
      </c>
      <c r="U28" s="216">
        <f t="shared" si="3"/>
        <v>1075258.7054897251</v>
      </c>
      <c r="V28" s="216">
        <v>0</v>
      </c>
      <c r="W28" s="216">
        <v>0</v>
      </c>
      <c r="X28" s="216">
        <f t="shared" si="4"/>
        <v>0</v>
      </c>
      <c r="Y28" s="216">
        <f t="shared" si="12"/>
        <v>1075258.7054897251</v>
      </c>
      <c r="Z28" s="216">
        <f t="shared" si="10"/>
        <v>0</v>
      </c>
      <c r="AA28" s="216">
        <v>0</v>
      </c>
      <c r="AB28" s="219">
        <v>0</v>
      </c>
      <c r="AC28" s="216">
        <f t="shared" si="11"/>
        <v>0</v>
      </c>
    </row>
    <row r="29" spans="1:29" s="213" customFormat="1" ht="15.95" customHeight="1">
      <c r="A29" s="214" t="s">
        <v>113</v>
      </c>
      <c r="B29" s="215">
        <v>938529.7071997982</v>
      </c>
      <c r="C29" s="207">
        <v>15826.450351540741</v>
      </c>
      <c r="D29" s="216">
        <f t="shared" si="5"/>
        <v>954356.1575513389</v>
      </c>
      <c r="E29" s="217">
        <v>581945</v>
      </c>
      <c r="F29" s="218">
        <v>0</v>
      </c>
      <c r="G29" s="216">
        <f t="shared" si="0"/>
        <v>581945</v>
      </c>
      <c r="H29" s="216">
        <f t="shared" si="6"/>
        <v>1536301.1575513389</v>
      </c>
      <c r="I29" s="217">
        <v>0</v>
      </c>
      <c r="J29" s="216">
        <v>850841.12</v>
      </c>
      <c r="K29" s="216">
        <v>0</v>
      </c>
      <c r="L29" s="216">
        <v>0</v>
      </c>
      <c r="M29" s="208">
        <f t="shared" si="7"/>
        <v>0</v>
      </c>
      <c r="N29" s="208">
        <f t="shared" si="7"/>
        <v>850841.12</v>
      </c>
      <c r="O29" s="208">
        <f t="shared" si="8"/>
        <v>850841.12</v>
      </c>
      <c r="P29" s="216">
        <v>0</v>
      </c>
      <c r="Q29" s="208">
        <f t="shared" si="9"/>
        <v>850841.12</v>
      </c>
      <c r="R29" s="216">
        <f t="shared" si="1"/>
        <v>0</v>
      </c>
      <c r="S29" s="216">
        <v>0</v>
      </c>
      <c r="T29" s="216">
        <f t="shared" si="2"/>
        <v>685460.0375513389</v>
      </c>
      <c r="U29" s="216">
        <f t="shared" si="3"/>
        <v>685460.0375513389</v>
      </c>
      <c r="V29" s="216">
        <v>0</v>
      </c>
      <c r="W29" s="228">
        <v>0</v>
      </c>
      <c r="X29" s="216">
        <f t="shared" si="4"/>
        <v>0</v>
      </c>
      <c r="Y29" s="216">
        <f t="shared" si="12"/>
        <v>685460.0375513389</v>
      </c>
      <c r="Z29" s="216">
        <f t="shared" si="10"/>
        <v>0</v>
      </c>
      <c r="AA29" s="216">
        <v>600000</v>
      </c>
      <c r="AB29" s="221">
        <v>0</v>
      </c>
      <c r="AC29" s="216">
        <f t="shared" si="11"/>
        <v>0</v>
      </c>
    </row>
    <row r="30" spans="1:29" s="213" customFormat="1" ht="14.45" customHeight="1">
      <c r="A30" s="214" t="s">
        <v>665</v>
      </c>
      <c r="B30" s="215">
        <v>613881.08428318473</v>
      </c>
      <c r="C30" s="207">
        <v>13406.664825753713</v>
      </c>
      <c r="D30" s="216">
        <f t="shared" si="5"/>
        <v>627287.74910893838</v>
      </c>
      <c r="E30" s="217">
        <v>0</v>
      </c>
      <c r="F30" s="218">
        <v>0</v>
      </c>
      <c r="G30" s="216">
        <f t="shared" si="0"/>
        <v>0</v>
      </c>
      <c r="H30" s="216">
        <f t="shared" si="6"/>
        <v>627287.74910893838</v>
      </c>
      <c r="I30" s="217">
        <v>0</v>
      </c>
      <c r="J30" s="216">
        <v>422218.38</v>
      </c>
      <c r="K30" s="216">
        <v>0</v>
      </c>
      <c r="L30" s="216">
        <v>0</v>
      </c>
      <c r="M30" s="208">
        <f t="shared" si="7"/>
        <v>0</v>
      </c>
      <c r="N30" s="208">
        <f t="shared" si="7"/>
        <v>422218.38</v>
      </c>
      <c r="O30" s="208">
        <f t="shared" si="8"/>
        <v>422218.38</v>
      </c>
      <c r="P30" s="216">
        <v>0</v>
      </c>
      <c r="Q30" s="208">
        <f t="shared" si="9"/>
        <v>422218.38</v>
      </c>
      <c r="R30" s="216">
        <f t="shared" si="1"/>
        <v>0</v>
      </c>
      <c r="S30" s="216">
        <v>0</v>
      </c>
      <c r="T30" s="216">
        <f t="shared" si="2"/>
        <v>205069.36910893838</v>
      </c>
      <c r="U30" s="216">
        <f t="shared" si="3"/>
        <v>205069.36910893838</v>
      </c>
      <c r="V30" s="216">
        <v>0</v>
      </c>
      <c r="W30" s="216">
        <v>0</v>
      </c>
      <c r="X30" s="216">
        <f t="shared" si="4"/>
        <v>0</v>
      </c>
      <c r="Y30" s="216">
        <f t="shared" si="12"/>
        <v>205069.36910893838</v>
      </c>
      <c r="Z30" s="216">
        <f t="shared" si="10"/>
        <v>0</v>
      </c>
      <c r="AA30" s="216">
        <v>0</v>
      </c>
      <c r="AB30" s="219">
        <v>0</v>
      </c>
      <c r="AC30" s="216">
        <f t="shared" si="11"/>
        <v>0</v>
      </c>
    </row>
    <row r="31" spans="1:29" s="213" customFormat="1" ht="15.6" customHeight="1">
      <c r="A31" s="214" t="s">
        <v>929</v>
      </c>
      <c r="B31" s="215">
        <v>4602762.0851765061</v>
      </c>
      <c r="C31" s="207">
        <v>76705.032777763161</v>
      </c>
      <c r="D31" s="216">
        <f t="shared" si="5"/>
        <v>4679467.1179542691</v>
      </c>
      <c r="E31" s="217">
        <v>0</v>
      </c>
      <c r="F31" s="218">
        <v>0</v>
      </c>
      <c r="G31" s="216">
        <f t="shared" si="0"/>
        <v>0</v>
      </c>
      <c r="H31" s="216">
        <f t="shared" si="6"/>
        <v>4679467.1179542691</v>
      </c>
      <c r="I31" s="217">
        <v>0</v>
      </c>
      <c r="J31" s="216">
        <v>2772412.31</v>
      </c>
      <c r="K31" s="216">
        <v>0</v>
      </c>
      <c r="L31" s="216">
        <v>0</v>
      </c>
      <c r="M31" s="208">
        <f t="shared" si="7"/>
        <v>0</v>
      </c>
      <c r="N31" s="208">
        <f t="shared" si="7"/>
        <v>2772412.31</v>
      </c>
      <c r="O31" s="208">
        <f t="shared" si="8"/>
        <v>2772412.31</v>
      </c>
      <c r="P31" s="216">
        <v>102213.67</v>
      </c>
      <c r="Q31" s="208">
        <f t="shared" si="9"/>
        <v>2874625.98</v>
      </c>
      <c r="R31" s="216">
        <f t="shared" si="1"/>
        <v>0</v>
      </c>
      <c r="S31" s="216">
        <v>0</v>
      </c>
      <c r="T31" s="216">
        <f t="shared" si="2"/>
        <v>1804841.1379542691</v>
      </c>
      <c r="U31" s="216">
        <f t="shared" si="3"/>
        <v>1804841.1379542691</v>
      </c>
      <c r="V31" s="216">
        <v>350721.7</v>
      </c>
      <c r="W31" s="229">
        <v>1647064.63</v>
      </c>
      <c r="X31" s="216">
        <f t="shared" si="4"/>
        <v>1997786.3299999998</v>
      </c>
      <c r="Y31" s="216">
        <f t="shared" si="12"/>
        <v>0</v>
      </c>
      <c r="Z31" s="216">
        <f t="shared" si="10"/>
        <v>-192945.19204573077</v>
      </c>
      <c r="AB31" s="221">
        <v>0</v>
      </c>
      <c r="AC31" s="216">
        <f t="shared" si="11"/>
        <v>-2.5154176337392258</v>
      </c>
    </row>
    <row r="32" spans="1:29" s="213" customFormat="1" ht="17.100000000000001" customHeight="1">
      <c r="A32" s="214" t="s">
        <v>666</v>
      </c>
      <c r="B32" s="215">
        <v>423646.88129870681</v>
      </c>
      <c r="C32" s="207">
        <v>8048.7795304595011</v>
      </c>
      <c r="D32" s="216">
        <f>SUM(B32:C32)</f>
        <v>431695.6608291663</v>
      </c>
      <c r="E32" s="217">
        <v>0</v>
      </c>
      <c r="F32" s="218">
        <v>0</v>
      </c>
      <c r="G32" s="216">
        <f t="shared" si="0"/>
        <v>0</v>
      </c>
      <c r="H32" s="216">
        <f t="shared" si="6"/>
        <v>431695.6608291663</v>
      </c>
      <c r="I32" s="217">
        <v>0</v>
      </c>
      <c r="J32" s="216">
        <v>478820.53</v>
      </c>
      <c r="K32" s="216">
        <v>0</v>
      </c>
      <c r="L32" s="216">
        <v>0</v>
      </c>
      <c r="M32" s="208">
        <f t="shared" si="7"/>
        <v>0</v>
      </c>
      <c r="N32" s="208">
        <f t="shared" si="7"/>
        <v>478820.53</v>
      </c>
      <c r="O32" s="208">
        <f t="shared" si="8"/>
        <v>478820.53</v>
      </c>
      <c r="P32" s="216">
        <v>0</v>
      </c>
      <c r="Q32" s="208">
        <f t="shared" si="9"/>
        <v>478820.53</v>
      </c>
      <c r="R32" s="216">
        <f t="shared" si="1"/>
        <v>-47124.869170833728</v>
      </c>
      <c r="S32" s="216">
        <v>-79775.659604588873</v>
      </c>
      <c r="T32" s="216">
        <f t="shared" si="2"/>
        <v>0</v>
      </c>
      <c r="U32" s="216">
        <f t="shared" si="3"/>
        <v>-47124.869170833728</v>
      </c>
      <c r="V32" s="216">
        <v>0</v>
      </c>
      <c r="W32" s="216">
        <v>0</v>
      </c>
      <c r="X32" s="216">
        <f t="shared" si="4"/>
        <v>0</v>
      </c>
      <c r="Y32" s="216">
        <f t="shared" si="12"/>
        <v>0</v>
      </c>
      <c r="Z32" s="216">
        <f t="shared" si="10"/>
        <v>-47124.869170833728</v>
      </c>
      <c r="AA32" s="216">
        <v>0</v>
      </c>
      <c r="AB32" s="219">
        <v>0</v>
      </c>
      <c r="AC32" s="222">
        <f t="shared" si="11"/>
        <v>-5.8549086842913427</v>
      </c>
    </row>
    <row r="33" spans="1:29" s="213" customFormat="1" ht="15.6" customHeight="1">
      <c r="A33" s="214" t="s">
        <v>883</v>
      </c>
      <c r="B33" s="215">
        <v>1476048.8200321738</v>
      </c>
      <c r="C33" s="207">
        <v>26495.579277059202</v>
      </c>
      <c r="D33" s="216">
        <f t="shared" si="5"/>
        <v>1502544.3993092331</v>
      </c>
      <c r="E33" s="217">
        <v>0</v>
      </c>
      <c r="F33" s="218">
        <v>0</v>
      </c>
      <c r="G33" s="216">
        <f t="shared" si="0"/>
        <v>0</v>
      </c>
      <c r="H33" s="216">
        <f t="shared" si="6"/>
        <v>1502544.3993092331</v>
      </c>
      <c r="I33" s="217">
        <v>0</v>
      </c>
      <c r="J33" s="216">
        <v>1363058.31</v>
      </c>
      <c r="K33" s="216">
        <v>0</v>
      </c>
      <c r="L33" s="216">
        <v>0</v>
      </c>
      <c r="M33" s="208">
        <f t="shared" si="7"/>
        <v>0</v>
      </c>
      <c r="N33" s="208">
        <f t="shared" si="7"/>
        <v>1363058.31</v>
      </c>
      <c r="O33" s="208">
        <f t="shared" si="8"/>
        <v>1363058.31</v>
      </c>
      <c r="P33" s="216">
        <v>0</v>
      </c>
      <c r="Q33" s="208">
        <f t="shared" si="9"/>
        <v>1363058.31</v>
      </c>
      <c r="R33" s="216">
        <f t="shared" si="1"/>
        <v>0</v>
      </c>
      <c r="S33" s="216">
        <v>0</v>
      </c>
      <c r="T33" s="216">
        <f t="shared" si="2"/>
        <v>139486.08930923301</v>
      </c>
      <c r="U33" s="216">
        <f t="shared" si="3"/>
        <v>139486.08930923301</v>
      </c>
      <c r="V33" s="216">
        <v>0</v>
      </c>
      <c r="W33" s="216">
        <v>0</v>
      </c>
      <c r="X33" s="216">
        <f t="shared" si="4"/>
        <v>0</v>
      </c>
      <c r="Y33" s="216">
        <f t="shared" si="12"/>
        <v>139486.08930923301</v>
      </c>
      <c r="Z33" s="216">
        <f t="shared" si="10"/>
        <v>0</v>
      </c>
      <c r="AA33" s="216">
        <v>0</v>
      </c>
      <c r="AB33" s="221">
        <v>0</v>
      </c>
      <c r="AC33" s="216">
        <f t="shared" si="11"/>
        <v>0</v>
      </c>
    </row>
    <row r="34" spans="1:29" s="213" customFormat="1" ht="15.95" customHeight="1">
      <c r="A34" s="214" t="s">
        <v>190</v>
      </c>
      <c r="B34" s="215">
        <v>10970231.626938507</v>
      </c>
      <c r="C34" s="207">
        <v>198628.2679135495</v>
      </c>
      <c r="D34" s="216">
        <f t="shared" si="5"/>
        <v>11168859.894852057</v>
      </c>
      <c r="E34" s="217">
        <v>46600</v>
      </c>
      <c r="F34" s="218">
        <v>0</v>
      </c>
      <c r="G34" s="216">
        <f t="shared" si="0"/>
        <v>46600</v>
      </c>
      <c r="H34" s="216">
        <f t="shared" si="6"/>
        <v>11215459.894852057</v>
      </c>
      <c r="I34" s="217">
        <v>0</v>
      </c>
      <c r="J34" s="216">
        <v>11102276.41</v>
      </c>
      <c r="K34" s="216">
        <v>0</v>
      </c>
      <c r="L34" s="216">
        <v>0</v>
      </c>
      <c r="M34" s="208">
        <f t="shared" si="7"/>
        <v>0</v>
      </c>
      <c r="N34" s="208">
        <f t="shared" si="7"/>
        <v>11102276.41</v>
      </c>
      <c r="O34" s="208">
        <f t="shared" si="8"/>
        <v>11102276.41</v>
      </c>
      <c r="P34" s="216">
        <v>0</v>
      </c>
      <c r="Q34" s="208">
        <f t="shared" si="9"/>
        <v>11102276.41</v>
      </c>
      <c r="R34" s="216">
        <f t="shared" si="1"/>
        <v>0</v>
      </c>
      <c r="S34" s="216">
        <v>-687728.01498182863</v>
      </c>
      <c r="T34" s="216">
        <f t="shared" si="2"/>
        <v>113183.48485205695</v>
      </c>
      <c r="U34" s="216">
        <f t="shared" si="3"/>
        <v>113183.48485205695</v>
      </c>
      <c r="V34" s="216">
        <v>0</v>
      </c>
      <c r="W34" s="216">
        <v>0</v>
      </c>
      <c r="X34" s="216">
        <f t="shared" si="4"/>
        <v>0</v>
      </c>
      <c r="Y34" s="216">
        <f t="shared" si="12"/>
        <v>113183.48485205695</v>
      </c>
      <c r="Z34" s="216">
        <f t="shared" si="10"/>
        <v>0</v>
      </c>
      <c r="AA34" s="216">
        <v>0</v>
      </c>
      <c r="AB34" s="219">
        <v>0</v>
      </c>
      <c r="AC34" s="216">
        <f t="shared" si="11"/>
        <v>0</v>
      </c>
    </row>
    <row r="35" spans="1:29" s="224" customFormat="1" ht="15.95" customHeight="1">
      <c r="A35" s="214" t="s">
        <v>670</v>
      </c>
      <c r="B35" s="216">
        <v>3953123.2186549678</v>
      </c>
      <c r="C35" s="207">
        <v>81344.384013698087</v>
      </c>
      <c r="D35" s="216">
        <f t="shared" si="5"/>
        <v>4034467.6026686658</v>
      </c>
      <c r="E35" s="217">
        <v>0</v>
      </c>
      <c r="F35" s="218">
        <v>0</v>
      </c>
      <c r="G35" s="216">
        <f t="shared" si="0"/>
        <v>0</v>
      </c>
      <c r="H35" s="216">
        <f t="shared" si="6"/>
        <v>4034467.6026686658</v>
      </c>
      <c r="I35" s="217">
        <v>0</v>
      </c>
      <c r="J35" s="216">
        <v>3639095.63</v>
      </c>
      <c r="K35" s="216">
        <v>0</v>
      </c>
      <c r="L35" s="216">
        <v>0</v>
      </c>
      <c r="M35" s="208">
        <f t="shared" si="7"/>
        <v>0</v>
      </c>
      <c r="N35" s="208">
        <f t="shared" si="7"/>
        <v>3639095.63</v>
      </c>
      <c r="O35" s="208">
        <f t="shared" si="8"/>
        <v>3639095.63</v>
      </c>
      <c r="P35" s="216">
        <v>0</v>
      </c>
      <c r="Q35" s="208">
        <f t="shared" si="9"/>
        <v>3639095.63</v>
      </c>
      <c r="R35" s="216">
        <f t="shared" si="1"/>
        <v>0</v>
      </c>
      <c r="S35" s="216">
        <v>0</v>
      </c>
      <c r="T35" s="216">
        <f t="shared" si="2"/>
        <v>395371.97266866593</v>
      </c>
      <c r="U35" s="216">
        <f t="shared" si="3"/>
        <v>395371.97266866593</v>
      </c>
      <c r="V35" s="216">
        <v>0</v>
      </c>
      <c r="W35" s="216">
        <v>750000</v>
      </c>
      <c r="X35" s="216">
        <f t="shared" si="4"/>
        <v>750000</v>
      </c>
      <c r="Y35" s="216">
        <f t="shared" si="12"/>
        <v>0</v>
      </c>
      <c r="Z35" s="216">
        <f t="shared" si="10"/>
        <v>-354628.02733133407</v>
      </c>
      <c r="AA35" s="216">
        <v>0</v>
      </c>
      <c r="AB35" s="223"/>
      <c r="AC35" s="216">
        <f t="shared" si="11"/>
        <v>-4.3595883309118921</v>
      </c>
    </row>
    <row r="36" spans="1:29" s="213" customFormat="1" ht="15.95" customHeight="1">
      <c r="A36" s="214" t="s">
        <v>201</v>
      </c>
      <c r="B36" s="215">
        <v>3189138.7687015822</v>
      </c>
      <c r="C36" s="207">
        <v>57872.604902956373</v>
      </c>
      <c r="D36" s="216">
        <f t="shared" si="5"/>
        <v>3247011.3736045384</v>
      </c>
      <c r="E36" s="217">
        <v>6902633</v>
      </c>
      <c r="F36" s="218">
        <v>0</v>
      </c>
      <c r="G36" s="216">
        <f t="shared" si="0"/>
        <v>6902633</v>
      </c>
      <c r="H36" s="216">
        <f t="shared" si="6"/>
        <v>10149644.373604538</v>
      </c>
      <c r="I36" s="217">
        <v>0</v>
      </c>
      <c r="J36" s="216">
        <v>9443549.4400000013</v>
      </c>
      <c r="K36" s="216">
        <v>0</v>
      </c>
      <c r="L36" s="216">
        <v>0</v>
      </c>
      <c r="M36" s="208">
        <f t="shared" si="7"/>
        <v>0</v>
      </c>
      <c r="N36" s="208">
        <f t="shared" si="7"/>
        <v>9443549.4400000013</v>
      </c>
      <c r="O36" s="208">
        <f t="shared" si="8"/>
        <v>9443549.4400000013</v>
      </c>
      <c r="P36" s="216">
        <v>112993.83</v>
      </c>
      <c r="Q36" s="208">
        <f t="shared" si="9"/>
        <v>9556543.2700000014</v>
      </c>
      <c r="R36" s="216">
        <f t="shared" si="1"/>
        <v>0</v>
      </c>
      <c r="S36" s="216">
        <v>0</v>
      </c>
      <c r="T36" s="216">
        <f t="shared" si="2"/>
        <v>593101.1036045365</v>
      </c>
      <c r="U36" s="216">
        <f t="shared" si="3"/>
        <v>593101.1036045365</v>
      </c>
      <c r="V36" s="216">
        <v>787006.17</v>
      </c>
      <c r="X36" s="216">
        <f t="shared" si="4"/>
        <v>787006.17</v>
      </c>
      <c r="Y36" s="216">
        <f t="shared" si="12"/>
        <v>0</v>
      </c>
      <c r="Z36" s="216">
        <f t="shared" si="10"/>
        <v>-193905.06639546354</v>
      </c>
      <c r="AA36" s="216">
        <v>0</v>
      </c>
      <c r="AB36" s="219">
        <v>2141070</v>
      </c>
      <c r="AC36" s="216">
        <f t="shared" si="11"/>
        <v>-3.3505501734475764</v>
      </c>
    </row>
    <row r="37" spans="1:29" s="213" customFormat="1" ht="15.95" customHeight="1">
      <c r="A37" s="214" t="s">
        <v>764</v>
      </c>
      <c r="B37" s="215">
        <v>4546121.4394127186</v>
      </c>
      <c r="C37" s="207">
        <v>76637.87597697234</v>
      </c>
      <c r="D37" s="216">
        <f t="shared" si="5"/>
        <v>4622759.3153896909</v>
      </c>
      <c r="E37" s="217">
        <v>0</v>
      </c>
      <c r="F37" s="218">
        <v>0</v>
      </c>
      <c r="G37" s="216">
        <f t="shared" ref="G37:G65" si="13">SUM(E37:F37)</f>
        <v>0</v>
      </c>
      <c r="H37" s="216">
        <f t="shared" si="6"/>
        <v>4622759.3153896909</v>
      </c>
      <c r="I37" s="217">
        <v>0</v>
      </c>
      <c r="J37" s="216">
        <v>3717733.5100000002</v>
      </c>
      <c r="K37" s="216">
        <v>0</v>
      </c>
      <c r="L37" s="216">
        <v>0</v>
      </c>
      <c r="M37" s="208">
        <f t="shared" si="7"/>
        <v>0</v>
      </c>
      <c r="N37" s="208">
        <f t="shared" si="7"/>
        <v>3717733.5100000002</v>
      </c>
      <c r="O37" s="208">
        <f t="shared" si="8"/>
        <v>3717733.5100000002</v>
      </c>
      <c r="P37" s="216"/>
      <c r="Q37" s="208">
        <f t="shared" si="9"/>
        <v>3717733.5100000002</v>
      </c>
      <c r="R37" s="216">
        <f t="shared" si="1"/>
        <v>0</v>
      </c>
      <c r="S37" s="216">
        <v>0</v>
      </c>
      <c r="T37" s="216">
        <f t="shared" si="2"/>
        <v>905025.80538969068</v>
      </c>
      <c r="U37" s="216">
        <f t="shared" si="3"/>
        <v>905025.80538969068</v>
      </c>
      <c r="V37" s="216">
        <v>0</v>
      </c>
      <c r="W37" s="216">
        <v>0</v>
      </c>
      <c r="X37" s="216">
        <f t="shared" si="4"/>
        <v>0</v>
      </c>
      <c r="Y37" s="216">
        <f t="shared" si="12"/>
        <v>905025.80538969068</v>
      </c>
      <c r="Z37" s="216">
        <f t="shared" si="10"/>
        <v>0</v>
      </c>
      <c r="AA37" s="216"/>
      <c r="AB37" s="219">
        <v>982855.72</v>
      </c>
      <c r="AC37" s="216">
        <f t="shared" si="11"/>
        <v>0</v>
      </c>
    </row>
    <row r="38" spans="1:29" s="213" customFormat="1" ht="15.95" customHeight="1">
      <c r="A38" s="214" t="s">
        <v>772</v>
      </c>
      <c r="B38" s="215">
        <v>1471409.5227014893</v>
      </c>
      <c r="C38" s="207">
        <v>0</v>
      </c>
      <c r="D38" s="216">
        <f t="shared" si="5"/>
        <v>1471409.5227014893</v>
      </c>
      <c r="E38" s="217">
        <v>0</v>
      </c>
      <c r="F38" s="218">
        <v>0</v>
      </c>
      <c r="G38" s="216">
        <f t="shared" si="13"/>
        <v>0</v>
      </c>
      <c r="H38" s="216">
        <f t="shared" si="6"/>
        <v>1471409.5227014893</v>
      </c>
      <c r="I38" s="217">
        <v>0</v>
      </c>
      <c r="J38" s="216">
        <v>2379888.94</v>
      </c>
      <c r="K38" s="216">
        <v>0</v>
      </c>
      <c r="L38" s="216">
        <v>0</v>
      </c>
      <c r="M38" s="208">
        <f t="shared" si="7"/>
        <v>0</v>
      </c>
      <c r="N38" s="208">
        <f t="shared" si="7"/>
        <v>2379888.94</v>
      </c>
      <c r="O38" s="208">
        <f t="shared" si="8"/>
        <v>2379888.94</v>
      </c>
      <c r="P38" s="216">
        <v>0</v>
      </c>
      <c r="Q38" s="208">
        <f t="shared" si="9"/>
        <v>2379888.94</v>
      </c>
      <c r="R38" s="216">
        <f t="shared" si="1"/>
        <v>-908479.41729851067</v>
      </c>
      <c r="S38" s="216">
        <v>-954849.17187838489</v>
      </c>
      <c r="T38" s="216">
        <f t="shared" si="2"/>
        <v>0</v>
      </c>
      <c r="U38" s="216">
        <f t="shared" si="3"/>
        <v>-908479.41729851067</v>
      </c>
      <c r="V38" s="216">
        <v>0</v>
      </c>
      <c r="W38" s="216">
        <v>0</v>
      </c>
      <c r="X38" s="216">
        <f t="shared" si="4"/>
        <v>0</v>
      </c>
      <c r="Y38" s="216">
        <f t="shared" si="12"/>
        <v>0</v>
      </c>
      <c r="Z38" s="216">
        <f t="shared" si="10"/>
        <v>-908479.41729851067</v>
      </c>
      <c r="AA38" s="216">
        <v>0</v>
      </c>
      <c r="AB38" s="219">
        <v>1989701.45</v>
      </c>
      <c r="AC38" s="216">
        <v>0</v>
      </c>
    </row>
    <row r="39" spans="1:29" s="213" customFormat="1" ht="15.95" customHeight="1">
      <c r="A39" s="214" t="s">
        <v>206</v>
      </c>
      <c r="B39" s="215">
        <v>4331159.1624730323</v>
      </c>
      <c r="C39" s="207">
        <v>78272.723357970652</v>
      </c>
      <c r="D39" s="216">
        <f t="shared" si="5"/>
        <v>4409431.8858310031</v>
      </c>
      <c r="E39" s="217">
        <v>0</v>
      </c>
      <c r="F39" s="218">
        <v>0</v>
      </c>
      <c r="G39" s="216">
        <f t="shared" si="13"/>
        <v>0</v>
      </c>
      <c r="H39" s="216">
        <f t="shared" si="6"/>
        <v>4409431.8858310031</v>
      </c>
      <c r="I39" s="217">
        <v>0</v>
      </c>
      <c r="J39" s="216">
        <v>3725926.96</v>
      </c>
      <c r="K39" s="216">
        <v>0</v>
      </c>
      <c r="L39" s="216">
        <v>0</v>
      </c>
      <c r="M39" s="208">
        <f t="shared" si="7"/>
        <v>0</v>
      </c>
      <c r="N39" s="208">
        <f t="shared" si="7"/>
        <v>3725926.96</v>
      </c>
      <c r="O39" s="208">
        <f t="shared" si="8"/>
        <v>3725926.96</v>
      </c>
      <c r="P39" s="216">
        <v>0</v>
      </c>
      <c r="Q39" s="208">
        <f t="shared" si="9"/>
        <v>3725926.96</v>
      </c>
      <c r="R39" s="216">
        <f t="shared" si="1"/>
        <v>0</v>
      </c>
      <c r="S39" s="216">
        <v>0</v>
      </c>
      <c r="T39" s="216">
        <f t="shared" si="2"/>
        <v>683504.92583100311</v>
      </c>
      <c r="U39" s="216">
        <f t="shared" si="3"/>
        <v>683504.92583100311</v>
      </c>
      <c r="V39" s="216">
        <v>0</v>
      </c>
      <c r="W39" s="216">
        <v>0</v>
      </c>
      <c r="X39" s="216">
        <f t="shared" si="4"/>
        <v>0</v>
      </c>
      <c r="Y39" s="216">
        <f t="shared" si="12"/>
        <v>683504.92583100311</v>
      </c>
      <c r="Z39" s="216">
        <f t="shared" si="10"/>
        <v>0</v>
      </c>
      <c r="AA39" s="216">
        <v>0</v>
      </c>
      <c r="AB39" s="221">
        <v>0</v>
      </c>
      <c r="AC39" s="216">
        <f t="shared" si="11"/>
        <v>0</v>
      </c>
    </row>
    <row r="40" spans="1:29" s="213" customFormat="1" ht="15.95" customHeight="1">
      <c r="A40" s="214" t="s">
        <v>777</v>
      </c>
      <c r="B40" s="215">
        <v>17551.863148012861</v>
      </c>
      <c r="C40" s="207">
        <v>924.69018355031164</v>
      </c>
      <c r="D40" s="216">
        <f t="shared" si="5"/>
        <v>18476.553331563173</v>
      </c>
      <c r="E40" s="217">
        <v>0</v>
      </c>
      <c r="F40" s="218">
        <v>0</v>
      </c>
      <c r="G40" s="216">
        <f t="shared" si="13"/>
        <v>0</v>
      </c>
      <c r="H40" s="216">
        <f t="shared" si="6"/>
        <v>18476.553331563173</v>
      </c>
      <c r="I40" s="217">
        <v>0</v>
      </c>
      <c r="J40" s="216">
        <v>0</v>
      </c>
      <c r="K40" s="216">
        <v>0</v>
      </c>
      <c r="L40" s="216">
        <v>0</v>
      </c>
      <c r="M40" s="208">
        <f t="shared" si="7"/>
        <v>0</v>
      </c>
      <c r="N40" s="208">
        <f t="shared" si="7"/>
        <v>0</v>
      </c>
      <c r="O40" s="208">
        <f t="shared" si="8"/>
        <v>0</v>
      </c>
      <c r="P40" s="216">
        <v>0</v>
      </c>
      <c r="Q40" s="208">
        <f t="shared" si="9"/>
        <v>0</v>
      </c>
      <c r="R40" s="216">
        <f t="shared" si="1"/>
        <v>0</v>
      </c>
      <c r="S40" s="216">
        <v>0</v>
      </c>
      <c r="T40" s="216">
        <f t="shared" si="2"/>
        <v>18476.553331563173</v>
      </c>
      <c r="U40" s="216">
        <f t="shared" si="3"/>
        <v>18476.553331563173</v>
      </c>
      <c r="V40" s="216">
        <v>0</v>
      </c>
      <c r="W40" s="216">
        <v>0</v>
      </c>
      <c r="X40" s="216">
        <f t="shared" si="4"/>
        <v>0</v>
      </c>
      <c r="Y40" s="216">
        <f t="shared" si="12"/>
        <v>18476.553331563173</v>
      </c>
      <c r="Z40" s="216">
        <f t="shared" si="10"/>
        <v>0</v>
      </c>
      <c r="AA40" s="216">
        <v>0</v>
      </c>
      <c r="AB40" s="221">
        <v>0</v>
      </c>
      <c r="AC40" s="216">
        <f t="shared" si="11"/>
        <v>0</v>
      </c>
    </row>
    <row r="41" spans="1:29" s="213" customFormat="1" ht="15.95" customHeight="1">
      <c r="A41" s="214" t="s">
        <v>207</v>
      </c>
      <c r="B41" s="215">
        <v>2661061.7891254071</v>
      </c>
      <c r="C41" s="207">
        <v>49366.184728210195</v>
      </c>
      <c r="D41" s="216">
        <f t="shared" si="5"/>
        <v>2710427.9738536174</v>
      </c>
      <c r="E41" s="217">
        <v>614000</v>
      </c>
      <c r="F41" s="218">
        <v>0</v>
      </c>
      <c r="G41" s="216">
        <f t="shared" si="13"/>
        <v>614000</v>
      </c>
      <c r="H41" s="216">
        <f t="shared" si="6"/>
        <v>3324427.9738536174</v>
      </c>
      <c r="I41" s="217">
        <v>0</v>
      </c>
      <c r="J41" s="216">
        <v>2035183.66</v>
      </c>
      <c r="K41" s="216">
        <v>0</v>
      </c>
      <c r="L41" s="216">
        <v>0</v>
      </c>
      <c r="M41" s="208">
        <f t="shared" si="7"/>
        <v>0</v>
      </c>
      <c r="N41" s="208">
        <f t="shared" si="7"/>
        <v>2035183.66</v>
      </c>
      <c r="O41" s="208">
        <f t="shared" si="8"/>
        <v>2035183.66</v>
      </c>
      <c r="P41" s="216">
        <v>0</v>
      </c>
      <c r="Q41" s="208">
        <f t="shared" si="9"/>
        <v>2035183.66</v>
      </c>
      <c r="R41" s="216">
        <f t="shared" si="1"/>
        <v>0</v>
      </c>
      <c r="S41" s="216">
        <v>0</v>
      </c>
      <c r="T41" s="216">
        <f t="shared" si="2"/>
        <v>1289244.3138536175</v>
      </c>
      <c r="U41" s="216">
        <f t="shared" si="3"/>
        <v>1289244.3138536175</v>
      </c>
      <c r="V41" s="216">
        <v>0</v>
      </c>
      <c r="W41" s="216">
        <v>0</v>
      </c>
      <c r="X41" s="216">
        <f t="shared" si="4"/>
        <v>0</v>
      </c>
      <c r="Y41" s="216">
        <f t="shared" si="12"/>
        <v>1289244.3138536175</v>
      </c>
      <c r="Z41" s="216">
        <f t="shared" si="10"/>
        <v>0</v>
      </c>
      <c r="AA41" s="216">
        <v>0</v>
      </c>
      <c r="AB41" s="219">
        <v>0</v>
      </c>
      <c r="AC41" s="216">
        <f t="shared" si="11"/>
        <v>0</v>
      </c>
    </row>
    <row r="42" spans="1:29" s="213" customFormat="1" ht="15.95" customHeight="1">
      <c r="A42" s="214" t="s">
        <v>208</v>
      </c>
      <c r="B42" s="215">
        <v>12684854.760177668</v>
      </c>
      <c r="C42" s="207">
        <v>237007.3836571009</v>
      </c>
      <c r="D42" s="216">
        <f t="shared" si="5"/>
        <v>12921862.14383477</v>
      </c>
      <c r="E42" s="217">
        <v>200000</v>
      </c>
      <c r="F42" s="218">
        <v>0</v>
      </c>
      <c r="G42" s="216">
        <f t="shared" si="13"/>
        <v>200000</v>
      </c>
      <c r="H42" s="216">
        <f t="shared" si="6"/>
        <v>13121862.14383477</v>
      </c>
      <c r="I42" s="217">
        <v>0</v>
      </c>
      <c r="J42" s="216">
        <v>7436218.3500000006</v>
      </c>
      <c r="K42" s="216">
        <v>0</v>
      </c>
      <c r="L42" s="216">
        <v>0</v>
      </c>
      <c r="M42" s="208">
        <f t="shared" si="7"/>
        <v>0</v>
      </c>
      <c r="N42" s="208">
        <f t="shared" si="7"/>
        <v>7436218.3500000006</v>
      </c>
      <c r="O42" s="208">
        <f t="shared" si="8"/>
        <v>7436218.3500000006</v>
      </c>
      <c r="P42" s="216">
        <v>0</v>
      </c>
      <c r="Q42" s="208">
        <f t="shared" si="9"/>
        <v>7436218.3500000006</v>
      </c>
      <c r="R42" s="216">
        <f t="shared" si="1"/>
        <v>0</v>
      </c>
      <c r="S42" s="216">
        <v>0</v>
      </c>
      <c r="T42" s="216">
        <f t="shared" si="2"/>
        <v>5685643.7938347692</v>
      </c>
      <c r="U42" s="216">
        <f t="shared" si="3"/>
        <v>5685643.7938347692</v>
      </c>
      <c r="V42" s="216">
        <v>0</v>
      </c>
      <c r="W42" s="216">
        <v>0</v>
      </c>
      <c r="X42" s="216">
        <f t="shared" si="4"/>
        <v>0</v>
      </c>
      <c r="Y42" s="216">
        <f t="shared" si="12"/>
        <v>5685643.7938347692</v>
      </c>
      <c r="Z42" s="216">
        <f t="shared" si="10"/>
        <v>0</v>
      </c>
      <c r="AA42" s="216">
        <v>16700000</v>
      </c>
      <c r="AB42" s="219">
        <v>0</v>
      </c>
      <c r="AC42" s="216">
        <f t="shared" si="11"/>
        <v>0</v>
      </c>
    </row>
    <row r="43" spans="1:29" s="213" customFormat="1" ht="15.95" customHeight="1">
      <c r="A43" s="214" t="s">
        <v>678</v>
      </c>
      <c r="B43" s="215">
        <v>7189585.8157812599</v>
      </c>
      <c r="C43" s="207">
        <v>113487.17192443532</v>
      </c>
      <c r="D43" s="216">
        <f t="shared" si="5"/>
        <v>7303072.9877056954</v>
      </c>
      <c r="E43" s="217">
        <v>0</v>
      </c>
      <c r="F43" s="218">
        <v>0</v>
      </c>
      <c r="G43" s="216">
        <f t="shared" si="13"/>
        <v>0</v>
      </c>
      <c r="H43" s="216">
        <f t="shared" si="6"/>
        <v>7303072.9877056954</v>
      </c>
      <c r="I43" s="217">
        <v>0</v>
      </c>
      <c r="J43" s="216">
        <v>7109072.04</v>
      </c>
      <c r="K43" s="216">
        <v>0</v>
      </c>
      <c r="L43" s="216">
        <v>0</v>
      </c>
      <c r="M43" s="208">
        <f t="shared" si="7"/>
        <v>0</v>
      </c>
      <c r="N43" s="208">
        <f t="shared" si="7"/>
        <v>7109072.04</v>
      </c>
      <c r="O43" s="208">
        <f t="shared" si="8"/>
        <v>7109072.04</v>
      </c>
      <c r="P43" s="216">
        <v>0</v>
      </c>
      <c r="Q43" s="208">
        <f t="shared" si="9"/>
        <v>7109072.04</v>
      </c>
      <c r="R43" s="216">
        <f t="shared" si="1"/>
        <v>0</v>
      </c>
      <c r="S43" s="216">
        <v>-260931.90518473927</v>
      </c>
      <c r="T43" s="216">
        <f t="shared" si="2"/>
        <v>194000.94770569541</v>
      </c>
      <c r="U43" s="216">
        <f t="shared" si="3"/>
        <v>194000.94770569541</v>
      </c>
      <c r="V43" s="216">
        <v>0</v>
      </c>
      <c r="W43" s="216">
        <v>0</v>
      </c>
      <c r="X43" s="216">
        <f t="shared" si="4"/>
        <v>0</v>
      </c>
      <c r="Y43" s="216">
        <f t="shared" si="12"/>
        <v>194000.94770569541</v>
      </c>
      <c r="Z43" s="216">
        <f t="shared" si="10"/>
        <v>0</v>
      </c>
      <c r="AA43" s="216">
        <v>0</v>
      </c>
      <c r="AB43" s="219">
        <v>0</v>
      </c>
      <c r="AC43" s="216">
        <f t="shared" si="11"/>
        <v>0</v>
      </c>
    </row>
    <row r="44" spans="1:29" s="213" customFormat="1" ht="15.95" customHeight="1">
      <c r="A44" s="214" t="s">
        <v>525</v>
      </c>
      <c r="B44" s="215">
        <v>14715123.15706173</v>
      </c>
      <c r="C44" s="207">
        <v>262737.65230976528</v>
      </c>
      <c r="D44" s="216">
        <f t="shared" si="5"/>
        <v>14977860.809371496</v>
      </c>
      <c r="E44" s="217">
        <v>0</v>
      </c>
      <c r="F44" s="218">
        <v>0</v>
      </c>
      <c r="G44" s="216">
        <f t="shared" si="13"/>
        <v>0</v>
      </c>
      <c r="H44" s="216">
        <f t="shared" si="6"/>
        <v>14977860.809371496</v>
      </c>
      <c r="I44" s="217">
        <v>0</v>
      </c>
      <c r="J44" s="216">
        <v>13351143.16</v>
      </c>
      <c r="K44" s="216">
        <v>0</v>
      </c>
      <c r="L44" s="216">
        <v>0</v>
      </c>
      <c r="M44" s="208">
        <f t="shared" si="7"/>
        <v>0</v>
      </c>
      <c r="N44" s="208">
        <f t="shared" si="7"/>
        <v>13351143.16</v>
      </c>
      <c r="O44" s="208">
        <f t="shared" si="8"/>
        <v>13351143.16</v>
      </c>
      <c r="P44" s="216">
        <v>0</v>
      </c>
      <c r="Q44" s="208">
        <f t="shared" si="9"/>
        <v>13351143.16</v>
      </c>
      <c r="R44" s="216">
        <f t="shared" si="1"/>
        <v>0</v>
      </c>
      <c r="S44" s="216">
        <v>0</v>
      </c>
      <c r="T44" s="216">
        <f t="shared" si="2"/>
        <v>1626717.6493714955</v>
      </c>
      <c r="U44" s="216">
        <f t="shared" si="3"/>
        <v>1626717.6493714955</v>
      </c>
      <c r="V44" s="216">
        <v>0</v>
      </c>
      <c r="W44" s="216">
        <v>0</v>
      </c>
      <c r="X44" s="216">
        <f t="shared" si="4"/>
        <v>0</v>
      </c>
      <c r="Y44" s="216">
        <f t="shared" si="12"/>
        <v>1626717.6493714955</v>
      </c>
      <c r="Z44" s="216">
        <f t="shared" si="10"/>
        <v>0</v>
      </c>
      <c r="AA44" s="216">
        <v>3500000</v>
      </c>
      <c r="AB44" s="219">
        <v>2231541.83</v>
      </c>
      <c r="AC44" s="216">
        <f t="shared" si="11"/>
        <v>0</v>
      </c>
    </row>
    <row r="45" spans="1:29" s="213" customFormat="1" ht="15.95" customHeight="1">
      <c r="A45" s="214" t="s">
        <v>211</v>
      </c>
      <c r="B45" s="215">
        <v>7642402.5836190591</v>
      </c>
      <c r="C45" s="207">
        <v>141845.22414451488</v>
      </c>
      <c r="D45" s="216">
        <f t="shared" si="5"/>
        <v>7784247.8077635737</v>
      </c>
      <c r="E45" s="217">
        <v>-3100000</v>
      </c>
      <c r="F45" s="218">
        <v>0</v>
      </c>
      <c r="G45" s="216">
        <f t="shared" si="13"/>
        <v>-3100000</v>
      </c>
      <c r="H45" s="216">
        <f t="shared" si="6"/>
        <v>4684247.8077635737</v>
      </c>
      <c r="I45" s="217">
        <v>0</v>
      </c>
      <c r="J45" s="216">
        <v>2588676</v>
      </c>
      <c r="K45" s="216">
        <v>0</v>
      </c>
      <c r="L45" s="216">
        <v>0</v>
      </c>
      <c r="M45" s="208">
        <f t="shared" si="7"/>
        <v>0</v>
      </c>
      <c r="N45" s="208">
        <f t="shared" si="7"/>
        <v>2588676</v>
      </c>
      <c r="O45" s="208">
        <f t="shared" si="8"/>
        <v>2588676</v>
      </c>
      <c r="P45" s="216">
        <v>0</v>
      </c>
      <c r="Q45" s="208">
        <f t="shared" si="9"/>
        <v>2588676</v>
      </c>
      <c r="R45" s="216">
        <f t="shared" si="1"/>
        <v>0</v>
      </c>
      <c r="S45" s="216">
        <v>0</v>
      </c>
      <c r="T45" s="216">
        <f t="shared" si="2"/>
        <v>2095571.8077635737</v>
      </c>
      <c r="U45" s="216">
        <f t="shared" si="3"/>
        <v>2095571.8077635737</v>
      </c>
      <c r="V45" s="216">
        <v>0</v>
      </c>
      <c r="W45" s="216">
        <v>0</v>
      </c>
      <c r="X45" s="216">
        <f t="shared" si="4"/>
        <v>0</v>
      </c>
      <c r="Y45" s="216">
        <f t="shared" si="12"/>
        <v>2095571.8077635737</v>
      </c>
      <c r="Z45" s="216">
        <f t="shared" si="10"/>
        <v>0</v>
      </c>
      <c r="AA45" s="216">
        <v>0</v>
      </c>
      <c r="AB45" s="221">
        <v>0</v>
      </c>
      <c r="AC45" s="216">
        <f t="shared" si="11"/>
        <v>0</v>
      </c>
    </row>
    <row r="46" spans="1:29" s="213" customFormat="1" ht="15.95" customHeight="1">
      <c r="A46" s="214" t="s">
        <v>212</v>
      </c>
      <c r="B46" s="215">
        <v>2693633.2522851108</v>
      </c>
      <c r="C46" s="207">
        <v>50338.98574729915</v>
      </c>
      <c r="D46" s="216">
        <f t="shared" si="5"/>
        <v>2743972.2380324099</v>
      </c>
      <c r="E46" s="217">
        <v>200000</v>
      </c>
      <c r="F46" s="218">
        <v>0</v>
      </c>
      <c r="G46" s="216">
        <f t="shared" si="13"/>
        <v>200000</v>
      </c>
      <c r="H46" s="216">
        <f t="shared" si="6"/>
        <v>2943972.2380324099</v>
      </c>
      <c r="I46" s="217">
        <v>0</v>
      </c>
      <c r="J46" s="216">
        <v>1068399.6100000001</v>
      </c>
      <c r="K46" s="216">
        <v>0</v>
      </c>
      <c r="L46" s="216">
        <v>0</v>
      </c>
      <c r="M46" s="208">
        <f t="shared" si="7"/>
        <v>0</v>
      </c>
      <c r="N46" s="208">
        <f t="shared" si="7"/>
        <v>1068399.6100000001</v>
      </c>
      <c r="O46" s="208">
        <f t="shared" si="8"/>
        <v>1068399.6100000001</v>
      </c>
      <c r="P46" s="216">
        <v>258265.85000000006</v>
      </c>
      <c r="Q46" s="208">
        <f t="shared" si="9"/>
        <v>1326665.4600000002</v>
      </c>
      <c r="R46" s="216">
        <f t="shared" si="1"/>
        <v>0</v>
      </c>
      <c r="S46" s="216">
        <v>0</v>
      </c>
      <c r="T46" s="216">
        <f t="shared" si="2"/>
        <v>1617306.7780324097</v>
      </c>
      <c r="U46" s="216">
        <f t="shared" si="3"/>
        <v>1617306.7780324097</v>
      </c>
      <c r="V46" s="216">
        <v>0</v>
      </c>
      <c r="W46" s="216">
        <v>1441734.15</v>
      </c>
      <c r="X46" s="216">
        <f t="shared" si="4"/>
        <v>1441734.15</v>
      </c>
      <c r="Y46" s="216">
        <f t="shared" si="12"/>
        <v>175572.62803240982</v>
      </c>
      <c r="Z46" s="216">
        <f t="shared" si="10"/>
        <v>0</v>
      </c>
      <c r="AA46" s="216">
        <v>0</v>
      </c>
      <c r="AB46" s="219">
        <v>0</v>
      </c>
      <c r="AC46" s="216">
        <f t="shared" si="11"/>
        <v>0</v>
      </c>
    </row>
    <row r="47" spans="1:29" s="213" customFormat="1" ht="15.95" customHeight="1">
      <c r="A47" s="214" t="s">
        <v>218</v>
      </c>
      <c r="B47" s="215">
        <v>7574239.6148155509</v>
      </c>
      <c r="C47" s="207">
        <v>136697.8168551405</v>
      </c>
      <c r="D47" s="216">
        <f t="shared" si="5"/>
        <v>7710937.4316706918</v>
      </c>
      <c r="E47" s="217">
        <v>0</v>
      </c>
      <c r="F47" s="218">
        <v>0</v>
      </c>
      <c r="G47" s="216">
        <f t="shared" si="13"/>
        <v>0</v>
      </c>
      <c r="H47" s="216">
        <f t="shared" si="6"/>
        <v>7710937.4316706918</v>
      </c>
      <c r="I47" s="217">
        <v>0</v>
      </c>
      <c r="J47" s="216">
        <v>6685052.1699999999</v>
      </c>
      <c r="K47" s="216">
        <v>0</v>
      </c>
      <c r="L47" s="216">
        <v>0</v>
      </c>
      <c r="M47" s="208">
        <f t="shared" si="7"/>
        <v>0</v>
      </c>
      <c r="N47" s="208">
        <f t="shared" si="7"/>
        <v>6685052.1699999999</v>
      </c>
      <c r="O47" s="208">
        <f t="shared" si="8"/>
        <v>6685052.1699999999</v>
      </c>
      <c r="P47" s="216">
        <v>73337.549999999988</v>
      </c>
      <c r="Q47" s="208">
        <f t="shared" si="9"/>
        <v>6758389.7199999997</v>
      </c>
      <c r="R47" s="216">
        <f t="shared" si="1"/>
        <v>0</v>
      </c>
      <c r="S47" s="216">
        <v>0</v>
      </c>
      <c r="T47" s="216">
        <f t="shared" si="2"/>
        <v>952547.71167069208</v>
      </c>
      <c r="U47" s="216">
        <f t="shared" si="3"/>
        <v>952547.71167069208</v>
      </c>
      <c r="V47" s="216">
        <v>0</v>
      </c>
      <c r="W47" s="216">
        <v>1426662.45</v>
      </c>
      <c r="X47" s="216">
        <f t="shared" si="4"/>
        <v>1426662.45</v>
      </c>
      <c r="Y47" s="216">
        <f t="shared" si="12"/>
        <v>0</v>
      </c>
      <c r="Z47" s="216">
        <f t="shared" si="10"/>
        <v>-474114.73832930787</v>
      </c>
      <c r="AA47" s="216">
        <v>5221635</v>
      </c>
      <c r="AB47" s="219">
        <v>3486337.4</v>
      </c>
      <c r="AC47" s="216">
        <f t="shared" si="11"/>
        <v>-3.4683416987685338</v>
      </c>
    </row>
    <row r="48" spans="1:29" s="213" customFormat="1" ht="15.95" customHeight="1">
      <c r="A48" s="214" t="s">
        <v>526</v>
      </c>
      <c r="B48" s="215">
        <v>4399761.5865059486</v>
      </c>
      <c r="C48" s="207">
        <v>78006.574851960293</v>
      </c>
      <c r="D48" s="216">
        <f t="shared" si="5"/>
        <v>4477768.1613579085</v>
      </c>
      <c r="E48" s="217">
        <v>0</v>
      </c>
      <c r="F48" s="218">
        <v>0</v>
      </c>
      <c r="G48" s="216">
        <f t="shared" si="13"/>
        <v>0</v>
      </c>
      <c r="H48" s="216">
        <f t="shared" si="6"/>
        <v>4477768.1613579085</v>
      </c>
      <c r="I48" s="217">
        <v>0</v>
      </c>
      <c r="J48" s="216">
        <v>2780172.43</v>
      </c>
      <c r="K48" s="216">
        <v>0</v>
      </c>
      <c r="L48" s="216">
        <v>0</v>
      </c>
      <c r="M48" s="208">
        <f t="shared" si="7"/>
        <v>0</v>
      </c>
      <c r="N48" s="208">
        <f t="shared" si="7"/>
        <v>2780172.43</v>
      </c>
      <c r="O48" s="208">
        <f t="shared" si="8"/>
        <v>2780172.43</v>
      </c>
      <c r="P48" s="216">
        <v>0</v>
      </c>
      <c r="Q48" s="208">
        <f t="shared" si="9"/>
        <v>2780172.43</v>
      </c>
      <c r="R48" s="216">
        <f t="shared" si="1"/>
        <v>0</v>
      </c>
      <c r="S48" s="216">
        <v>0</v>
      </c>
      <c r="T48" s="216">
        <f t="shared" si="2"/>
        <v>1697595.7313579083</v>
      </c>
      <c r="U48" s="216">
        <f t="shared" si="3"/>
        <v>1697595.7313579083</v>
      </c>
      <c r="V48" s="216">
        <v>0</v>
      </c>
      <c r="W48" s="216">
        <v>0</v>
      </c>
      <c r="X48" s="216">
        <f t="shared" si="4"/>
        <v>0</v>
      </c>
      <c r="Y48" s="216">
        <f t="shared" si="12"/>
        <v>1697595.7313579083</v>
      </c>
      <c r="Z48" s="216">
        <f t="shared" si="10"/>
        <v>0</v>
      </c>
      <c r="AA48" s="216">
        <v>0</v>
      </c>
      <c r="AB48" s="219">
        <v>0</v>
      </c>
      <c r="AC48" s="216">
        <f t="shared" si="11"/>
        <v>0</v>
      </c>
    </row>
    <row r="49" spans="1:29" s="213" customFormat="1" ht="15.95" customHeight="1">
      <c r="A49" s="214" t="s">
        <v>126</v>
      </c>
      <c r="B49" s="215">
        <v>2738826.9708266528</v>
      </c>
      <c r="C49" s="207">
        <v>43417.923235766197</v>
      </c>
      <c r="D49" s="216">
        <f t="shared" si="5"/>
        <v>2782244.894062419</v>
      </c>
      <c r="E49" s="217">
        <v>2610587</v>
      </c>
      <c r="F49" s="218">
        <v>0</v>
      </c>
      <c r="G49" s="216">
        <f t="shared" si="13"/>
        <v>2610587</v>
      </c>
      <c r="H49" s="216">
        <f t="shared" si="6"/>
        <v>5392831.8940624185</v>
      </c>
      <c r="I49" s="217">
        <v>0</v>
      </c>
      <c r="J49" s="216">
        <v>4226650.12</v>
      </c>
      <c r="K49" s="216">
        <v>0</v>
      </c>
      <c r="L49" s="216">
        <v>0</v>
      </c>
      <c r="M49" s="208">
        <f t="shared" si="7"/>
        <v>0</v>
      </c>
      <c r="N49" s="208">
        <f t="shared" si="7"/>
        <v>4226650.12</v>
      </c>
      <c r="O49" s="208">
        <f t="shared" si="8"/>
        <v>4226650.12</v>
      </c>
      <c r="P49" s="216">
        <v>1267817.81</v>
      </c>
      <c r="Q49" s="208">
        <f t="shared" si="9"/>
        <v>5494467.9299999997</v>
      </c>
      <c r="R49" s="216">
        <f t="shared" si="1"/>
        <v>-101636.03593758121</v>
      </c>
      <c r="S49" s="216">
        <v>0</v>
      </c>
      <c r="T49" s="216">
        <f t="shared" si="2"/>
        <v>0</v>
      </c>
      <c r="U49" s="216">
        <f t="shared" si="3"/>
        <v>-101636.03593758121</v>
      </c>
      <c r="V49" s="216">
        <v>0</v>
      </c>
      <c r="W49" s="228">
        <v>0</v>
      </c>
      <c r="X49" s="216">
        <f t="shared" si="4"/>
        <v>0</v>
      </c>
      <c r="Y49" s="216">
        <f t="shared" si="12"/>
        <v>0</v>
      </c>
      <c r="Z49" s="216">
        <f t="shared" si="10"/>
        <v>-101636.03593758121</v>
      </c>
      <c r="AA49" s="216">
        <v>0</v>
      </c>
      <c r="AB49" s="219">
        <v>0</v>
      </c>
      <c r="AC49" s="222">
        <f t="shared" si="11"/>
        <v>-2.340877415662685</v>
      </c>
    </row>
    <row r="50" spans="1:29" s="213" customFormat="1" ht="15.95" customHeight="1">
      <c r="A50" s="214" t="s">
        <v>679</v>
      </c>
      <c r="B50" s="215">
        <v>2291250.0389384101</v>
      </c>
      <c r="C50" s="207">
        <v>44251.003939246802</v>
      </c>
      <c r="D50" s="216">
        <f t="shared" si="5"/>
        <v>2335501.0428776569</v>
      </c>
      <c r="E50" s="217">
        <v>0</v>
      </c>
      <c r="F50" s="218">
        <v>0</v>
      </c>
      <c r="G50" s="216">
        <f t="shared" si="13"/>
        <v>0</v>
      </c>
      <c r="H50" s="216">
        <f t="shared" si="6"/>
        <v>2335501.0428776569</v>
      </c>
      <c r="I50" s="217">
        <v>0</v>
      </c>
      <c r="J50" s="216">
        <v>1518315.54</v>
      </c>
      <c r="K50" s="216">
        <v>0</v>
      </c>
      <c r="L50" s="216">
        <v>0</v>
      </c>
      <c r="M50" s="208">
        <f t="shared" si="7"/>
        <v>0</v>
      </c>
      <c r="N50" s="208">
        <f t="shared" si="7"/>
        <v>1518315.54</v>
      </c>
      <c r="O50" s="208">
        <f t="shared" si="8"/>
        <v>1518315.54</v>
      </c>
      <c r="P50" s="216"/>
      <c r="Q50" s="208">
        <f t="shared" si="9"/>
        <v>1518315.54</v>
      </c>
      <c r="R50" s="216">
        <f t="shared" si="1"/>
        <v>0</v>
      </c>
      <c r="S50" s="216">
        <v>0</v>
      </c>
      <c r="T50" s="216">
        <f t="shared" si="2"/>
        <v>817185.50287765684</v>
      </c>
      <c r="U50" s="216">
        <f t="shared" si="3"/>
        <v>817185.50287765684</v>
      </c>
      <c r="V50" s="216">
        <v>0</v>
      </c>
      <c r="W50" s="216">
        <v>0</v>
      </c>
      <c r="X50" s="216">
        <f t="shared" si="4"/>
        <v>0</v>
      </c>
      <c r="Y50" s="216">
        <f t="shared" si="12"/>
        <v>817185.50287765684</v>
      </c>
      <c r="Z50" s="216">
        <f t="shared" si="10"/>
        <v>0</v>
      </c>
      <c r="AA50" s="216">
        <v>0</v>
      </c>
      <c r="AB50" s="219">
        <v>0</v>
      </c>
      <c r="AC50" s="216">
        <f t="shared" si="11"/>
        <v>0</v>
      </c>
    </row>
    <row r="51" spans="1:29" s="213" customFormat="1" ht="15.95" customHeight="1">
      <c r="A51" s="214" t="s">
        <v>226</v>
      </c>
      <c r="B51" s="215">
        <v>3124381.9668610427</v>
      </c>
      <c r="C51" s="207">
        <v>72982.527316481399</v>
      </c>
      <c r="D51" s="216">
        <f t="shared" si="5"/>
        <v>3197364.494177524</v>
      </c>
      <c r="E51" s="217">
        <v>0</v>
      </c>
      <c r="F51" s="218">
        <v>0</v>
      </c>
      <c r="G51" s="216">
        <f t="shared" si="13"/>
        <v>0</v>
      </c>
      <c r="H51" s="216">
        <f t="shared" si="6"/>
        <v>3197364.494177524</v>
      </c>
      <c r="I51" s="217">
        <v>0</v>
      </c>
      <c r="J51" s="216">
        <v>1856597.71</v>
      </c>
      <c r="K51" s="216">
        <v>0</v>
      </c>
      <c r="L51" s="216">
        <v>0</v>
      </c>
      <c r="M51" s="208">
        <f t="shared" si="7"/>
        <v>0</v>
      </c>
      <c r="N51" s="208">
        <f t="shared" si="7"/>
        <v>1856597.71</v>
      </c>
      <c r="O51" s="208">
        <f t="shared" si="8"/>
        <v>1856597.71</v>
      </c>
      <c r="P51" s="216">
        <v>0</v>
      </c>
      <c r="Q51" s="208">
        <f t="shared" si="9"/>
        <v>1856597.71</v>
      </c>
      <c r="R51" s="216">
        <f t="shared" si="1"/>
        <v>0</v>
      </c>
      <c r="S51" s="216">
        <v>0</v>
      </c>
      <c r="T51" s="216">
        <f t="shared" si="2"/>
        <v>1340766.784177524</v>
      </c>
      <c r="U51" s="216">
        <f t="shared" si="3"/>
        <v>1340766.784177524</v>
      </c>
      <c r="V51" s="216">
        <v>0</v>
      </c>
      <c r="W51" s="216">
        <v>0</v>
      </c>
      <c r="X51" s="216">
        <f t="shared" si="4"/>
        <v>0</v>
      </c>
      <c r="Y51" s="216">
        <f t="shared" si="12"/>
        <v>1340766.784177524</v>
      </c>
      <c r="Z51" s="216">
        <f t="shared" si="10"/>
        <v>0</v>
      </c>
      <c r="AA51" s="216">
        <v>0</v>
      </c>
      <c r="AB51" s="221">
        <v>0</v>
      </c>
      <c r="AC51" s="216">
        <f t="shared" si="11"/>
        <v>0</v>
      </c>
    </row>
    <row r="52" spans="1:29" s="213" customFormat="1" ht="15.95" customHeight="1">
      <c r="A52" s="214" t="s">
        <v>227</v>
      </c>
      <c r="B52" s="215">
        <v>18174883.33153896</v>
      </c>
      <c r="C52" s="207">
        <v>344271.97126808215</v>
      </c>
      <c r="D52" s="216">
        <f t="shared" si="5"/>
        <v>18519155.302807044</v>
      </c>
      <c r="E52" s="217">
        <v>256000</v>
      </c>
      <c r="F52" s="218">
        <v>0</v>
      </c>
      <c r="G52" s="216">
        <f t="shared" si="13"/>
        <v>256000</v>
      </c>
      <c r="H52" s="216">
        <f t="shared" si="6"/>
        <v>18775155.302807044</v>
      </c>
      <c r="I52" s="217">
        <v>0</v>
      </c>
      <c r="J52" s="216">
        <v>16008813.57</v>
      </c>
      <c r="K52" s="216">
        <v>0</v>
      </c>
      <c r="L52" s="216">
        <v>0</v>
      </c>
      <c r="M52" s="208">
        <f t="shared" si="7"/>
        <v>0</v>
      </c>
      <c r="N52" s="208">
        <f t="shared" si="7"/>
        <v>16008813.57</v>
      </c>
      <c r="O52" s="208">
        <f t="shared" si="8"/>
        <v>16008813.57</v>
      </c>
      <c r="P52" s="216">
        <v>795035.33000000007</v>
      </c>
      <c r="Q52" s="208">
        <f t="shared" si="9"/>
        <v>16803848.899999999</v>
      </c>
      <c r="R52" s="216">
        <f t="shared" si="1"/>
        <v>0</v>
      </c>
      <c r="S52" s="216">
        <v>0</v>
      </c>
      <c r="T52" s="216">
        <f t="shared" si="2"/>
        <v>1971306.4028070457</v>
      </c>
      <c r="U52" s="216">
        <f t="shared" si="3"/>
        <v>1971306.4028070457</v>
      </c>
      <c r="V52" s="216">
        <v>0</v>
      </c>
      <c r="W52" s="228">
        <v>0</v>
      </c>
      <c r="X52" s="216">
        <f t="shared" si="4"/>
        <v>0</v>
      </c>
      <c r="Y52" s="216">
        <f t="shared" si="12"/>
        <v>1971306.4028070457</v>
      </c>
      <c r="Z52" s="216">
        <f t="shared" si="10"/>
        <v>0</v>
      </c>
      <c r="AB52" s="221">
        <v>1493888.48</v>
      </c>
      <c r="AC52" s="216">
        <f t="shared" si="11"/>
        <v>0</v>
      </c>
    </row>
    <row r="53" spans="1:29" s="213" customFormat="1" ht="15.95" customHeight="1">
      <c r="A53" s="214" t="s">
        <v>235</v>
      </c>
      <c r="B53" s="215">
        <v>2444934.3447742574</v>
      </c>
      <c r="C53" s="207">
        <v>42640.459435435943</v>
      </c>
      <c r="D53" s="216">
        <f t="shared" si="5"/>
        <v>2487574.8042096933</v>
      </c>
      <c r="E53" s="217">
        <v>46875</v>
      </c>
      <c r="F53" s="218">
        <v>0</v>
      </c>
      <c r="G53" s="216">
        <f t="shared" si="13"/>
        <v>46875</v>
      </c>
      <c r="H53" s="216">
        <f t="shared" si="6"/>
        <v>2534449.8042096933</v>
      </c>
      <c r="I53" s="217">
        <v>0</v>
      </c>
      <c r="J53" s="216">
        <v>2622274.1</v>
      </c>
      <c r="K53" s="216">
        <v>0</v>
      </c>
      <c r="L53" s="216">
        <v>0</v>
      </c>
      <c r="M53" s="208">
        <f t="shared" si="7"/>
        <v>0</v>
      </c>
      <c r="N53" s="208">
        <f t="shared" si="7"/>
        <v>2622274.1</v>
      </c>
      <c r="O53" s="208">
        <f t="shared" si="8"/>
        <v>2622274.1</v>
      </c>
      <c r="P53" s="216">
        <v>0</v>
      </c>
      <c r="Q53" s="208">
        <f t="shared" si="9"/>
        <v>2622274.1</v>
      </c>
      <c r="R53" s="216">
        <f t="shared" si="1"/>
        <v>-87824.295790306758</v>
      </c>
      <c r="S53" s="216">
        <v>-242500.28744275542</v>
      </c>
      <c r="T53" s="216">
        <f t="shared" si="2"/>
        <v>0</v>
      </c>
      <c r="U53" s="216">
        <f t="shared" si="3"/>
        <v>-87824.295790306758</v>
      </c>
      <c r="V53" s="216">
        <v>0</v>
      </c>
      <c r="W53" s="216">
        <v>0</v>
      </c>
      <c r="X53" s="216">
        <f t="shared" si="4"/>
        <v>0</v>
      </c>
      <c r="Y53" s="216">
        <f t="shared" si="12"/>
        <v>0</v>
      </c>
      <c r="Z53" s="216">
        <f t="shared" si="10"/>
        <v>-87824.295790306758</v>
      </c>
      <c r="AA53" s="216">
        <v>0</v>
      </c>
      <c r="AB53" s="219">
        <v>0</v>
      </c>
      <c r="AC53" s="216">
        <f t="shared" si="11"/>
        <v>-2.0596470336649615</v>
      </c>
    </row>
    <row r="54" spans="1:29" s="213" customFormat="1" ht="15.95" customHeight="1">
      <c r="A54" s="214" t="s">
        <v>684</v>
      </c>
      <c r="B54" s="215">
        <v>279710.31190705148</v>
      </c>
      <c r="C54" s="207">
        <v>36921.150195674971</v>
      </c>
      <c r="D54" s="216">
        <f t="shared" si="5"/>
        <v>316631.46210272645</v>
      </c>
      <c r="E54" s="217">
        <v>0</v>
      </c>
      <c r="F54" s="218">
        <v>0</v>
      </c>
      <c r="G54" s="216">
        <f t="shared" si="13"/>
        <v>0</v>
      </c>
      <c r="H54" s="216">
        <f t="shared" si="6"/>
        <v>316631.46210272645</v>
      </c>
      <c r="I54" s="217">
        <v>0</v>
      </c>
      <c r="J54" s="216">
        <v>0</v>
      </c>
      <c r="K54" s="216">
        <v>0</v>
      </c>
      <c r="L54" s="216">
        <v>0</v>
      </c>
      <c r="M54" s="208">
        <f t="shared" si="7"/>
        <v>0</v>
      </c>
      <c r="N54" s="208">
        <f t="shared" si="7"/>
        <v>0</v>
      </c>
      <c r="O54" s="208">
        <f t="shared" si="8"/>
        <v>0</v>
      </c>
      <c r="P54" s="216">
        <v>0</v>
      </c>
      <c r="Q54" s="208">
        <f t="shared" si="9"/>
        <v>0</v>
      </c>
      <c r="R54" s="216">
        <f t="shared" si="1"/>
        <v>0</v>
      </c>
      <c r="S54" s="216">
        <v>0</v>
      </c>
      <c r="T54" s="216">
        <f t="shared" si="2"/>
        <v>316631.46210272645</v>
      </c>
      <c r="U54" s="216">
        <f t="shared" si="3"/>
        <v>316631.46210272645</v>
      </c>
      <c r="V54" s="216">
        <v>0</v>
      </c>
      <c r="W54" s="216">
        <v>0</v>
      </c>
      <c r="X54" s="216">
        <f t="shared" si="4"/>
        <v>0</v>
      </c>
      <c r="Y54" s="216">
        <f t="shared" si="12"/>
        <v>316631.46210272645</v>
      </c>
      <c r="Z54" s="216">
        <f t="shared" si="10"/>
        <v>0</v>
      </c>
      <c r="AA54" s="216">
        <v>0</v>
      </c>
      <c r="AB54" s="219">
        <v>0</v>
      </c>
      <c r="AC54" s="216">
        <f t="shared" si="11"/>
        <v>0</v>
      </c>
    </row>
    <row r="55" spans="1:29" s="213" customFormat="1" ht="15.95" customHeight="1">
      <c r="A55" s="214" t="s">
        <v>236</v>
      </c>
      <c r="B55" s="215">
        <v>14038760.71620255</v>
      </c>
      <c r="C55" s="207">
        <v>264972.80465256947</v>
      </c>
      <c r="D55" s="216">
        <f t="shared" si="5"/>
        <v>14303733.520855119</v>
      </c>
      <c r="E55" s="217">
        <v>-35000</v>
      </c>
      <c r="F55" s="218">
        <v>0</v>
      </c>
      <c r="G55" s="216">
        <f t="shared" si="13"/>
        <v>-35000</v>
      </c>
      <c r="H55" s="216">
        <f t="shared" si="6"/>
        <v>14268733.520855119</v>
      </c>
      <c r="I55" s="217">
        <v>0</v>
      </c>
      <c r="J55" s="216">
        <v>11692135.699999999</v>
      </c>
      <c r="K55" s="216">
        <v>0</v>
      </c>
      <c r="L55" s="216">
        <v>0</v>
      </c>
      <c r="M55" s="208">
        <f t="shared" si="7"/>
        <v>0</v>
      </c>
      <c r="N55" s="208">
        <f t="shared" si="7"/>
        <v>11692135.699999999</v>
      </c>
      <c r="O55" s="208">
        <f t="shared" si="8"/>
        <v>11692135.699999999</v>
      </c>
      <c r="P55" s="216">
        <v>0</v>
      </c>
      <c r="Q55" s="208">
        <f t="shared" si="9"/>
        <v>11692135.699999999</v>
      </c>
      <c r="R55" s="216">
        <f t="shared" si="1"/>
        <v>0</v>
      </c>
      <c r="S55" s="216">
        <v>0</v>
      </c>
      <c r="T55" s="216">
        <f t="shared" si="2"/>
        <v>2576597.8208551202</v>
      </c>
      <c r="U55" s="216">
        <f t="shared" si="3"/>
        <v>2576597.8208551202</v>
      </c>
      <c r="V55" s="216">
        <v>0</v>
      </c>
      <c r="W55" s="216">
        <v>0</v>
      </c>
      <c r="X55" s="216">
        <f t="shared" si="4"/>
        <v>0</v>
      </c>
      <c r="Y55" s="216">
        <f t="shared" si="12"/>
        <v>2576597.8208551202</v>
      </c>
      <c r="Z55" s="216">
        <f t="shared" si="10"/>
        <v>0</v>
      </c>
      <c r="AA55" s="216">
        <v>0</v>
      </c>
      <c r="AB55" s="219">
        <v>2122437.04</v>
      </c>
      <c r="AC55" s="216">
        <f t="shared" si="11"/>
        <v>0</v>
      </c>
    </row>
    <row r="56" spans="1:29" s="213" customFormat="1" ht="15.95" customHeight="1">
      <c r="A56" s="214" t="s">
        <v>237</v>
      </c>
      <c r="B56" s="215">
        <v>4084222.9290572614</v>
      </c>
      <c r="C56" s="207">
        <v>79188.567673168873</v>
      </c>
      <c r="D56" s="216">
        <f>SUM(B56:C56)</f>
        <v>4163411.4967304305</v>
      </c>
      <c r="E56" s="217">
        <v>1000000</v>
      </c>
      <c r="F56" s="218">
        <v>0</v>
      </c>
      <c r="G56" s="216">
        <f t="shared" si="13"/>
        <v>1000000</v>
      </c>
      <c r="H56" s="216">
        <f t="shared" si="6"/>
        <v>5163411.4967304301</v>
      </c>
      <c r="I56" s="217">
        <v>0</v>
      </c>
      <c r="J56" s="216">
        <v>4176847.91</v>
      </c>
      <c r="K56" s="216">
        <v>0</v>
      </c>
      <c r="L56" s="216">
        <v>0</v>
      </c>
      <c r="M56" s="208">
        <f t="shared" si="7"/>
        <v>0</v>
      </c>
      <c r="N56" s="208">
        <f t="shared" si="7"/>
        <v>4176847.91</v>
      </c>
      <c r="O56" s="208">
        <f t="shared" si="8"/>
        <v>4176847.91</v>
      </c>
      <c r="P56" s="216">
        <v>0</v>
      </c>
      <c r="Q56" s="208">
        <f t="shared" si="9"/>
        <v>4176847.91</v>
      </c>
      <c r="R56" s="216">
        <f t="shared" si="1"/>
        <v>0</v>
      </c>
      <c r="S56" s="216">
        <v>0</v>
      </c>
      <c r="T56" s="216">
        <f t="shared" si="2"/>
        <v>986563.5867304299</v>
      </c>
      <c r="U56" s="216">
        <f t="shared" si="3"/>
        <v>986563.5867304299</v>
      </c>
      <c r="V56" s="216">
        <v>0</v>
      </c>
      <c r="W56" s="216">
        <v>0</v>
      </c>
      <c r="X56" s="216">
        <f t="shared" si="4"/>
        <v>0</v>
      </c>
      <c r="Y56" s="216">
        <f t="shared" si="12"/>
        <v>986563.5867304299</v>
      </c>
      <c r="Z56" s="216">
        <f t="shared" si="10"/>
        <v>0</v>
      </c>
      <c r="AA56" s="216">
        <v>0</v>
      </c>
      <c r="AB56" s="219">
        <v>0</v>
      </c>
      <c r="AC56" s="216">
        <f t="shared" si="11"/>
        <v>0</v>
      </c>
    </row>
    <row r="57" spans="1:29" s="213" customFormat="1" ht="15.95" customHeight="1">
      <c r="A57" s="230" t="s">
        <v>693</v>
      </c>
      <c r="B57" s="215">
        <v>1703609.0822116355</v>
      </c>
      <c r="C57" s="207">
        <v>16013.27213980761</v>
      </c>
      <c r="D57" s="216">
        <f t="shared" si="5"/>
        <v>1719622.3543514432</v>
      </c>
      <c r="E57" s="217">
        <v>0</v>
      </c>
      <c r="F57" s="218">
        <v>0</v>
      </c>
      <c r="G57" s="216">
        <f t="shared" si="13"/>
        <v>0</v>
      </c>
      <c r="H57" s="216">
        <f t="shared" si="6"/>
        <v>1719622.3543514432</v>
      </c>
      <c r="I57" s="217">
        <v>0</v>
      </c>
      <c r="J57" s="216">
        <v>578021</v>
      </c>
      <c r="K57" s="216">
        <v>0</v>
      </c>
      <c r="L57" s="216">
        <v>0</v>
      </c>
      <c r="M57" s="208">
        <f t="shared" si="7"/>
        <v>0</v>
      </c>
      <c r="N57" s="208">
        <f t="shared" si="7"/>
        <v>578021</v>
      </c>
      <c r="O57" s="208">
        <f t="shared" si="8"/>
        <v>578021</v>
      </c>
      <c r="P57" s="216">
        <v>1233844.3499999999</v>
      </c>
      <c r="Q57" s="208">
        <f t="shared" si="9"/>
        <v>1811865.3499999999</v>
      </c>
      <c r="R57" s="216">
        <f t="shared" si="1"/>
        <v>-92242.995648556622</v>
      </c>
      <c r="S57" s="216">
        <v>0</v>
      </c>
      <c r="T57" s="216">
        <f t="shared" si="2"/>
        <v>0</v>
      </c>
      <c r="U57" s="216">
        <f t="shared" si="3"/>
        <v>-92242.995648556622</v>
      </c>
      <c r="V57" s="216">
        <v>0</v>
      </c>
      <c r="W57" s="213">
        <v>0</v>
      </c>
      <c r="X57" s="216">
        <f t="shared" si="4"/>
        <v>0</v>
      </c>
      <c r="Y57" s="216">
        <f t="shared" si="12"/>
        <v>0</v>
      </c>
      <c r="Z57" s="216">
        <f t="shared" si="10"/>
        <v>-92242.995648556622</v>
      </c>
      <c r="AA57" s="216"/>
      <c r="AB57" s="219">
        <v>0</v>
      </c>
      <c r="AC57" s="222">
        <f t="shared" si="11"/>
        <v>-5.760408918502578</v>
      </c>
    </row>
    <row r="58" spans="1:29" s="213" customFormat="1" ht="15.95" customHeight="1">
      <c r="A58" s="214" t="s">
        <v>898</v>
      </c>
      <c r="B58" s="215">
        <v>1183015.1515364368</v>
      </c>
      <c r="C58" s="207">
        <v>20795.835471817292</v>
      </c>
      <c r="D58" s="216">
        <f t="shared" si="5"/>
        <v>1203810.987008254</v>
      </c>
      <c r="E58" s="217">
        <v>403435</v>
      </c>
      <c r="F58" s="218">
        <v>0</v>
      </c>
      <c r="G58" s="216">
        <f t="shared" si="13"/>
        <v>403435</v>
      </c>
      <c r="H58" s="216">
        <f t="shared" si="6"/>
        <v>1607245.987008254</v>
      </c>
      <c r="I58" s="217">
        <v>0</v>
      </c>
      <c r="J58" s="216">
        <v>1562860.04</v>
      </c>
      <c r="K58" s="216">
        <v>0</v>
      </c>
      <c r="L58" s="216">
        <v>0</v>
      </c>
      <c r="M58" s="208">
        <f t="shared" si="7"/>
        <v>0</v>
      </c>
      <c r="N58" s="208">
        <f t="shared" si="7"/>
        <v>1562860.04</v>
      </c>
      <c r="O58" s="208">
        <f t="shared" si="8"/>
        <v>1562860.04</v>
      </c>
      <c r="P58" s="216">
        <v>0</v>
      </c>
      <c r="Q58" s="208">
        <f t="shared" si="9"/>
        <v>1562860.04</v>
      </c>
      <c r="R58" s="216">
        <f t="shared" si="1"/>
        <v>0</v>
      </c>
      <c r="S58" s="216">
        <v>-31501.904915669234</v>
      </c>
      <c r="T58" s="216">
        <f t="shared" si="2"/>
        <v>44385.947008254007</v>
      </c>
      <c r="U58" s="216">
        <f t="shared" si="3"/>
        <v>44385.947008254007</v>
      </c>
      <c r="V58" s="216">
        <v>0</v>
      </c>
      <c r="W58" s="216">
        <v>0</v>
      </c>
      <c r="X58" s="216">
        <f t="shared" si="4"/>
        <v>0</v>
      </c>
      <c r="Y58" s="216">
        <f t="shared" si="12"/>
        <v>44385.947008254007</v>
      </c>
      <c r="Z58" s="216">
        <f t="shared" si="10"/>
        <v>0</v>
      </c>
      <c r="AA58" s="216">
        <v>0</v>
      </c>
      <c r="AB58" s="219">
        <v>0</v>
      </c>
      <c r="AC58" s="216">
        <f t="shared" si="11"/>
        <v>0</v>
      </c>
    </row>
    <row r="59" spans="1:29" s="213" customFormat="1" ht="15.95" customHeight="1">
      <c r="A59" s="214" t="s">
        <v>902</v>
      </c>
      <c r="B59" s="215">
        <v>715182.9210917661</v>
      </c>
      <c r="C59" s="207">
        <v>11657.208532001307</v>
      </c>
      <c r="D59" s="216">
        <f t="shared" si="5"/>
        <v>726840.12962376745</v>
      </c>
      <c r="E59" s="217">
        <v>299051</v>
      </c>
      <c r="F59" s="218">
        <v>0</v>
      </c>
      <c r="G59" s="216">
        <f t="shared" si="13"/>
        <v>299051</v>
      </c>
      <c r="H59" s="216">
        <f t="shared" si="6"/>
        <v>1025891.1296237675</v>
      </c>
      <c r="I59" s="217">
        <v>0</v>
      </c>
      <c r="J59" s="216">
        <v>301553</v>
      </c>
      <c r="K59" s="216">
        <v>0</v>
      </c>
      <c r="L59" s="216">
        <v>0</v>
      </c>
      <c r="M59" s="208">
        <f t="shared" si="7"/>
        <v>0</v>
      </c>
      <c r="N59" s="208">
        <f t="shared" si="7"/>
        <v>301553</v>
      </c>
      <c r="O59" s="208">
        <f t="shared" si="8"/>
        <v>301553</v>
      </c>
      <c r="P59" s="216">
        <v>0</v>
      </c>
      <c r="Q59" s="208">
        <f t="shared" si="9"/>
        <v>301553</v>
      </c>
      <c r="R59" s="216">
        <f t="shared" si="1"/>
        <v>0</v>
      </c>
      <c r="S59" s="216">
        <v>0</v>
      </c>
      <c r="T59" s="216">
        <f t="shared" si="2"/>
        <v>724338.12962376745</v>
      </c>
      <c r="U59" s="216">
        <f t="shared" si="3"/>
        <v>724338.12962376745</v>
      </c>
      <c r="V59" s="216">
        <v>0</v>
      </c>
      <c r="W59" s="216">
        <v>0</v>
      </c>
      <c r="X59" s="216">
        <f t="shared" si="4"/>
        <v>0</v>
      </c>
      <c r="Y59" s="216">
        <f t="shared" si="12"/>
        <v>724338.12962376745</v>
      </c>
      <c r="Z59" s="216">
        <f t="shared" si="10"/>
        <v>0</v>
      </c>
      <c r="AA59" s="216">
        <v>935000</v>
      </c>
      <c r="AB59" s="219">
        <v>0</v>
      </c>
      <c r="AC59" s="216">
        <f t="shared" si="11"/>
        <v>0</v>
      </c>
    </row>
    <row r="60" spans="1:29" s="213" customFormat="1" ht="15.95" customHeight="1">
      <c r="A60" s="214" t="s">
        <v>939</v>
      </c>
      <c r="B60" s="215">
        <v>1216544.0834426517</v>
      </c>
      <c r="C60" s="207">
        <v>20230.611127987897</v>
      </c>
      <c r="D60" s="216">
        <f t="shared" si="5"/>
        <v>1236774.6945706396</v>
      </c>
      <c r="E60" s="217">
        <v>0</v>
      </c>
      <c r="F60" s="218">
        <v>0</v>
      </c>
      <c r="G60" s="216">
        <f t="shared" si="13"/>
        <v>0</v>
      </c>
      <c r="H60" s="216">
        <f t="shared" si="6"/>
        <v>1236774.6945706396</v>
      </c>
      <c r="I60" s="217">
        <v>0</v>
      </c>
      <c r="J60" s="216">
        <v>657574.14</v>
      </c>
      <c r="K60" s="216">
        <v>0</v>
      </c>
      <c r="L60" s="216">
        <v>0</v>
      </c>
      <c r="M60" s="208">
        <f t="shared" si="7"/>
        <v>0</v>
      </c>
      <c r="N60" s="208">
        <f t="shared" si="7"/>
        <v>657574.14</v>
      </c>
      <c r="O60" s="208">
        <f t="shared" si="8"/>
        <v>657574.14</v>
      </c>
      <c r="P60" s="216">
        <v>0</v>
      </c>
      <c r="Q60" s="208">
        <f t="shared" si="9"/>
        <v>657574.14</v>
      </c>
      <c r="R60" s="216">
        <f t="shared" si="1"/>
        <v>0</v>
      </c>
      <c r="S60" s="216">
        <v>0</v>
      </c>
      <c r="T60" s="216">
        <f t="shared" si="2"/>
        <v>579200.55457063962</v>
      </c>
      <c r="U60" s="216">
        <f t="shared" si="3"/>
        <v>579200.55457063962</v>
      </c>
      <c r="V60" s="216">
        <v>0</v>
      </c>
      <c r="W60" s="216">
        <v>0</v>
      </c>
      <c r="X60" s="216">
        <f t="shared" si="4"/>
        <v>0</v>
      </c>
      <c r="Y60" s="216">
        <f t="shared" si="12"/>
        <v>579200.55457063962</v>
      </c>
      <c r="Z60" s="216">
        <f t="shared" si="10"/>
        <v>0</v>
      </c>
      <c r="AA60" s="216">
        <v>500000</v>
      </c>
      <c r="AB60" s="221">
        <v>0</v>
      </c>
      <c r="AC60" s="216">
        <f t="shared" si="11"/>
        <v>0</v>
      </c>
    </row>
    <row r="61" spans="1:29" s="213" customFormat="1" ht="15.95" customHeight="1">
      <c r="A61" s="214" t="s">
        <v>778</v>
      </c>
      <c r="B61" s="215">
        <v>7417376.8628333854</v>
      </c>
      <c r="C61" s="207">
        <v>114058.39043589399</v>
      </c>
      <c r="D61" s="216">
        <f t="shared" si="5"/>
        <v>7531435.2532692794</v>
      </c>
      <c r="E61" s="217">
        <v>0</v>
      </c>
      <c r="F61" s="218">
        <v>0</v>
      </c>
      <c r="G61" s="216">
        <f t="shared" si="13"/>
        <v>0</v>
      </c>
      <c r="H61" s="216">
        <f t="shared" si="6"/>
        <v>7531435.2532692794</v>
      </c>
      <c r="I61" s="217">
        <v>0</v>
      </c>
      <c r="J61" s="216">
        <v>4782108.87</v>
      </c>
      <c r="K61" s="216">
        <v>0</v>
      </c>
      <c r="L61" s="216">
        <v>0</v>
      </c>
      <c r="M61" s="208">
        <f t="shared" si="7"/>
        <v>0</v>
      </c>
      <c r="N61" s="208">
        <f t="shared" si="7"/>
        <v>4782108.87</v>
      </c>
      <c r="O61" s="208">
        <f t="shared" si="8"/>
        <v>4782108.87</v>
      </c>
      <c r="P61" s="216">
        <v>0</v>
      </c>
      <c r="Q61" s="208">
        <f t="shared" si="9"/>
        <v>4782108.87</v>
      </c>
      <c r="R61" s="216">
        <f t="shared" si="1"/>
        <v>0</v>
      </c>
      <c r="S61" s="216">
        <v>0</v>
      </c>
      <c r="T61" s="216">
        <f t="shared" si="2"/>
        <v>2749326.3832692793</v>
      </c>
      <c r="U61" s="216">
        <f t="shared" si="3"/>
        <v>2749326.3832692793</v>
      </c>
      <c r="V61" s="216">
        <v>0</v>
      </c>
      <c r="W61" s="216">
        <v>0</v>
      </c>
      <c r="X61" s="216">
        <f t="shared" si="4"/>
        <v>0</v>
      </c>
      <c r="Y61" s="216">
        <f t="shared" si="12"/>
        <v>2749326.3832692793</v>
      </c>
      <c r="Z61" s="216">
        <f t="shared" si="10"/>
        <v>0</v>
      </c>
      <c r="AA61" s="216">
        <v>8776000</v>
      </c>
      <c r="AB61" s="219">
        <v>0</v>
      </c>
      <c r="AC61" s="216">
        <f t="shared" si="11"/>
        <v>0</v>
      </c>
    </row>
    <row r="62" spans="1:29" s="213" customFormat="1" ht="15.95" customHeight="1">
      <c r="A62" s="214" t="s">
        <v>527</v>
      </c>
      <c r="B62" s="215">
        <v>4918395.6059838654</v>
      </c>
      <c r="C62" s="207">
        <v>87738.703431824499</v>
      </c>
      <c r="D62" s="216">
        <f t="shared" si="5"/>
        <v>5006134.3094156897</v>
      </c>
      <c r="E62" s="217">
        <v>0</v>
      </c>
      <c r="F62" s="218">
        <v>0</v>
      </c>
      <c r="G62" s="216">
        <f t="shared" si="13"/>
        <v>0</v>
      </c>
      <c r="H62" s="216">
        <f t="shared" si="6"/>
        <v>5006134.3094156897</v>
      </c>
      <c r="I62" s="217">
        <v>0</v>
      </c>
      <c r="J62" s="216">
        <v>4209751.8</v>
      </c>
      <c r="K62" s="216">
        <v>0</v>
      </c>
      <c r="L62" s="216">
        <v>0</v>
      </c>
      <c r="M62" s="208">
        <f t="shared" si="7"/>
        <v>0</v>
      </c>
      <c r="N62" s="208">
        <f t="shared" si="7"/>
        <v>4209751.8</v>
      </c>
      <c r="O62" s="208">
        <f t="shared" si="8"/>
        <v>4209751.8</v>
      </c>
      <c r="P62" s="216">
        <v>0</v>
      </c>
      <c r="Q62" s="208">
        <f t="shared" si="9"/>
        <v>4209751.8</v>
      </c>
      <c r="R62" s="216">
        <f t="shared" si="1"/>
        <v>0</v>
      </c>
      <c r="S62" s="216">
        <v>0</v>
      </c>
      <c r="T62" s="216">
        <f t="shared" si="2"/>
        <v>796382.50941568986</v>
      </c>
      <c r="U62" s="216">
        <f t="shared" si="3"/>
        <v>796382.50941568986</v>
      </c>
      <c r="V62" s="216">
        <v>0</v>
      </c>
      <c r="W62" s="216">
        <v>0</v>
      </c>
      <c r="X62" s="216">
        <f t="shared" si="4"/>
        <v>0</v>
      </c>
      <c r="Y62" s="216">
        <f t="shared" si="12"/>
        <v>796382.50941568986</v>
      </c>
      <c r="Z62" s="216">
        <f t="shared" si="10"/>
        <v>0</v>
      </c>
      <c r="AA62" s="216">
        <v>0</v>
      </c>
      <c r="AB62" s="219">
        <v>0</v>
      </c>
      <c r="AC62" s="216">
        <f t="shared" si="11"/>
        <v>0</v>
      </c>
    </row>
    <row r="63" spans="1:29" s="213" customFormat="1" ht="15.95" customHeight="1">
      <c r="A63" s="214" t="s">
        <v>530</v>
      </c>
      <c r="B63" s="215">
        <v>15462139.711305439</v>
      </c>
      <c r="C63" s="207">
        <v>263397.64527020231</v>
      </c>
      <c r="D63" s="216">
        <f t="shared" si="5"/>
        <v>15725537.356575642</v>
      </c>
      <c r="E63" s="217">
        <v>0</v>
      </c>
      <c r="F63" s="218">
        <v>0</v>
      </c>
      <c r="G63" s="216">
        <f t="shared" si="13"/>
        <v>0</v>
      </c>
      <c r="H63" s="216">
        <f t="shared" si="6"/>
        <v>15725537.356575642</v>
      </c>
      <c r="I63" s="217">
        <v>0</v>
      </c>
      <c r="J63" s="216">
        <v>7870630.8200000003</v>
      </c>
      <c r="K63" s="216">
        <v>0</v>
      </c>
      <c r="L63" s="216">
        <v>0</v>
      </c>
      <c r="M63" s="208">
        <f t="shared" si="7"/>
        <v>0</v>
      </c>
      <c r="N63" s="208">
        <f t="shared" si="7"/>
        <v>7870630.8200000003</v>
      </c>
      <c r="O63" s="208">
        <f t="shared" si="8"/>
        <v>7870630.8200000003</v>
      </c>
      <c r="P63" s="216">
        <v>3765606.1900000004</v>
      </c>
      <c r="Q63" s="208">
        <f t="shared" si="9"/>
        <v>11636237.010000002</v>
      </c>
      <c r="R63" s="216">
        <f t="shared" si="1"/>
        <v>0</v>
      </c>
      <c r="S63" s="216">
        <v>0</v>
      </c>
      <c r="T63" s="216">
        <f t="shared" si="2"/>
        <v>4089300.3465756401</v>
      </c>
      <c r="U63" s="216">
        <f t="shared" si="3"/>
        <v>4089300.3465756401</v>
      </c>
      <c r="V63" s="216">
        <v>0</v>
      </c>
      <c r="X63" s="216">
        <f t="shared" si="4"/>
        <v>0</v>
      </c>
      <c r="Y63" s="216">
        <f t="shared" si="12"/>
        <v>4089300.3465756401</v>
      </c>
      <c r="Z63" s="216">
        <f t="shared" si="10"/>
        <v>0</v>
      </c>
      <c r="AA63" s="216">
        <v>0</v>
      </c>
      <c r="AB63" s="219">
        <v>1750994</v>
      </c>
      <c r="AC63" s="216">
        <f t="shared" si="11"/>
        <v>0</v>
      </c>
    </row>
    <row r="64" spans="1:29" s="224" customFormat="1" ht="15.95" customHeight="1">
      <c r="A64" s="214" t="s">
        <v>540</v>
      </c>
      <c r="B64" s="216">
        <v>21092194.255626727</v>
      </c>
      <c r="C64" s="207">
        <v>391168.9428161417</v>
      </c>
      <c r="D64" s="216">
        <f t="shared" si="5"/>
        <v>21483363.198442869</v>
      </c>
      <c r="E64" s="217">
        <v>-2347982</v>
      </c>
      <c r="F64" s="218"/>
      <c r="G64" s="216">
        <f t="shared" si="13"/>
        <v>-2347982</v>
      </c>
      <c r="H64" s="216">
        <f t="shared" si="6"/>
        <v>19135381.198442869</v>
      </c>
      <c r="I64" s="217">
        <v>0</v>
      </c>
      <c r="J64" s="216">
        <v>15691031.85</v>
      </c>
      <c r="K64" s="216">
        <v>0</v>
      </c>
      <c r="L64" s="216">
        <v>0</v>
      </c>
      <c r="M64" s="208">
        <f t="shared" si="7"/>
        <v>0</v>
      </c>
      <c r="N64" s="208">
        <f t="shared" si="7"/>
        <v>15691031.85</v>
      </c>
      <c r="O64" s="208">
        <f t="shared" si="8"/>
        <v>15691031.85</v>
      </c>
      <c r="P64" s="216">
        <v>0</v>
      </c>
      <c r="Q64" s="208">
        <f t="shared" si="9"/>
        <v>15691031.85</v>
      </c>
      <c r="R64" s="216">
        <f t="shared" si="1"/>
        <v>0</v>
      </c>
      <c r="S64" s="216">
        <v>0</v>
      </c>
      <c r="T64" s="216">
        <f t="shared" si="2"/>
        <v>3444349.3484428693</v>
      </c>
      <c r="U64" s="216">
        <f t="shared" si="3"/>
        <v>3444349.3484428693</v>
      </c>
      <c r="V64" s="216">
        <v>0</v>
      </c>
      <c r="W64" s="216">
        <v>0</v>
      </c>
      <c r="X64" s="216">
        <f t="shared" si="4"/>
        <v>0</v>
      </c>
      <c r="Y64" s="216">
        <f t="shared" si="12"/>
        <v>3444349.3484428693</v>
      </c>
      <c r="Z64" s="216">
        <f t="shared" si="10"/>
        <v>0</v>
      </c>
      <c r="AA64" s="216">
        <v>0</v>
      </c>
      <c r="AB64" s="223">
        <v>379881</v>
      </c>
      <c r="AC64" s="216">
        <f t="shared" si="11"/>
        <v>0</v>
      </c>
    </row>
    <row r="65" spans="1:29" s="213" customFormat="1" ht="15.95" customHeight="1">
      <c r="A65" s="214" t="s">
        <v>238</v>
      </c>
      <c r="B65" s="215">
        <v>10512115.923167039</v>
      </c>
      <c r="C65" s="207">
        <v>194360.25545084762</v>
      </c>
      <c r="D65" s="216">
        <f t="shared" si="5"/>
        <v>10706476.178617887</v>
      </c>
      <c r="E65" s="217">
        <v>1125000</v>
      </c>
      <c r="F65" s="218">
        <v>0</v>
      </c>
      <c r="G65" s="216">
        <f t="shared" si="13"/>
        <v>1125000</v>
      </c>
      <c r="H65" s="216">
        <f t="shared" si="6"/>
        <v>11831476.178617887</v>
      </c>
      <c r="I65" s="217">
        <v>0</v>
      </c>
      <c r="J65" s="216">
        <v>13533602.09</v>
      </c>
      <c r="K65" s="216">
        <v>0</v>
      </c>
      <c r="L65" s="216">
        <v>0</v>
      </c>
      <c r="M65" s="208">
        <f t="shared" si="7"/>
        <v>0</v>
      </c>
      <c r="N65" s="208">
        <f t="shared" si="7"/>
        <v>13533602.09</v>
      </c>
      <c r="O65" s="208">
        <f t="shared" si="8"/>
        <v>13533602.09</v>
      </c>
      <c r="P65" s="216">
        <v>0</v>
      </c>
      <c r="Q65" s="208">
        <f t="shared" si="9"/>
        <v>13533602.09</v>
      </c>
      <c r="R65" s="216">
        <f t="shared" si="1"/>
        <v>-1702125.9113821127</v>
      </c>
      <c r="S65" s="216">
        <v>-3143576.9568849877</v>
      </c>
      <c r="T65" s="216">
        <f t="shared" si="2"/>
        <v>0</v>
      </c>
      <c r="U65" s="216">
        <f t="shared" si="3"/>
        <v>-1702125.9113821127</v>
      </c>
      <c r="V65" s="216">
        <v>0</v>
      </c>
      <c r="W65" s="228">
        <v>0</v>
      </c>
      <c r="X65" s="216">
        <f t="shared" si="4"/>
        <v>0</v>
      </c>
      <c r="Y65" s="216">
        <f t="shared" si="12"/>
        <v>0</v>
      </c>
      <c r="Z65" s="216">
        <f t="shared" si="10"/>
        <v>-1702125.9113821127</v>
      </c>
      <c r="AA65" s="216">
        <v>0</v>
      </c>
      <c r="AB65" s="219">
        <v>0</v>
      </c>
      <c r="AC65" s="222">
        <f t="shared" si="11"/>
        <v>-8.7575821889808569</v>
      </c>
    </row>
    <row r="66" spans="1:29" s="213" customFormat="1" ht="15.95" customHeight="1">
      <c r="A66" s="214" t="s">
        <v>247</v>
      </c>
      <c r="B66" s="215">
        <v>61213.124955558094</v>
      </c>
      <c r="C66" s="207">
        <v>4687.8542501597267</v>
      </c>
      <c r="D66" s="216">
        <f t="shared" si="5"/>
        <v>65900.979205717827</v>
      </c>
      <c r="E66" s="217">
        <v>0</v>
      </c>
      <c r="F66" s="218">
        <v>0</v>
      </c>
      <c r="G66" s="216">
        <v>0</v>
      </c>
      <c r="H66" s="216">
        <f t="shared" si="6"/>
        <v>65900.979205717827</v>
      </c>
      <c r="I66" s="217">
        <v>0</v>
      </c>
      <c r="J66" s="216">
        <v>0</v>
      </c>
      <c r="K66" s="216">
        <v>0</v>
      </c>
      <c r="L66" s="216">
        <v>0</v>
      </c>
      <c r="M66" s="208">
        <f t="shared" si="7"/>
        <v>0</v>
      </c>
      <c r="N66" s="208">
        <f t="shared" si="7"/>
        <v>0</v>
      </c>
      <c r="O66" s="208">
        <f t="shared" si="8"/>
        <v>0</v>
      </c>
      <c r="P66" s="216">
        <v>0</v>
      </c>
      <c r="Q66" s="208">
        <f t="shared" si="9"/>
        <v>0</v>
      </c>
      <c r="R66" s="216">
        <f t="shared" si="1"/>
        <v>0</v>
      </c>
      <c r="S66" s="216">
        <v>0</v>
      </c>
      <c r="T66" s="216">
        <f t="shared" si="2"/>
        <v>65900.979205717827</v>
      </c>
      <c r="U66" s="216">
        <f t="shared" si="3"/>
        <v>65900.979205717827</v>
      </c>
      <c r="V66" s="216">
        <v>0</v>
      </c>
      <c r="W66" s="216">
        <v>0</v>
      </c>
      <c r="X66" s="216">
        <f t="shared" si="4"/>
        <v>0</v>
      </c>
      <c r="Y66" s="216">
        <f t="shared" si="12"/>
        <v>65900.979205717827</v>
      </c>
      <c r="Z66" s="216">
        <f t="shared" si="10"/>
        <v>0</v>
      </c>
      <c r="AA66" s="216">
        <v>0</v>
      </c>
      <c r="AB66" s="219">
        <v>0</v>
      </c>
      <c r="AC66" s="216">
        <f t="shared" si="11"/>
        <v>0</v>
      </c>
    </row>
    <row r="67" spans="1:29" s="213" customFormat="1" ht="15.95" customHeight="1">
      <c r="A67" s="214" t="s">
        <v>248</v>
      </c>
      <c r="B67" s="215">
        <v>7079191.2510122964</v>
      </c>
      <c r="C67" s="207">
        <v>132416.00376036123</v>
      </c>
      <c r="D67" s="216">
        <f t="shared" si="5"/>
        <v>7211607.2547726575</v>
      </c>
      <c r="E67" s="217">
        <v>503000</v>
      </c>
      <c r="F67" s="218">
        <v>0</v>
      </c>
      <c r="G67" s="216">
        <f t="shared" ref="G67:G99" si="14">SUM(E67:F67)</f>
        <v>503000</v>
      </c>
      <c r="H67" s="216">
        <f t="shared" si="6"/>
        <v>7714607.2547726575</v>
      </c>
      <c r="I67" s="217">
        <v>0</v>
      </c>
      <c r="J67" s="216">
        <v>6762730.8000000007</v>
      </c>
      <c r="K67" s="216">
        <v>0</v>
      </c>
      <c r="L67" s="216">
        <v>0</v>
      </c>
      <c r="M67" s="208">
        <f t="shared" si="7"/>
        <v>0</v>
      </c>
      <c r="N67" s="208">
        <f t="shared" si="7"/>
        <v>6762730.8000000007</v>
      </c>
      <c r="O67" s="208">
        <f t="shared" si="8"/>
        <v>6762730.8000000007</v>
      </c>
      <c r="P67" s="216">
        <v>108410.15000000001</v>
      </c>
      <c r="Q67" s="208">
        <f t="shared" si="9"/>
        <v>6871140.9500000011</v>
      </c>
      <c r="R67" s="216">
        <f t="shared" si="1"/>
        <v>0</v>
      </c>
      <c r="S67" s="216">
        <v>0</v>
      </c>
      <c r="T67" s="216">
        <f t="shared" si="2"/>
        <v>843466.30477265641</v>
      </c>
      <c r="U67" s="216">
        <f t="shared" si="3"/>
        <v>843466.30477265641</v>
      </c>
      <c r="V67" s="216">
        <v>1091589.8500000001</v>
      </c>
      <c r="X67" s="216">
        <f t="shared" si="4"/>
        <v>1091589.8500000001</v>
      </c>
      <c r="Y67" s="216">
        <f t="shared" si="12"/>
        <v>0</v>
      </c>
      <c r="Z67" s="216">
        <f t="shared" si="10"/>
        <v>-248123.54522734368</v>
      </c>
      <c r="AB67" s="221">
        <v>0</v>
      </c>
      <c r="AC67" s="216">
        <f t="shared" si="11"/>
        <v>-1.8738184069984714</v>
      </c>
    </row>
    <row r="68" spans="1:29" s="213" customFormat="1" ht="15.95" customHeight="1">
      <c r="A68" s="214" t="s">
        <v>884</v>
      </c>
      <c r="B68" s="215">
        <v>1186850.9915391726</v>
      </c>
      <c r="C68" s="207">
        <v>55354.60364538282</v>
      </c>
      <c r="D68" s="216">
        <f t="shared" si="5"/>
        <v>1242205.5951845555</v>
      </c>
      <c r="E68" s="217">
        <v>0</v>
      </c>
      <c r="F68" s="218">
        <v>0</v>
      </c>
      <c r="G68" s="216">
        <f t="shared" si="14"/>
        <v>0</v>
      </c>
      <c r="H68" s="216">
        <f t="shared" si="6"/>
        <v>1242205.5951845555</v>
      </c>
      <c r="I68" s="217">
        <v>0</v>
      </c>
      <c r="J68" s="216">
        <v>0</v>
      </c>
      <c r="K68" s="216">
        <v>0</v>
      </c>
      <c r="L68" s="216">
        <v>0</v>
      </c>
      <c r="M68" s="208">
        <f t="shared" si="7"/>
        <v>0</v>
      </c>
      <c r="N68" s="208">
        <f t="shared" si="7"/>
        <v>0</v>
      </c>
      <c r="O68" s="208">
        <f t="shared" si="8"/>
        <v>0</v>
      </c>
      <c r="P68" s="216">
        <v>0</v>
      </c>
      <c r="Q68" s="208">
        <f t="shared" si="9"/>
        <v>0</v>
      </c>
      <c r="R68" s="216">
        <f t="shared" si="1"/>
        <v>0</v>
      </c>
      <c r="S68" s="216">
        <v>0</v>
      </c>
      <c r="T68" s="216">
        <f t="shared" si="2"/>
        <v>1242205.5951845555</v>
      </c>
      <c r="U68" s="216">
        <f t="shared" si="3"/>
        <v>1242205.5951845555</v>
      </c>
      <c r="V68" s="216">
        <v>0</v>
      </c>
      <c r="W68" s="216">
        <v>0</v>
      </c>
      <c r="X68" s="216">
        <f t="shared" si="4"/>
        <v>0</v>
      </c>
      <c r="Y68" s="216">
        <f t="shared" si="12"/>
        <v>1242205.5951845555</v>
      </c>
      <c r="Z68" s="216">
        <f t="shared" si="10"/>
        <v>0</v>
      </c>
      <c r="AA68" s="216">
        <v>550000</v>
      </c>
      <c r="AB68" s="221">
        <v>0</v>
      </c>
      <c r="AC68" s="216">
        <f t="shared" si="11"/>
        <v>0</v>
      </c>
    </row>
    <row r="69" spans="1:29" s="213" customFormat="1" ht="15.95" customHeight="1">
      <c r="A69" s="214" t="s">
        <v>794</v>
      </c>
      <c r="B69" s="215">
        <v>897060.3816641809</v>
      </c>
      <c r="C69" s="207">
        <v>14096.677347902738</v>
      </c>
      <c r="D69" s="216">
        <f t="shared" si="5"/>
        <v>911157.05901208369</v>
      </c>
      <c r="E69" s="217">
        <v>0</v>
      </c>
      <c r="F69" s="218">
        <v>0</v>
      </c>
      <c r="G69" s="216">
        <f t="shared" si="14"/>
        <v>0</v>
      </c>
      <c r="H69" s="216">
        <f t="shared" si="6"/>
        <v>911157.05901208369</v>
      </c>
      <c r="I69" s="217">
        <v>0</v>
      </c>
      <c r="J69" s="216">
        <v>0</v>
      </c>
      <c r="K69" s="216">
        <v>0</v>
      </c>
      <c r="L69" s="216">
        <v>0</v>
      </c>
      <c r="M69" s="208">
        <f t="shared" si="7"/>
        <v>0</v>
      </c>
      <c r="N69" s="208">
        <f t="shared" si="7"/>
        <v>0</v>
      </c>
      <c r="O69" s="208">
        <f t="shared" si="8"/>
        <v>0</v>
      </c>
      <c r="P69" s="216">
        <v>0</v>
      </c>
      <c r="Q69" s="208">
        <f t="shared" si="9"/>
        <v>0</v>
      </c>
      <c r="R69" s="216">
        <f t="shared" ref="R69:R132" si="15">IF(SUM(H69-Q69)&lt;0, H69-Q69)+IF(SUM(H69-Q69)&gt;0, 0)</f>
        <v>0</v>
      </c>
      <c r="S69" s="216">
        <v>0</v>
      </c>
      <c r="T69" s="216">
        <f t="shared" ref="T69:T132" si="16">IF(SUM(H69-Q69)&gt;0, H69-Q69)+IF(SUM(H69-Q69)&lt;0, 0)</f>
        <v>911157.05901208369</v>
      </c>
      <c r="U69" s="216">
        <f t="shared" ref="U69:U132" si="17">SUM(R69+T69)</f>
        <v>911157.05901208369</v>
      </c>
      <c r="V69" s="216">
        <v>0</v>
      </c>
      <c r="W69" s="216">
        <v>0</v>
      </c>
      <c r="X69" s="216">
        <f t="shared" si="4"/>
        <v>0</v>
      </c>
      <c r="Y69" s="216">
        <f t="shared" si="12"/>
        <v>911157.05901208369</v>
      </c>
      <c r="Z69" s="216">
        <f t="shared" si="10"/>
        <v>0</v>
      </c>
      <c r="AA69" s="216">
        <v>0</v>
      </c>
      <c r="AB69" s="219">
        <v>0</v>
      </c>
      <c r="AC69" s="216">
        <f t="shared" si="11"/>
        <v>0</v>
      </c>
    </row>
    <row r="70" spans="1:29" s="213" customFormat="1" ht="15.95" customHeight="1">
      <c r="A70" s="214" t="s">
        <v>141</v>
      </c>
      <c r="B70" s="215">
        <v>4351185.2265674304</v>
      </c>
      <c r="C70" s="207">
        <v>68769.102213452497</v>
      </c>
      <c r="D70" s="216">
        <f t="shared" ref="D70:D102" si="18">SUM(B70:C70)</f>
        <v>4419954.328780883</v>
      </c>
      <c r="E70" s="217">
        <v>2016519</v>
      </c>
      <c r="F70" s="218">
        <v>0</v>
      </c>
      <c r="G70" s="216">
        <f t="shared" si="14"/>
        <v>2016519</v>
      </c>
      <c r="H70" s="216">
        <f t="shared" si="6"/>
        <v>6436473.328780883</v>
      </c>
      <c r="I70" s="217">
        <v>0</v>
      </c>
      <c r="J70" s="216">
        <v>5109865.59</v>
      </c>
      <c r="K70" s="216">
        <v>0</v>
      </c>
      <c r="L70" s="216">
        <v>0</v>
      </c>
      <c r="M70" s="208">
        <f t="shared" ref="M70:N131" si="19">I70+K70</f>
        <v>0</v>
      </c>
      <c r="N70" s="208">
        <f t="shared" si="19"/>
        <v>5109865.59</v>
      </c>
      <c r="O70" s="208">
        <f t="shared" ref="O70:O133" si="20">K70+N70</f>
        <v>5109865.59</v>
      </c>
      <c r="P70" s="216">
        <v>0</v>
      </c>
      <c r="Q70" s="208">
        <f t="shared" ref="Q70:Q133" si="21">SUM(O70+P70)</f>
        <v>5109865.59</v>
      </c>
      <c r="R70" s="216">
        <f t="shared" si="15"/>
        <v>0</v>
      </c>
      <c r="S70" s="216">
        <v>0</v>
      </c>
      <c r="T70" s="216">
        <f t="shared" si="16"/>
        <v>1326607.7387808831</v>
      </c>
      <c r="U70" s="216">
        <f t="shared" si="17"/>
        <v>1326607.7387808831</v>
      </c>
      <c r="V70" s="216">
        <v>0</v>
      </c>
      <c r="W70" s="216">
        <v>0</v>
      </c>
      <c r="X70" s="216">
        <f t="shared" ref="X70:X133" si="22">SUM(V70:W70)</f>
        <v>0</v>
      </c>
      <c r="Y70" s="216">
        <f t="shared" si="12"/>
        <v>1326607.7387808831</v>
      </c>
      <c r="Z70" s="216">
        <f t="shared" si="10"/>
        <v>0</v>
      </c>
      <c r="AA70" s="216">
        <v>0</v>
      </c>
      <c r="AB70" s="219">
        <v>0</v>
      </c>
      <c r="AC70" s="216">
        <f t="shared" ref="AC70:AC133" si="23">Z70/C70</f>
        <v>0</v>
      </c>
    </row>
    <row r="71" spans="1:29" s="213" customFormat="1" ht="15.95" customHeight="1">
      <c r="A71" s="214" t="s">
        <v>259</v>
      </c>
      <c r="B71" s="215">
        <v>1545967.9735065612</v>
      </c>
      <c r="C71" s="207">
        <v>28871.934949673272</v>
      </c>
      <c r="D71" s="216">
        <f t="shared" si="18"/>
        <v>1574839.9084562345</v>
      </c>
      <c r="E71" s="216">
        <v>-240000</v>
      </c>
      <c r="F71" s="218">
        <v>0</v>
      </c>
      <c r="G71" s="216">
        <f t="shared" si="14"/>
        <v>-240000</v>
      </c>
      <c r="H71" s="216">
        <f t="shared" ref="H71:H134" si="24">SUM(D71,G71)</f>
        <v>1334839.9084562345</v>
      </c>
      <c r="I71" s="217">
        <v>0</v>
      </c>
      <c r="J71" s="216">
        <v>483745.95</v>
      </c>
      <c r="K71" s="216">
        <v>0</v>
      </c>
      <c r="L71" s="216">
        <v>0</v>
      </c>
      <c r="M71" s="208">
        <f t="shared" si="19"/>
        <v>0</v>
      </c>
      <c r="N71" s="208">
        <f t="shared" si="19"/>
        <v>483745.95</v>
      </c>
      <c r="O71" s="208">
        <f t="shared" si="20"/>
        <v>483745.95</v>
      </c>
      <c r="P71" s="216">
        <v>0</v>
      </c>
      <c r="Q71" s="208">
        <f t="shared" si="21"/>
        <v>483745.95</v>
      </c>
      <c r="R71" s="216">
        <f t="shared" si="15"/>
        <v>0</v>
      </c>
      <c r="S71" s="216">
        <v>0</v>
      </c>
      <c r="T71" s="216">
        <f t="shared" si="16"/>
        <v>851093.95845623454</v>
      </c>
      <c r="U71" s="216">
        <f t="shared" si="17"/>
        <v>851093.95845623454</v>
      </c>
      <c r="V71" s="216">
        <v>0</v>
      </c>
      <c r="W71" s="216">
        <v>0</v>
      </c>
      <c r="X71" s="216">
        <f t="shared" si="22"/>
        <v>0</v>
      </c>
      <c r="Y71" s="216">
        <f t="shared" ref="Y71:Y136" si="25">IF(SUM($U71-$X71)&gt;0,($U71-$X71),0)</f>
        <v>851093.95845623454</v>
      </c>
      <c r="Z71" s="216">
        <f t="shared" ref="Z71:Z136" si="26">IF(SUM($U71-$X71)&lt;0,($U71-$X71),0)</f>
        <v>0</v>
      </c>
      <c r="AA71" s="216">
        <v>0</v>
      </c>
      <c r="AB71" s="219">
        <v>0</v>
      </c>
      <c r="AC71" s="216">
        <f t="shared" si="23"/>
        <v>0</v>
      </c>
    </row>
    <row r="72" spans="1:29" s="213" customFormat="1" ht="15.95" customHeight="1">
      <c r="A72" s="214" t="s">
        <v>260</v>
      </c>
      <c r="B72" s="215">
        <v>12034195.270627905</v>
      </c>
      <c r="C72" s="207">
        <v>229185.93443028207</v>
      </c>
      <c r="D72" s="216">
        <f t="shared" si="18"/>
        <v>12263381.205058187</v>
      </c>
      <c r="E72" s="217">
        <v>0</v>
      </c>
      <c r="F72" s="218">
        <v>0</v>
      </c>
      <c r="G72" s="216">
        <f t="shared" si="14"/>
        <v>0</v>
      </c>
      <c r="H72" s="216">
        <f t="shared" si="24"/>
        <v>12263381.205058187</v>
      </c>
      <c r="I72" s="217">
        <v>0</v>
      </c>
      <c r="J72" s="216">
        <v>11525266.5</v>
      </c>
      <c r="K72" s="216">
        <v>0</v>
      </c>
      <c r="L72" s="216">
        <v>0</v>
      </c>
      <c r="M72" s="208">
        <f t="shared" si="19"/>
        <v>0</v>
      </c>
      <c r="N72" s="208">
        <f t="shared" si="19"/>
        <v>11525266.5</v>
      </c>
      <c r="O72" s="208">
        <f t="shared" si="20"/>
        <v>11525266.5</v>
      </c>
      <c r="P72" s="216">
        <v>0</v>
      </c>
      <c r="Q72" s="208">
        <f t="shared" si="21"/>
        <v>11525266.5</v>
      </c>
      <c r="R72" s="216">
        <f t="shared" si="15"/>
        <v>0</v>
      </c>
      <c r="S72" s="216">
        <v>-74398.341145748273</v>
      </c>
      <c r="T72" s="216">
        <f t="shared" si="16"/>
        <v>738114.70505818725</v>
      </c>
      <c r="U72" s="216">
        <f t="shared" si="17"/>
        <v>738114.70505818725</v>
      </c>
      <c r="V72" s="216">
        <v>0</v>
      </c>
      <c r="W72" s="216">
        <v>0</v>
      </c>
      <c r="X72" s="216">
        <f t="shared" si="22"/>
        <v>0</v>
      </c>
      <c r="Y72" s="216">
        <f t="shared" si="25"/>
        <v>738114.70505818725</v>
      </c>
      <c r="Z72" s="216">
        <f t="shared" si="26"/>
        <v>0</v>
      </c>
      <c r="AA72" s="216">
        <v>0</v>
      </c>
      <c r="AB72" s="219">
        <v>2585828.36</v>
      </c>
      <c r="AC72" s="216">
        <f t="shared" si="23"/>
        <v>0</v>
      </c>
    </row>
    <row r="73" spans="1:29" s="213" customFormat="1" ht="15.95" customHeight="1">
      <c r="A73" s="214" t="s">
        <v>685</v>
      </c>
      <c r="B73" s="215">
        <v>4199181.3062228831</v>
      </c>
      <c r="C73" s="207">
        <v>60633.803071402814</v>
      </c>
      <c r="D73" s="216">
        <f t="shared" si="18"/>
        <v>4259815.109294286</v>
      </c>
      <c r="E73" s="217">
        <v>0</v>
      </c>
      <c r="F73" s="218">
        <v>0</v>
      </c>
      <c r="G73" s="216">
        <f t="shared" si="14"/>
        <v>0</v>
      </c>
      <c r="H73" s="216">
        <f t="shared" si="24"/>
        <v>4259815.109294286</v>
      </c>
      <c r="I73" s="217">
        <v>0</v>
      </c>
      <c r="J73" s="216">
        <v>3602031.23</v>
      </c>
      <c r="K73" s="216">
        <v>0</v>
      </c>
      <c r="L73" s="216">
        <v>0</v>
      </c>
      <c r="M73" s="208">
        <f t="shared" si="19"/>
        <v>0</v>
      </c>
      <c r="N73" s="208">
        <f t="shared" si="19"/>
        <v>3602031.23</v>
      </c>
      <c r="O73" s="208">
        <f t="shared" si="20"/>
        <v>3602031.23</v>
      </c>
      <c r="P73" s="216">
        <v>0</v>
      </c>
      <c r="Q73" s="208">
        <f t="shared" si="21"/>
        <v>3602031.23</v>
      </c>
      <c r="R73" s="216">
        <f t="shared" si="15"/>
        <v>0</v>
      </c>
      <c r="S73" s="216">
        <v>0</v>
      </c>
      <c r="T73" s="216">
        <f t="shared" si="16"/>
        <v>657783.87929428602</v>
      </c>
      <c r="U73" s="216">
        <f t="shared" si="17"/>
        <v>657783.87929428602</v>
      </c>
      <c r="V73" s="216">
        <v>0</v>
      </c>
      <c r="W73" s="216">
        <v>0</v>
      </c>
      <c r="X73" s="216">
        <f t="shared" si="22"/>
        <v>0</v>
      </c>
      <c r="Y73" s="216">
        <f>IF(SUM($U73-$X73)&gt;0,($U73-$X73),0)</f>
        <v>657783.87929428602</v>
      </c>
      <c r="Z73" s="216">
        <f>IF(SUM($U73-$X73)&lt;0,($U73-$X73),0)</f>
        <v>0</v>
      </c>
      <c r="AA73" s="216">
        <v>0</v>
      </c>
      <c r="AB73" s="219">
        <v>0</v>
      </c>
      <c r="AC73" s="216">
        <f t="shared" si="23"/>
        <v>0</v>
      </c>
    </row>
    <row r="74" spans="1:29" s="213" customFormat="1" ht="15.95" customHeight="1">
      <c r="A74" s="214" t="s">
        <v>264</v>
      </c>
      <c r="B74" s="215">
        <v>4820923.7022782704</v>
      </c>
      <c r="C74" s="207">
        <v>95762.25090494717</v>
      </c>
      <c r="D74" s="216">
        <f t="shared" si="18"/>
        <v>4916685.9531832179</v>
      </c>
      <c r="E74" s="217">
        <v>0</v>
      </c>
      <c r="F74" s="218">
        <v>0</v>
      </c>
      <c r="G74" s="216">
        <f t="shared" si="14"/>
        <v>0</v>
      </c>
      <c r="H74" s="216">
        <f t="shared" si="24"/>
        <v>4916685.9531832179</v>
      </c>
      <c r="I74" s="217">
        <v>0</v>
      </c>
      <c r="J74" s="216">
        <v>4598295.04</v>
      </c>
      <c r="K74" s="216">
        <v>0</v>
      </c>
      <c r="L74" s="216">
        <v>0</v>
      </c>
      <c r="M74" s="208">
        <f t="shared" si="19"/>
        <v>0</v>
      </c>
      <c r="N74" s="208">
        <f t="shared" si="19"/>
        <v>4598295.04</v>
      </c>
      <c r="O74" s="208">
        <f t="shared" si="20"/>
        <v>4598295.04</v>
      </c>
      <c r="P74" s="216">
        <v>0</v>
      </c>
      <c r="Q74" s="208">
        <f t="shared" si="21"/>
        <v>4598295.04</v>
      </c>
      <c r="R74" s="216">
        <f t="shared" si="15"/>
        <v>0</v>
      </c>
      <c r="S74" s="216">
        <v>-7815.1187222357839</v>
      </c>
      <c r="T74" s="216">
        <f t="shared" si="16"/>
        <v>318390.91318321787</v>
      </c>
      <c r="U74" s="216">
        <f t="shared" si="17"/>
        <v>318390.91318321787</v>
      </c>
      <c r="V74" s="216">
        <v>0</v>
      </c>
      <c r="W74" s="216">
        <v>0</v>
      </c>
      <c r="X74" s="216">
        <f t="shared" si="22"/>
        <v>0</v>
      </c>
      <c r="Y74" s="216">
        <f t="shared" si="25"/>
        <v>318390.91318321787</v>
      </c>
      <c r="Z74" s="216">
        <f t="shared" si="26"/>
        <v>0</v>
      </c>
      <c r="AA74" s="216">
        <v>0</v>
      </c>
      <c r="AB74" s="219">
        <v>0</v>
      </c>
      <c r="AC74" s="216">
        <f t="shared" si="23"/>
        <v>0</v>
      </c>
    </row>
    <row r="75" spans="1:29" s="213" customFormat="1" ht="15.95" customHeight="1">
      <c r="A75" s="214" t="s">
        <v>795</v>
      </c>
      <c r="B75" s="215">
        <v>6609940.9561750572</v>
      </c>
      <c r="C75" s="207">
        <v>128330.46579496894</v>
      </c>
      <c r="D75" s="216">
        <f t="shared" si="18"/>
        <v>6738271.4219700266</v>
      </c>
      <c r="E75" s="217">
        <v>0</v>
      </c>
      <c r="F75" s="218">
        <v>0</v>
      </c>
      <c r="G75" s="216">
        <f t="shared" si="14"/>
        <v>0</v>
      </c>
      <c r="H75" s="216">
        <f t="shared" si="24"/>
        <v>6738271.4219700266</v>
      </c>
      <c r="I75" s="217">
        <v>0</v>
      </c>
      <c r="J75" s="216">
        <v>5355505</v>
      </c>
      <c r="K75" s="216">
        <v>0</v>
      </c>
      <c r="L75" s="216">
        <v>0</v>
      </c>
      <c r="M75" s="208">
        <f t="shared" si="19"/>
        <v>0</v>
      </c>
      <c r="N75" s="208">
        <f t="shared" si="19"/>
        <v>5355505</v>
      </c>
      <c r="O75" s="208">
        <f t="shared" si="20"/>
        <v>5355505</v>
      </c>
      <c r="P75" s="216">
        <v>0</v>
      </c>
      <c r="Q75" s="208">
        <f t="shared" si="21"/>
        <v>5355505</v>
      </c>
      <c r="R75" s="216">
        <f t="shared" si="15"/>
        <v>0</v>
      </c>
      <c r="S75" s="216">
        <v>0</v>
      </c>
      <c r="T75" s="216">
        <f t="shared" si="16"/>
        <v>1382766.4219700266</v>
      </c>
      <c r="U75" s="216">
        <f t="shared" si="17"/>
        <v>1382766.4219700266</v>
      </c>
      <c r="V75" s="216">
        <v>0</v>
      </c>
      <c r="W75" s="216">
        <v>0</v>
      </c>
      <c r="X75" s="216">
        <f t="shared" si="22"/>
        <v>0</v>
      </c>
      <c r="Y75" s="216">
        <f t="shared" si="25"/>
        <v>1382766.4219700266</v>
      </c>
      <c r="Z75" s="216">
        <f t="shared" si="26"/>
        <v>0</v>
      </c>
      <c r="AA75" s="216">
        <v>0</v>
      </c>
      <c r="AB75" s="221">
        <v>0</v>
      </c>
      <c r="AC75" s="216">
        <f t="shared" si="23"/>
        <v>0</v>
      </c>
    </row>
    <row r="76" spans="1:29" s="213" customFormat="1" ht="15.95" customHeight="1">
      <c r="A76" s="214" t="s">
        <v>265</v>
      </c>
      <c r="B76" s="215">
        <v>242644.11998720592</v>
      </c>
      <c r="C76" s="207">
        <v>4706.2816046243879</v>
      </c>
      <c r="D76" s="216">
        <f t="shared" si="18"/>
        <v>247350.4015918303</v>
      </c>
      <c r="E76" s="217">
        <v>0</v>
      </c>
      <c r="F76" s="218">
        <v>0</v>
      </c>
      <c r="G76" s="216">
        <f t="shared" si="14"/>
        <v>0</v>
      </c>
      <c r="H76" s="216">
        <f t="shared" si="24"/>
        <v>247350.4015918303</v>
      </c>
      <c r="I76" s="217">
        <v>0</v>
      </c>
      <c r="J76" s="216">
        <v>236603.89</v>
      </c>
      <c r="K76" s="216">
        <v>0</v>
      </c>
      <c r="L76" s="216">
        <v>0</v>
      </c>
      <c r="M76" s="208">
        <f t="shared" si="19"/>
        <v>0</v>
      </c>
      <c r="N76" s="208">
        <f t="shared" si="19"/>
        <v>236603.89</v>
      </c>
      <c r="O76" s="208">
        <f t="shared" si="20"/>
        <v>236603.89</v>
      </c>
      <c r="P76" s="216">
        <v>0</v>
      </c>
      <c r="Q76" s="208">
        <f t="shared" si="21"/>
        <v>236603.89</v>
      </c>
      <c r="R76" s="216">
        <f t="shared" si="15"/>
        <v>0</v>
      </c>
      <c r="S76" s="216">
        <v>-5348.8073412734957</v>
      </c>
      <c r="T76" s="216">
        <f t="shared" si="16"/>
        <v>10746.511591830291</v>
      </c>
      <c r="U76" s="216">
        <f t="shared" si="17"/>
        <v>10746.511591830291</v>
      </c>
      <c r="V76" s="216">
        <v>0</v>
      </c>
      <c r="W76" s="216">
        <v>0</v>
      </c>
      <c r="X76" s="216">
        <f t="shared" si="22"/>
        <v>0</v>
      </c>
      <c r="Y76" s="216">
        <f t="shared" si="25"/>
        <v>10746.511591830291</v>
      </c>
      <c r="Z76" s="216">
        <f t="shared" si="26"/>
        <v>0</v>
      </c>
      <c r="AA76" s="216">
        <v>0</v>
      </c>
      <c r="AB76" s="219">
        <v>0</v>
      </c>
      <c r="AC76" s="216">
        <f t="shared" si="23"/>
        <v>0</v>
      </c>
    </row>
    <row r="77" spans="1:29" s="213" customFormat="1" ht="15.95" customHeight="1">
      <c r="A77" s="214" t="s">
        <v>802</v>
      </c>
      <c r="B77" s="215">
        <v>3301745.9534753137</v>
      </c>
      <c r="C77" s="207">
        <v>66165.43889583803</v>
      </c>
      <c r="D77" s="216">
        <f t="shared" si="18"/>
        <v>3367911.3923711516</v>
      </c>
      <c r="E77" s="217">
        <v>0</v>
      </c>
      <c r="F77" s="218">
        <v>0</v>
      </c>
      <c r="G77" s="216">
        <f t="shared" si="14"/>
        <v>0</v>
      </c>
      <c r="H77" s="216">
        <f t="shared" si="24"/>
        <v>3367911.3923711516</v>
      </c>
      <c r="I77" s="217">
        <v>0</v>
      </c>
      <c r="J77" s="216">
        <v>3580249.65</v>
      </c>
      <c r="K77" s="216">
        <v>0</v>
      </c>
      <c r="L77" s="216">
        <v>0</v>
      </c>
      <c r="M77" s="208">
        <f t="shared" si="19"/>
        <v>0</v>
      </c>
      <c r="N77" s="208">
        <f t="shared" si="19"/>
        <v>3580249.65</v>
      </c>
      <c r="O77" s="208">
        <f t="shared" si="20"/>
        <v>3580249.65</v>
      </c>
      <c r="P77" s="216">
        <v>0</v>
      </c>
      <c r="Q77" s="208">
        <f t="shared" si="21"/>
        <v>3580249.65</v>
      </c>
      <c r="R77" s="216">
        <f t="shared" si="15"/>
        <v>-212338.25762884831</v>
      </c>
      <c r="S77" s="216">
        <v>-463651.95391989592</v>
      </c>
      <c r="T77" s="216">
        <f t="shared" si="16"/>
        <v>0</v>
      </c>
      <c r="U77" s="216">
        <f t="shared" si="17"/>
        <v>-212338.25762884831</v>
      </c>
      <c r="V77" s="216">
        <v>0</v>
      </c>
      <c r="W77" s="216">
        <v>0</v>
      </c>
      <c r="X77" s="216">
        <f t="shared" si="22"/>
        <v>0</v>
      </c>
      <c r="Y77" s="216">
        <f t="shared" si="25"/>
        <v>0</v>
      </c>
      <c r="Z77" s="216">
        <f t="shared" si="26"/>
        <v>-212338.25762884831</v>
      </c>
      <c r="AA77" s="216">
        <v>0</v>
      </c>
      <c r="AB77" s="219">
        <v>0</v>
      </c>
      <c r="AC77" s="216">
        <f t="shared" si="23"/>
        <v>-3.2092019817646054</v>
      </c>
    </row>
    <row r="78" spans="1:29" s="213" customFormat="1" ht="15.95" customHeight="1">
      <c r="A78" s="214" t="s">
        <v>552</v>
      </c>
      <c r="B78" s="215">
        <v>20800418.621421952</v>
      </c>
      <c r="C78" s="207">
        <v>376456.71410611866</v>
      </c>
      <c r="D78" s="216">
        <f t="shared" si="18"/>
        <v>21176875.335528072</v>
      </c>
      <c r="E78" s="217">
        <v>0</v>
      </c>
      <c r="F78" s="218">
        <v>0</v>
      </c>
      <c r="G78" s="216">
        <f t="shared" si="14"/>
        <v>0</v>
      </c>
      <c r="H78" s="216">
        <f t="shared" si="24"/>
        <v>21176875.335528072</v>
      </c>
      <c r="I78" s="217">
        <v>0</v>
      </c>
      <c r="J78" s="216">
        <v>16062126.469999999</v>
      </c>
      <c r="K78" s="216">
        <v>0</v>
      </c>
      <c r="L78" s="216"/>
      <c r="M78" s="208">
        <f t="shared" si="19"/>
        <v>0</v>
      </c>
      <c r="N78" s="208">
        <f t="shared" si="19"/>
        <v>16062126.469999999</v>
      </c>
      <c r="O78" s="208">
        <f t="shared" si="20"/>
        <v>16062126.469999999</v>
      </c>
      <c r="P78" s="216">
        <v>7904758.5700000003</v>
      </c>
      <c r="Q78" s="208">
        <f t="shared" si="21"/>
        <v>23966885.039999999</v>
      </c>
      <c r="R78" s="216">
        <f t="shared" si="15"/>
        <v>-2790009.7044719271</v>
      </c>
      <c r="S78" s="216">
        <v>0</v>
      </c>
      <c r="T78" s="216">
        <f t="shared" si="16"/>
        <v>0</v>
      </c>
      <c r="U78" s="216">
        <f t="shared" si="17"/>
        <v>-2790009.7044719271</v>
      </c>
      <c r="V78" s="216">
        <v>0</v>
      </c>
      <c r="W78" s="216">
        <v>0</v>
      </c>
      <c r="X78" s="216">
        <f t="shared" si="22"/>
        <v>0</v>
      </c>
      <c r="Y78" s="216">
        <f t="shared" si="25"/>
        <v>0</v>
      </c>
      <c r="Z78" s="216">
        <f t="shared" si="26"/>
        <v>-2790009.7044719271</v>
      </c>
      <c r="AA78" s="216">
        <v>0</v>
      </c>
      <c r="AB78" s="219">
        <v>1655954</v>
      </c>
      <c r="AC78" s="216">
        <f t="shared" si="23"/>
        <v>-7.4112364049521418</v>
      </c>
    </row>
    <row r="79" spans="1:29" s="213" customFormat="1" ht="15.95" customHeight="1">
      <c r="A79" s="214" t="s">
        <v>266</v>
      </c>
      <c r="B79" s="215">
        <v>8047562.2562801512</v>
      </c>
      <c r="C79" s="207">
        <v>148257.88735225287</v>
      </c>
      <c r="D79" s="216">
        <f t="shared" si="18"/>
        <v>8195820.1436324045</v>
      </c>
      <c r="E79" s="217">
        <v>0</v>
      </c>
      <c r="F79" s="218">
        <v>0</v>
      </c>
      <c r="G79" s="216">
        <f t="shared" si="14"/>
        <v>0</v>
      </c>
      <c r="H79" s="216">
        <f t="shared" si="24"/>
        <v>8195820.1436324045</v>
      </c>
      <c r="I79" s="217">
        <v>0</v>
      </c>
      <c r="J79" s="216">
        <v>5601842.1799999997</v>
      </c>
      <c r="K79" s="216">
        <v>0</v>
      </c>
      <c r="L79" s="216">
        <v>0</v>
      </c>
      <c r="M79" s="208">
        <f t="shared" si="19"/>
        <v>0</v>
      </c>
      <c r="N79" s="208">
        <f t="shared" si="19"/>
        <v>5601842.1799999997</v>
      </c>
      <c r="O79" s="208">
        <f t="shared" si="20"/>
        <v>5601842.1799999997</v>
      </c>
      <c r="P79" s="216">
        <v>0</v>
      </c>
      <c r="Q79" s="208">
        <f t="shared" si="21"/>
        <v>5601842.1799999997</v>
      </c>
      <c r="R79" s="216">
        <f t="shared" si="15"/>
        <v>0</v>
      </c>
      <c r="S79" s="216">
        <v>0</v>
      </c>
      <c r="T79" s="216">
        <f t="shared" si="16"/>
        <v>2593977.9636324048</v>
      </c>
      <c r="U79" s="216">
        <f t="shared" si="17"/>
        <v>2593977.9636324048</v>
      </c>
      <c r="V79" s="216">
        <v>0</v>
      </c>
      <c r="W79" s="216">
        <v>0</v>
      </c>
      <c r="X79" s="216">
        <f t="shared" si="22"/>
        <v>0</v>
      </c>
      <c r="Y79" s="216">
        <f t="shared" si="25"/>
        <v>2593977.9636324048</v>
      </c>
      <c r="Z79" s="216">
        <f t="shared" si="26"/>
        <v>0</v>
      </c>
      <c r="AA79" s="216">
        <v>0</v>
      </c>
      <c r="AB79" s="219">
        <v>0</v>
      </c>
      <c r="AC79" s="216">
        <f t="shared" si="23"/>
        <v>0</v>
      </c>
    </row>
    <row r="80" spans="1:29" s="213" customFormat="1" ht="15.95" customHeight="1">
      <c r="A80" s="214" t="s">
        <v>688</v>
      </c>
      <c r="B80" s="215">
        <v>529179.71447811578</v>
      </c>
      <c r="C80" s="207">
        <v>8845.5346973468022</v>
      </c>
      <c r="D80" s="216">
        <f t="shared" si="18"/>
        <v>538025.24917546264</v>
      </c>
      <c r="E80" s="217">
        <v>1942793</v>
      </c>
      <c r="F80" s="218">
        <v>0</v>
      </c>
      <c r="G80" s="216">
        <f t="shared" si="14"/>
        <v>1942793</v>
      </c>
      <c r="H80" s="216">
        <f>SUM(D80,G80)</f>
        <v>2480818.2491754629</v>
      </c>
      <c r="I80" s="217">
        <v>0</v>
      </c>
      <c r="J80" s="216">
        <v>2215213.23</v>
      </c>
      <c r="K80" s="216">
        <v>0</v>
      </c>
      <c r="L80" s="216">
        <v>0</v>
      </c>
      <c r="M80" s="208">
        <f t="shared" si="19"/>
        <v>0</v>
      </c>
      <c r="N80" s="208">
        <f t="shared" si="19"/>
        <v>2215213.23</v>
      </c>
      <c r="O80" s="208">
        <f t="shared" si="20"/>
        <v>2215213.23</v>
      </c>
      <c r="P80" s="216"/>
      <c r="Q80" s="208">
        <f t="shared" si="21"/>
        <v>2215213.23</v>
      </c>
      <c r="R80" s="216">
        <f t="shared" si="15"/>
        <v>0</v>
      </c>
      <c r="S80" s="216">
        <v>0</v>
      </c>
      <c r="T80" s="216">
        <f t="shared" si="16"/>
        <v>265605.01917546289</v>
      </c>
      <c r="U80" s="216">
        <f t="shared" si="17"/>
        <v>265605.01917546289</v>
      </c>
      <c r="V80" s="216">
        <v>0</v>
      </c>
      <c r="W80" s="216">
        <v>0</v>
      </c>
      <c r="X80" s="216">
        <f t="shared" si="22"/>
        <v>0</v>
      </c>
      <c r="Y80" s="216">
        <f t="shared" si="25"/>
        <v>265605.01917546289</v>
      </c>
      <c r="Z80" s="216">
        <f t="shared" si="26"/>
        <v>0</v>
      </c>
      <c r="AA80" s="216">
        <v>0</v>
      </c>
      <c r="AB80" s="219">
        <v>0</v>
      </c>
      <c r="AC80" s="216">
        <f t="shared" si="23"/>
        <v>0</v>
      </c>
    </row>
    <row r="81" spans="1:30" s="213" customFormat="1" ht="15.95" customHeight="1">
      <c r="A81" s="214" t="s">
        <v>271</v>
      </c>
      <c r="B81" s="215">
        <v>728651.30967496207</v>
      </c>
      <c r="C81" s="207">
        <v>12935.896416199072</v>
      </c>
      <c r="D81" s="216">
        <f t="shared" si="18"/>
        <v>741587.20609116112</v>
      </c>
      <c r="E81" s="217">
        <v>-28346</v>
      </c>
      <c r="F81" s="218">
        <v>0</v>
      </c>
      <c r="G81" s="216">
        <f t="shared" si="14"/>
        <v>-28346</v>
      </c>
      <c r="H81" s="216">
        <f t="shared" si="24"/>
        <v>713241.20609116112</v>
      </c>
      <c r="I81" s="217">
        <v>0</v>
      </c>
      <c r="J81" s="216">
        <v>282830.08000000002</v>
      </c>
      <c r="K81" s="216">
        <v>0</v>
      </c>
      <c r="L81" s="216">
        <v>0</v>
      </c>
      <c r="M81" s="208">
        <f t="shared" si="19"/>
        <v>0</v>
      </c>
      <c r="N81" s="208">
        <f t="shared" si="19"/>
        <v>282830.08000000002</v>
      </c>
      <c r="O81" s="208">
        <f t="shared" si="20"/>
        <v>282830.08000000002</v>
      </c>
      <c r="P81" s="216">
        <v>0</v>
      </c>
      <c r="Q81" s="208">
        <f t="shared" si="21"/>
        <v>282830.08000000002</v>
      </c>
      <c r="R81" s="216">
        <f t="shared" si="15"/>
        <v>0</v>
      </c>
      <c r="S81" s="216">
        <v>0</v>
      </c>
      <c r="T81" s="216">
        <f t="shared" si="16"/>
        <v>430411.1260911611</v>
      </c>
      <c r="U81" s="216">
        <f t="shared" si="17"/>
        <v>430411.1260911611</v>
      </c>
      <c r="V81" s="216">
        <v>0</v>
      </c>
      <c r="W81" s="216">
        <v>0</v>
      </c>
      <c r="X81" s="216">
        <f t="shared" si="22"/>
        <v>0</v>
      </c>
      <c r="Y81" s="216">
        <f t="shared" si="25"/>
        <v>430411.1260911611</v>
      </c>
      <c r="Z81" s="216">
        <f t="shared" si="26"/>
        <v>0</v>
      </c>
      <c r="AA81" s="216">
        <v>0</v>
      </c>
      <c r="AB81" s="221">
        <v>0</v>
      </c>
      <c r="AC81" s="216">
        <f t="shared" si="23"/>
        <v>0</v>
      </c>
    </row>
    <row r="82" spans="1:30" s="224" customFormat="1" ht="15.95" customHeight="1">
      <c r="A82" s="214" t="s">
        <v>272</v>
      </c>
      <c r="B82" s="215">
        <v>20772938.132062338</v>
      </c>
      <c r="C82" s="207">
        <v>393544.90787536913</v>
      </c>
      <c r="D82" s="216">
        <f t="shared" si="18"/>
        <v>21166483.039937709</v>
      </c>
      <c r="E82" s="217">
        <v>1000000</v>
      </c>
      <c r="F82" s="218">
        <v>0</v>
      </c>
      <c r="G82" s="216">
        <f t="shared" si="14"/>
        <v>1000000</v>
      </c>
      <c r="H82" s="216">
        <f t="shared" si="24"/>
        <v>22166483.039937709</v>
      </c>
      <c r="I82" s="217">
        <v>0</v>
      </c>
      <c r="J82" s="216">
        <v>21358233.59</v>
      </c>
      <c r="K82" s="216">
        <v>0</v>
      </c>
      <c r="L82" s="216">
        <v>0</v>
      </c>
      <c r="M82" s="208">
        <f t="shared" si="19"/>
        <v>0</v>
      </c>
      <c r="N82" s="208">
        <f t="shared" si="19"/>
        <v>21358233.59</v>
      </c>
      <c r="O82" s="208">
        <f t="shared" si="20"/>
        <v>21358233.59</v>
      </c>
      <c r="P82" s="216">
        <v>0</v>
      </c>
      <c r="Q82" s="208">
        <f t="shared" si="21"/>
        <v>21358233.59</v>
      </c>
      <c r="R82" s="216">
        <f t="shared" si="15"/>
        <v>0</v>
      </c>
      <c r="S82" s="216">
        <v>-567251.90440585092</v>
      </c>
      <c r="T82" s="216">
        <f t="shared" si="16"/>
        <v>808249.44993770868</v>
      </c>
      <c r="U82" s="216">
        <f t="shared" si="17"/>
        <v>808249.44993770868</v>
      </c>
      <c r="V82" s="216">
        <v>0</v>
      </c>
      <c r="W82" s="216">
        <v>0</v>
      </c>
      <c r="X82" s="216">
        <f t="shared" si="22"/>
        <v>0</v>
      </c>
      <c r="Y82" s="216">
        <f t="shared" si="25"/>
        <v>808249.44993770868</v>
      </c>
      <c r="Z82" s="216">
        <f t="shared" si="26"/>
        <v>0</v>
      </c>
      <c r="AA82" s="216">
        <v>0</v>
      </c>
      <c r="AB82" s="223">
        <v>8395145.0800000001</v>
      </c>
      <c r="AC82" s="216">
        <f t="shared" si="23"/>
        <v>0</v>
      </c>
    </row>
    <row r="83" spans="1:30" s="213" customFormat="1" ht="15.95" customHeight="1">
      <c r="A83" s="214" t="s">
        <v>561</v>
      </c>
      <c r="B83" s="215">
        <v>7023604.2778296601</v>
      </c>
      <c r="C83" s="207">
        <v>82947.948466120419</v>
      </c>
      <c r="D83" s="216">
        <f t="shared" si="18"/>
        <v>7106552.2262957804</v>
      </c>
      <c r="E83" s="217">
        <v>14094</v>
      </c>
      <c r="F83" s="218">
        <v>0</v>
      </c>
      <c r="G83" s="216">
        <f t="shared" si="14"/>
        <v>14094</v>
      </c>
      <c r="H83" s="216">
        <f t="shared" si="24"/>
        <v>7120646.2262957804</v>
      </c>
      <c r="I83" s="217">
        <v>0</v>
      </c>
      <c r="J83" s="216">
        <v>5451379.2200000007</v>
      </c>
      <c r="K83" s="216">
        <v>0</v>
      </c>
      <c r="L83" s="216">
        <v>0</v>
      </c>
      <c r="M83" s="208">
        <f t="shared" si="19"/>
        <v>0</v>
      </c>
      <c r="N83" s="208">
        <f t="shared" si="19"/>
        <v>5451379.2200000007</v>
      </c>
      <c r="O83" s="208">
        <f t="shared" si="20"/>
        <v>5451379.2200000007</v>
      </c>
      <c r="P83" s="216">
        <v>0</v>
      </c>
      <c r="Q83" s="208">
        <f t="shared" si="21"/>
        <v>5451379.2200000007</v>
      </c>
      <c r="R83" s="216">
        <f t="shared" si="15"/>
        <v>0</v>
      </c>
      <c r="S83" s="216">
        <v>0</v>
      </c>
      <c r="T83" s="216">
        <f t="shared" si="16"/>
        <v>1669267.0062957797</v>
      </c>
      <c r="U83" s="216">
        <f t="shared" si="17"/>
        <v>1669267.0062957797</v>
      </c>
      <c r="V83" s="216">
        <v>0</v>
      </c>
      <c r="W83" s="216">
        <v>0</v>
      </c>
      <c r="X83" s="216">
        <f t="shared" si="22"/>
        <v>0</v>
      </c>
      <c r="Y83" s="216">
        <f t="shared" si="25"/>
        <v>1669267.0062957797</v>
      </c>
      <c r="Z83" s="216">
        <f t="shared" si="26"/>
        <v>0</v>
      </c>
      <c r="AA83" s="216">
        <v>0</v>
      </c>
      <c r="AB83" s="219">
        <v>1519545.41</v>
      </c>
      <c r="AC83" s="216">
        <f t="shared" si="23"/>
        <v>0</v>
      </c>
    </row>
    <row r="84" spans="1:30" s="224" customFormat="1" ht="15.95" customHeight="1">
      <c r="A84" s="214" t="s">
        <v>276</v>
      </c>
      <c r="B84" s="216">
        <v>459671.89321613708</v>
      </c>
      <c r="C84" s="207">
        <v>9039.1856143343593</v>
      </c>
      <c r="D84" s="216">
        <f t="shared" si="18"/>
        <v>468711.07883047144</v>
      </c>
      <c r="E84" s="217">
        <v>0</v>
      </c>
      <c r="F84" s="218">
        <v>0</v>
      </c>
      <c r="G84" s="216">
        <f t="shared" si="14"/>
        <v>0</v>
      </c>
      <c r="H84" s="216">
        <f t="shared" si="24"/>
        <v>468711.07883047144</v>
      </c>
      <c r="I84" s="217">
        <v>0</v>
      </c>
      <c r="J84" s="216">
        <v>591927.11</v>
      </c>
      <c r="K84" s="216">
        <v>0</v>
      </c>
      <c r="L84" s="216">
        <v>0</v>
      </c>
      <c r="M84" s="208">
        <f t="shared" si="19"/>
        <v>0</v>
      </c>
      <c r="N84" s="208">
        <f t="shared" si="19"/>
        <v>591927.11</v>
      </c>
      <c r="O84" s="208">
        <f t="shared" si="20"/>
        <v>591927.11</v>
      </c>
      <c r="P84" s="216">
        <v>0</v>
      </c>
      <c r="Q84" s="208">
        <f t="shared" si="21"/>
        <v>591927.11</v>
      </c>
      <c r="R84" s="216">
        <f t="shared" si="15"/>
        <v>-123216.03116952855</v>
      </c>
      <c r="S84" s="216">
        <v>-155381.85123227455</v>
      </c>
      <c r="T84" s="216">
        <f t="shared" si="16"/>
        <v>0</v>
      </c>
      <c r="U84" s="216">
        <f t="shared" si="17"/>
        <v>-123216.03116952855</v>
      </c>
      <c r="V84" s="216">
        <v>0</v>
      </c>
      <c r="W84" s="216">
        <v>0</v>
      </c>
      <c r="X84" s="216">
        <f t="shared" si="22"/>
        <v>0</v>
      </c>
      <c r="Y84" s="216">
        <f t="shared" si="25"/>
        <v>0</v>
      </c>
      <c r="Z84" s="216">
        <f t="shared" si="26"/>
        <v>-123216.03116952855</v>
      </c>
      <c r="AA84" s="216">
        <v>0</v>
      </c>
      <c r="AB84" s="223">
        <v>374826</v>
      </c>
      <c r="AC84" s="222">
        <f t="shared" si="23"/>
        <v>-13.631319947024023</v>
      </c>
    </row>
    <row r="85" spans="1:30" s="224" customFormat="1" ht="15.95" customHeight="1">
      <c r="A85" s="214" t="s">
        <v>692</v>
      </c>
      <c r="B85" s="216">
        <v>137594.16850431403</v>
      </c>
      <c r="C85" s="207">
        <v>0</v>
      </c>
      <c r="D85" s="216">
        <f t="shared" si="18"/>
        <v>137594.16850431403</v>
      </c>
      <c r="E85" s="217">
        <v>0</v>
      </c>
      <c r="F85" s="218">
        <v>0</v>
      </c>
      <c r="G85" s="216">
        <f t="shared" si="14"/>
        <v>0</v>
      </c>
      <c r="H85" s="216">
        <f t="shared" si="24"/>
        <v>137594.16850431403</v>
      </c>
      <c r="I85" s="217">
        <v>0</v>
      </c>
      <c r="J85" s="216">
        <v>0</v>
      </c>
      <c r="K85" s="216">
        <v>0</v>
      </c>
      <c r="L85" s="216">
        <v>0</v>
      </c>
      <c r="M85" s="208">
        <f t="shared" si="19"/>
        <v>0</v>
      </c>
      <c r="N85" s="208">
        <f t="shared" si="19"/>
        <v>0</v>
      </c>
      <c r="O85" s="208">
        <f t="shared" si="20"/>
        <v>0</v>
      </c>
      <c r="P85" s="216">
        <v>0</v>
      </c>
      <c r="Q85" s="208">
        <f t="shared" si="21"/>
        <v>0</v>
      </c>
      <c r="R85" s="216">
        <f t="shared" si="15"/>
        <v>0</v>
      </c>
      <c r="S85" s="216">
        <v>0</v>
      </c>
      <c r="T85" s="216">
        <f t="shared" si="16"/>
        <v>137594.16850431403</v>
      </c>
      <c r="U85" s="216">
        <f t="shared" si="17"/>
        <v>137594.16850431403</v>
      </c>
      <c r="V85" s="216">
        <v>0</v>
      </c>
      <c r="W85" s="216">
        <v>0</v>
      </c>
      <c r="X85" s="216">
        <f t="shared" si="22"/>
        <v>0</v>
      </c>
      <c r="Y85" s="216">
        <f t="shared" si="25"/>
        <v>137594.16850431403</v>
      </c>
      <c r="Z85" s="216">
        <f t="shared" si="26"/>
        <v>0</v>
      </c>
      <c r="AA85" s="216">
        <v>0</v>
      </c>
      <c r="AB85" s="223">
        <v>0</v>
      </c>
      <c r="AC85" s="216">
        <v>0</v>
      </c>
    </row>
    <row r="86" spans="1:30" s="213" customFormat="1" ht="15.95" customHeight="1">
      <c r="A86" s="214" t="s">
        <v>277</v>
      </c>
      <c r="B86" s="215">
        <v>3419349.6210664446</v>
      </c>
      <c r="C86" s="207">
        <v>68527.88124567036</v>
      </c>
      <c r="D86" s="216">
        <f t="shared" si="18"/>
        <v>3487877.5023121149</v>
      </c>
      <c r="E86" s="217">
        <v>1571513</v>
      </c>
      <c r="F86" s="218">
        <v>0</v>
      </c>
      <c r="G86" s="216">
        <f t="shared" si="14"/>
        <v>1571513</v>
      </c>
      <c r="H86" s="216">
        <f t="shared" si="24"/>
        <v>5059390.5023121145</v>
      </c>
      <c r="I86" s="217">
        <v>0</v>
      </c>
      <c r="J86" s="216">
        <v>8673872.0800000001</v>
      </c>
      <c r="K86" s="216">
        <v>0</v>
      </c>
      <c r="L86" s="216">
        <v>0</v>
      </c>
      <c r="M86" s="208">
        <f t="shared" si="19"/>
        <v>0</v>
      </c>
      <c r="N86" s="208">
        <f t="shared" si="19"/>
        <v>8673872.0800000001</v>
      </c>
      <c r="O86" s="208">
        <f t="shared" si="20"/>
        <v>8673872.0800000001</v>
      </c>
      <c r="P86" s="216">
        <v>0</v>
      </c>
      <c r="Q86" s="208">
        <f t="shared" si="21"/>
        <v>8673872.0800000001</v>
      </c>
      <c r="R86" s="216">
        <f t="shared" si="15"/>
        <v>-3614481.5776878856</v>
      </c>
      <c r="S86" s="216">
        <v>-3853544.1275642226</v>
      </c>
      <c r="T86" s="216">
        <f t="shared" si="16"/>
        <v>0</v>
      </c>
      <c r="U86" s="216">
        <f t="shared" si="17"/>
        <v>-3614481.5776878856</v>
      </c>
      <c r="V86" s="216">
        <v>0</v>
      </c>
      <c r="W86" s="216">
        <v>0</v>
      </c>
      <c r="X86" s="216">
        <f t="shared" si="22"/>
        <v>0</v>
      </c>
      <c r="Y86" s="216">
        <f t="shared" si="25"/>
        <v>0</v>
      </c>
      <c r="Z86" s="216">
        <f t="shared" si="26"/>
        <v>-3614481.5776878856</v>
      </c>
      <c r="AA86" s="216">
        <v>0</v>
      </c>
      <c r="AB86" s="219">
        <v>2122610</v>
      </c>
      <c r="AC86" s="222">
        <f t="shared" si="23"/>
        <v>-52.744685987446182</v>
      </c>
    </row>
    <row r="87" spans="1:30" s="213" customFormat="1" ht="15.95" customHeight="1">
      <c r="A87" s="214" t="s">
        <v>562</v>
      </c>
      <c r="B87" s="215">
        <v>7581088.888025417</v>
      </c>
      <c r="C87" s="207">
        <v>132505.52191902851</v>
      </c>
      <c r="D87" s="216">
        <f t="shared" si="18"/>
        <v>7713594.4099444458</v>
      </c>
      <c r="E87" s="217">
        <v>400485</v>
      </c>
      <c r="F87" s="218">
        <v>0</v>
      </c>
      <c r="G87" s="216">
        <f t="shared" si="14"/>
        <v>400485</v>
      </c>
      <c r="H87" s="216">
        <f t="shared" si="24"/>
        <v>8114079.4099444458</v>
      </c>
      <c r="I87" s="217">
        <v>0</v>
      </c>
      <c r="J87" s="216">
        <v>7488042.2899999991</v>
      </c>
      <c r="K87" s="216">
        <v>0</v>
      </c>
      <c r="L87" s="216">
        <v>0</v>
      </c>
      <c r="M87" s="208">
        <f t="shared" si="19"/>
        <v>0</v>
      </c>
      <c r="N87" s="208">
        <f t="shared" si="19"/>
        <v>7488042.2899999991</v>
      </c>
      <c r="O87" s="208">
        <f t="shared" si="20"/>
        <v>7488042.2899999991</v>
      </c>
      <c r="P87" s="216">
        <v>0</v>
      </c>
      <c r="Q87" s="208">
        <f t="shared" si="21"/>
        <v>7488042.2899999991</v>
      </c>
      <c r="R87" s="216">
        <f t="shared" si="15"/>
        <v>0</v>
      </c>
      <c r="S87" s="216">
        <v>0</v>
      </c>
      <c r="T87" s="216">
        <f t="shared" si="16"/>
        <v>626037.11994444672</v>
      </c>
      <c r="U87" s="216">
        <f t="shared" si="17"/>
        <v>626037.11994444672</v>
      </c>
      <c r="V87" s="216">
        <v>0</v>
      </c>
      <c r="W87" s="216">
        <v>0</v>
      </c>
      <c r="X87" s="216">
        <f t="shared" si="22"/>
        <v>0</v>
      </c>
      <c r="Y87" s="216">
        <f t="shared" si="25"/>
        <v>626037.11994444672</v>
      </c>
      <c r="Z87" s="216">
        <f>IF(SUM($U87-$X87)&lt;0,($U87-$X87),0)</f>
        <v>0</v>
      </c>
      <c r="AA87" s="216">
        <v>1979000</v>
      </c>
      <c r="AB87" s="219">
        <v>0</v>
      </c>
      <c r="AC87" s="216">
        <f t="shared" si="23"/>
        <v>0</v>
      </c>
    </row>
    <row r="88" spans="1:30" s="213" customFormat="1" ht="15.95" customHeight="1">
      <c r="A88" s="214" t="s">
        <v>278</v>
      </c>
      <c r="B88" s="215">
        <v>797357.69494013535</v>
      </c>
      <c r="C88" s="207">
        <v>16362.822705446313</v>
      </c>
      <c r="D88" s="216">
        <f t="shared" si="18"/>
        <v>813720.51764558163</v>
      </c>
      <c r="E88" s="217">
        <v>0</v>
      </c>
      <c r="F88" s="218">
        <v>0</v>
      </c>
      <c r="G88" s="216">
        <f t="shared" si="14"/>
        <v>0</v>
      </c>
      <c r="H88" s="216">
        <f t="shared" si="24"/>
        <v>813720.51764558163</v>
      </c>
      <c r="I88" s="217">
        <v>0</v>
      </c>
      <c r="J88" s="216">
        <v>636722.51</v>
      </c>
      <c r="K88" s="216">
        <v>0</v>
      </c>
      <c r="L88" s="216">
        <v>0</v>
      </c>
      <c r="M88" s="208">
        <f t="shared" si="19"/>
        <v>0</v>
      </c>
      <c r="N88" s="208">
        <f t="shared" si="19"/>
        <v>636722.51</v>
      </c>
      <c r="O88" s="208">
        <f t="shared" si="20"/>
        <v>636722.51</v>
      </c>
      <c r="P88" s="216"/>
      <c r="Q88" s="208">
        <f t="shared" si="21"/>
        <v>636722.51</v>
      </c>
      <c r="R88" s="216">
        <f t="shared" si="15"/>
        <v>0</v>
      </c>
      <c r="S88" s="216">
        <v>0</v>
      </c>
      <c r="T88" s="216">
        <f t="shared" si="16"/>
        <v>176998.00764558162</v>
      </c>
      <c r="U88" s="216">
        <f t="shared" si="17"/>
        <v>176998.00764558162</v>
      </c>
      <c r="V88" s="216">
        <v>0</v>
      </c>
      <c r="W88" s="216">
        <v>0</v>
      </c>
      <c r="X88" s="216">
        <f t="shared" si="22"/>
        <v>0</v>
      </c>
      <c r="Y88" s="216">
        <f t="shared" si="25"/>
        <v>176998.00764558162</v>
      </c>
      <c r="Z88" s="216">
        <f t="shared" si="26"/>
        <v>0</v>
      </c>
      <c r="AA88" s="216">
        <v>0</v>
      </c>
      <c r="AB88" s="221">
        <v>0</v>
      </c>
      <c r="AC88" s="216">
        <f t="shared" si="23"/>
        <v>0</v>
      </c>
    </row>
    <row r="89" spans="1:30" s="213" customFormat="1" ht="15.95" customHeight="1">
      <c r="A89" s="214" t="s">
        <v>284</v>
      </c>
      <c r="B89" s="215">
        <v>6140869.1809873078</v>
      </c>
      <c r="C89" s="207">
        <v>112038.54968500607</v>
      </c>
      <c r="D89" s="216">
        <f t="shared" si="18"/>
        <v>6252907.7306723138</v>
      </c>
      <c r="E89" s="217">
        <v>590000</v>
      </c>
      <c r="F89" s="218">
        <v>0</v>
      </c>
      <c r="G89" s="216">
        <f t="shared" si="14"/>
        <v>590000</v>
      </c>
      <c r="H89" s="216">
        <f t="shared" si="24"/>
        <v>6842907.7306723138</v>
      </c>
      <c r="I89" s="217">
        <v>0</v>
      </c>
      <c r="J89" s="216">
        <v>5419546.2599999998</v>
      </c>
      <c r="K89" s="216">
        <v>0</v>
      </c>
      <c r="L89" s="216">
        <v>0</v>
      </c>
      <c r="M89" s="208">
        <f t="shared" si="19"/>
        <v>0</v>
      </c>
      <c r="N89" s="208">
        <f t="shared" si="19"/>
        <v>5419546.2599999998</v>
      </c>
      <c r="O89" s="208">
        <f t="shared" si="20"/>
        <v>5419546.2599999998</v>
      </c>
      <c r="P89" s="216">
        <v>0</v>
      </c>
      <c r="Q89" s="208">
        <f t="shared" si="21"/>
        <v>5419546.2599999998</v>
      </c>
      <c r="R89" s="216">
        <f t="shared" si="15"/>
        <v>0</v>
      </c>
      <c r="S89" s="216">
        <v>0</v>
      </c>
      <c r="T89" s="216">
        <f t="shared" si="16"/>
        <v>1423361.4706723141</v>
      </c>
      <c r="U89" s="216">
        <f t="shared" si="17"/>
        <v>1423361.4706723141</v>
      </c>
      <c r="V89" s="216">
        <v>0</v>
      </c>
      <c r="W89" s="216">
        <v>0</v>
      </c>
      <c r="X89" s="216">
        <f t="shared" si="22"/>
        <v>0</v>
      </c>
      <c r="Y89" s="216">
        <f t="shared" si="25"/>
        <v>1423361.4706723141</v>
      </c>
      <c r="Z89" s="216">
        <f t="shared" si="26"/>
        <v>0</v>
      </c>
      <c r="AA89" s="216">
        <v>5000000</v>
      </c>
      <c r="AB89" s="221">
        <v>0</v>
      </c>
      <c r="AC89" s="216">
        <f t="shared" si="23"/>
        <v>0</v>
      </c>
    </row>
    <row r="90" spans="1:30" s="213" customFormat="1" ht="15.95" customHeight="1">
      <c r="A90" s="214" t="s">
        <v>567</v>
      </c>
      <c r="B90" s="215">
        <v>989887.72767950571</v>
      </c>
      <c r="C90" s="207">
        <v>17878.952642864337</v>
      </c>
      <c r="D90" s="216">
        <f t="shared" si="18"/>
        <v>1007766.68032237</v>
      </c>
      <c r="E90" s="217">
        <v>0</v>
      </c>
      <c r="F90" s="218">
        <v>0</v>
      </c>
      <c r="G90" s="216">
        <f t="shared" si="14"/>
        <v>0</v>
      </c>
      <c r="H90" s="216">
        <f t="shared" si="24"/>
        <v>1007766.68032237</v>
      </c>
      <c r="I90" s="217">
        <v>0</v>
      </c>
      <c r="J90" s="216">
        <v>927297.66</v>
      </c>
      <c r="K90" s="216">
        <v>0</v>
      </c>
      <c r="L90" s="216">
        <v>0</v>
      </c>
      <c r="M90" s="208">
        <f t="shared" si="19"/>
        <v>0</v>
      </c>
      <c r="N90" s="208">
        <f>J90+L90</f>
        <v>927297.66</v>
      </c>
      <c r="O90" s="208">
        <f t="shared" si="20"/>
        <v>927297.66</v>
      </c>
      <c r="P90" s="216"/>
      <c r="Q90" s="208">
        <f>SUM(O90+P90)</f>
        <v>927297.66</v>
      </c>
      <c r="R90" s="216">
        <f t="shared" si="15"/>
        <v>0</v>
      </c>
      <c r="S90" s="216">
        <v>0</v>
      </c>
      <c r="T90" s="216">
        <f t="shared" si="16"/>
        <v>80469.020322369994</v>
      </c>
      <c r="U90" s="216">
        <f t="shared" si="17"/>
        <v>80469.020322369994</v>
      </c>
      <c r="V90" s="216">
        <v>0</v>
      </c>
      <c r="W90" s="216">
        <v>0</v>
      </c>
      <c r="X90" s="216">
        <f t="shared" si="22"/>
        <v>0</v>
      </c>
      <c r="Y90" s="216">
        <f>IF(SUM($U90-$X90)&gt;0,($U90-$X90),0)</f>
        <v>80469.020322369994</v>
      </c>
      <c r="Z90" s="216">
        <f t="shared" si="26"/>
        <v>0</v>
      </c>
      <c r="AA90" s="216">
        <v>0</v>
      </c>
      <c r="AB90" s="219">
        <v>0</v>
      </c>
      <c r="AC90" s="216">
        <f t="shared" si="23"/>
        <v>0</v>
      </c>
      <c r="AD90" s="231"/>
    </row>
    <row r="91" spans="1:30" s="213" customFormat="1" ht="15.95" customHeight="1">
      <c r="A91" s="214" t="s">
        <v>285</v>
      </c>
      <c r="B91" s="215">
        <v>4546973.9359935429</v>
      </c>
      <c r="C91" s="207">
        <v>83752.967022442914</v>
      </c>
      <c r="D91" s="216">
        <f t="shared" si="18"/>
        <v>4630726.9030159861</v>
      </c>
      <c r="E91" s="217">
        <v>0</v>
      </c>
      <c r="F91" s="218">
        <v>0</v>
      </c>
      <c r="G91" s="216">
        <f t="shared" si="14"/>
        <v>0</v>
      </c>
      <c r="H91" s="216">
        <f t="shared" si="24"/>
        <v>4630726.9030159861</v>
      </c>
      <c r="I91" s="217">
        <v>0</v>
      </c>
      <c r="J91" s="216">
        <v>1746284.88</v>
      </c>
      <c r="K91" s="216">
        <v>0</v>
      </c>
      <c r="L91" s="216">
        <v>0</v>
      </c>
      <c r="M91" s="208">
        <f t="shared" si="19"/>
        <v>0</v>
      </c>
      <c r="N91" s="208">
        <f t="shared" si="19"/>
        <v>1746284.88</v>
      </c>
      <c r="O91" s="208">
        <f t="shared" si="20"/>
        <v>1746284.88</v>
      </c>
      <c r="P91" s="216">
        <v>0</v>
      </c>
      <c r="Q91" s="208">
        <f t="shared" si="21"/>
        <v>1746284.88</v>
      </c>
      <c r="R91" s="216">
        <f t="shared" si="15"/>
        <v>0</v>
      </c>
      <c r="S91" s="216">
        <v>0</v>
      </c>
      <c r="T91" s="216">
        <f t="shared" si="16"/>
        <v>2884442.0230159862</v>
      </c>
      <c r="U91" s="216">
        <f t="shared" si="17"/>
        <v>2884442.0230159862</v>
      </c>
      <c r="V91" s="216">
        <v>0</v>
      </c>
      <c r="W91" s="216">
        <v>0</v>
      </c>
      <c r="X91" s="216">
        <f t="shared" si="22"/>
        <v>0</v>
      </c>
      <c r="Y91" s="216">
        <f t="shared" si="25"/>
        <v>2884442.0230159862</v>
      </c>
      <c r="Z91" s="216">
        <f t="shared" si="26"/>
        <v>0</v>
      </c>
      <c r="AA91" s="216">
        <v>0</v>
      </c>
      <c r="AB91" s="221">
        <v>0</v>
      </c>
      <c r="AC91" s="216">
        <f t="shared" si="23"/>
        <v>0</v>
      </c>
      <c r="AD91" s="231"/>
    </row>
    <row r="92" spans="1:30" s="213" customFormat="1" ht="15.95" customHeight="1">
      <c r="A92" s="214" t="s">
        <v>289</v>
      </c>
      <c r="B92" s="215">
        <v>2784181.5443750313</v>
      </c>
      <c r="C92" s="207">
        <v>49914.752921116989</v>
      </c>
      <c r="D92" s="216">
        <f t="shared" si="18"/>
        <v>2834096.2972961483</v>
      </c>
      <c r="E92" s="217">
        <v>3270000</v>
      </c>
      <c r="F92" s="218">
        <v>0</v>
      </c>
      <c r="G92" s="216">
        <f t="shared" si="14"/>
        <v>3270000</v>
      </c>
      <c r="H92" s="216">
        <f t="shared" si="24"/>
        <v>6104096.2972961478</v>
      </c>
      <c r="I92" s="217">
        <v>0</v>
      </c>
      <c r="J92" s="216">
        <v>2187703.48</v>
      </c>
      <c r="K92" s="216">
        <v>0</v>
      </c>
      <c r="L92" s="216">
        <v>0</v>
      </c>
      <c r="M92" s="208">
        <f t="shared" si="19"/>
        <v>0</v>
      </c>
      <c r="N92" s="208">
        <f t="shared" si="19"/>
        <v>2187703.48</v>
      </c>
      <c r="O92" s="208">
        <f t="shared" si="20"/>
        <v>2187703.48</v>
      </c>
      <c r="P92" s="216">
        <v>182655.44999999998</v>
      </c>
      <c r="Q92" s="208">
        <f t="shared" si="21"/>
        <v>2370358.9300000002</v>
      </c>
      <c r="R92" s="216">
        <f t="shared" si="15"/>
        <v>0</v>
      </c>
      <c r="S92" s="216">
        <v>0</v>
      </c>
      <c r="T92" s="216">
        <f t="shared" si="16"/>
        <v>3733737.3672961476</v>
      </c>
      <c r="U92" s="216">
        <f t="shared" si="17"/>
        <v>3733737.3672961476</v>
      </c>
      <c r="V92" s="216">
        <v>3617344.55</v>
      </c>
      <c r="W92" s="216"/>
      <c r="X92" s="216">
        <f t="shared" si="22"/>
        <v>3617344.55</v>
      </c>
      <c r="Y92" s="216">
        <f t="shared" si="25"/>
        <v>116392.81729614781</v>
      </c>
      <c r="Z92" s="216">
        <f t="shared" si="26"/>
        <v>0</v>
      </c>
      <c r="AB92" s="221">
        <v>0</v>
      </c>
      <c r="AC92" s="216">
        <f t="shared" si="23"/>
        <v>0</v>
      </c>
      <c r="AD92" s="231"/>
    </row>
    <row r="93" spans="1:30" s="224" customFormat="1" ht="15.95" customHeight="1">
      <c r="A93" s="214" t="s">
        <v>571</v>
      </c>
      <c r="B93" s="216">
        <v>4168305.2653611409</v>
      </c>
      <c r="C93" s="207">
        <v>79680.452786416514</v>
      </c>
      <c r="D93" s="216">
        <f t="shared" si="18"/>
        <v>4247985.7181475572</v>
      </c>
      <c r="E93" s="217">
        <v>2213834.7739668684</v>
      </c>
      <c r="F93" s="218">
        <v>0</v>
      </c>
      <c r="G93" s="216">
        <f t="shared" si="14"/>
        <v>2213834.7739668684</v>
      </c>
      <c r="H93" s="216">
        <f t="shared" si="24"/>
        <v>6461820.4921144256</v>
      </c>
      <c r="I93" s="217">
        <v>0</v>
      </c>
      <c r="J93" s="216">
        <v>2943434.57</v>
      </c>
      <c r="K93" s="216">
        <v>0</v>
      </c>
      <c r="L93" s="216">
        <v>0</v>
      </c>
      <c r="M93" s="208">
        <f t="shared" si="19"/>
        <v>0</v>
      </c>
      <c r="N93" s="208">
        <f t="shared" si="19"/>
        <v>2943434.57</v>
      </c>
      <c r="O93" s="208">
        <f t="shared" si="20"/>
        <v>2943434.57</v>
      </c>
      <c r="P93" s="216">
        <v>1842408.17</v>
      </c>
      <c r="Q93" s="208">
        <f t="shared" si="21"/>
        <v>4785842.74</v>
      </c>
      <c r="R93" s="216">
        <f t="shared" si="15"/>
        <v>0</v>
      </c>
      <c r="S93" s="216">
        <v>0</v>
      </c>
      <c r="T93" s="216">
        <f t="shared" si="16"/>
        <v>1675977.7521144254</v>
      </c>
      <c r="U93" s="216">
        <f t="shared" si="17"/>
        <v>1675977.7521144254</v>
      </c>
      <c r="V93" s="216">
        <v>0</v>
      </c>
      <c r="X93" s="216">
        <f t="shared" si="22"/>
        <v>0</v>
      </c>
      <c r="Y93" s="216">
        <f t="shared" si="25"/>
        <v>1675977.7521144254</v>
      </c>
      <c r="Z93" s="216">
        <f t="shared" si="26"/>
        <v>0</v>
      </c>
      <c r="AA93" s="216"/>
      <c r="AB93" s="232">
        <v>0</v>
      </c>
      <c r="AC93" s="216">
        <f t="shared" si="23"/>
        <v>0</v>
      </c>
      <c r="AD93" s="233"/>
    </row>
    <row r="94" spans="1:30" s="213" customFormat="1" ht="15.95" customHeight="1">
      <c r="A94" s="214" t="s">
        <v>578</v>
      </c>
      <c r="B94" s="215">
        <v>138567.32081026811</v>
      </c>
      <c r="C94" s="207">
        <v>0</v>
      </c>
      <c r="D94" s="216">
        <f t="shared" si="18"/>
        <v>138567.32081026811</v>
      </c>
      <c r="E94" s="217">
        <v>-12022</v>
      </c>
      <c r="F94" s="218">
        <v>0</v>
      </c>
      <c r="G94" s="216">
        <f t="shared" si="14"/>
        <v>-12022</v>
      </c>
      <c r="H94" s="216">
        <f t="shared" si="24"/>
        <v>126545.32081026811</v>
      </c>
      <c r="I94" s="217">
        <v>0</v>
      </c>
      <c r="J94" s="216">
        <v>0</v>
      </c>
      <c r="K94" s="216">
        <v>0</v>
      </c>
      <c r="L94" s="216">
        <v>0</v>
      </c>
      <c r="M94" s="208">
        <f t="shared" si="19"/>
        <v>0</v>
      </c>
      <c r="N94" s="208">
        <f t="shared" si="19"/>
        <v>0</v>
      </c>
      <c r="O94" s="208">
        <f t="shared" si="20"/>
        <v>0</v>
      </c>
      <c r="P94" s="216">
        <v>0</v>
      </c>
      <c r="Q94" s="208">
        <f t="shared" si="21"/>
        <v>0</v>
      </c>
      <c r="R94" s="216">
        <f t="shared" si="15"/>
        <v>0</v>
      </c>
      <c r="S94" s="216">
        <v>0</v>
      </c>
      <c r="T94" s="216">
        <f t="shared" si="16"/>
        <v>126545.32081026811</v>
      </c>
      <c r="U94" s="216">
        <f t="shared" si="17"/>
        <v>126545.32081026811</v>
      </c>
      <c r="V94" s="216">
        <v>0</v>
      </c>
      <c r="W94" s="216">
        <v>0</v>
      </c>
      <c r="X94" s="216">
        <f t="shared" si="22"/>
        <v>0</v>
      </c>
      <c r="Y94" s="216">
        <f t="shared" si="25"/>
        <v>126545.32081026811</v>
      </c>
      <c r="Z94" s="216">
        <f t="shared" si="26"/>
        <v>0</v>
      </c>
      <c r="AA94" s="216">
        <v>0</v>
      </c>
      <c r="AB94" s="219">
        <v>0</v>
      </c>
      <c r="AC94" s="216">
        <v>0</v>
      </c>
      <c r="AD94" s="231"/>
    </row>
    <row r="95" spans="1:30" s="213" customFormat="1" ht="15.95" customHeight="1">
      <c r="A95" s="214" t="s">
        <v>579</v>
      </c>
      <c r="B95" s="215">
        <v>424669.43050039152</v>
      </c>
      <c r="C95" s="207">
        <v>7981.9058232296775</v>
      </c>
      <c r="D95" s="216">
        <f t="shared" si="18"/>
        <v>432651.33632362122</v>
      </c>
      <c r="E95" s="217">
        <v>-372119</v>
      </c>
      <c r="F95" s="218">
        <v>0</v>
      </c>
      <c r="G95" s="216">
        <f t="shared" si="14"/>
        <v>-372119</v>
      </c>
      <c r="H95" s="216">
        <f t="shared" si="24"/>
        <v>60532.336323621217</v>
      </c>
      <c r="I95" s="217">
        <v>0</v>
      </c>
      <c r="J95" s="216">
        <v>0</v>
      </c>
      <c r="K95" s="216">
        <v>0</v>
      </c>
      <c r="L95" s="216">
        <v>0</v>
      </c>
      <c r="M95" s="208">
        <f t="shared" si="19"/>
        <v>0</v>
      </c>
      <c r="N95" s="208">
        <f t="shared" si="19"/>
        <v>0</v>
      </c>
      <c r="O95" s="208">
        <f t="shared" si="20"/>
        <v>0</v>
      </c>
      <c r="P95" s="216">
        <v>0</v>
      </c>
      <c r="Q95" s="208">
        <f t="shared" si="21"/>
        <v>0</v>
      </c>
      <c r="R95" s="216">
        <f t="shared" si="15"/>
        <v>0</v>
      </c>
      <c r="S95" s="216">
        <v>0</v>
      </c>
      <c r="T95" s="216">
        <f t="shared" si="16"/>
        <v>60532.336323621217</v>
      </c>
      <c r="U95" s="216">
        <f t="shared" si="17"/>
        <v>60532.336323621217</v>
      </c>
      <c r="V95" s="216">
        <v>0</v>
      </c>
      <c r="W95" s="216">
        <v>0</v>
      </c>
      <c r="X95" s="216">
        <f t="shared" si="22"/>
        <v>0</v>
      </c>
      <c r="Y95" s="216">
        <f t="shared" si="25"/>
        <v>60532.336323621217</v>
      </c>
      <c r="Z95" s="216">
        <f t="shared" si="26"/>
        <v>0</v>
      </c>
      <c r="AA95" s="216">
        <v>0</v>
      </c>
      <c r="AB95" s="219">
        <v>0</v>
      </c>
      <c r="AC95" s="216">
        <f t="shared" si="23"/>
        <v>0</v>
      </c>
      <c r="AD95" s="231"/>
    </row>
    <row r="96" spans="1:30" s="213" customFormat="1" ht="15.95" customHeight="1">
      <c r="A96" s="214" t="s">
        <v>580</v>
      </c>
      <c r="B96" s="215">
        <v>651142.82014085772</v>
      </c>
      <c r="C96" s="207">
        <v>19109.551220093781</v>
      </c>
      <c r="D96" s="216">
        <f t="shared" si="18"/>
        <v>670252.37136095145</v>
      </c>
      <c r="E96" s="217">
        <v>-117424</v>
      </c>
      <c r="F96" s="218">
        <v>0</v>
      </c>
      <c r="G96" s="216">
        <f t="shared" si="14"/>
        <v>-117424</v>
      </c>
      <c r="H96" s="216">
        <f t="shared" si="24"/>
        <v>552828.37136095145</v>
      </c>
      <c r="I96" s="217">
        <v>0</v>
      </c>
      <c r="J96" s="216">
        <v>0</v>
      </c>
      <c r="K96" s="216">
        <v>0</v>
      </c>
      <c r="L96" s="216">
        <v>0</v>
      </c>
      <c r="M96" s="208">
        <f t="shared" si="19"/>
        <v>0</v>
      </c>
      <c r="N96" s="208">
        <f t="shared" si="19"/>
        <v>0</v>
      </c>
      <c r="O96" s="208">
        <f t="shared" si="20"/>
        <v>0</v>
      </c>
      <c r="P96" s="216">
        <v>0</v>
      </c>
      <c r="Q96" s="208">
        <f t="shared" si="21"/>
        <v>0</v>
      </c>
      <c r="R96" s="216">
        <f t="shared" si="15"/>
        <v>0</v>
      </c>
      <c r="S96" s="216">
        <v>0</v>
      </c>
      <c r="T96" s="216">
        <f t="shared" si="16"/>
        <v>552828.37136095145</v>
      </c>
      <c r="U96" s="216">
        <f t="shared" si="17"/>
        <v>552828.37136095145</v>
      </c>
      <c r="V96" s="216">
        <v>0</v>
      </c>
      <c r="W96" s="216">
        <v>0</v>
      </c>
      <c r="X96" s="216">
        <f t="shared" si="22"/>
        <v>0</v>
      </c>
      <c r="Y96" s="216">
        <f t="shared" si="25"/>
        <v>552828.37136095145</v>
      </c>
      <c r="Z96" s="216">
        <f t="shared" si="26"/>
        <v>0</v>
      </c>
      <c r="AA96" s="216">
        <v>0</v>
      </c>
      <c r="AB96" s="219">
        <v>0</v>
      </c>
      <c r="AC96" s="216">
        <f t="shared" si="23"/>
        <v>0</v>
      </c>
    </row>
    <row r="97" spans="1:30" s="213" customFormat="1" ht="15.95" customHeight="1">
      <c r="A97" s="214" t="s">
        <v>581</v>
      </c>
      <c r="B97" s="215">
        <v>1779406.5586151679</v>
      </c>
      <c r="C97" s="207">
        <v>0</v>
      </c>
      <c r="D97" s="216">
        <f t="shared" si="18"/>
        <v>1779406.5586151679</v>
      </c>
      <c r="E97" s="217">
        <v>0</v>
      </c>
      <c r="F97" s="218">
        <v>0</v>
      </c>
      <c r="G97" s="216">
        <f t="shared" si="14"/>
        <v>0</v>
      </c>
      <c r="H97" s="216">
        <f t="shared" si="24"/>
        <v>1779406.5586151679</v>
      </c>
      <c r="I97" s="217">
        <v>0</v>
      </c>
      <c r="J97" s="216">
        <v>3079764.14</v>
      </c>
      <c r="K97" s="216">
        <v>0</v>
      </c>
      <c r="L97" s="216">
        <v>0</v>
      </c>
      <c r="M97" s="208">
        <f t="shared" si="19"/>
        <v>0</v>
      </c>
      <c r="N97" s="208">
        <f t="shared" si="19"/>
        <v>3079764.14</v>
      </c>
      <c r="O97" s="208">
        <f t="shared" si="20"/>
        <v>3079764.14</v>
      </c>
      <c r="P97" s="216">
        <v>0</v>
      </c>
      <c r="Q97" s="208">
        <f t="shared" si="21"/>
        <v>3079764.14</v>
      </c>
      <c r="R97" s="216">
        <f t="shared" si="15"/>
        <v>-1300357.5813848323</v>
      </c>
      <c r="S97" s="216">
        <v>-1325873.790420895</v>
      </c>
      <c r="T97" s="216">
        <f t="shared" si="16"/>
        <v>0</v>
      </c>
      <c r="U97" s="216">
        <f t="shared" si="17"/>
        <v>-1300357.5813848323</v>
      </c>
      <c r="V97" s="216">
        <v>0</v>
      </c>
      <c r="W97" s="216">
        <v>0</v>
      </c>
      <c r="X97" s="216">
        <f t="shared" si="22"/>
        <v>0</v>
      </c>
      <c r="Y97" s="216">
        <f t="shared" si="25"/>
        <v>0</v>
      </c>
      <c r="Z97" s="216">
        <f t="shared" si="26"/>
        <v>-1300357.5813848323</v>
      </c>
      <c r="AA97" s="216">
        <v>0</v>
      </c>
      <c r="AB97" s="219">
        <v>1545056.58</v>
      </c>
      <c r="AC97" s="216">
        <v>0</v>
      </c>
      <c r="AD97" s="231"/>
    </row>
    <row r="98" spans="1:30" s="213" customFormat="1" ht="15.95" customHeight="1">
      <c r="A98" s="214" t="s">
        <v>295</v>
      </c>
      <c r="B98" s="215">
        <v>13499182.742534162</v>
      </c>
      <c r="C98" s="207">
        <v>249418.40532807185</v>
      </c>
      <c r="D98" s="216">
        <f t="shared" si="18"/>
        <v>13748601.147862235</v>
      </c>
      <c r="E98" s="216">
        <v>240000</v>
      </c>
      <c r="F98" s="218">
        <v>0</v>
      </c>
      <c r="G98" s="216">
        <f t="shared" si="14"/>
        <v>240000</v>
      </c>
      <c r="H98" s="216">
        <f t="shared" si="24"/>
        <v>13988601.147862235</v>
      </c>
      <c r="I98" s="217">
        <v>0</v>
      </c>
      <c r="J98" s="216">
        <v>9935172.8599999994</v>
      </c>
      <c r="K98" s="216">
        <v>0</v>
      </c>
      <c r="L98" s="216">
        <v>0</v>
      </c>
      <c r="M98" s="208">
        <f t="shared" si="19"/>
        <v>0</v>
      </c>
      <c r="N98" s="208">
        <f t="shared" si="19"/>
        <v>9935172.8599999994</v>
      </c>
      <c r="O98" s="208">
        <f t="shared" si="20"/>
        <v>9935172.8599999994</v>
      </c>
      <c r="P98" s="216">
        <v>0</v>
      </c>
      <c r="Q98" s="208">
        <f t="shared" si="21"/>
        <v>9935172.8599999994</v>
      </c>
      <c r="R98" s="216">
        <f t="shared" si="15"/>
        <v>0</v>
      </c>
      <c r="S98" s="216">
        <v>0</v>
      </c>
      <c r="T98" s="216">
        <f t="shared" si="16"/>
        <v>4053428.2878622357</v>
      </c>
      <c r="U98" s="216">
        <f t="shared" si="17"/>
        <v>4053428.2878622357</v>
      </c>
      <c r="V98" s="216">
        <v>0</v>
      </c>
      <c r="W98" s="216">
        <v>0</v>
      </c>
      <c r="X98" s="216">
        <f t="shared" si="22"/>
        <v>0</v>
      </c>
      <c r="Y98" s="216">
        <f t="shared" si="25"/>
        <v>4053428.2878622357</v>
      </c>
      <c r="Z98" s="216">
        <f t="shared" si="26"/>
        <v>0</v>
      </c>
      <c r="AA98" s="216">
        <v>0</v>
      </c>
      <c r="AB98" s="219">
        <v>0</v>
      </c>
      <c r="AC98" s="216">
        <f t="shared" si="23"/>
        <v>0</v>
      </c>
    </row>
    <row r="99" spans="1:30" s="213" customFormat="1" ht="15.95" customHeight="1">
      <c r="A99" s="214" t="s">
        <v>303</v>
      </c>
      <c r="B99" s="215">
        <v>9101285.1178944688</v>
      </c>
      <c r="C99" s="207">
        <v>164350.93463711126</v>
      </c>
      <c r="D99" s="216">
        <f t="shared" si="18"/>
        <v>9265636.0525315795</v>
      </c>
      <c r="E99" s="217">
        <v>300000</v>
      </c>
      <c r="F99" s="218">
        <v>0</v>
      </c>
      <c r="G99" s="216">
        <f t="shared" si="14"/>
        <v>300000</v>
      </c>
      <c r="H99" s="216">
        <f t="shared" si="24"/>
        <v>9565636.0525315795</v>
      </c>
      <c r="I99" s="217">
        <v>0</v>
      </c>
      <c r="J99" s="216">
        <v>6315625.1200000001</v>
      </c>
      <c r="K99" s="216">
        <v>0</v>
      </c>
      <c r="L99" s="216">
        <v>0</v>
      </c>
      <c r="M99" s="208">
        <f t="shared" si="19"/>
        <v>0</v>
      </c>
      <c r="N99" s="208">
        <f t="shared" si="19"/>
        <v>6315625.1200000001</v>
      </c>
      <c r="O99" s="208">
        <f t="shared" si="20"/>
        <v>6315625.1200000001</v>
      </c>
      <c r="P99" s="216">
        <v>0</v>
      </c>
      <c r="Q99" s="208">
        <f t="shared" si="21"/>
        <v>6315625.1200000001</v>
      </c>
      <c r="R99" s="216">
        <f t="shared" si="15"/>
        <v>0</v>
      </c>
      <c r="S99" s="216">
        <v>0</v>
      </c>
      <c r="T99" s="216">
        <f t="shared" si="16"/>
        <v>3250010.9325315794</v>
      </c>
      <c r="U99" s="216">
        <f t="shared" si="17"/>
        <v>3250010.9325315794</v>
      </c>
      <c r="V99" s="216">
        <v>0</v>
      </c>
      <c r="W99" s="216">
        <v>0</v>
      </c>
      <c r="X99" s="216">
        <f t="shared" si="22"/>
        <v>0</v>
      </c>
      <c r="Y99" s="216">
        <f t="shared" si="25"/>
        <v>3250010.9325315794</v>
      </c>
      <c r="Z99" s="216">
        <f t="shared" si="26"/>
        <v>0</v>
      </c>
      <c r="AA99" s="216">
        <v>3600000</v>
      </c>
      <c r="AB99" s="219">
        <v>716375</v>
      </c>
      <c r="AC99" s="216">
        <f t="shared" si="23"/>
        <v>0</v>
      </c>
    </row>
    <row r="100" spans="1:30" s="213" customFormat="1" ht="15.95" customHeight="1">
      <c r="A100" s="214" t="s">
        <v>309</v>
      </c>
      <c r="B100" s="215">
        <v>4859765.7430433305</v>
      </c>
      <c r="C100" s="207">
        <v>94186.890879778977</v>
      </c>
      <c r="D100" s="216">
        <f t="shared" si="18"/>
        <v>4953952.6339231096</v>
      </c>
      <c r="E100" s="217">
        <v>400000</v>
      </c>
      <c r="F100" s="218">
        <v>0</v>
      </c>
      <c r="G100" s="216">
        <f t="shared" ref="G100:G132" si="27">SUM(E100:F100)</f>
        <v>400000</v>
      </c>
      <c r="H100" s="216">
        <f t="shared" si="24"/>
        <v>5353952.6339231096</v>
      </c>
      <c r="I100" s="217">
        <v>0</v>
      </c>
      <c r="J100" s="216">
        <v>6067239.1399999997</v>
      </c>
      <c r="K100" s="216">
        <v>0</v>
      </c>
      <c r="L100" s="216">
        <v>0</v>
      </c>
      <c r="M100" s="208">
        <f t="shared" si="19"/>
        <v>0</v>
      </c>
      <c r="N100" s="208">
        <f t="shared" si="19"/>
        <v>6067239.1399999997</v>
      </c>
      <c r="O100" s="208">
        <f t="shared" si="20"/>
        <v>6067239.1399999997</v>
      </c>
      <c r="P100" s="216">
        <v>0</v>
      </c>
      <c r="Q100" s="208">
        <f t="shared" si="21"/>
        <v>6067239.1399999997</v>
      </c>
      <c r="R100" s="216">
        <f t="shared" si="15"/>
        <v>-713286.50607689004</v>
      </c>
      <c r="S100" s="216">
        <v>-1041289.7960058153</v>
      </c>
      <c r="T100" s="216">
        <f t="shared" si="16"/>
        <v>0</v>
      </c>
      <c r="U100" s="216">
        <f t="shared" si="17"/>
        <v>-713286.50607689004</v>
      </c>
      <c r="V100" s="216">
        <v>0</v>
      </c>
      <c r="W100" s="216">
        <v>0</v>
      </c>
      <c r="X100" s="216">
        <f t="shared" si="22"/>
        <v>0</v>
      </c>
      <c r="Y100" s="216">
        <f t="shared" si="25"/>
        <v>0</v>
      </c>
      <c r="Z100" s="216">
        <f t="shared" si="26"/>
        <v>-713286.50607689004</v>
      </c>
      <c r="AA100" s="216">
        <v>0</v>
      </c>
      <c r="AB100" s="219">
        <v>0</v>
      </c>
      <c r="AC100" s="222">
        <f t="shared" si="23"/>
        <v>-7.5730974811275553</v>
      </c>
    </row>
    <row r="101" spans="1:30" s="213" customFormat="1" ht="15.95" customHeight="1">
      <c r="A101" s="214" t="s">
        <v>905</v>
      </c>
      <c r="B101" s="215">
        <v>1219556.6687369896</v>
      </c>
      <c r="C101" s="207">
        <v>20651.847047928663</v>
      </c>
      <c r="D101" s="216">
        <f t="shared" si="18"/>
        <v>1240208.5157849183</v>
      </c>
      <c r="E101" s="217">
        <v>568719</v>
      </c>
      <c r="F101" s="218">
        <v>0</v>
      </c>
      <c r="G101" s="216">
        <f t="shared" si="27"/>
        <v>568719</v>
      </c>
      <c r="H101" s="216">
        <f t="shared" si="24"/>
        <v>1808927.5157849183</v>
      </c>
      <c r="I101" s="217">
        <v>0</v>
      </c>
      <c r="J101" s="216">
        <v>1319066.99</v>
      </c>
      <c r="K101" s="216">
        <v>0</v>
      </c>
      <c r="L101" s="216">
        <v>0</v>
      </c>
      <c r="M101" s="208">
        <f t="shared" si="19"/>
        <v>0</v>
      </c>
      <c r="N101" s="208">
        <f t="shared" si="19"/>
        <v>1319066.99</v>
      </c>
      <c r="O101" s="208">
        <f t="shared" si="20"/>
        <v>1319066.99</v>
      </c>
      <c r="P101" s="216">
        <v>0</v>
      </c>
      <c r="Q101" s="208">
        <f t="shared" si="21"/>
        <v>1319066.99</v>
      </c>
      <c r="R101" s="216">
        <f t="shared" si="15"/>
        <v>0</v>
      </c>
      <c r="S101" s="216">
        <v>0</v>
      </c>
      <c r="T101" s="216">
        <f t="shared" si="16"/>
        <v>489860.52578491834</v>
      </c>
      <c r="U101" s="216">
        <f t="shared" si="17"/>
        <v>489860.52578491834</v>
      </c>
      <c r="V101" s="216">
        <v>0</v>
      </c>
      <c r="W101" s="216">
        <v>0</v>
      </c>
      <c r="X101" s="216">
        <f t="shared" si="22"/>
        <v>0</v>
      </c>
      <c r="Y101" s="216">
        <f t="shared" si="25"/>
        <v>489860.52578491834</v>
      </c>
      <c r="Z101" s="216">
        <f t="shared" si="26"/>
        <v>0</v>
      </c>
      <c r="AA101" s="216">
        <v>3500000</v>
      </c>
      <c r="AB101" s="219">
        <v>0</v>
      </c>
      <c r="AC101" s="216">
        <f t="shared" si="23"/>
        <v>0</v>
      </c>
    </row>
    <row r="102" spans="1:30" s="213" customFormat="1" ht="15.95" customHeight="1">
      <c r="A102" s="214" t="s">
        <v>806</v>
      </c>
      <c r="B102" s="215">
        <v>1879904.763164192</v>
      </c>
      <c r="C102" s="207">
        <v>30796.159858409839</v>
      </c>
      <c r="D102" s="216">
        <f t="shared" si="18"/>
        <v>1910700.9230226018</v>
      </c>
      <c r="E102" s="217">
        <v>0</v>
      </c>
      <c r="F102" s="218">
        <v>0</v>
      </c>
      <c r="G102" s="216">
        <f t="shared" si="27"/>
        <v>0</v>
      </c>
      <c r="H102" s="216">
        <f t="shared" si="24"/>
        <v>1910700.9230226018</v>
      </c>
      <c r="I102" s="217">
        <v>0</v>
      </c>
      <c r="J102" s="216">
        <v>1684243.3299</v>
      </c>
      <c r="K102" s="216">
        <v>0</v>
      </c>
      <c r="L102" s="216">
        <v>0</v>
      </c>
      <c r="M102" s="208">
        <f t="shared" si="19"/>
        <v>0</v>
      </c>
      <c r="N102" s="208">
        <f t="shared" si="19"/>
        <v>1684243.3299</v>
      </c>
      <c r="O102" s="208">
        <f t="shared" si="20"/>
        <v>1684243.3299</v>
      </c>
      <c r="P102" s="216">
        <v>0</v>
      </c>
      <c r="Q102" s="208">
        <f t="shared" si="21"/>
        <v>1684243.3299</v>
      </c>
      <c r="R102" s="216">
        <f t="shared" si="15"/>
        <v>0</v>
      </c>
      <c r="S102" s="216">
        <v>0</v>
      </c>
      <c r="T102" s="216">
        <f t="shared" si="16"/>
        <v>226457.59312260174</v>
      </c>
      <c r="U102" s="216">
        <f t="shared" si="17"/>
        <v>226457.59312260174</v>
      </c>
      <c r="V102" s="216">
        <v>0</v>
      </c>
      <c r="W102" s="216">
        <v>0</v>
      </c>
      <c r="X102" s="216">
        <f t="shared" si="22"/>
        <v>0</v>
      </c>
      <c r="Y102" s="216">
        <f t="shared" si="25"/>
        <v>226457.59312260174</v>
      </c>
      <c r="Z102" s="216">
        <f t="shared" si="26"/>
        <v>0</v>
      </c>
      <c r="AA102" s="216">
        <v>0</v>
      </c>
      <c r="AB102" s="219">
        <v>0</v>
      </c>
      <c r="AC102" s="216">
        <f t="shared" si="23"/>
        <v>0</v>
      </c>
    </row>
    <row r="103" spans="1:30" s="213" customFormat="1" ht="15.95" customHeight="1">
      <c r="A103" s="214" t="s">
        <v>313</v>
      </c>
      <c r="B103" s="215">
        <v>3837428.5269525405</v>
      </c>
      <c r="C103" s="207">
        <v>71956.56598800444</v>
      </c>
      <c r="D103" s="216">
        <f t="shared" ref="D103:D166" si="28">SUM(B103:C103)</f>
        <v>3909385.0929405447</v>
      </c>
      <c r="E103" s="217">
        <v>650000</v>
      </c>
      <c r="F103" s="218">
        <v>0</v>
      </c>
      <c r="G103" s="216">
        <f t="shared" si="27"/>
        <v>650000</v>
      </c>
      <c r="H103" s="216">
        <f t="shared" si="24"/>
        <v>4559385.0929405447</v>
      </c>
      <c r="I103" s="217">
        <v>0</v>
      </c>
      <c r="J103" s="216">
        <v>4629923.17</v>
      </c>
      <c r="K103" s="216">
        <v>0</v>
      </c>
      <c r="L103" s="216">
        <v>0</v>
      </c>
      <c r="M103" s="208">
        <f t="shared" si="19"/>
        <v>0</v>
      </c>
      <c r="N103" s="208">
        <f t="shared" si="19"/>
        <v>4629923.17</v>
      </c>
      <c r="O103" s="208">
        <f t="shared" si="20"/>
        <v>4629923.17</v>
      </c>
      <c r="P103" s="216">
        <v>0</v>
      </c>
      <c r="Q103" s="208">
        <f t="shared" si="21"/>
        <v>4629923.17</v>
      </c>
      <c r="R103" s="216">
        <f t="shared" si="15"/>
        <v>-70538.077059455216</v>
      </c>
      <c r="S103" s="216">
        <v>-323359.71750612929</v>
      </c>
      <c r="T103" s="216">
        <f t="shared" si="16"/>
        <v>0</v>
      </c>
      <c r="U103" s="216">
        <f t="shared" si="17"/>
        <v>-70538.077059455216</v>
      </c>
      <c r="V103" s="216">
        <v>0</v>
      </c>
      <c r="W103" s="216">
        <v>0</v>
      </c>
      <c r="X103" s="216">
        <f t="shared" si="22"/>
        <v>0</v>
      </c>
      <c r="Y103" s="216">
        <f t="shared" si="25"/>
        <v>0</v>
      </c>
      <c r="Z103" s="216">
        <f t="shared" si="26"/>
        <v>-70538.077059455216</v>
      </c>
      <c r="AA103" s="216">
        <v>0</v>
      </c>
      <c r="AB103" s="219">
        <v>0</v>
      </c>
      <c r="AC103" s="216">
        <f t="shared" si="23"/>
        <v>-0.98028687293407391</v>
      </c>
    </row>
    <row r="104" spans="1:30" s="213" customFormat="1" ht="15.95" customHeight="1">
      <c r="A104" s="214" t="s">
        <v>314</v>
      </c>
      <c r="B104" s="215">
        <v>80883845.877004653</v>
      </c>
      <c r="C104" s="207">
        <v>1479241.5565266574</v>
      </c>
      <c r="D104" s="216">
        <f t="shared" si="28"/>
        <v>82363087.433531314</v>
      </c>
      <c r="E104" s="217">
        <v>0</v>
      </c>
      <c r="F104" s="218">
        <v>0</v>
      </c>
      <c r="G104" s="216">
        <f t="shared" si="27"/>
        <v>0</v>
      </c>
      <c r="H104" s="216">
        <f t="shared" si="24"/>
        <v>82363087.433531314</v>
      </c>
      <c r="I104" s="217">
        <v>0</v>
      </c>
      <c r="J104" s="216">
        <v>60080222.549999997</v>
      </c>
      <c r="K104" s="216">
        <v>0</v>
      </c>
      <c r="L104" s="216">
        <v>0</v>
      </c>
      <c r="M104" s="208">
        <f t="shared" si="19"/>
        <v>0</v>
      </c>
      <c r="N104" s="208">
        <f t="shared" si="19"/>
        <v>60080222.549999997</v>
      </c>
      <c r="O104" s="208">
        <f t="shared" si="20"/>
        <v>60080222.549999997</v>
      </c>
      <c r="P104" s="216">
        <v>6654732.6400000006</v>
      </c>
      <c r="Q104" s="208">
        <f t="shared" si="21"/>
        <v>66734955.189999998</v>
      </c>
      <c r="R104" s="216">
        <f t="shared" si="15"/>
        <v>0</v>
      </c>
      <c r="S104" s="216">
        <v>0</v>
      </c>
      <c r="T104" s="216">
        <f t="shared" si="16"/>
        <v>15628132.243531317</v>
      </c>
      <c r="U104" s="216">
        <f t="shared" si="17"/>
        <v>15628132.243531317</v>
      </c>
      <c r="V104" s="216">
        <v>0</v>
      </c>
      <c r="W104" s="216">
        <v>0</v>
      </c>
      <c r="X104" s="216">
        <f t="shared" si="22"/>
        <v>0</v>
      </c>
      <c r="Y104" s="216">
        <f t="shared" si="25"/>
        <v>15628132.243531317</v>
      </c>
      <c r="Z104" s="216">
        <f>IF(SUM($U104-$X104)&lt;0,($U104-$X104),0)</f>
        <v>0</v>
      </c>
      <c r="AA104" s="216">
        <v>35200000</v>
      </c>
      <c r="AB104" s="219">
        <v>15019218.109999999</v>
      </c>
      <c r="AC104" s="216">
        <f t="shared" si="23"/>
        <v>0</v>
      </c>
    </row>
    <row r="105" spans="1:30" s="213" customFormat="1" ht="15.95" customHeight="1">
      <c r="A105" s="214" t="s">
        <v>582</v>
      </c>
      <c r="B105" s="215">
        <v>2100191.0153807742</v>
      </c>
      <c r="C105" s="207">
        <v>39985.147620727243</v>
      </c>
      <c r="D105" s="216">
        <f t="shared" si="28"/>
        <v>2140176.1630015015</v>
      </c>
      <c r="E105" s="217">
        <v>0</v>
      </c>
      <c r="F105" s="218">
        <v>0</v>
      </c>
      <c r="G105" s="216">
        <f t="shared" si="27"/>
        <v>0</v>
      </c>
      <c r="H105" s="216">
        <f t="shared" si="24"/>
        <v>2140176.1630015015</v>
      </c>
      <c r="I105" s="217">
        <v>0</v>
      </c>
      <c r="J105" s="216">
        <v>2103349.6</v>
      </c>
      <c r="K105" s="216">
        <v>0</v>
      </c>
      <c r="L105" s="216">
        <v>0</v>
      </c>
      <c r="M105" s="208">
        <f t="shared" si="19"/>
        <v>0</v>
      </c>
      <c r="N105" s="208">
        <f t="shared" si="19"/>
        <v>2103349.6</v>
      </c>
      <c r="O105" s="208">
        <f t="shared" si="20"/>
        <v>2103349.6</v>
      </c>
      <c r="P105" s="216">
        <v>1026.8699999999999</v>
      </c>
      <c r="Q105" s="208">
        <f t="shared" si="21"/>
        <v>2104376.4700000002</v>
      </c>
      <c r="R105" s="216">
        <f t="shared" si="15"/>
        <v>0</v>
      </c>
      <c r="S105" s="216">
        <v>-102621.50999775715</v>
      </c>
      <c r="T105" s="216">
        <f t="shared" si="16"/>
        <v>35799.693001501262</v>
      </c>
      <c r="U105" s="216">
        <f t="shared" si="17"/>
        <v>35799.693001501262</v>
      </c>
      <c r="V105" s="216">
        <v>0</v>
      </c>
      <c r="W105" s="216">
        <v>0</v>
      </c>
      <c r="X105" s="216">
        <f t="shared" si="22"/>
        <v>0</v>
      </c>
      <c r="Y105" s="216">
        <f t="shared" si="25"/>
        <v>35799.693001501262</v>
      </c>
      <c r="Z105" s="216">
        <f t="shared" si="26"/>
        <v>0</v>
      </c>
      <c r="AA105" s="216">
        <v>0</v>
      </c>
      <c r="AB105" s="219">
        <v>0</v>
      </c>
      <c r="AC105" s="216">
        <f t="shared" si="23"/>
        <v>0</v>
      </c>
    </row>
    <row r="106" spans="1:30" s="213" customFormat="1" ht="15.95" customHeight="1">
      <c r="A106" s="214" t="s">
        <v>324</v>
      </c>
      <c r="B106" s="215">
        <v>70323.802311128311</v>
      </c>
      <c r="C106" s="207">
        <v>4470.3461530036693</v>
      </c>
      <c r="D106" s="216">
        <f t="shared" si="28"/>
        <v>74794.148464131984</v>
      </c>
      <c r="E106" s="217">
        <v>0</v>
      </c>
      <c r="F106" s="218">
        <v>0</v>
      </c>
      <c r="G106" s="216">
        <f t="shared" si="27"/>
        <v>0</v>
      </c>
      <c r="H106" s="216">
        <f t="shared" si="24"/>
        <v>74794.148464131984</v>
      </c>
      <c r="I106" s="217">
        <v>0</v>
      </c>
      <c r="J106" s="216">
        <v>0</v>
      </c>
      <c r="K106" s="216">
        <v>0</v>
      </c>
      <c r="L106" s="216">
        <v>0</v>
      </c>
      <c r="M106" s="208">
        <f t="shared" si="19"/>
        <v>0</v>
      </c>
      <c r="N106" s="208">
        <f t="shared" si="19"/>
        <v>0</v>
      </c>
      <c r="O106" s="208">
        <f t="shared" si="20"/>
        <v>0</v>
      </c>
      <c r="P106" s="216">
        <v>0</v>
      </c>
      <c r="Q106" s="208">
        <f t="shared" si="21"/>
        <v>0</v>
      </c>
      <c r="R106" s="216">
        <f t="shared" si="15"/>
        <v>0</v>
      </c>
      <c r="S106" s="216">
        <v>0</v>
      </c>
      <c r="T106" s="216">
        <f t="shared" si="16"/>
        <v>74794.148464131984</v>
      </c>
      <c r="U106" s="216">
        <f t="shared" si="17"/>
        <v>74794.148464131984</v>
      </c>
      <c r="V106" s="216">
        <v>0</v>
      </c>
      <c r="W106" s="216">
        <v>0</v>
      </c>
      <c r="X106" s="216">
        <f t="shared" si="22"/>
        <v>0</v>
      </c>
      <c r="Y106" s="216">
        <f t="shared" si="25"/>
        <v>74794.148464131984</v>
      </c>
      <c r="Z106" s="216">
        <f t="shared" si="26"/>
        <v>0</v>
      </c>
      <c r="AA106" s="216">
        <v>0</v>
      </c>
      <c r="AB106" s="219">
        <v>0</v>
      </c>
      <c r="AC106" s="216">
        <f t="shared" si="23"/>
        <v>0</v>
      </c>
    </row>
    <row r="107" spans="1:30" s="224" customFormat="1" ht="15.95" customHeight="1">
      <c r="A107" s="214" t="s">
        <v>325</v>
      </c>
      <c r="B107" s="216">
        <v>8392617.3945766203</v>
      </c>
      <c r="C107" s="207">
        <v>158359.23436975721</v>
      </c>
      <c r="D107" s="216">
        <f t="shared" si="28"/>
        <v>8550976.628946377</v>
      </c>
      <c r="E107" s="217">
        <v>0</v>
      </c>
      <c r="F107" s="218">
        <v>0</v>
      </c>
      <c r="G107" s="216">
        <f t="shared" si="27"/>
        <v>0</v>
      </c>
      <c r="H107" s="216">
        <f t="shared" si="24"/>
        <v>8550976.628946377</v>
      </c>
      <c r="I107" s="217">
        <v>0</v>
      </c>
      <c r="J107" s="216">
        <v>3714251</v>
      </c>
      <c r="K107" s="216">
        <v>0</v>
      </c>
      <c r="L107" s="216">
        <v>0</v>
      </c>
      <c r="M107" s="208">
        <f t="shared" si="19"/>
        <v>0</v>
      </c>
      <c r="N107" s="208">
        <f t="shared" si="19"/>
        <v>3714251</v>
      </c>
      <c r="O107" s="208">
        <f t="shared" si="20"/>
        <v>3714251</v>
      </c>
      <c r="P107" s="216">
        <v>2290697.2699999954</v>
      </c>
      <c r="Q107" s="208">
        <f t="shared" si="21"/>
        <v>6004948.2699999958</v>
      </c>
      <c r="R107" s="216">
        <f t="shared" si="15"/>
        <v>0</v>
      </c>
      <c r="S107" s="216">
        <v>0</v>
      </c>
      <c r="T107" s="216">
        <f t="shared" si="16"/>
        <v>2546028.3589463811</v>
      </c>
      <c r="U107" s="216">
        <f t="shared" si="17"/>
        <v>2546028.3589463811</v>
      </c>
      <c r="V107" s="216">
        <v>0</v>
      </c>
      <c r="W107" s="216">
        <v>0</v>
      </c>
      <c r="X107" s="216">
        <f t="shared" si="22"/>
        <v>0</v>
      </c>
      <c r="Y107" s="216">
        <f t="shared" si="25"/>
        <v>2546028.3589463811</v>
      </c>
      <c r="Z107" s="216">
        <f t="shared" si="26"/>
        <v>0</v>
      </c>
      <c r="AA107" s="216">
        <v>2200000</v>
      </c>
      <c r="AB107" s="223">
        <v>696210</v>
      </c>
      <c r="AC107" s="216">
        <f t="shared" si="23"/>
        <v>0</v>
      </c>
    </row>
    <row r="108" spans="1:30" s="213" customFormat="1" ht="15.95" customHeight="1">
      <c r="A108" s="214" t="s">
        <v>330</v>
      </c>
      <c r="B108" s="215">
        <v>1397170.9255029983</v>
      </c>
      <c r="C108" s="207">
        <v>34167.386956268965</v>
      </c>
      <c r="D108" s="216">
        <f t="shared" si="28"/>
        <v>1431338.3124592672</v>
      </c>
      <c r="E108" s="217">
        <v>1000000</v>
      </c>
      <c r="F108" s="218">
        <v>0</v>
      </c>
      <c r="G108" s="216">
        <f t="shared" si="27"/>
        <v>1000000</v>
      </c>
      <c r="H108" s="216">
        <f t="shared" si="24"/>
        <v>2431338.3124592672</v>
      </c>
      <c r="I108" s="217">
        <v>0</v>
      </c>
      <c r="J108" s="216">
        <v>2889240.25</v>
      </c>
      <c r="K108" s="216">
        <v>0</v>
      </c>
      <c r="L108" s="216">
        <v>0</v>
      </c>
      <c r="M108" s="208">
        <f t="shared" si="19"/>
        <v>0</v>
      </c>
      <c r="N108" s="208">
        <f t="shared" si="19"/>
        <v>2889240.25</v>
      </c>
      <c r="O108" s="208">
        <f t="shared" si="20"/>
        <v>2889240.25</v>
      </c>
      <c r="P108" s="216">
        <v>0</v>
      </c>
      <c r="Q108" s="208">
        <f t="shared" si="21"/>
        <v>2889240.25</v>
      </c>
      <c r="R108" s="216">
        <f t="shared" si="15"/>
        <v>-457901.93754073279</v>
      </c>
      <c r="S108" s="216">
        <v>-582222.45069489209</v>
      </c>
      <c r="T108" s="216">
        <f t="shared" si="16"/>
        <v>0</v>
      </c>
      <c r="U108" s="216">
        <f t="shared" si="17"/>
        <v>-457901.93754073279</v>
      </c>
      <c r="V108" s="216">
        <v>0</v>
      </c>
      <c r="W108" s="216">
        <v>0</v>
      </c>
      <c r="X108" s="216">
        <f t="shared" si="22"/>
        <v>0</v>
      </c>
      <c r="Y108" s="216">
        <f t="shared" si="25"/>
        <v>0</v>
      </c>
      <c r="Z108" s="216">
        <f t="shared" si="26"/>
        <v>-457901.93754073279</v>
      </c>
      <c r="AA108" s="216">
        <v>0</v>
      </c>
      <c r="AB108" s="219">
        <v>0</v>
      </c>
      <c r="AC108" s="222">
        <f t="shared" si="23"/>
        <v>-13.401725397578812</v>
      </c>
    </row>
    <row r="109" spans="1:30" s="213" customFormat="1" ht="15.95" customHeight="1">
      <c r="A109" s="214" t="s">
        <v>505</v>
      </c>
      <c r="B109" s="215">
        <v>1518798.7377732082</v>
      </c>
      <c r="C109" s="207">
        <v>32560.713190633585</v>
      </c>
      <c r="D109" s="216">
        <f t="shared" si="28"/>
        <v>1551359.4509638418</v>
      </c>
      <c r="E109" s="217">
        <v>300276</v>
      </c>
      <c r="F109" s="218">
        <v>0</v>
      </c>
      <c r="G109" s="216">
        <f t="shared" si="27"/>
        <v>300276</v>
      </c>
      <c r="H109" s="216">
        <f t="shared" si="24"/>
        <v>1851635.4509638418</v>
      </c>
      <c r="I109" s="217">
        <v>0</v>
      </c>
      <c r="J109" s="216">
        <v>1627668.87</v>
      </c>
      <c r="K109" s="216">
        <v>0</v>
      </c>
      <c r="L109" s="216">
        <v>-130452.98999999999</v>
      </c>
      <c r="M109" s="208">
        <f t="shared" si="19"/>
        <v>0</v>
      </c>
      <c r="N109" s="208">
        <f t="shared" si="19"/>
        <v>1497215.8800000001</v>
      </c>
      <c r="O109" s="208">
        <f t="shared" si="20"/>
        <v>1497215.8800000001</v>
      </c>
      <c r="P109" s="216">
        <v>0</v>
      </c>
      <c r="Q109" s="208">
        <f t="shared" si="21"/>
        <v>1497215.8800000001</v>
      </c>
      <c r="R109" s="216">
        <f t="shared" si="15"/>
        <v>0</v>
      </c>
      <c r="S109" s="216">
        <v>0</v>
      </c>
      <c r="T109" s="216">
        <f t="shared" si="16"/>
        <v>354419.57096384163</v>
      </c>
      <c r="U109" s="216">
        <f t="shared" si="17"/>
        <v>354419.57096384163</v>
      </c>
      <c r="V109" s="216">
        <v>0</v>
      </c>
      <c r="X109" s="216">
        <f t="shared" si="22"/>
        <v>0</v>
      </c>
      <c r="Y109" s="216">
        <f t="shared" si="25"/>
        <v>354419.57096384163</v>
      </c>
      <c r="Z109" s="216">
        <f t="shared" si="26"/>
        <v>0</v>
      </c>
      <c r="AA109" s="216">
        <v>0</v>
      </c>
      <c r="AB109" s="221">
        <v>0</v>
      </c>
      <c r="AC109" s="216">
        <f t="shared" si="23"/>
        <v>0</v>
      </c>
    </row>
    <row r="110" spans="1:30" s="213" customFormat="1" ht="15.95" customHeight="1">
      <c r="A110" s="214" t="s">
        <v>331</v>
      </c>
      <c r="B110" s="215">
        <v>7689181.2035258915</v>
      </c>
      <c r="C110" s="207">
        <v>151436.09307089265</v>
      </c>
      <c r="D110" s="216">
        <f t="shared" si="28"/>
        <v>7840617.2965967841</v>
      </c>
      <c r="E110" s="217">
        <v>42000</v>
      </c>
      <c r="F110" s="218">
        <v>0</v>
      </c>
      <c r="G110" s="216">
        <f t="shared" si="27"/>
        <v>42000</v>
      </c>
      <c r="H110" s="216">
        <f t="shared" si="24"/>
        <v>7882617.2965967841</v>
      </c>
      <c r="I110" s="217">
        <v>0</v>
      </c>
      <c r="J110" s="216">
        <v>12238264.909899998</v>
      </c>
      <c r="K110" s="216">
        <v>0</v>
      </c>
      <c r="L110" s="216">
        <v>0</v>
      </c>
      <c r="M110" s="208">
        <f t="shared" si="19"/>
        <v>0</v>
      </c>
      <c r="N110" s="208">
        <f>J110+L110</f>
        <v>12238264.909899998</v>
      </c>
      <c r="O110" s="208">
        <f t="shared" si="20"/>
        <v>12238264.909899998</v>
      </c>
      <c r="P110" s="216"/>
      <c r="Q110" s="208">
        <f>SUM(O110+P110)</f>
        <v>12238264.909899998</v>
      </c>
      <c r="R110" s="216">
        <f t="shared" si="15"/>
        <v>-4355647.6133032143</v>
      </c>
      <c r="S110" s="216">
        <v>-4873675.8163214326</v>
      </c>
      <c r="T110" s="216">
        <f t="shared" si="16"/>
        <v>0</v>
      </c>
      <c r="U110" s="216">
        <f t="shared" si="17"/>
        <v>-4355647.6133032143</v>
      </c>
      <c r="V110" s="216">
        <v>0</v>
      </c>
      <c r="W110" s="216">
        <v>0</v>
      </c>
      <c r="X110" s="216">
        <f t="shared" si="22"/>
        <v>0</v>
      </c>
      <c r="Y110" s="216">
        <f t="shared" si="25"/>
        <v>0</v>
      </c>
      <c r="Z110" s="216">
        <f t="shared" si="26"/>
        <v>-4355647.6133032143</v>
      </c>
      <c r="AA110" s="216">
        <v>0</v>
      </c>
      <c r="AB110" s="219">
        <v>418774</v>
      </c>
      <c r="AC110" s="222">
        <f t="shared" si="23"/>
        <v>-28.762281996169698</v>
      </c>
    </row>
    <row r="111" spans="1:30" s="213" customFormat="1" ht="15.95" customHeight="1">
      <c r="A111" s="214" t="s">
        <v>335</v>
      </c>
      <c r="B111" s="215">
        <v>3708663.2154288036</v>
      </c>
      <c r="C111" s="207">
        <v>70457.551157495705</v>
      </c>
      <c r="D111" s="216">
        <f t="shared" si="28"/>
        <v>3779120.7665862991</v>
      </c>
      <c r="E111" s="217">
        <v>0</v>
      </c>
      <c r="F111" s="218">
        <v>0</v>
      </c>
      <c r="G111" s="216">
        <f t="shared" si="27"/>
        <v>0</v>
      </c>
      <c r="H111" s="216">
        <f t="shared" si="24"/>
        <v>3779120.7665862991</v>
      </c>
      <c r="I111" s="217">
        <v>0</v>
      </c>
      <c r="J111" s="216">
        <v>972029.37</v>
      </c>
      <c r="K111" s="216">
        <v>0</v>
      </c>
      <c r="L111" s="216">
        <v>0</v>
      </c>
      <c r="M111" s="208">
        <f t="shared" si="19"/>
        <v>0</v>
      </c>
      <c r="N111" s="208">
        <f t="shared" si="19"/>
        <v>972029.37</v>
      </c>
      <c r="O111" s="208">
        <f t="shared" si="20"/>
        <v>972029.37</v>
      </c>
      <c r="P111" s="216">
        <v>0</v>
      </c>
      <c r="Q111" s="208">
        <f t="shared" si="21"/>
        <v>972029.37</v>
      </c>
      <c r="R111" s="216">
        <f t="shared" si="15"/>
        <v>0</v>
      </c>
      <c r="S111" s="216">
        <v>0</v>
      </c>
      <c r="T111" s="216">
        <f t="shared" si="16"/>
        <v>2807091.3965862989</v>
      </c>
      <c r="U111" s="216">
        <f t="shared" si="17"/>
        <v>2807091.3965862989</v>
      </c>
      <c r="V111" s="216">
        <v>0</v>
      </c>
      <c r="W111" s="216">
        <v>0</v>
      </c>
      <c r="X111" s="216">
        <f t="shared" si="22"/>
        <v>0</v>
      </c>
      <c r="Y111" s="216">
        <f t="shared" si="25"/>
        <v>2807091.3965862989</v>
      </c>
      <c r="Z111" s="216">
        <f t="shared" si="26"/>
        <v>0</v>
      </c>
      <c r="AA111" s="216">
        <v>1040000</v>
      </c>
      <c r="AB111" s="219">
        <v>0</v>
      </c>
      <c r="AC111" s="216">
        <f t="shared" si="23"/>
        <v>0</v>
      </c>
    </row>
    <row r="112" spans="1:30" s="213" customFormat="1" ht="15.95" customHeight="1">
      <c r="A112" s="214" t="s">
        <v>132</v>
      </c>
      <c r="B112" s="215">
        <v>367043.5688311893</v>
      </c>
      <c r="C112" s="207">
        <v>6465.99932806996</v>
      </c>
      <c r="D112" s="216">
        <f t="shared" si="28"/>
        <v>373509.56815925927</v>
      </c>
      <c r="E112" s="217">
        <v>89327</v>
      </c>
      <c r="F112" s="218">
        <v>0</v>
      </c>
      <c r="G112" s="216">
        <f t="shared" si="27"/>
        <v>89327</v>
      </c>
      <c r="H112" s="216">
        <f t="shared" si="24"/>
        <v>462836.56815925927</v>
      </c>
      <c r="I112" s="217">
        <v>0</v>
      </c>
      <c r="J112" s="216">
        <v>331760.76</v>
      </c>
      <c r="K112" s="216">
        <v>0</v>
      </c>
      <c r="L112" s="216">
        <v>0</v>
      </c>
      <c r="M112" s="208">
        <f t="shared" si="19"/>
        <v>0</v>
      </c>
      <c r="N112" s="208">
        <f t="shared" si="19"/>
        <v>331760.76</v>
      </c>
      <c r="O112" s="208">
        <f t="shared" si="20"/>
        <v>331760.76</v>
      </c>
      <c r="P112" s="216">
        <v>0</v>
      </c>
      <c r="Q112" s="208">
        <f t="shared" si="21"/>
        <v>331760.76</v>
      </c>
      <c r="R112" s="216">
        <f t="shared" si="15"/>
        <v>0</v>
      </c>
      <c r="S112" s="216">
        <v>0</v>
      </c>
      <c r="T112" s="216">
        <f t="shared" si="16"/>
        <v>131075.80815925926</v>
      </c>
      <c r="U112" s="216">
        <f t="shared" si="17"/>
        <v>131075.80815925926</v>
      </c>
      <c r="V112" s="216">
        <v>0</v>
      </c>
      <c r="W112" s="216">
        <v>0</v>
      </c>
      <c r="X112" s="216">
        <f t="shared" si="22"/>
        <v>0</v>
      </c>
      <c r="Y112" s="216">
        <f t="shared" si="25"/>
        <v>131075.80815925926</v>
      </c>
      <c r="Z112" s="216">
        <f t="shared" si="26"/>
        <v>0</v>
      </c>
      <c r="AA112" s="216">
        <v>0</v>
      </c>
      <c r="AB112" s="219">
        <v>0</v>
      </c>
      <c r="AC112" s="216">
        <f t="shared" si="23"/>
        <v>0</v>
      </c>
    </row>
    <row r="113" spans="1:30" s="213" customFormat="1" ht="15.95" customHeight="1">
      <c r="A113" s="225" t="s">
        <v>697</v>
      </c>
      <c r="B113" s="215">
        <v>622903.9251113768</v>
      </c>
      <c r="C113" s="207">
        <v>48867.606657171142</v>
      </c>
      <c r="D113" s="216">
        <f t="shared" si="28"/>
        <v>671771.53176854795</v>
      </c>
      <c r="E113" s="217">
        <v>0</v>
      </c>
      <c r="F113" s="218">
        <v>0</v>
      </c>
      <c r="G113" s="216">
        <f t="shared" si="27"/>
        <v>0</v>
      </c>
      <c r="H113" s="216">
        <f t="shared" si="24"/>
        <v>671771.53176854795</v>
      </c>
      <c r="I113" s="217">
        <v>0</v>
      </c>
      <c r="J113" s="216">
        <v>0</v>
      </c>
      <c r="K113" s="216">
        <v>0</v>
      </c>
      <c r="L113" s="216">
        <v>0</v>
      </c>
      <c r="M113" s="208">
        <f t="shared" si="19"/>
        <v>0</v>
      </c>
      <c r="N113" s="208">
        <f t="shared" si="19"/>
        <v>0</v>
      </c>
      <c r="O113" s="208">
        <f t="shared" si="20"/>
        <v>0</v>
      </c>
      <c r="P113" s="216">
        <v>0</v>
      </c>
      <c r="Q113" s="208">
        <f t="shared" si="21"/>
        <v>0</v>
      </c>
      <c r="R113" s="216">
        <f t="shared" si="15"/>
        <v>0</v>
      </c>
      <c r="S113" s="216">
        <v>0</v>
      </c>
      <c r="T113" s="216">
        <f t="shared" si="16"/>
        <v>671771.53176854795</v>
      </c>
      <c r="U113" s="216">
        <f t="shared" si="17"/>
        <v>671771.53176854795</v>
      </c>
      <c r="V113" s="216">
        <v>0</v>
      </c>
      <c r="W113" s="216">
        <v>0</v>
      </c>
      <c r="X113" s="216">
        <f t="shared" si="22"/>
        <v>0</v>
      </c>
      <c r="Y113" s="216">
        <f t="shared" si="25"/>
        <v>671771.53176854795</v>
      </c>
      <c r="Z113" s="216">
        <f t="shared" si="26"/>
        <v>0</v>
      </c>
      <c r="AA113" s="216">
        <v>0</v>
      </c>
      <c r="AB113" s="221">
        <v>0</v>
      </c>
      <c r="AC113" s="216">
        <f t="shared" si="23"/>
        <v>0</v>
      </c>
    </row>
    <row r="114" spans="1:30" s="213" customFormat="1" ht="15.95" customHeight="1">
      <c r="A114" s="214" t="s">
        <v>585</v>
      </c>
      <c r="B114" s="215">
        <v>2836923.9208197691</v>
      </c>
      <c r="C114" s="207">
        <v>62809.774765962153</v>
      </c>
      <c r="D114" s="216">
        <f t="shared" si="28"/>
        <v>2899733.6955857314</v>
      </c>
      <c r="E114" s="217">
        <v>-558323</v>
      </c>
      <c r="F114" s="218">
        <v>-131762</v>
      </c>
      <c r="G114" s="216">
        <f t="shared" si="27"/>
        <v>-690085</v>
      </c>
      <c r="H114" s="216">
        <f t="shared" si="24"/>
        <v>2209648.6955857314</v>
      </c>
      <c r="I114" s="217">
        <v>0</v>
      </c>
      <c r="J114" s="216">
        <v>2209649.0899</v>
      </c>
      <c r="K114" s="216">
        <v>0</v>
      </c>
      <c r="L114" s="216">
        <v>0</v>
      </c>
      <c r="M114" s="208">
        <f t="shared" si="19"/>
        <v>0</v>
      </c>
      <c r="N114" s="208">
        <f t="shared" si="19"/>
        <v>2209649.0899</v>
      </c>
      <c r="O114" s="208">
        <f t="shared" si="20"/>
        <v>2209649.0899</v>
      </c>
      <c r="P114" s="216">
        <v>0</v>
      </c>
      <c r="Q114" s="208">
        <f t="shared" si="21"/>
        <v>2209649.0899</v>
      </c>
      <c r="R114" s="216">
        <f t="shared" si="15"/>
        <v>-0.39431426860392094</v>
      </c>
      <c r="S114" s="216">
        <v>-0.15356148453429341</v>
      </c>
      <c r="T114" s="216">
        <f t="shared" si="16"/>
        <v>0</v>
      </c>
      <c r="U114" s="216">
        <f t="shared" si="17"/>
        <v>-0.39431426860392094</v>
      </c>
      <c r="V114" s="216">
        <v>0</v>
      </c>
      <c r="W114" s="216">
        <v>0</v>
      </c>
      <c r="X114" s="216">
        <f t="shared" si="22"/>
        <v>0</v>
      </c>
      <c r="Y114" s="216">
        <f t="shared" si="25"/>
        <v>0</v>
      </c>
      <c r="Z114" s="216">
        <f t="shared" si="26"/>
        <v>-0.39431426860392094</v>
      </c>
      <c r="AA114" s="216">
        <v>0</v>
      </c>
      <c r="AB114" s="219">
        <v>0</v>
      </c>
      <c r="AC114" s="216">
        <f t="shared" si="23"/>
        <v>-6.2779124757761042E-6</v>
      </c>
    </row>
    <row r="115" spans="1:30" s="213" customFormat="1" ht="15.95" customHeight="1">
      <c r="A115" s="214" t="s">
        <v>336</v>
      </c>
      <c r="B115" s="215">
        <v>7014028.9559728215</v>
      </c>
      <c r="C115" s="207">
        <v>131448.68976904597</v>
      </c>
      <c r="D115" s="216">
        <f t="shared" si="28"/>
        <v>7145477.6457418678</v>
      </c>
      <c r="E115" s="217">
        <v>0</v>
      </c>
      <c r="F115" s="218">
        <v>0</v>
      </c>
      <c r="G115" s="216">
        <f t="shared" si="27"/>
        <v>0</v>
      </c>
      <c r="H115" s="216">
        <f t="shared" si="24"/>
        <v>7145477.6457418678</v>
      </c>
      <c r="I115" s="217">
        <v>0</v>
      </c>
      <c r="J115" s="216">
        <v>7102216.0899</v>
      </c>
      <c r="K115" s="216">
        <v>0</v>
      </c>
      <c r="L115" s="216">
        <v>0</v>
      </c>
      <c r="M115" s="208">
        <f t="shared" si="19"/>
        <v>0</v>
      </c>
      <c r="N115" s="208">
        <f t="shared" si="19"/>
        <v>7102216.0899</v>
      </c>
      <c r="O115" s="208">
        <f t="shared" si="20"/>
        <v>7102216.0899</v>
      </c>
      <c r="P115" s="216">
        <v>0</v>
      </c>
      <c r="Q115" s="208">
        <f t="shared" si="21"/>
        <v>7102216.0899</v>
      </c>
      <c r="R115" s="216">
        <f t="shared" si="15"/>
        <v>0</v>
      </c>
      <c r="S115" s="216">
        <v>-419206.24144680612</v>
      </c>
      <c r="T115" s="216">
        <f t="shared" si="16"/>
        <v>43261.555841867812</v>
      </c>
      <c r="U115" s="216">
        <f t="shared" si="17"/>
        <v>43261.555841867812</v>
      </c>
      <c r="V115" s="216">
        <v>0</v>
      </c>
      <c r="W115" s="216">
        <v>0</v>
      </c>
      <c r="X115" s="216">
        <f t="shared" si="22"/>
        <v>0</v>
      </c>
      <c r="Y115" s="216">
        <f t="shared" si="25"/>
        <v>43261.555841867812</v>
      </c>
      <c r="Z115" s="216">
        <f t="shared" si="26"/>
        <v>0</v>
      </c>
      <c r="AA115" s="216">
        <v>0</v>
      </c>
      <c r="AB115" s="219">
        <v>0</v>
      </c>
      <c r="AC115" s="216">
        <f t="shared" si="23"/>
        <v>0</v>
      </c>
    </row>
    <row r="116" spans="1:30" s="213" customFormat="1" ht="15.95" customHeight="1">
      <c r="A116" s="214" t="s">
        <v>809</v>
      </c>
      <c r="B116" s="215">
        <v>3979873.5786445737</v>
      </c>
      <c r="C116" s="207">
        <v>71776.872530902154</v>
      </c>
      <c r="D116" s="216">
        <f t="shared" si="28"/>
        <v>4051650.451175476</v>
      </c>
      <c r="E116" s="217">
        <v>0</v>
      </c>
      <c r="F116" s="218">
        <v>0</v>
      </c>
      <c r="G116" s="216">
        <f t="shared" si="27"/>
        <v>0</v>
      </c>
      <c r="H116" s="216">
        <f t="shared" si="24"/>
        <v>4051650.451175476</v>
      </c>
      <c r="I116" s="217">
        <v>0</v>
      </c>
      <c r="J116" s="216">
        <v>3450020.1900000004</v>
      </c>
      <c r="K116" s="216">
        <v>0</v>
      </c>
      <c r="L116" s="216">
        <v>0</v>
      </c>
      <c r="M116" s="208">
        <f t="shared" si="19"/>
        <v>0</v>
      </c>
      <c r="N116" s="208">
        <f t="shared" si="19"/>
        <v>3450020.1900000004</v>
      </c>
      <c r="O116" s="208">
        <f t="shared" si="20"/>
        <v>3450020.1900000004</v>
      </c>
      <c r="P116" s="216">
        <v>56706.359999999993</v>
      </c>
      <c r="Q116" s="208">
        <f t="shared" si="21"/>
        <v>3506726.5500000003</v>
      </c>
      <c r="R116" s="216">
        <f t="shared" si="15"/>
        <v>0</v>
      </c>
      <c r="S116" s="216">
        <v>0</v>
      </c>
      <c r="T116" s="216">
        <f t="shared" si="16"/>
        <v>544923.90117547568</v>
      </c>
      <c r="U116" s="216">
        <f t="shared" si="17"/>
        <v>544923.90117547568</v>
      </c>
      <c r="V116" s="216">
        <v>843293.64</v>
      </c>
      <c r="X116" s="216">
        <f t="shared" si="22"/>
        <v>843293.64</v>
      </c>
      <c r="Y116" s="216">
        <f t="shared" si="25"/>
        <v>0</v>
      </c>
      <c r="Z116" s="216">
        <f t="shared" si="26"/>
        <v>-298369.73882452433</v>
      </c>
      <c r="AA116" s="216">
        <v>0</v>
      </c>
      <c r="AB116" s="219">
        <v>0</v>
      </c>
      <c r="AC116" s="222">
        <f t="shared" si="23"/>
        <v>-4.1569063725375743</v>
      </c>
    </row>
    <row r="117" spans="1:30" s="213" customFormat="1" ht="15.95" customHeight="1">
      <c r="A117" s="214" t="s">
        <v>341</v>
      </c>
      <c r="B117" s="215">
        <v>9552652.8801846765</v>
      </c>
      <c r="C117" s="207">
        <v>174529.11687047171</v>
      </c>
      <c r="D117" s="216">
        <f t="shared" si="28"/>
        <v>9727181.9970551487</v>
      </c>
      <c r="E117" s="217">
        <v>0</v>
      </c>
      <c r="F117" s="218">
        <v>0</v>
      </c>
      <c r="G117" s="216">
        <f t="shared" si="27"/>
        <v>0</v>
      </c>
      <c r="H117" s="216">
        <f t="shared" si="24"/>
        <v>9727181.9970551487</v>
      </c>
      <c r="I117" s="217">
        <v>0</v>
      </c>
      <c r="J117" s="216">
        <v>7269825.4700000007</v>
      </c>
      <c r="K117" s="216">
        <v>0</v>
      </c>
      <c r="L117" s="234">
        <v>0</v>
      </c>
      <c r="M117" s="208">
        <f t="shared" si="19"/>
        <v>0</v>
      </c>
      <c r="N117" s="208">
        <f t="shared" si="19"/>
        <v>7269825.4700000007</v>
      </c>
      <c r="O117" s="208">
        <f t="shared" si="20"/>
        <v>7269825.4700000007</v>
      </c>
      <c r="P117" s="216">
        <v>277644.92000000004</v>
      </c>
      <c r="Q117" s="208">
        <f t="shared" si="21"/>
        <v>7547470.3900000006</v>
      </c>
      <c r="R117" s="216">
        <f t="shared" si="15"/>
        <v>0</v>
      </c>
      <c r="S117" s="216">
        <v>0</v>
      </c>
      <c r="T117" s="216">
        <f t="shared" si="16"/>
        <v>2179711.6070551481</v>
      </c>
      <c r="U117" s="216">
        <f t="shared" si="17"/>
        <v>2179711.6070551481</v>
      </c>
      <c r="V117" s="216">
        <v>0</v>
      </c>
      <c r="W117" s="216">
        <v>3022355.08</v>
      </c>
      <c r="X117" s="216">
        <f t="shared" si="22"/>
        <v>3022355.08</v>
      </c>
      <c r="Y117" s="216">
        <f t="shared" si="25"/>
        <v>0</v>
      </c>
      <c r="Z117" s="216">
        <f t="shared" si="26"/>
        <v>-842643.47294485196</v>
      </c>
      <c r="AA117" s="216">
        <v>0</v>
      </c>
      <c r="AB117" s="219">
        <v>0</v>
      </c>
      <c r="AC117" s="235">
        <f t="shared" si="23"/>
        <v>-4.8280968130390933</v>
      </c>
    </row>
    <row r="118" spans="1:30" s="213" customFormat="1" ht="15.95" customHeight="1">
      <c r="A118" s="214" t="s">
        <v>352</v>
      </c>
      <c r="B118" s="215">
        <v>10192904.067581713</v>
      </c>
      <c r="C118" s="207">
        <v>192890.13162712823</v>
      </c>
      <c r="D118" s="216">
        <f t="shared" si="28"/>
        <v>10385794.199208841</v>
      </c>
      <c r="E118" s="217">
        <v>800000</v>
      </c>
      <c r="F118" s="218">
        <v>0</v>
      </c>
      <c r="G118" s="216">
        <f t="shared" si="27"/>
        <v>800000</v>
      </c>
      <c r="H118" s="216">
        <f t="shared" si="24"/>
        <v>11185794.199208841</v>
      </c>
      <c r="I118" s="217">
        <v>0</v>
      </c>
      <c r="J118" s="216">
        <v>4075844</v>
      </c>
      <c r="K118" s="216">
        <v>0</v>
      </c>
      <c r="L118" s="216">
        <v>0</v>
      </c>
      <c r="M118" s="208">
        <f t="shared" si="19"/>
        <v>0</v>
      </c>
      <c r="N118" s="208">
        <f t="shared" si="19"/>
        <v>4075844</v>
      </c>
      <c r="O118" s="208">
        <f t="shared" si="20"/>
        <v>4075844</v>
      </c>
      <c r="P118" s="216">
        <v>154109.82</v>
      </c>
      <c r="Q118" s="208">
        <f t="shared" si="21"/>
        <v>4229953.82</v>
      </c>
      <c r="R118" s="216">
        <f t="shared" si="15"/>
        <v>0</v>
      </c>
      <c r="S118" s="216">
        <v>0</v>
      </c>
      <c r="T118" s="216">
        <f t="shared" si="16"/>
        <v>6955840.3792088404</v>
      </c>
      <c r="U118" s="216">
        <f t="shared" si="17"/>
        <v>6955840.3792088404</v>
      </c>
      <c r="W118" s="216">
        <v>5545890.1799999997</v>
      </c>
      <c r="X118" s="216">
        <f t="shared" si="22"/>
        <v>5545890.1799999997</v>
      </c>
      <c r="Y118" s="216">
        <f t="shared" si="25"/>
        <v>1409950.1992088407</v>
      </c>
      <c r="Z118" s="216">
        <f t="shared" si="26"/>
        <v>0</v>
      </c>
      <c r="AA118" s="216">
        <v>0</v>
      </c>
      <c r="AB118" s="219">
        <v>1103010</v>
      </c>
      <c r="AC118" s="216">
        <f t="shared" si="23"/>
        <v>0</v>
      </c>
    </row>
    <row r="119" spans="1:30" s="213" customFormat="1" ht="15.95" customHeight="1">
      <c r="A119" s="214" t="s">
        <v>940</v>
      </c>
      <c r="B119" s="215">
        <v>1478887.5125749528</v>
      </c>
      <c r="C119" s="207">
        <v>29445.122591463991</v>
      </c>
      <c r="D119" s="216">
        <f t="shared" si="28"/>
        <v>1508332.6351664169</v>
      </c>
      <c r="E119" s="217">
        <v>0</v>
      </c>
      <c r="F119" s="218">
        <v>0</v>
      </c>
      <c r="G119" s="216">
        <f t="shared" si="27"/>
        <v>0</v>
      </c>
      <c r="H119" s="216">
        <f t="shared" si="24"/>
        <v>1508332.6351664169</v>
      </c>
      <c r="I119" s="217">
        <v>0</v>
      </c>
      <c r="J119" s="216">
        <v>982833.67</v>
      </c>
      <c r="K119" s="216">
        <v>0</v>
      </c>
      <c r="L119" s="216">
        <v>0</v>
      </c>
      <c r="M119" s="208">
        <f t="shared" si="19"/>
        <v>0</v>
      </c>
      <c r="N119" s="208">
        <f t="shared" si="19"/>
        <v>982833.67</v>
      </c>
      <c r="O119" s="208">
        <f t="shared" si="20"/>
        <v>982833.67</v>
      </c>
      <c r="P119" s="216">
        <v>0</v>
      </c>
      <c r="Q119" s="208">
        <f t="shared" si="21"/>
        <v>982833.67</v>
      </c>
      <c r="R119" s="216">
        <f t="shared" si="15"/>
        <v>0</v>
      </c>
      <c r="S119" s="216">
        <v>0</v>
      </c>
      <c r="T119" s="216">
        <f t="shared" si="16"/>
        <v>525498.96516641683</v>
      </c>
      <c r="U119" s="216">
        <f t="shared" si="17"/>
        <v>525498.96516641683</v>
      </c>
      <c r="V119" s="216">
        <v>0</v>
      </c>
      <c r="W119" s="216">
        <v>0</v>
      </c>
      <c r="X119" s="216">
        <f t="shared" si="22"/>
        <v>0</v>
      </c>
      <c r="Y119" s="216">
        <f t="shared" si="25"/>
        <v>525498.96516641683</v>
      </c>
      <c r="Z119" s="216">
        <f t="shared" si="26"/>
        <v>0</v>
      </c>
      <c r="AA119" s="216">
        <v>0</v>
      </c>
      <c r="AB119" s="219">
        <v>0</v>
      </c>
      <c r="AC119" s="216">
        <f t="shared" si="23"/>
        <v>0</v>
      </c>
    </row>
    <row r="120" spans="1:30" s="224" customFormat="1" ht="15.95" customHeight="1">
      <c r="A120" s="214" t="s">
        <v>698</v>
      </c>
      <c r="B120" s="216">
        <v>6671366.2535196599</v>
      </c>
      <c r="C120" s="207">
        <v>137370.45871350681</v>
      </c>
      <c r="D120" s="216">
        <f t="shared" si="28"/>
        <v>6808736.7122331671</v>
      </c>
      <c r="E120" s="217">
        <v>0</v>
      </c>
      <c r="F120" s="218">
        <v>0</v>
      </c>
      <c r="G120" s="216">
        <f t="shared" si="27"/>
        <v>0</v>
      </c>
      <c r="H120" s="216">
        <f t="shared" si="24"/>
        <v>6808736.7122331671</v>
      </c>
      <c r="I120" s="217">
        <v>0</v>
      </c>
      <c r="J120" s="216">
        <v>5938151.7600000007</v>
      </c>
      <c r="K120" s="216">
        <v>0</v>
      </c>
      <c r="L120" s="216">
        <v>0</v>
      </c>
      <c r="M120" s="208">
        <f t="shared" si="19"/>
        <v>0</v>
      </c>
      <c r="N120" s="208">
        <f t="shared" si="19"/>
        <v>5938151.7600000007</v>
      </c>
      <c r="O120" s="208">
        <f t="shared" si="20"/>
        <v>5938151.7600000007</v>
      </c>
      <c r="P120" s="216"/>
      <c r="Q120" s="208">
        <f t="shared" si="21"/>
        <v>5938151.7600000007</v>
      </c>
      <c r="R120" s="216">
        <f t="shared" si="15"/>
        <v>0</v>
      </c>
      <c r="S120" s="216">
        <v>0</v>
      </c>
      <c r="T120" s="216">
        <f t="shared" si="16"/>
        <v>870584.95223316643</v>
      </c>
      <c r="U120" s="216">
        <f t="shared" si="17"/>
        <v>870584.95223316643</v>
      </c>
      <c r="V120" s="216">
        <v>0</v>
      </c>
      <c r="W120" s="216">
        <v>0</v>
      </c>
      <c r="X120" s="216">
        <f t="shared" si="22"/>
        <v>0</v>
      </c>
      <c r="Y120" s="216">
        <f t="shared" si="25"/>
        <v>870584.95223316643</v>
      </c>
      <c r="Z120" s="216">
        <f t="shared" si="26"/>
        <v>0</v>
      </c>
      <c r="AA120" s="216">
        <v>0</v>
      </c>
      <c r="AB120" s="223">
        <v>0</v>
      </c>
      <c r="AC120" s="216">
        <f t="shared" si="23"/>
        <v>0</v>
      </c>
    </row>
    <row r="121" spans="1:30" s="213" customFormat="1" ht="15.95" customHeight="1">
      <c r="A121" s="214" t="s">
        <v>704</v>
      </c>
      <c r="B121" s="215">
        <v>1467578.9022438838</v>
      </c>
      <c r="C121" s="207">
        <v>5605.3071092607133</v>
      </c>
      <c r="D121" s="216">
        <f t="shared" si="28"/>
        <v>1473184.2093531445</v>
      </c>
      <c r="E121" s="217">
        <v>0</v>
      </c>
      <c r="F121" s="218">
        <v>0</v>
      </c>
      <c r="G121" s="216">
        <f t="shared" si="27"/>
        <v>0</v>
      </c>
      <c r="H121" s="216">
        <f t="shared" si="24"/>
        <v>1473184.2093531445</v>
      </c>
      <c r="I121" s="217">
        <v>0</v>
      </c>
      <c r="J121" s="216">
        <v>569095.31000000006</v>
      </c>
      <c r="K121" s="216">
        <v>0</v>
      </c>
      <c r="L121" s="216">
        <v>0</v>
      </c>
      <c r="M121" s="208">
        <f t="shared" si="19"/>
        <v>0</v>
      </c>
      <c r="N121" s="208">
        <f t="shared" si="19"/>
        <v>569095.31000000006</v>
      </c>
      <c r="O121" s="208">
        <f t="shared" si="20"/>
        <v>569095.31000000006</v>
      </c>
      <c r="P121" s="216">
        <v>867474.24000000011</v>
      </c>
      <c r="Q121" s="208">
        <f t="shared" si="21"/>
        <v>1436569.5500000003</v>
      </c>
      <c r="R121" s="216">
        <f t="shared" si="15"/>
        <v>0</v>
      </c>
      <c r="S121" s="216">
        <v>0</v>
      </c>
      <c r="T121" s="216">
        <f t="shared" si="16"/>
        <v>36614.659353144234</v>
      </c>
      <c r="U121" s="216">
        <f t="shared" si="17"/>
        <v>36614.659353144234</v>
      </c>
      <c r="V121" s="216">
        <v>132525.75999999989</v>
      </c>
      <c r="W121" s="216">
        <v>0</v>
      </c>
      <c r="X121" s="216">
        <f t="shared" si="22"/>
        <v>132525.75999999989</v>
      </c>
      <c r="Y121" s="216">
        <f t="shared" si="25"/>
        <v>0</v>
      </c>
      <c r="Z121" s="216">
        <f t="shared" si="26"/>
        <v>-95911.100646855659</v>
      </c>
      <c r="AA121" s="216">
        <v>2150000</v>
      </c>
      <c r="AB121" s="219">
        <v>0</v>
      </c>
      <c r="AC121" s="222">
        <f t="shared" si="23"/>
        <v>-17.110766417846715</v>
      </c>
    </row>
    <row r="122" spans="1:30" s="213" customFormat="1" ht="15.95" customHeight="1">
      <c r="A122" s="214" t="s">
        <v>589</v>
      </c>
      <c r="B122" s="215">
        <v>10949925.045347149</v>
      </c>
      <c r="C122" s="207">
        <v>197449.57340053309</v>
      </c>
      <c r="D122" s="216">
        <f t="shared" si="28"/>
        <v>11147374.618747681</v>
      </c>
      <c r="E122" s="217">
        <v>2406305</v>
      </c>
      <c r="F122" s="218">
        <v>131762</v>
      </c>
      <c r="G122" s="216">
        <f t="shared" si="27"/>
        <v>2538067</v>
      </c>
      <c r="H122" s="216">
        <f t="shared" si="24"/>
        <v>13685441.618747681</v>
      </c>
      <c r="I122" s="217">
        <v>0</v>
      </c>
      <c r="J122" s="216">
        <v>10663652.940000001</v>
      </c>
      <c r="K122" s="216">
        <v>0</v>
      </c>
      <c r="L122" s="216">
        <v>0</v>
      </c>
      <c r="M122" s="208">
        <f t="shared" si="19"/>
        <v>0</v>
      </c>
      <c r="N122" s="208">
        <f t="shared" si="19"/>
        <v>10663652.940000001</v>
      </c>
      <c r="O122" s="208">
        <f t="shared" si="20"/>
        <v>10663652.940000001</v>
      </c>
      <c r="P122" s="216">
        <v>1027616.37</v>
      </c>
      <c r="Q122" s="208">
        <f t="shared" si="21"/>
        <v>11691269.310000001</v>
      </c>
      <c r="R122" s="216">
        <f t="shared" si="15"/>
        <v>0</v>
      </c>
      <c r="S122" s="216">
        <v>0</v>
      </c>
      <c r="T122" s="216">
        <f t="shared" si="16"/>
        <v>1994172.3087476809</v>
      </c>
      <c r="U122" s="216">
        <f t="shared" si="17"/>
        <v>1994172.3087476809</v>
      </c>
      <c r="V122" s="216">
        <v>0</v>
      </c>
      <c r="W122" s="216">
        <v>3072383.63</v>
      </c>
      <c r="X122" s="216">
        <f t="shared" si="22"/>
        <v>3072383.63</v>
      </c>
      <c r="Y122" s="216">
        <f t="shared" si="25"/>
        <v>0</v>
      </c>
      <c r="Z122" s="216">
        <f t="shared" si="26"/>
        <v>-1078211.321252319</v>
      </c>
      <c r="AA122" s="216"/>
      <c r="AB122" s="219">
        <v>0</v>
      </c>
      <c r="AC122" s="222">
        <f t="shared" si="23"/>
        <v>-5.4606920778964216</v>
      </c>
    </row>
    <row r="123" spans="1:30" s="213" customFormat="1" ht="15.95" customHeight="1">
      <c r="A123" s="214" t="s">
        <v>708</v>
      </c>
      <c r="B123" s="215">
        <v>2330488.2590427003</v>
      </c>
      <c r="C123" s="207">
        <v>40069.274903790283</v>
      </c>
      <c r="D123" s="216">
        <f t="shared" si="28"/>
        <v>2370557.5339464904</v>
      </c>
      <c r="E123" s="217">
        <v>-54402</v>
      </c>
      <c r="F123" s="218">
        <v>0</v>
      </c>
      <c r="G123" s="216">
        <f t="shared" si="27"/>
        <v>-54402</v>
      </c>
      <c r="H123" s="216">
        <f t="shared" si="24"/>
        <v>2316155.5339464904</v>
      </c>
      <c r="I123" s="217">
        <v>0</v>
      </c>
      <c r="J123" s="216">
        <v>1305972.7</v>
      </c>
      <c r="K123" s="216">
        <v>0</v>
      </c>
      <c r="L123" s="216">
        <v>0</v>
      </c>
      <c r="M123" s="208">
        <f t="shared" si="19"/>
        <v>0</v>
      </c>
      <c r="N123" s="208">
        <f t="shared" si="19"/>
        <v>1305972.7</v>
      </c>
      <c r="O123" s="208">
        <f t="shared" si="20"/>
        <v>1305972.7</v>
      </c>
      <c r="P123" s="216">
        <v>0</v>
      </c>
      <c r="Q123" s="208">
        <f t="shared" si="21"/>
        <v>1305972.7</v>
      </c>
      <c r="R123" s="216">
        <f t="shared" si="15"/>
        <v>0</v>
      </c>
      <c r="S123" s="216">
        <v>0</v>
      </c>
      <c r="T123" s="216">
        <f t="shared" si="16"/>
        <v>1010182.8339464904</v>
      </c>
      <c r="U123" s="216">
        <f t="shared" si="17"/>
        <v>1010182.8339464904</v>
      </c>
      <c r="V123" s="216">
        <v>0</v>
      </c>
      <c r="W123" s="216">
        <v>0</v>
      </c>
      <c r="X123" s="216">
        <f t="shared" si="22"/>
        <v>0</v>
      </c>
      <c r="Y123" s="216">
        <f t="shared" si="25"/>
        <v>1010182.8339464904</v>
      </c>
      <c r="Z123" s="216">
        <f t="shared" si="26"/>
        <v>0</v>
      </c>
      <c r="AA123" s="216">
        <v>0</v>
      </c>
      <c r="AB123" s="219">
        <v>0</v>
      </c>
      <c r="AC123" s="216">
        <f t="shared" si="23"/>
        <v>0</v>
      </c>
    </row>
    <row r="124" spans="1:30" s="213" customFormat="1" ht="15.95" customHeight="1">
      <c r="A124" s="214" t="s">
        <v>356</v>
      </c>
      <c r="B124" s="215">
        <v>13321729.565850744</v>
      </c>
      <c r="C124" s="207">
        <v>247268.35610591166</v>
      </c>
      <c r="D124" s="216">
        <f t="shared" si="28"/>
        <v>13568997.921956657</v>
      </c>
      <c r="E124" s="217">
        <v>0</v>
      </c>
      <c r="F124" s="218">
        <v>0</v>
      </c>
      <c r="G124" s="216">
        <f t="shared" si="27"/>
        <v>0</v>
      </c>
      <c r="H124" s="216">
        <f t="shared" si="24"/>
        <v>13568997.921956657</v>
      </c>
      <c r="I124" s="217">
        <v>0</v>
      </c>
      <c r="J124" s="216">
        <v>5527867.5099999998</v>
      </c>
      <c r="K124" s="216">
        <v>0</v>
      </c>
      <c r="L124" s="216">
        <v>0</v>
      </c>
      <c r="M124" s="208">
        <f t="shared" si="19"/>
        <v>0</v>
      </c>
      <c r="N124" s="208">
        <f t="shared" si="19"/>
        <v>5527867.5099999998</v>
      </c>
      <c r="O124" s="208">
        <f t="shared" si="20"/>
        <v>5527867.5099999998</v>
      </c>
      <c r="P124" s="216">
        <v>3463505.4098999994</v>
      </c>
      <c r="Q124" s="208">
        <f t="shared" si="21"/>
        <v>8991372.9199000001</v>
      </c>
      <c r="R124" s="216">
        <f t="shared" si="15"/>
        <v>0</v>
      </c>
      <c r="S124" s="216">
        <v>0</v>
      </c>
      <c r="T124" s="216">
        <f t="shared" si="16"/>
        <v>4577625.0020566564</v>
      </c>
      <c r="U124" s="216">
        <f t="shared" si="17"/>
        <v>4577625.0020566564</v>
      </c>
      <c r="V124" s="216">
        <v>1936494.5901000006</v>
      </c>
      <c r="X124" s="216">
        <f t="shared" si="22"/>
        <v>1936494.5901000006</v>
      </c>
      <c r="Y124" s="216">
        <f t="shared" si="25"/>
        <v>2641130.4119566558</v>
      </c>
      <c r="Z124" s="216">
        <f t="shared" si="26"/>
        <v>0</v>
      </c>
      <c r="AA124" s="216">
        <v>0</v>
      </c>
      <c r="AB124" s="221">
        <v>0</v>
      </c>
      <c r="AC124" s="216">
        <f t="shared" si="23"/>
        <v>0</v>
      </c>
    </row>
    <row r="125" spans="1:30" s="213" customFormat="1" ht="15.95" customHeight="1">
      <c r="A125" s="214" t="s">
        <v>941</v>
      </c>
      <c r="B125" s="215">
        <v>1456731.7499742147</v>
      </c>
      <c r="C125" s="207">
        <v>26887.506272455204</v>
      </c>
      <c r="D125" s="216">
        <f t="shared" si="28"/>
        <v>1483619.2562466699</v>
      </c>
      <c r="E125" s="217">
        <v>25000</v>
      </c>
      <c r="F125" s="218">
        <v>0</v>
      </c>
      <c r="G125" s="216">
        <f t="shared" si="27"/>
        <v>25000</v>
      </c>
      <c r="H125" s="216">
        <f t="shared" si="24"/>
        <v>1508619.2562466699</v>
      </c>
      <c r="I125" s="217">
        <v>0</v>
      </c>
      <c r="J125" s="216">
        <v>1739485.15</v>
      </c>
      <c r="K125" s="216">
        <v>0</v>
      </c>
      <c r="L125" s="216">
        <v>0</v>
      </c>
      <c r="M125" s="208">
        <f t="shared" si="19"/>
        <v>0</v>
      </c>
      <c r="N125" s="208">
        <f t="shared" si="19"/>
        <v>1739485.15</v>
      </c>
      <c r="O125" s="208">
        <f t="shared" si="20"/>
        <v>1739485.15</v>
      </c>
      <c r="P125" s="216">
        <v>0</v>
      </c>
      <c r="Q125" s="208">
        <f t="shared" si="21"/>
        <v>1739485.15</v>
      </c>
      <c r="R125" s="216">
        <f t="shared" si="15"/>
        <v>-230865.89375332999</v>
      </c>
      <c r="S125" s="216">
        <v>-326334.52258726931</v>
      </c>
      <c r="T125" s="216">
        <f t="shared" si="16"/>
        <v>0</v>
      </c>
      <c r="U125" s="216">
        <f t="shared" si="17"/>
        <v>-230865.89375332999</v>
      </c>
      <c r="V125" s="216">
        <v>0</v>
      </c>
      <c r="W125" s="216">
        <v>0</v>
      </c>
      <c r="X125" s="216">
        <f t="shared" si="22"/>
        <v>0</v>
      </c>
      <c r="Y125" s="216">
        <f t="shared" si="25"/>
        <v>0</v>
      </c>
      <c r="Z125" s="216">
        <f t="shared" si="26"/>
        <v>-230865.89375332999</v>
      </c>
      <c r="AA125" s="216">
        <v>0</v>
      </c>
      <c r="AB125" s="221">
        <v>0</v>
      </c>
      <c r="AC125" s="222">
        <f t="shared" si="23"/>
        <v>-8.5863631760391108</v>
      </c>
    </row>
    <row r="126" spans="1:30" s="213" customFormat="1" ht="15.95" customHeight="1">
      <c r="A126" s="214" t="s">
        <v>818</v>
      </c>
      <c r="B126" s="215">
        <v>13864329.186075099</v>
      </c>
      <c r="C126" s="207">
        <v>244455.19827713782</v>
      </c>
      <c r="D126" s="216">
        <f t="shared" si="28"/>
        <v>14108784.384352237</v>
      </c>
      <c r="E126" s="217">
        <v>50000</v>
      </c>
      <c r="F126" s="218">
        <v>0</v>
      </c>
      <c r="G126" s="216">
        <f t="shared" si="27"/>
        <v>50000</v>
      </c>
      <c r="H126" s="216">
        <f t="shared" si="24"/>
        <v>14158784.384352237</v>
      </c>
      <c r="I126" s="217">
        <v>0</v>
      </c>
      <c r="J126" s="216">
        <v>12802119.99</v>
      </c>
      <c r="K126" s="216">
        <v>0</v>
      </c>
      <c r="L126" s="216">
        <v>0</v>
      </c>
      <c r="M126" s="208">
        <f t="shared" si="19"/>
        <v>0</v>
      </c>
      <c r="N126" s="208">
        <f t="shared" si="19"/>
        <v>12802119.99</v>
      </c>
      <c r="O126" s="208">
        <f t="shared" si="20"/>
        <v>12802119.99</v>
      </c>
      <c r="P126" s="216">
        <v>-1463.09</v>
      </c>
      <c r="Q126" s="208">
        <f t="shared" si="21"/>
        <v>12800656.9</v>
      </c>
      <c r="R126" s="216">
        <f t="shared" si="15"/>
        <v>0</v>
      </c>
      <c r="S126" s="216">
        <v>0</v>
      </c>
      <c r="T126" s="216">
        <f t="shared" si="16"/>
        <v>1358127.4843522366</v>
      </c>
      <c r="U126" s="216">
        <f t="shared" si="17"/>
        <v>1358127.4843522366</v>
      </c>
      <c r="V126" s="234">
        <v>0</v>
      </c>
      <c r="W126" s="216">
        <v>0</v>
      </c>
      <c r="X126" s="216">
        <f t="shared" si="22"/>
        <v>0</v>
      </c>
      <c r="Y126" s="216">
        <f t="shared" si="25"/>
        <v>1358127.4843522366</v>
      </c>
      <c r="Z126" s="216">
        <f t="shared" si="26"/>
        <v>0</v>
      </c>
      <c r="AA126" s="216">
        <v>0</v>
      </c>
      <c r="AB126" s="219">
        <v>0</v>
      </c>
      <c r="AC126" s="216">
        <f t="shared" si="23"/>
        <v>0</v>
      </c>
    </row>
    <row r="127" spans="1:30" s="213" customFormat="1" ht="15.95" customHeight="1">
      <c r="A127" s="236" t="s">
        <v>596</v>
      </c>
      <c r="B127" s="215">
        <v>14551601.774391677</v>
      </c>
      <c r="C127" s="207">
        <v>248199.83845364154</v>
      </c>
      <c r="D127" s="216">
        <f t="shared" si="28"/>
        <v>14799801.612845318</v>
      </c>
      <c r="E127" s="217">
        <v>200000</v>
      </c>
      <c r="F127" s="218">
        <v>0</v>
      </c>
      <c r="G127" s="216">
        <f t="shared" si="27"/>
        <v>200000</v>
      </c>
      <c r="H127" s="216">
        <f t="shared" si="24"/>
        <v>14999801.612845318</v>
      </c>
      <c r="I127" s="217">
        <v>0</v>
      </c>
      <c r="J127" s="216">
        <v>15285099.000000002</v>
      </c>
      <c r="K127" s="216">
        <v>0</v>
      </c>
      <c r="L127" s="216">
        <v>0</v>
      </c>
      <c r="M127" s="208">
        <f t="shared" si="19"/>
        <v>0</v>
      </c>
      <c r="N127" s="208">
        <f t="shared" si="19"/>
        <v>15285099.000000002</v>
      </c>
      <c r="O127" s="208">
        <f t="shared" si="20"/>
        <v>15285099.000000002</v>
      </c>
      <c r="P127" s="216">
        <v>0</v>
      </c>
      <c r="Q127" s="208">
        <f t="shared" si="21"/>
        <v>15285099.000000002</v>
      </c>
      <c r="R127" s="216">
        <f t="shared" si="15"/>
        <v>-285297.38715468347</v>
      </c>
      <c r="S127" s="216">
        <v>-1234989.8145545702</v>
      </c>
      <c r="T127" s="216">
        <f t="shared" si="16"/>
        <v>0</v>
      </c>
      <c r="U127" s="216">
        <f t="shared" si="17"/>
        <v>-285297.38715468347</v>
      </c>
      <c r="V127" s="216">
        <v>0</v>
      </c>
      <c r="W127" s="216">
        <v>0</v>
      </c>
      <c r="X127" s="216">
        <f t="shared" si="22"/>
        <v>0</v>
      </c>
      <c r="Y127" s="216">
        <f t="shared" si="25"/>
        <v>0</v>
      </c>
      <c r="Z127" s="216">
        <f t="shared" si="26"/>
        <v>-285297.38715468347</v>
      </c>
      <c r="AA127" s="216">
        <v>0</v>
      </c>
      <c r="AB127" s="219">
        <v>2922741</v>
      </c>
      <c r="AC127" s="216">
        <f t="shared" si="23"/>
        <v>-1.1494664498259572</v>
      </c>
      <c r="AD127" s="237" t="str">
        <f>IF(Z127&gt;0,A220,"60K deducted from Allocation (see note)")</f>
        <v>60K deducted from Allocation (see note)</v>
      </c>
    </row>
    <row r="128" spans="1:30" s="213" customFormat="1" ht="15.95" customHeight="1">
      <c r="A128" s="214" t="s">
        <v>945</v>
      </c>
      <c r="B128" s="215">
        <v>13201177.789115161</v>
      </c>
      <c r="C128" s="207">
        <v>215767.94162757287</v>
      </c>
      <c r="D128" s="216">
        <f t="shared" si="28"/>
        <v>13416945.730742734</v>
      </c>
      <c r="E128" s="217">
        <v>1000564</v>
      </c>
      <c r="F128" s="218">
        <v>0</v>
      </c>
      <c r="G128" s="216">
        <f t="shared" si="27"/>
        <v>1000564</v>
      </c>
      <c r="H128" s="216">
        <f t="shared" si="24"/>
        <v>14417509.730742734</v>
      </c>
      <c r="I128" s="217">
        <v>0</v>
      </c>
      <c r="J128" s="216">
        <v>10949354.959999999</v>
      </c>
      <c r="K128" s="216">
        <v>0</v>
      </c>
      <c r="L128" s="216">
        <v>0</v>
      </c>
      <c r="M128" s="208">
        <f t="shared" si="19"/>
        <v>0</v>
      </c>
      <c r="N128" s="208">
        <f t="shared" si="19"/>
        <v>10949354.959999999</v>
      </c>
      <c r="O128" s="208">
        <f t="shared" si="20"/>
        <v>10949354.959999999</v>
      </c>
      <c r="P128" s="216">
        <v>-5534.6</v>
      </c>
      <c r="Q128" s="208">
        <f t="shared" si="21"/>
        <v>10943820.359999999</v>
      </c>
      <c r="R128" s="216">
        <f t="shared" si="15"/>
        <v>0</v>
      </c>
      <c r="S128" s="216">
        <v>0</v>
      </c>
      <c r="T128" s="216">
        <f t="shared" si="16"/>
        <v>3473689.3707427345</v>
      </c>
      <c r="U128" s="216">
        <f t="shared" si="17"/>
        <v>3473689.3707427345</v>
      </c>
      <c r="V128" s="216">
        <v>0</v>
      </c>
      <c r="W128" s="216">
        <v>0</v>
      </c>
      <c r="X128" s="216">
        <f t="shared" si="22"/>
        <v>0</v>
      </c>
      <c r="Y128" s="216">
        <f t="shared" si="25"/>
        <v>3473689.3707427345</v>
      </c>
      <c r="Z128" s="216">
        <f t="shared" si="26"/>
        <v>0</v>
      </c>
      <c r="AA128" s="216">
        <v>0</v>
      </c>
      <c r="AB128" s="221">
        <v>0</v>
      </c>
      <c r="AC128" s="216">
        <f t="shared" si="23"/>
        <v>0</v>
      </c>
    </row>
    <row r="129" spans="1:29" s="213" customFormat="1" ht="15.95" customHeight="1">
      <c r="A129" s="214" t="s">
        <v>709</v>
      </c>
      <c r="B129" s="215">
        <v>4536812.6158841643</v>
      </c>
      <c r="C129" s="207">
        <v>72944.44265387929</v>
      </c>
      <c r="D129" s="216">
        <f t="shared" si="28"/>
        <v>4609757.0585380439</v>
      </c>
      <c r="E129" s="217">
        <v>0</v>
      </c>
      <c r="F129" s="218">
        <v>0</v>
      </c>
      <c r="G129" s="216">
        <f t="shared" si="27"/>
        <v>0</v>
      </c>
      <c r="H129" s="216">
        <f t="shared" si="24"/>
        <v>4609757.0585380439</v>
      </c>
      <c r="I129" s="217">
        <v>0</v>
      </c>
      <c r="J129" s="216">
        <v>3897388.59</v>
      </c>
      <c r="K129" s="216">
        <v>0</v>
      </c>
      <c r="L129" s="216">
        <v>0</v>
      </c>
      <c r="M129" s="208">
        <f t="shared" si="19"/>
        <v>0</v>
      </c>
      <c r="N129" s="208">
        <f t="shared" si="19"/>
        <v>3897388.59</v>
      </c>
      <c r="O129" s="208">
        <f t="shared" si="20"/>
        <v>3897388.59</v>
      </c>
      <c r="P129" s="216">
        <v>0</v>
      </c>
      <c r="Q129" s="208">
        <f t="shared" si="21"/>
        <v>3897388.59</v>
      </c>
      <c r="R129" s="216">
        <f t="shared" si="15"/>
        <v>0</v>
      </c>
      <c r="S129" s="216">
        <v>0</v>
      </c>
      <c r="T129" s="216">
        <f t="shared" si="16"/>
        <v>712368.46853804402</v>
      </c>
      <c r="U129" s="216">
        <f t="shared" si="17"/>
        <v>712368.46853804402</v>
      </c>
      <c r="V129" s="216">
        <v>0</v>
      </c>
      <c r="W129" s="216">
        <v>0</v>
      </c>
      <c r="X129" s="216">
        <f t="shared" si="22"/>
        <v>0</v>
      </c>
      <c r="Y129" s="216">
        <f t="shared" si="25"/>
        <v>712368.46853804402</v>
      </c>
      <c r="Z129" s="216">
        <f t="shared" si="26"/>
        <v>0</v>
      </c>
      <c r="AA129" s="216">
        <v>0</v>
      </c>
      <c r="AB129" s="219">
        <v>0</v>
      </c>
      <c r="AC129" s="216">
        <f t="shared" si="23"/>
        <v>0</v>
      </c>
    </row>
    <row r="130" spans="1:29" s="213" customFormat="1" ht="15.95" customHeight="1">
      <c r="A130" s="214" t="s">
        <v>710</v>
      </c>
      <c r="B130" s="215">
        <v>7712113.920435911</v>
      </c>
      <c r="C130" s="207">
        <v>146243.75976092397</v>
      </c>
      <c r="D130" s="216">
        <f t="shared" si="28"/>
        <v>7858357.6801968347</v>
      </c>
      <c r="E130" s="217">
        <v>0</v>
      </c>
      <c r="F130" s="218">
        <v>0</v>
      </c>
      <c r="G130" s="216">
        <f t="shared" si="27"/>
        <v>0</v>
      </c>
      <c r="H130" s="216">
        <f t="shared" si="24"/>
        <v>7858357.6801968347</v>
      </c>
      <c r="I130" s="217">
        <v>0</v>
      </c>
      <c r="J130" s="216">
        <v>7077195.1900000004</v>
      </c>
      <c r="K130" s="216">
        <v>0</v>
      </c>
      <c r="L130" s="216">
        <v>0</v>
      </c>
      <c r="M130" s="208">
        <f t="shared" si="19"/>
        <v>0</v>
      </c>
      <c r="N130" s="208">
        <f t="shared" si="19"/>
        <v>7077195.1900000004</v>
      </c>
      <c r="O130" s="208">
        <f t="shared" si="20"/>
        <v>7077195.1900000004</v>
      </c>
      <c r="P130" s="216">
        <v>144385.13</v>
      </c>
      <c r="Q130" s="208">
        <f t="shared" si="21"/>
        <v>7221580.3200000003</v>
      </c>
      <c r="R130" s="216">
        <f t="shared" si="15"/>
        <v>0</v>
      </c>
      <c r="S130" s="216">
        <v>0</v>
      </c>
      <c r="T130" s="216">
        <f t="shared" si="16"/>
        <v>636777.36019683443</v>
      </c>
      <c r="U130" s="216">
        <f t="shared" si="17"/>
        <v>636777.36019683443</v>
      </c>
      <c r="W130" s="216">
        <v>1855614.87</v>
      </c>
      <c r="X130" s="216">
        <f t="shared" si="22"/>
        <v>1855614.87</v>
      </c>
      <c r="Y130" s="216">
        <f t="shared" si="25"/>
        <v>0</v>
      </c>
      <c r="Z130" s="216">
        <f t="shared" si="26"/>
        <v>-1218837.5098031657</v>
      </c>
      <c r="AA130" s="216">
        <v>0</v>
      </c>
      <c r="AB130" s="219">
        <v>0</v>
      </c>
      <c r="AC130" s="222">
        <f t="shared" si="23"/>
        <v>-8.3342873008441103</v>
      </c>
    </row>
    <row r="131" spans="1:29" s="213" customFormat="1" ht="15.95" customHeight="1">
      <c r="A131" s="214" t="s">
        <v>362</v>
      </c>
      <c r="B131" s="215">
        <v>5083732.4736145558</v>
      </c>
      <c r="C131" s="207">
        <v>74150.859697551437</v>
      </c>
      <c r="D131" s="216">
        <f t="shared" si="28"/>
        <v>5157883.3333121073</v>
      </c>
      <c r="E131" s="217">
        <v>0</v>
      </c>
      <c r="F131" s="218">
        <v>0</v>
      </c>
      <c r="G131" s="216">
        <f t="shared" si="27"/>
        <v>0</v>
      </c>
      <c r="H131" s="216">
        <f t="shared" si="24"/>
        <v>5157883.3333121073</v>
      </c>
      <c r="I131" s="217">
        <v>0</v>
      </c>
      <c r="J131" s="216">
        <v>3498462.81</v>
      </c>
      <c r="K131" s="216">
        <v>0</v>
      </c>
      <c r="L131" s="216">
        <v>0</v>
      </c>
      <c r="M131" s="208">
        <f t="shared" si="19"/>
        <v>0</v>
      </c>
      <c r="N131" s="208">
        <f t="shared" si="19"/>
        <v>3498462.81</v>
      </c>
      <c r="O131" s="208">
        <f t="shared" si="20"/>
        <v>3498462.81</v>
      </c>
      <c r="P131" s="216">
        <v>0</v>
      </c>
      <c r="Q131" s="208">
        <f t="shared" si="21"/>
        <v>3498462.81</v>
      </c>
      <c r="R131" s="216">
        <f t="shared" si="15"/>
        <v>0</v>
      </c>
      <c r="S131" s="216">
        <v>0</v>
      </c>
      <c r="T131" s="216">
        <f t="shared" si="16"/>
        <v>1659420.5233121072</v>
      </c>
      <c r="U131" s="216">
        <f t="shared" si="17"/>
        <v>1659420.5233121072</v>
      </c>
      <c r="V131" s="216">
        <v>0</v>
      </c>
      <c r="W131" s="216">
        <v>0</v>
      </c>
      <c r="X131" s="216">
        <f t="shared" si="22"/>
        <v>0</v>
      </c>
      <c r="Y131" s="216">
        <f t="shared" si="25"/>
        <v>1659420.5233121072</v>
      </c>
      <c r="Z131" s="216">
        <f t="shared" si="26"/>
        <v>0</v>
      </c>
      <c r="AA131" s="216">
        <v>1900000</v>
      </c>
      <c r="AB131" s="219">
        <v>0</v>
      </c>
      <c r="AC131" s="216">
        <f t="shared" si="23"/>
        <v>0</v>
      </c>
    </row>
    <row r="132" spans="1:29" s="224" customFormat="1" ht="15.95" customHeight="1">
      <c r="A132" s="214" t="s">
        <v>363</v>
      </c>
      <c r="B132" s="216">
        <v>1715065.1767785733</v>
      </c>
      <c r="C132" s="207">
        <v>30305.470081848096</v>
      </c>
      <c r="D132" s="216">
        <f t="shared" si="28"/>
        <v>1745370.6468604214</v>
      </c>
      <c r="E132" s="217">
        <v>69185</v>
      </c>
      <c r="F132" s="218">
        <v>0</v>
      </c>
      <c r="G132" s="216">
        <f t="shared" si="27"/>
        <v>69185</v>
      </c>
      <c r="H132" s="216">
        <f t="shared" si="24"/>
        <v>1814555.6468604214</v>
      </c>
      <c r="I132" s="216">
        <v>238568</v>
      </c>
      <c r="J132" s="216">
        <v>721396</v>
      </c>
      <c r="K132" s="216">
        <v>0</v>
      </c>
      <c r="L132" s="216">
        <v>0</v>
      </c>
      <c r="M132" s="208">
        <f>I132+K132</f>
        <v>238568</v>
      </c>
      <c r="N132" s="208">
        <f>J132+L132</f>
        <v>721396</v>
      </c>
      <c r="O132" s="208">
        <f t="shared" si="20"/>
        <v>721396</v>
      </c>
      <c r="P132" s="216">
        <v>0</v>
      </c>
      <c r="Q132" s="208">
        <f t="shared" si="21"/>
        <v>721396</v>
      </c>
      <c r="R132" s="216">
        <f t="shared" si="15"/>
        <v>0</v>
      </c>
      <c r="S132" s="216">
        <v>0</v>
      </c>
      <c r="T132" s="216">
        <f t="shared" si="16"/>
        <v>1093159.6468604214</v>
      </c>
      <c r="U132" s="216">
        <f t="shared" si="17"/>
        <v>1093159.6468604214</v>
      </c>
      <c r="V132" s="216">
        <v>0</v>
      </c>
      <c r="W132" s="216">
        <v>0</v>
      </c>
      <c r="X132" s="216">
        <f t="shared" si="22"/>
        <v>0</v>
      </c>
      <c r="Y132" s="216">
        <f t="shared" si="25"/>
        <v>1093159.6468604214</v>
      </c>
      <c r="Z132" s="216">
        <f t="shared" si="26"/>
        <v>0</v>
      </c>
      <c r="AA132" s="216">
        <v>0</v>
      </c>
      <c r="AB132" s="223">
        <v>0</v>
      </c>
      <c r="AC132" s="216">
        <f t="shared" si="23"/>
        <v>0</v>
      </c>
    </row>
    <row r="133" spans="1:29" s="213" customFormat="1" ht="15.95" customHeight="1">
      <c r="A133" s="214" t="s">
        <v>364</v>
      </c>
      <c r="B133" s="215">
        <v>6145415.5155040715</v>
      </c>
      <c r="C133" s="207">
        <v>111779.61074662491</v>
      </c>
      <c r="D133" s="216">
        <f t="shared" si="28"/>
        <v>6257195.1262506964</v>
      </c>
      <c r="E133" s="217">
        <v>467500</v>
      </c>
      <c r="F133" s="218">
        <v>0</v>
      </c>
      <c r="G133" s="216">
        <f t="shared" ref="G133:G164" si="29">SUM(E133:F133)</f>
        <v>467500</v>
      </c>
      <c r="H133" s="216">
        <f t="shared" si="24"/>
        <v>6724695.1262506964</v>
      </c>
      <c r="I133" s="217">
        <v>0</v>
      </c>
      <c r="J133" s="216">
        <v>5658280.5</v>
      </c>
      <c r="K133" s="216">
        <v>0</v>
      </c>
      <c r="L133" s="216">
        <v>0</v>
      </c>
      <c r="M133" s="208">
        <f t="shared" ref="M133:N196" si="30">I133+K133</f>
        <v>0</v>
      </c>
      <c r="N133" s="208">
        <f t="shared" si="30"/>
        <v>5658280.5</v>
      </c>
      <c r="O133" s="208">
        <f t="shared" si="20"/>
        <v>5658280.5</v>
      </c>
      <c r="P133" s="216">
        <v>0</v>
      </c>
      <c r="Q133" s="208">
        <f t="shared" si="21"/>
        <v>5658280.5</v>
      </c>
      <c r="R133" s="216">
        <f t="shared" ref="R133:R196" si="31">IF(SUM(H133-Q133)&lt;0, H133-Q133)+IF(SUM(H133-Q133)&gt;0, 0)</f>
        <v>0</v>
      </c>
      <c r="S133" s="216">
        <v>0</v>
      </c>
      <c r="T133" s="216">
        <f t="shared" ref="T133:T196" si="32">IF(SUM(H133-Q133)&gt;0, H133-Q133)+IF(SUM(H133-Q133)&lt;0, 0)</f>
        <v>1066414.6262506964</v>
      </c>
      <c r="U133" s="216">
        <f t="shared" ref="U133:U196" si="33">SUM(R133+T133)</f>
        <v>1066414.6262506964</v>
      </c>
      <c r="V133" s="216">
        <v>0</v>
      </c>
      <c r="W133" s="216">
        <v>0</v>
      </c>
      <c r="X133" s="216">
        <f t="shared" si="22"/>
        <v>0</v>
      </c>
      <c r="Y133" s="216">
        <f t="shared" si="25"/>
        <v>1066414.6262506964</v>
      </c>
      <c r="Z133" s="216">
        <f t="shared" si="26"/>
        <v>0</v>
      </c>
      <c r="AA133" s="216">
        <v>0</v>
      </c>
      <c r="AB133" s="219">
        <v>1138613</v>
      </c>
      <c r="AC133" s="216">
        <f t="shared" si="23"/>
        <v>0</v>
      </c>
    </row>
    <row r="134" spans="1:29" s="213" customFormat="1" ht="15.95" customHeight="1">
      <c r="A134" s="214" t="s">
        <v>365</v>
      </c>
      <c r="B134" s="215">
        <v>8581.3308191985034</v>
      </c>
      <c r="C134" s="207">
        <v>649.29009617883037</v>
      </c>
      <c r="D134" s="216">
        <f t="shared" si="28"/>
        <v>9230.6209153773343</v>
      </c>
      <c r="E134" s="217">
        <v>0</v>
      </c>
      <c r="F134" s="218">
        <v>0</v>
      </c>
      <c r="G134" s="216">
        <f t="shared" si="29"/>
        <v>0</v>
      </c>
      <c r="H134" s="216">
        <f t="shared" si="24"/>
        <v>9230.6209153773343</v>
      </c>
      <c r="I134" s="217">
        <v>0</v>
      </c>
      <c r="J134" s="216">
        <v>0</v>
      </c>
      <c r="K134" s="216">
        <v>0</v>
      </c>
      <c r="L134" s="216">
        <v>0</v>
      </c>
      <c r="M134" s="208">
        <f t="shared" si="30"/>
        <v>0</v>
      </c>
      <c r="N134" s="208">
        <f t="shared" si="30"/>
        <v>0</v>
      </c>
      <c r="O134" s="208">
        <f t="shared" ref="O134:O197" si="34">K134+N134</f>
        <v>0</v>
      </c>
      <c r="P134" s="216">
        <v>0</v>
      </c>
      <c r="Q134" s="208">
        <f t="shared" ref="Q134:Q197" si="35">SUM(O134+P134)</f>
        <v>0</v>
      </c>
      <c r="R134" s="216">
        <f t="shared" si="31"/>
        <v>0</v>
      </c>
      <c r="S134" s="216">
        <v>0</v>
      </c>
      <c r="T134" s="216">
        <f t="shared" si="32"/>
        <v>9230.6209153773343</v>
      </c>
      <c r="U134" s="216">
        <f t="shared" si="33"/>
        <v>9230.6209153773343</v>
      </c>
      <c r="V134" s="216">
        <v>0</v>
      </c>
      <c r="W134" s="216">
        <v>0</v>
      </c>
      <c r="X134" s="216">
        <f t="shared" ref="X134:X197" si="36">SUM(V134:W134)</f>
        <v>0</v>
      </c>
      <c r="Y134" s="216">
        <f t="shared" si="25"/>
        <v>9230.6209153773343</v>
      </c>
      <c r="Z134" s="216">
        <f t="shared" si="26"/>
        <v>0</v>
      </c>
      <c r="AA134" s="216">
        <v>0</v>
      </c>
      <c r="AB134" s="219"/>
      <c r="AC134" s="216">
        <f t="shared" ref="AC134:AC197" si="37">Z134/C134</f>
        <v>0</v>
      </c>
    </row>
    <row r="135" spans="1:29" s="213" customFormat="1" ht="15.95" customHeight="1">
      <c r="A135" s="214" t="s">
        <v>715</v>
      </c>
      <c r="B135" s="215">
        <v>1956612.3542658251</v>
      </c>
      <c r="C135" s="207">
        <v>25406.414582923357</v>
      </c>
      <c r="D135" s="216">
        <f t="shared" si="28"/>
        <v>1982018.7688487484</v>
      </c>
      <c r="E135" s="217">
        <v>0</v>
      </c>
      <c r="F135" s="218">
        <v>0</v>
      </c>
      <c r="G135" s="216">
        <f t="shared" si="29"/>
        <v>0</v>
      </c>
      <c r="H135" s="216">
        <f t="shared" ref="H135:H198" si="38">SUM(D135,G135)</f>
        <v>1982018.7688487484</v>
      </c>
      <c r="I135" s="217">
        <v>0</v>
      </c>
      <c r="J135" s="216">
        <v>2070892.63</v>
      </c>
      <c r="K135" s="216">
        <v>0</v>
      </c>
      <c r="L135" s="216">
        <v>0</v>
      </c>
      <c r="M135" s="208">
        <f t="shared" si="30"/>
        <v>0</v>
      </c>
      <c r="N135" s="208">
        <f t="shared" si="30"/>
        <v>2070892.63</v>
      </c>
      <c r="O135" s="208">
        <f t="shared" si="34"/>
        <v>2070892.63</v>
      </c>
      <c r="P135" s="216">
        <v>0</v>
      </c>
      <c r="Q135" s="208">
        <f t="shared" si="35"/>
        <v>2070892.63</v>
      </c>
      <c r="R135" s="216">
        <f t="shared" si="31"/>
        <v>-88873.861151251476</v>
      </c>
      <c r="S135" s="216">
        <v>-206969.69308388396</v>
      </c>
      <c r="T135" s="216">
        <f t="shared" si="32"/>
        <v>0</v>
      </c>
      <c r="U135" s="216">
        <f t="shared" si="33"/>
        <v>-88873.861151251476</v>
      </c>
      <c r="V135" s="216">
        <v>0</v>
      </c>
      <c r="W135" s="216">
        <v>0</v>
      </c>
      <c r="X135" s="216">
        <f t="shared" si="36"/>
        <v>0</v>
      </c>
      <c r="Y135" s="216">
        <f t="shared" si="25"/>
        <v>0</v>
      </c>
      <c r="Z135" s="216">
        <f t="shared" si="26"/>
        <v>-88873.861151251476</v>
      </c>
      <c r="AA135" s="216">
        <v>675000</v>
      </c>
      <c r="AB135" s="219">
        <v>0</v>
      </c>
      <c r="AC135" s="216">
        <f t="shared" si="37"/>
        <v>-3.4980874952338636</v>
      </c>
    </row>
    <row r="136" spans="1:29" s="213" customFormat="1" ht="15.95" customHeight="1">
      <c r="A136" s="214" t="s">
        <v>366</v>
      </c>
      <c r="B136" s="215">
        <v>8225380.8231952135</v>
      </c>
      <c r="C136" s="207">
        <v>153078.4520282374</v>
      </c>
      <c r="D136" s="216">
        <f t="shared" si="28"/>
        <v>8378459.2752234507</v>
      </c>
      <c r="E136" s="217">
        <v>330000</v>
      </c>
      <c r="F136" s="218">
        <v>0</v>
      </c>
      <c r="G136" s="216">
        <f t="shared" si="29"/>
        <v>330000</v>
      </c>
      <c r="H136" s="216">
        <f t="shared" si="38"/>
        <v>8708459.2752234507</v>
      </c>
      <c r="I136" s="217">
        <v>0</v>
      </c>
      <c r="J136" s="216">
        <v>7415261.5099999998</v>
      </c>
      <c r="K136" s="216">
        <v>0</v>
      </c>
      <c r="L136" s="216">
        <v>0</v>
      </c>
      <c r="M136" s="208">
        <f t="shared" si="30"/>
        <v>0</v>
      </c>
      <c r="N136" s="208">
        <f t="shared" si="30"/>
        <v>7415261.5099999998</v>
      </c>
      <c r="O136" s="208">
        <f t="shared" si="34"/>
        <v>7415261.5099999998</v>
      </c>
      <c r="P136" s="216">
        <v>691755.04989999998</v>
      </c>
      <c r="Q136" s="208">
        <f t="shared" si="35"/>
        <v>8107016.5598999998</v>
      </c>
      <c r="R136" s="216">
        <f t="shared" si="31"/>
        <v>0</v>
      </c>
      <c r="S136" s="216">
        <v>0</v>
      </c>
      <c r="T136" s="216">
        <f t="shared" si="32"/>
        <v>601442.71532345098</v>
      </c>
      <c r="U136" s="216">
        <f t="shared" si="33"/>
        <v>601442.71532345098</v>
      </c>
      <c r="V136" s="216">
        <v>0</v>
      </c>
      <c r="W136" s="216">
        <v>0</v>
      </c>
      <c r="X136" s="216">
        <f t="shared" si="36"/>
        <v>0</v>
      </c>
      <c r="Y136" s="216">
        <f t="shared" si="25"/>
        <v>601442.71532345098</v>
      </c>
      <c r="Z136" s="216">
        <f t="shared" si="26"/>
        <v>0</v>
      </c>
      <c r="AA136" s="216">
        <v>0</v>
      </c>
      <c r="AB136" s="221">
        <v>0</v>
      </c>
      <c r="AC136" s="216">
        <f t="shared" si="37"/>
        <v>0</v>
      </c>
    </row>
    <row r="137" spans="1:29" s="213" customFormat="1" ht="15.95" customHeight="1">
      <c r="A137" s="214" t="s">
        <v>599</v>
      </c>
      <c r="B137" s="215">
        <v>3891050.82458098</v>
      </c>
      <c r="C137" s="207">
        <v>66839.177436970567</v>
      </c>
      <c r="D137" s="216">
        <f t="shared" si="28"/>
        <v>3957890.0020179506</v>
      </c>
      <c r="E137" s="217">
        <v>-1117793</v>
      </c>
      <c r="F137" s="218">
        <v>0</v>
      </c>
      <c r="G137" s="216">
        <f t="shared" si="29"/>
        <v>-1117793</v>
      </c>
      <c r="H137" s="216">
        <f t="shared" si="38"/>
        <v>2840097.0020179506</v>
      </c>
      <c r="I137" s="217">
        <v>0</v>
      </c>
      <c r="J137" s="216">
        <v>2232308.02</v>
      </c>
      <c r="K137" s="216">
        <v>0</v>
      </c>
      <c r="L137" s="216">
        <v>0</v>
      </c>
      <c r="M137" s="208">
        <f t="shared" si="30"/>
        <v>0</v>
      </c>
      <c r="N137" s="208">
        <f t="shared" si="30"/>
        <v>2232308.02</v>
      </c>
      <c r="O137" s="208">
        <f t="shared" si="34"/>
        <v>2232308.02</v>
      </c>
      <c r="P137" s="216">
        <v>0</v>
      </c>
      <c r="Q137" s="208">
        <f t="shared" si="35"/>
        <v>2232308.02</v>
      </c>
      <c r="R137" s="216">
        <f t="shared" si="31"/>
        <v>0</v>
      </c>
      <c r="S137" s="216">
        <v>0</v>
      </c>
      <c r="T137" s="216">
        <f t="shared" si="32"/>
        <v>607788.98201795062</v>
      </c>
      <c r="U137" s="216">
        <f t="shared" si="33"/>
        <v>607788.98201795062</v>
      </c>
      <c r="V137" s="216">
        <v>0</v>
      </c>
      <c r="W137" s="216">
        <v>0</v>
      </c>
      <c r="X137" s="216">
        <f t="shared" si="36"/>
        <v>0</v>
      </c>
      <c r="Y137" s="216">
        <f t="shared" ref="Y137:Y200" si="39">IF(SUM($U137-$X137)&gt;0,($U137-$X137),0)</f>
        <v>607788.98201795062</v>
      </c>
      <c r="Z137" s="216">
        <f t="shared" ref="Z137:Z200" si="40">IF(SUM($U137-$X137)&lt;0,($U137-$X137),0)</f>
        <v>0</v>
      </c>
      <c r="AA137" s="216">
        <v>800000</v>
      </c>
      <c r="AB137" s="219">
        <v>0</v>
      </c>
      <c r="AC137" s="216">
        <f t="shared" si="37"/>
        <v>0</v>
      </c>
    </row>
    <row r="138" spans="1:29" s="213" customFormat="1" ht="15.95" customHeight="1">
      <c r="A138" s="214" t="s">
        <v>371</v>
      </c>
      <c r="B138" s="215">
        <v>16426933.633982839</v>
      </c>
      <c r="C138" s="207">
        <v>292647.09843673056</v>
      </c>
      <c r="D138" s="216">
        <f t="shared" si="28"/>
        <v>16719580.732419569</v>
      </c>
      <c r="E138" s="217">
        <v>500000</v>
      </c>
      <c r="F138" s="218">
        <v>0</v>
      </c>
      <c r="G138" s="216">
        <f t="shared" si="29"/>
        <v>500000</v>
      </c>
      <c r="H138" s="216">
        <f t="shared" si="38"/>
        <v>17219580.732419569</v>
      </c>
      <c r="I138" s="217">
        <v>0</v>
      </c>
      <c r="J138" s="238">
        <v>9673038.9399999995</v>
      </c>
      <c r="K138" s="216">
        <v>0</v>
      </c>
      <c r="L138" s="216">
        <v>0</v>
      </c>
      <c r="M138" s="208">
        <f t="shared" si="30"/>
        <v>0</v>
      </c>
      <c r="N138" s="208">
        <f t="shared" si="30"/>
        <v>9673038.9399999995</v>
      </c>
      <c r="O138" s="208">
        <f t="shared" si="34"/>
        <v>9673038.9399999995</v>
      </c>
      <c r="P138" s="216">
        <v>0</v>
      </c>
      <c r="Q138" s="208">
        <f t="shared" si="35"/>
        <v>9673038.9399999995</v>
      </c>
      <c r="R138" s="216">
        <f t="shared" si="31"/>
        <v>0</v>
      </c>
      <c r="S138" s="216">
        <v>0</v>
      </c>
      <c r="T138" s="216">
        <f t="shared" si="32"/>
        <v>7546541.7924195696</v>
      </c>
      <c r="U138" s="216">
        <f t="shared" si="33"/>
        <v>7546541.7924195696</v>
      </c>
      <c r="V138" s="216">
        <v>0</v>
      </c>
      <c r="W138" s="216">
        <v>0</v>
      </c>
      <c r="X138" s="216">
        <f t="shared" si="36"/>
        <v>0</v>
      </c>
      <c r="Y138" s="216">
        <f t="shared" si="39"/>
        <v>7546541.7924195696</v>
      </c>
      <c r="Z138" s="216">
        <f t="shared" si="40"/>
        <v>0</v>
      </c>
      <c r="AA138" s="216">
        <v>0</v>
      </c>
      <c r="AB138" s="221">
        <v>0</v>
      </c>
      <c r="AC138" s="216">
        <f t="shared" si="37"/>
        <v>0</v>
      </c>
    </row>
    <row r="139" spans="1:29" s="213" customFormat="1" ht="15.95" customHeight="1">
      <c r="A139" s="214" t="s">
        <v>953</v>
      </c>
      <c r="B139" s="215">
        <v>2060321.3308203979</v>
      </c>
      <c r="C139" s="207">
        <v>35631.528584489199</v>
      </c>
      <c r="D139" s="216">
        <f t="shared" si="28"/>
        <v>2095952.8594048871</v>
      </c>
      <c r="E139" s="217">
        <v>0</v>
      </c>
      <c r="F139" s="218">
        <v>0</v>
      </c>
      <c r="G139" s="216">
        <f t="shared" si="29"/>
        <v>0</v>
      </c>
      <c r="H139" s="216">
        <f t="shared" si="38"/>
        <v>2095952.8594048871</v>
      </c>
      <c r="I139" s="217">
        <v>0</v>
      </c>
      <c r="J139" s="216">
        <v>2316497.9699999997</v>
      </c>
      <c r="K139" s="216">
        <v>0</v>
      </c>
      <c r="L139" s="216">
        <v>0</v>
      </c>
      <c r="M139" s="208">
        <f t="shared" si="30"/>
        <v>0</v>
      </c>
      <c r="N139" s="208">
        <f>J139+L139</f>
        <v>2316497.9699999997</v>
      </c>
      <c r="O139" s="208">
        <f t="shared" si="34"/>
        <v>2316497.9699999997</v>
      </c>
      <c r="P139" s="216"/>
      <c r="Q139" s="208">
        <f>SUM(O139+P139)</f>
        <v>2316497.9699999997</v>
      </c>
      <c r="R139" s="216">
        <f t="shared" si="31"/>
        <v>-220545.11059511267</v>
      </c>
      <c r="S139" s="216">
        <v>0</v>
      </c>
      <c r="T139" s="216">
        <f t="shared" si="32"/>
        <v>0</v>
      </c>
      <c r="U139" s="216">
        <f t="shared" si="33"/>
        <v>-220545.11059511267</v>
      </c>
      <c r="V139" s="216">
        <v>0</v>
      </c>
      <c r="W139" s="216">
        <v>0</v>
      </c>
      <c r="X139" s="216">
        <f t="shared" si="36"/>
        <v>0</v>
      </c>
      <c r="Y139" s="216">
        <f t="shared" si="39"/>
        <v>0</v>
      </c>
      <c r="Z139" s="216">
        <f t="shared" si="40"/>
        <v>-220545.11059511267</v>
      </c>
      <c r="AA139" s="216">
        <v>0</v>
      </c>
      <c r="AB139" s="221">
        <v>0</v>
      </c>
      <c r="AC139" s="222">
        <f t="shared" si="37"/>
        <v>-6.1896056486085866</v>
      </c>
    </row>
    <row r="140" spans="1:29" s="213" customFormat="1" ht="15.95" customHeight="1">
      <c r="A140" s="214" t="s">
        <v>908</v>
      </c>
      <c r="B140" s="215">
        <v>3547181.4592528567</v>
      </c>
      <c r="C140" s="207">
        <v>53673.78927611612</v>
      </c>
      <c r="D140" s="216">
        <f t="shared" si="28"/>
        <v>3600855.2485289727</v>
      </c>
      <c r="E140" s="217">
        <v>2284084</v>
      </c>
      <c r="F140" s="218">
        <v>0</v>
      </c>
      <c r="G140" s="216">
        <f t="shared" si="29"/>
        <v>2284084</v>
      </c>
      <c r="H140" s="216">
        <f t="shared" si="38"/>
        <v>5884939.2485289723</v>
      </c>
      <c r="I140" s="217">
        <v>0</v>
      </c>
      <c r="J140" s="216">
        <v>5043061.3099999996</v>
      </c>
      <c r="K140" s="216">
        <v>0</v>
      </c>
      <c r="L140" s="216">
        <v>0</v>
      </c>
      <c r="M140" s="208">
        <f t="shared" si="30"/>
        <v>0</v>
      </c>
      <c r="N140" s="208">
        <f t="shared" si="30"/>
        <v>5043061.3099999996</v>
      </c>
      <c r="O140" s="208">
        <f t="shared" si="34"/>
        <v>5043061.3099999996</v>
      </c>
      <c r="P140" s="216">
        <v>0</v>
      </c>
      <c r="Q140" s="208">
        <f t="shared" si="35"/>
        <v>5043061.3099999996</v>
      </c>
      <c r="R140" s="216">
        <f t="shared" si="31"/>
        <v>0</v>
      </c>
      <c r="S140" s="216">
        <v>0</v>
      </c>
      <c r="T140" s="216">
        <f t="shared" si="32"/>
        <v>841877.93852897268</v>
      </c>
      <c r="U140" s="216">
        <f t="shared" si="33"/>
        <v>841877.93852897268</v>
      </c>
      <c r="V140" s="216">
        <v>0</v>
      </c>
      <c r="W140" s="216">
        <v>0</v>
      </c>
      <c r="X140" s="216">
        <f t="shared" si="36"/>
        <v>0</v>
      </c>
      <c r="Y140" s="216">
        <f t="shared" si="39"/>
        <v>841877.93852897268</v>
      </c>
      <c r="Z140" s="216">
        <f t="shared" si="40"/>
        <v>0</v>
      </c>
      <c r="AA140" s="216">
        <v>0</v>
      </c>
      <c r="AB140" s="219">
        <v>0</v>
      </c>
      <c r="AC140" s="216">
        <f t="shared" si="37"/>
        <v>0</v>
      </c>
    </row>
    <row r="141" spans="1:29" s="213" customFormat="1" ht="15.95" customHeight="1">
      <c r="A141" s="214" t="s">
        <v>826</v>
      </c>
      <c r="B141" s="215">
        <v>7319550.7425567899</v>
      </c>
      <c r="C141" s="207">
        <v>128711.36875415211</v>
      </c>
      <c r="D141" s="216">
        <f t="shared" si="28"/>
        <v>7448262.1113109421</v>
      </c>
      <c r="E141" s="217">
        <v>0</v>
      </c>
      <c r="F141" s="218">
        <v>0</v>
      </c>
      <c r="G141" s="216">
        <f t="shared" si="29"/>
        <v>0</v>
      </c>
      <c r="H141" s="216">
        <f t="shared" si="38"/>
        <v>7448262.1113109421</v>
      </c>
      <c r="I141" s="217">
        <v>0</v>
      </c>
      <c r="J141" s="216">
        <v>3823607.4</v>
      </c>
      <c r="K141" s="216">
        <v>0</v>
      </c>
      <c r="L141" s="216">
        <v>0</v>
      </c>
      <c r="M141" s="208">
        <f t="shared" si="30"/>
        <v>0</v>
      </c>
      <c r="N141" s="208">
        <f t="shared" si="30"/>
        <v>3823607.4</v>
      </c>
      <c r="O141" s="208">
        <f t="shared" si="34"/>
        <v>3823607.4</v>
      </c>
      <c r="P141" s="216">
        <v>1166122.1999999997</v>
      </c>
      <c r="Q141" s="208">
        <f t="shared" si="35"/>
        <v>4989729.5999999996</v>
      </c>
      <c r="R141" s="216">
        <f t="shared" si="31"/>
        <v>0</v>
      </c>
      <c r="S141" s="216">
        <v>0</v>
      </c>
      <c r="T141" s="216">
        <f t="shared" si="32"/>
        <v>2458532.5113109425</v>
      </c>
      <c r="U141" s="216">
        <f t="shared" si="33"/>
        <v>2458532.5113109425</v>
      </c>
      <c r="V141" s="216">
        <v>0</v>
      </c>
      <c r="W141" s="216">
        <v>3133877.8000000003</v>
      </c>
      <c r="X141" s="216">
        <f t="shared" si="36"/>
        <v>3133877.8000000003</v>
      </c>
      <c r="Y141" s="216">
        <f t="shared" si="39"/>
        <v>0</v>
      </c>
      <c r="Z141" s="216">
        <f t="shared" si="40"/>
        <v>-675345.28868905781</v>
      </c>
      <c r="AA141" s="216"/>
      <c r="AB141" s="219">
        <v>963644.3</v>
      </c>
      <c r="AC141" s="222">
        <f t="shared" si="37"/>
        <v>-5.2469746474300605</v>
      </c>
    </row>
    <row r="142" spans="1:29" s="213" customFormat="1" ht="15.95" customHeight="1">
      <c r="A142" s="214" t="s">
        <v>719</v>
      </c>
      <c r="B142" s="215">
        <v>1906269.6802385293</v>
      </c>
      <c r="C142" s="207">
        <v>35825.67510418297</v>
      </c>
      <c r="D142" s="216">
        <f t="shared" si="28"/>
        <v>1942095.3553427123</v>
      </c>
      <c r="E142" s="217">
        <v>0</v>
      </c>
      <c r="F142" s="218">
        <v>0</v>
      </c>
      <c r="G142" s="216">
        <f t="shared" si="29"/>
        <v>0</v>
      </c>
      <c r="H142" s="216">
        <f t="shared" si="38"/>
        <v>1942095.3553427123</v>
      </c>
      <c r="I142" s="217">
        <v>0</v>
      </c>
      <c r="J142" s="216">
        <v>2158120.52</v>
      </c>
      <c r="K142" s="216">
        <v>0</v>
      </c>
      <c r="L142" s="216">
        <v>0</v>
      </c>
      <c r="M142" s="208">
        <f t="shared" si="30"/>
        <v>0</v>
      </c>
      <c r="N142" s="208">
        <f t="shared" si="30"/>
        <v>2158120.52</v>
      </c>
      <c r="O142" s="208">
        <f t="shared" si="34"/>
        <v>2158120.52</v>
      </c>
      <c r="P142" s="216">
        <v>0</v>
      </c>
      <c r="Q142" s="208">
        <f t="shared" si="35"/>
        <v>2158120.52</v>
      </c>
      <c r="R142" s="216">
        <f t="shared" si="31"/>
        <v>-216025.16465728777</v>
      </c>
      <c r="S142" s="216">
        <v>-349064.89058176288</v>
      </c>
      <c r="T142" s="216">
        <f t="shared" si="32"/>
        <v>0</v>
      </c>
      <c r="U142" s="216">
        <f t="shared" si="33"/>
        <v>-216025.16465728777</v>
      </c>
      <c r="V142" s="216">
        <v>0</v>
      </c>
      <c r="W142" s="216">
        <v>0</v>
      </c>
      <c r="X142" s="216">
        <f t="shared" si="36"/>
        <v>0</v>
      </c>
      <c r="Y142" s="216">
        <f t="shared" si="39"/>
        <v>0</v>
      </c>
      <c r="Z142" s="216">
        <f t="shared" si="40"/>
        <v>-216025.16465728777</v>
      </c>
      <c r="AA142" s="216">
        <v>0</v>
      </c>
      <c r="AB142" s="219">
        <v>0</v>
      </c>
      <c r="AC142" s="222">
        <f t="shared" si="37"/>
        <v>-6.0298979441161986</v>
      </c>
    </row>
    <row r="143" spans="1:29" s="213" customFormat="1" ht="15.95" customHeight="1">
      <c r="A143" s="214" t="s">
        <v>378</v>
      </c>
      <c r="B143" s="215">
        <v>4771498.6218674229</v>
      </c>
      <c r="C143" s="207">
        <v>89447.377065206732</v>
      </c>
      <c r="D143" s="216">
        <f t="shared" si="28"/>
        <v>4860945.9989326298</v>
      </c>
      <c r="E143" s="217">
        <v>955815</v>
      </c>
      <c r="F143" s="218">
        <v>0</v>
      </c>
      <c r="G143" s="216">
        <f t="shared" si="29"/>
        <v>955815</v>
      </c>
      <c r="H143" s="216">
        <f t="shared" si="38"/>
        <v>5816760.9989326298</v>
      </c>
      <c r="I143" s="217">
        <v>0</v>
      </c>
      <c r="J143" s="216">
        <v>4395531.83</v>
      </c>
      <c r="K143" s="216">
        <v>0</v>
      </c>
      <c r="L143" s="216">
        <v>0</v>
      </c>
      <c r="M143" s="208">
        <f t="shared" si="30"/>
        <v>0</v>
      </c>
      <c r="N143" s="208">
        <f t="shared" si="30"/>
        <v>4395531.83</v>
      </c>
      <c r="O143" s="208">
        <f t="shared" si="34"/>
        <v>4395531.83</v>
      </c>
      <c r="P143" s="216">
        <v>0</v>
      </c>
      <c r="Q143" s="208">
        <f t="shared" si="35"/>
        <v>4395531.83</v>
      </c>
      <c r="R143" s="216">
        <f t="shared" si="31"/>
        <v>0</v>
      </c>
      <c r="S143" s="216">
        <v>0</v>
      </c>
      <c r="T143" s="216">
        <f t="shared" si="32"/>
        <v>1421229.1689326297</v>
      </c>
      <c r="U143" s="216">
        <f t="shared" si="33"/>
        <v>1421229.1689326297</v>
      </c>
      <c r="V143" s="216">
        <v>0</v>
      </c>
      <c r="W143" s="216">
        <v>0</v>
      </c>
      <c r="X143" s="216">
        <f t="shared" si="36"/>
        <v>0</v>
      </c>
      <c r="Y143" s="216">
        <f t="shared" si="39"/>
        <v>1421229.1689326297</v>
      </c>
      <c r="Z143" s="216">
        <f t="shared" si="40"/>
        <v>0</v>
      </c>
      <c r="AA143" s="216">
        <v>950000</v>
      </c>
      <c r="AB143" s="219">
        <v>0</v>
      </c>
      <c r="AC143" s="216">
        <f t="shared" si="37"/>
        <v>0</v>
      </c>
    </row>
    <row r="144" spans="1:29" s="213" customFormat="1" ht="15.95" customHeight="1">
      <c r="A144" s="214" t="s">
        <v>603</v>
      </c>
      <c r="B144" s="215">
        <v>1164325.5921110099</v>
      </c>
      <c r="C144" s="207">
        <v>46628.458438688373</v>
      </c>
      <c r="D144" s="216">
        <f t="shared" si="28"/>
        <v>1210954.0505496983</v>
      </c>
      <c r="E144" s="217">
        <v>-1113486</v>
      </c>
      <c r="F144" s="218">
        <v>0</v>
      </c>
      <c r="G144" s="216">
        <f t="shared" si="29"/>
        <v>-1113486</v>
      </c>
      <c r="H144" s="216">
        <f t="shared" si="38"/>
        <v>97468.050549698295</v>
      </c>
      <c r="I144" s="217">
        <v>0</v>
      </c>
      <c r="J144" s="216">
        <v>0</v>
      </c>
      <c r="K144" s="216">
        <v>0</v>
      </c>
      <c r="L144" s="216">
        <v>0</v>
      </c>
      <c r="M144" s="208">
        <f t="shared" si="30"/>
        <v>0</v>
      </c>
      <c r="N144" s="208">
        <f t="shared" si="30"/>
        <v>0</v>
      </c>
      <c r="O144" s="208">
        <f t="shared" si="34"/>
        <v>0</v>
      </c>
      <c r="P144" s="216">
        <v>0</v>
      </c>
      <c r="Q144" s="208">
        <f t="shared" si="35"/>
        <v>0</v>
      </c>
      <c r="R144" s="216">
        <f t="shared" si="31"/>
        <v>0</v>
      </c>
      <c r="S144" s="216">
        <v>0</v>
      </c>
      <c r="T144" s="216">
        <f t="shared" si="32"/>
        <v>97468.050549698295</v>
      </c>
      <c r="U144" s="216">
        <f t="shared" si="33"/>
        <v>97468.050549698295</v>
      </c>
      <c r="V144" s="216">
        <v>0</v>
      </c>
      <c r="W144" s="216">
        <v>0</v>
      </c>
      <c r="X144" s="216">
        <f t="shared" si="36"/>
        <v>0</v>
      </c>
      <c r="Y144" s="216">
        <f t="shared" si="39"/>
        <v>97468.050549698295</v>
      </c>
      <c r="Z144" s="216">
        <f t="shared" si="40"/>
        <v>0</v>
      </c>
      <c r="AA144" s="216">
        <v>0</v>
      </c>
      <c r="AB144" s="219">
        <v>0</v>
      </c>
      <c r="AC144" s="216">
        <f t="shared" si="37"/>
        <v>0</v>
      </c>
    </row>
    <row r="145" spans="1:29" s="213" customFormat="1" ht="15.95" customHeight="1">
      <c r="A145" s="214" t="s">
        <v>833</v>
      </c>
      <c r="B145" s="215">
        <v>7407441.0502870157</v>
      </c>
      <c r="C145" s="207">
        <v>125997.22534293</v>
      </c>
      <c r="D145" s="216">
        <f t="shared" si="28"/>
        <v>7533438.275629946</v>
      </c>
      <c r="E145" s="217">
        <v>0</v>
      </c>
      <c r="F145" s="218">
        <v>0</v>
      </c>
      <c r="G145" s="216">
        <f t="shared" si="29"/>
        <v>0</v>
      </c>
      <c r="H145" s="216">
        <f t="shared" si="38"/>
        <v>7533438.275629946</v>
      </c>
      <c r="I145" s="217">
        <v>0</v>
      </c>
      <c r="J145" s="216">
        <v>5505960.1999999993</v>
      </c>
      <c r="K145" s="216">
        <v>0</v>
      </c>
      <c r="L145" s="216">
        <v>0</v>
      </c>
      <c r="M145" s="208">
        <f t="shared" si="30"/>
        <v>0</v>
      </c>
      <c r="N145" s="208">
        <f t="shared" si="30"/>
        <v>5505960.1999999993</v>
      </c>
      <c r="O145" s="208">
        <f t="shared" si="34"/>
        <v>5505960.1999999993</v>
      </c>
      <c r="P145" s="216">
        <v>0</v>
      </c>
      <c r="Q145" s="208">
        <f t="shared" si="35"/>
        <v>5505960.1999999993</v>
      </c>
      <c r="R145" s="216">
        <f t="shared" si="31"/>
        <v>0</v>
      </c>
      <c r="S145" s="216">
        <v>0</v>
      </c>
      <c r="T145" s="216">
        <f t="shared" si="32"/>
        <v>2027478.0756299468</v>
      </c>
      <c r="U145" s="216">
        <f t="shared" si="33"/>
        <v>2027478.0756299468</v>
      </c>
      <c r="V145" s="216">
        <v>0</v>
      </c>
      <c r="W145" s="228">
        <v>0</v>
      </c>
      <c r="X145" s="216">
        <f t="shared" si="36"/>
        <v>0</v>
      </c>
      <c r="Y145" s="216">
        <f t="shared" si="39"/>
        <v>2027478.0756299468</v>
      </c>
      <c r="Z145" s="216">
        <f t="shared" si="40"/>
        <v>0</v>
      </c>
      <c r="AA145" s="216">
        <v>2500000</v>
      </c>
      <c r="AB145" s="219">
        <v>877649.3</v>
      </c>
      <c r="AC145" s="216">
        <f t="shared" si="37"/>
        <v>0</v>
      </c>
    </row>
    <row r="146" spans="1:29" s="213" customFormat="1" ht="15.95" customHeight="1">
      <c r="A146" s="214" t="s">
        <v>384</v>
      </c>
      <c r="B146" s="215">
        <v>14431273.929390358</v>
      </c>
      <c r="C146" s="207">
        <v>274376.60349062469</v>
      </c>
      <c r="D146" s="216">
        <f t="shared" si="28"/>
        <v>14705650.532880982</v>
      </c>
      <c r="E146" s="217">
        <v>263000</v>
      </c>
      <c r="F146" s="218">
        <v>0</v>
      </c>
      <c r="G146" s="216">
        <f t="shared" si="29"/>
        <v>263000</v>
      </c>
      <c r="H146" s="216">
        <f>SUM(D146,G146)</f>
        <v>14968650.532880982</v>
      </c>
      <c r="I146" s="217">
        <v>0</v>
      </c>
      <c r="J146" s="216">
        <v>12175547.640000001</v>
      </c>
      <c r="K146" s="216">
        <v>0</v>
      </c>
      <c r="L146" s="216">
        <v>0</v>
      </c>
      <c r="M146" s="208">
        <f t="shared" si="30"/>
        <v>0</v>
      </c>
      <c r="N146" s="208">
        <f t="shared" si="30"/>
        <v>12175547.640000001</v>
      </c>
      <c r="O146" s="208">
        <f t="shared" si="34"/>
        <v>12175547.640000001</v>
      </c>
      <c r="P146" s="216">
        <v>76381.58000000006</v>
      </c>
      <c r="Q146" s="208">
        <f t="shared" si="35"/>
        <v>12251929.220000001</v>
      </c>
      <c r="R146" s="216">
        <f t="shared" si="31"/>
        <v>0</v>
      </c>
      <c r="S146" s="216">
        <v>0</v>
      </c>
      <c r="T146" s="216">
        <f t="shared" si="32"/>
        <v>2716721.3128809817</v>
      </c>
      <c r="U146" s="216">
        <f t="shared" si="33"/>
        <v>2716721.3128809817</v>
      </c>
      <c r="V146" s="216">
        <v>0</v>
      </c>
      <c r="W146" s="228">
        <v>3544231.66</v>
      </c>
      <c r="X146" s="216">
        <f t="shared" si="36"/>
        <v>3544231.66</v>
      </c>
      <c r="Y146" s="216">
        <f t="shared" si="39"/>
        <v>0</v>
      </c>
      <c r="Z146" s="216">
        <f t="shared" si="40"/>
        <v>-827510.34711901844</v>
      </c>
      <c r="AA146" s="216"/>
      <c r="AB146" s="219">
        <v>817284</v>
      </c>
      <c r="AC146" s="216">
        <f>Z146/C146</f>
        <v>-3.0159654161157148</v>
      </c>
    </row>
    <row r="147" spans="1:29" s="213" customFormat="1" ht="15.95" customHeight="1">
      <c r="A147" s="214" t="s">
        <v>838</v>
      </c>
      <c r="B147" s="215">
        <v>6345033.3887654124</v>
      </c>
      <c r="C147" s="207">
        <v>113343.12943712718</v>
      </c>
      <c r="D147" s="216">
        <f t="shared" si="28"/>
        <v>6458376.5182025395</v>
      </c>
      <c r="E147" s="217">
        <v>0</v>
      </c>
      <c r="F147" s="218">
        <v>0</v>
      </c>
      <c r="G147" s="216">
        <f t="shared" si="29"/>
        <v>0</v>
      </c>
      <c r="H147" s="216">
        <f t="shared" si="38"/>
        <v>6458376.5182025395</v>
      </c>
      <c r="I147" s="217">
        <v>0</v>
      </c>
      <c r="J147" s="216">
        <v>5767196.3499999996</v>
      </c>
      <c r="K147" s="216">
        <v>0</v>
      </c>
      <c r="L147" s="216">
        <v>0</v>
      </c>
      <c r="M147" s="208">
        <f t="shared" si="30"/>
        <v>0</v>
      </c>
      <c r="N147" s="208">
        <f t="shared" si="30"/>
        <v>5767196.3499999996</v>
      </c>
      <c r="O147" s="208">
        <f t="shared" si="34"/>
        <v>5767196.3499999996</v>
      </c>
      <c r="P147" s="216">
        <v>72058.16</v>
      </c>
      <c r="Q147" s="208">
        <f t="shared" si="35"/>
        <v>5839254.5099999998</v>
      </c>
      <c r="R147" s="216">
        <f t="shared" si="31"/>
        <v>0</v>
      </c>
      <c r="S147" s="216">
        <v>0</v>
      </c>
      <c r="T147" s="216">
        <f t="shared" si="32"/>
        <v>619122.00820253976</v>
      </c>
      <c r="U147" s="216">
        <f t="shared" si="33"/>
        <v>619122.00820253976</v>
      </c>
      <c r="V147" s="216">
        <v>0</v>
      </c>
      <c r="W147" s="216">
        <v>1327941.8400000001</v>
      </c>
      <c r="X147" s="216">
        <f t="shared" si="36"/>
        <v>1327941.8400000001</v>
      </c>
      <c r="Y147" s="216">
        <f t="shared" si="39"/>
        <v>0</v>
      </c>
      <c r="Z147" s="216">
        <f t="shared" si="40"/>
        <v>-708819.83179746033</v>
      </c>
      <c r="AA147" s="216">
        <v>0</v>
      </c>
      <c r="AB147" s="219">
        <v>0</v>
      </c>
      <c r="AC147" s="239">
        <f t="shared" si="37"/>
        <v>-6.2537520828790187</v>
      </c>
    </row>
    <row r="148" spans="1:29" s="213" customFormat="1" ht="15.95" customHeight="1">
      <c r="A148" s="214" t="s">
        <v>133</v>
      </c>
      <c r="B148" s="215">
        <v>3116548.0298648141</v>
      </c>
      <c r="C148" s="207">
        <v>58524.100751665144</v>
      </c>
      <c r="D148" s="216">
        <f t="shared" si="28"/>
        <v>3175072.1306164791</v>
      </c>
      <c r="E148" s="217">
        <v>3801575</v>
      </c>
      <c r="F148" s="218">
        <v>0</v>
      </c>
      <c r="G148" s="216">
        <f t="shared" si="29"/>
        <v>3801575</v>
      </c>
      <c r="H148" s="216">
        <f t="shared" si="38"/>
        <v>6976647.1306164786</v>
      </c>
      <c r="I148" s="217">
        <v>0</v>
      </c>
      <c r="J148" s="216">
        <v>3670289.9</v>
      </c>
      <c r="K148" s="216">
        <v>0</v>
      </c>
      <c r="L148" s="216">
        <v>0</v>
      </c>
      <c r="M148" s="208">
        <f t="shared" si="30"/>
        <v>0</v>
      </c>
      <c r="N148" s="208">
        <f t="shared" si="30"/>
        <v>3670289.9</v>
      </c>
      <c r="O148" s="208">
        <f t="shared" si="34"/>
        <v>3670289.9</v>
      </c>
      <c r="P148" s="216">
        <v>0</v>
      </c>
      <c r="Q148" s="208">
        <f t="shared" si="35"/>
        <v>3670289.9</v>
      </c>
      <c r="R148" s="216">
        <f t="shared" si="31"/>
        <v>0</v>
      </c>
      <c r="S148" s="216">
        <v>0</v>
      </c>
      <c r="T148" s="216">
        <f t="shared" si="32"/>
        <v>3306357.2306164787</v>
      </c>
      <c r="U148" s="216">
        <f t="shared" si="33"/>
        <v>3306357.2306164787</v>
      </c>
      <c r="V148" s="216">
        <v>0</v>
      </c>
      <c r="W148" s="216">
        <v>0</v>
      </c>
      <c r="X148" s="216">
        <f t="shared" si="36"/>
        <v>0</v>
      </c>
      <c r="Y148" s="216">
        <f t="shared" si="39"/>
        <v>3306357.2306164787</v>
      </c>
      <c r="Z148" s="216">
        <f t="shared" si="40"/>
        <v>0</v>
      </c>
      <c r="AA148" s="216">
        <v>6700000</v>
      </c>
      <c r="AB148" s="221">
        <v>0</v>
      </c>
      <c r="AC148" s="216">
        <f>Z148/C148</f>
        <v>0</v>
      </c>
    </row>
    <row r="149" spans="1:29" s="213" customFormat="1" ht="15.95" customHeight="1">
      <c r="A149" s="214" t="s">
        <v>720</v>
      </c>
      <c r="B149" s="215">
        <v>6334.0784089472472</v>
      </c>
      <c r="C149" s="207">
        <v>0</v>
      </c>
      <c r="D149" s="216">
        <f t="shared" si="28"/>
        <v>6334.0784089472472</v>
      </c>
      <c r="E149" s="217">
        <v>0</v>
      </c>
      <c r="F149" s="218">
        <v>0</v>
      </c>
      <c r="G149" s="216">
        <f t="shared" si="29"/>
        <v>0</v>
      </c>
      <c r="H149" s="216">
        <f t="shared" si="38"/>
        <v>6334.0784089472472</v>
      </c>
      <c r="I149" s="217">
        <v>0</v>
      </c>
      <c r="J149" s="216">
        <v>0</v>
      </c>
      <c r="K149" s="216">
        <v>0</v>
      </c>
      <c r="L149" s="216">
        <v>0</v>
      </c>
      <c r="M149" s="208">
        <f t="shared" si="30"/>
        <v>0</v>
      </c>
      <c r="N149" s="208">
        <f t="shared" si="30"/>
        <v>0</v>
      </c>
      <c r="O149" s="208">
        <f t="shared" si="34"/>
        <v>0</v>
      </c>
      <c r="P149" s="216">
        <v>0</v>
      </c>
      <c r="Q149" s="208">
        <f t="shared" si="35"/>
        <v>0</v>
      </c>
      <c r="R149" s="216">
        <f t="shared" si="31"/>
        <v>0</v>
      </c>
      <c r="S149" s="216">
        <v>0</v>
      </c>
      <c r="T149" s="216">
        <f t="shared" si="32"/>
        <v>6334.0784089472472</v>
      </c>
      <c r="U149" s="216">
        <f t="shared" si="33"/>
        <v>6334.0784089472472</v>
      </c>
      <c r="V149" s="216">
        <v>0</v>
      </c>
      <c r="W149" s="216">
        <v>0</v>
      </c>
      <c r="X149" s="216">
        <f t="shared" si="36"/>
        <v>0</v>
      </c>
      <c r="Y149" s="216">
        <f t="shared" si="39"/>
        <v>6334.0784089472472</v>
      </c>
      <c r="Z149" s="216">
        <f t="shared" si="40"/>
        <v>0</v>
      </c>
      <c r="AA149" s="216">
        <v>0</v>
      </c>
      <c r="AB149" s="221">
        <v>0</v>
      </c>
      <c r="AC149" s="216">
        <v>0</v>
      </c>
    </row>
    <row r="150" spans="1:29" s="213" customFormat="1" ht="15.95" customHeight="1">
      <c r="A150" s="214" t="s">
        <v>388</v>
      </c>
      <c r="B150" s="215">
        <v>335796.75440271699</v>
      </c>
      <c r="C150" s="207">
        <v>6318.2712179022692</v>
      </c>
      <c r="D150" s="216">
        <f t="shared" si="28"/>
        <v>342115.02562061924</v>
      </c>
      <c r="E150" s="217">
        <v>0</v>
      </c>
      <c r="F150" s="218">
        <v>0</v>
      </c>
      <c r="G150" s="216">
        <f t="shared" si="29"/>
        <v>0</v>
      </c>
      <c r="H150" s="216">
        <f t="shared" si="38"/>
        <v>342115.02562061924</v>
      </c>
      <c r="I150" s="217">
        <v>0</v>
      </c>
      <c r="J150" s="216">
        <v>284774.28000000003</v>
      </c>
      <c r="K150" s="216">
        <v>0</v>
      </c>
      <c r="L150" s="216">
        <v>0</v>
      </c>
      <c r="M150" s="208">
        <f t="shared" si="30"/>
        <v>0</v>
      </c>
      <c r="N150" s="208">
        <f t="shared" si="30"/>
        <v>284774.28000000003</v>
      </c>
      <c r="O150" s="208">
        <f t="shared" si="34"/>
        <v>284774.28000000003</v>
      </c>
      <c r="P150" s="216">
        <v>0</v>
      </c>
      <c r="Q150" s="208">
        <f t="shared" si="35"/>
        <v>284774.28000000003</v>
      </c>
      <c r="R150" s="216">
        <f t="shared" si="31"/>
        <v>0</v>
      </c>
      <c r="S150" s="216">
        <v>0</v>
      </c>
      <c r="T150" s="216">
        <f t="shared" si="32"/>
        <v>57340.745620619215</v>
      </c>
      <c r="U150" s="216">
        <f t="shared" si="33"/>
        <v>57340.745620619215</v>
      </c>
      <c r="V150" s="216">
        <v>0</v>
      </c>
      <c r="W150" s="216">
        <v>0</v>
      </c>
      <c r="X150" s="216">
        <f t="shared" si="36"/>
        <v>0</v>
      </c>
      <c r="Y150" s="216">
        <f t="shared" si="39"/>
        <v>57340.745620619215</v>
      </c>
      <c r="Z150" s="216">
        <f t="shared" si="40"/>
        <v>0</v>
      </c>
      <c r="AA150" s="216">
        <v>0</v>
      </c>
      <c r="AB150" s="219">
        <v>0</v>
      </c>
      <c r="AC150" s="216">
        <f t="shared" si="37"/>
        <v>0</v>
      </c>
    </row>
    <row r="151" spans="1:29" s="213" customFormat="1" ht="15.95" customHeight="1">
      <c r="A151" s="214" t="s">
        <v>389</v>
      </c>
      <c r="B151" s="215">
        <v>1064827.8564466529</v>
      </c>
      <c r="C151" s="207">
        <v>19357.20038424943</v>
      </c>
      <c r="D151" s="216">
        <f t="shared" si="28"/>
        <v>1084185.0568309024</v>
      </c>
      <c r="E151" s="217">
        <v>640000</v>
      </c>
      <c r="F151" s="218">
        <v>0</v>
      </c>
      <c r="G151" s="216">
        <f t="shared" si="29"/>
        <v>640000</v>
      </c>
      <c r="H151" s="216">
        <f t="shared" si="38"/>
        <v>1724185.0568309024</v>
      </c>
      <c r="I151" s="217">
        <v>0</v>
      </c>
      <c r="J151" s="216">
        <v>1616501.9400000002</v>
      </c>
      <c r="K151" s="216">
        <v>0</v>
      </c>
      <c r="L151" s="216">
        <v>0</v>
      </c>
      <c r="M151" s="208">
        <f t="shared" si="30"/>
        <v>0</v>
      </c>
      <c r="N151" s="208">
        <f t="shared" si="30"/>
        <v>1616501.9400000002</v>
      </c>
      <c r="O151" s="208">
        <f t="shared" si="34"/>
        <v>1616501.9400000002</v>
      </c>
      <c r="P151" s="216">
        <v>0</v>
      </c>
      <c r="Q151" s="208">
        <f t="shared" si="35"/>
        <v>1616501.9400000002</v>
      </c>
      <c r="R151" s="216">
        <f t="shared" si="31"/>
        <v>0</v>
      </c>
      <c r="S151" s="216">
        <v>0</v>
      </c>
      <c r="T151" s="216">
        <f t="shared" si="32"/>
        <v>107683.11683090217</v>
      </c>
      <c r="U151" s="216">
        <f t="shared" si="33"/>
        <v>107683.11683090217</v>
      </c>
      <c r="V151" s="216">
        <v>0</v>
      </c>
      <c r="W151" s="216">
        <v>0</v>
      </c>
      <c r="X151" s="216">
        <f t="shared" si="36"/>
        <v>0</v>
      </c>
      <c r="Y151" s="216">
        <f t="shared" si="39"/>
        <v>107683.11683090217</v>
      </c>
      <c r="Z151" s="216">
        <f t="shared" si="40"/>
        <v>0</v>
      </c>
      <c r="AA151" s="216">
        <v>0</v>
      </c>
      <c r="AB151" s="219">
        <v>0</v>
      </c>
      <c r="AC151" s="216">
        <f t="shared" si="37"/>
        <v>0</v>
      </c>
    </row>
    <row r="152" spans="1:29" s="213" customFormat="1" ht="15.95" customHeight="1">
      <c r="A152" s="214" t="s">
        <v>392</v>
      </c>
      <c r="B152" s="215">
        <v>7318346.0400895216</v>
      </c>
      <c r="C152" s="207">
        <v>137947.56972351007</v>
      </c>
      <c r="D152" s="216">
        <f t="shared" si="28"/>
        <v>7456293.6098130317</v>
      </c>
      <c r="E152" s="217">
        <v>75000</v>
      </c>
      <c r="F152" s="218">
        <v>0</v>
      </c>
      <c r="G152" s="216">
        <f t="shared" si="29"/>
        <v>75000</v>
      </c>
      <c r="H152" s="216">
        <f t="shared" si="38"/>
        <v>7531293.6098130317</v>
      </c>
      <c r="I152" s="217">
        <v>0</v>
      </c>
      <c r="J152" s="216">
        <v>4841792.5599999996</v>
      </c>
      <c r="K152" s="216">
        <v>0</v>
      </c>
      <c r="L152" s="216">
        <v>0</v>
      </c>
      <c r="M152" s="208">
        <f t="shared" si="30"/>
        <v>0</v>
      </c>
      <c r="N152" s="208">
        <f t="shared" si="30"/>
        <v>4841792.5599999996</v>
      </c>
      <c r="O152" s="208">
        <f t="shared" si="34"/>
        <v>4841792.5599999996</v>
      </c>
      <c r="P152" s="216">
        <v>257601.38</v>
      </c>
      <c r="Q152" s="208">
        <f t="shared" si="35"/>
        <v>5099393.9399999995</v>
      </c>
      <c r="R152" s="216">
        <f t="shared" si="31"/>
        <v>0</v>
      </c>
      <c r="S152" s="216">
        <v>0</v>
      </c>
      <c r="T152" s="216">
        <f t="shared" si="32"/>
        <v>2431899.6698130323</v>
      </c>
      <c r="U152" s="216">
        <f t="shared" si="33"/>
        <v>2431899.6698130323</v>
      </c>
      <c r="V152" s="216">
        <v>0</v>
      </c>
      <c r="W152" s="228">
        <v>2892398.62</v>
      </c>
      <c r="X152" s="216">
        <f t="shared" si="36"/>
        <v>2892398.62</v>
      </c>
      <c r="Y152" s="216">
        <f t="shared" si="39"/>
        <v>0</v>
      </c>
      <c r="Z152" s="216">
        <f t="shared" si="40"/>
        <v>-460498.95018696785</v>
      </c>
      <c r="AA152" s="216">
        <v>0</v>
      </c>
      <c r="AB152" s="219">
        <v>0</v>
      </c>
      <c r="AC152" s="216">
        <f t="shared" si="37"/>
        <v>-3.3382172017234613</v>
      </c>
    </row>
    <row r="153" spans="1:29" s="213" customFormat="1" ht="15.95" customHeight="1">
      <c r="A153" s="214" t="s">
        <v>841</v>
      </c>
      <c r="B153" s="215">
        <v>23164903.179927114</v>
      </c>
      <c r="C153" s="207">
        <v>413485.22181414964</v>
      </c>
      <c r="D153" s="216">
        <f t="shared" si="28"/>
        <v>23578388.401741263</v>
      </c>
      <c r="E153" s="217">
        <v>3426250</v>
      </c>
      <c r="F153" s="218">
        <v>0</v>
      </c>
      <c r="G153" s="216">
        <f t="shared" si="29"/>
        <v>3426250</v>
      </c>
      <c r="H153" s="216">
        <f t="shared" si="38"/>
        <v>27004638.401741263</v>
      </c>
      <c r="I153" s="217">
        <v>0</v>
      </c>
      <c r="J153" s="216">
        <v>25080764.739999998</v>
      </c>
      <c r="K153" s="216">
        <v>0</v>
      </c>
      <c r="L153" s="216">
        <v>0</v>
      </c>
      <c r="M153" s="208">
        <f t="shared" si="30"/>
        <v>0</v>
      </c>
      <c r="N153" s="208">
        <f t="shared" si="30"/>
        <v>25080764.739999998</v>
      </c>
      <c r="O153" s="208">
        <f t="shared" si="34"/>
        <v>25080764.739999998</v>
      </c>
      <c r="P153" s="216"/>
      <c r="Q153" s="208">
        <f t="shared" si="35"/>
        <v>25080764.739999998</v>
      </c>
      <c r="R153" s="216">
        <f t="shared" si="31"/>
        <v>0</v>
      </c>
      <c r="S153" s="216">
        <v>0</v>
      </c>
      <c r="T153" s="216">
        <f t="shared" si="32"/>
        <v>1923873.6617412642</v>
      </c>
      <c r="U153" s="216">
        <f t="shared" si="33"/>
        <v>1923873.6617412642</v>
      </c>
      <c r="V153" s="216">
        <v>0</v>
      </c>
      <c r="W153" s="216">
        <v>0</v>
      </c>
      <c r="X153" s="216">
        <f t="shared" si="36"/>
        <v>0</v>
      </c>
      <c r="Y153" s="216">
        <f t="shared" si="39"/>
        <v>1923873.6617412642</v>
      </c>
      <c r="Z153" s="216">
        <f t="shared" si="40"/>
        <v>0</v>
      </c>
      <c r="AA153" s="216">
        <v>0</v>
      </c>
      <c r="AB153" s="219">
        <v>5256747</v>
      </c>
      <c r="AC153" s="216">
        <f t="shared" si="37"/>
        <v>0</v>
      </c>
    </row>
    <row r="154" spans="1:29" s="213" customFormat="1" ht="15.95" customHeight="1">
      <c r="A154" s="214" t="s">
        <v>396</v>
      </c>
      <c r="B154" s="215">
        <v>3013682.3815821195</v>
      </c>
      <c r="C154" s="207">
        <v>55613.215523938023</v>
      </c>
      <c r="D154" s="216">
        <f t="shared" si="28"/>
        <v>3069295.5971060577</v>
      </c>
      <c r="E154" s="217">
        <v>0</v>
      </c>
      <c r="F154" s="218">
        <v>0</v>
      </c>
      <c r="G154" s="216">
        <f t="shared" si="29"/>
        <v>0</v>
      </c>
      <c r="H154" s="216">
        <f t="shared" si="38"/>
        <v>3069295.5971060577</v>
      </c>
      <c r="I154" s="217">
        <v>0</v>
      </c>
      <c r="J154" s="216">
        <v>1979251.43</v>
      </c>
      <c r="K154" s="216">
        <v>0</v>
      </c>
      <c r="L154" s="216">
        <v>0</v>
      </c>
      <c r="M154" s="208">
        <f t="shared" si="30"/>
        <v>0</v>
      </c>
      <c r="N154" s="208">
        <f t="shared" si="30"/>
        <v>1979251.43</v>
      </c>
      <c r="O154" s="208">
        <f t="shared" si="34"/>
        <v>1979251.43</v>
      </c>
      <c r="P154" s="216">
        <v>0</v>
      </c>
      <c r="Q154" s="208">
        <f t="shared" si="35"/>
        <v>1979251.43</v>
      </c>
      <c r="R154" s="216">
        <f t="shared" si="31"/>
        <v>0</v>
      </c>
      <c r="S154" s="216">
        <v>0</v>
      </c>
      <c r="T154" s="216">
        <f t="shared" si="32"/>
        <v>1090044.1671060578</v>
      </c>
      <c r="U154" s="216">
        <f t="shared" si="33"/>
        <v>1090044.1671060578</v>
      </c>
      <c r="V154" s="216">
        <v>0</v>
      </c>
      <c r="W154" s="216">
        <v>0</v>
      </c>
      <c r="X154" s="216">
        <f t="shared" si="36"/>
        <v>0</v>
      </c>
      <c r="Y154" s="216">
        <f t="shared" si="39"/>
        <v>1090044.1671060578</v>
      </c>
      <c r="Z154" s="216">
        <f t="shared" si="40"/>
        <v>0</v>
      </c>
      <c r="AA154" s="216">
        <v>0</v>
      </c>
      <c r="AB154" s="221">
        <v>0</v>
      </c>
      <c r="AC154" s="216">
        <f t="shared" si="37"/>
        <v>0</v>
      </c>
    </row>
    <row r="155" spans="1:29" s="213" customFormat="1" ht="15.95" customHeight="1">
      <c r="A155" s="214" t="s">
        <v>397</v>
      </c>
      <c r="B155" s="215">
        <v>3474629.9719462562</v>
      </c>
      <c r="C155" s="207">
        <v>64620.649383598771</v>
      </c>
      <c r="D155" s="216">
        <f t="shared" si="28"/>
        <v>3539250.6213298552</v>
      </c>
      <c r="E155" s="217">
        <v>0</v>
      </c>
      <c r="F155" s="218">
        <v>0</v>
      </c>
      <c r="G155" s="216">
        <f t="shared" si="29"/>
        <v>0</v>
      </c>
      <c r="H155" s="216">
        <f t="shared" si="38"/>
        <v>3539250.6213298552</v>
      </c>
      <c r="I155" s="217">
        <v>0</v>
      </c>
      <c r="J155" s="216">
        <v>3295797.4</v>
      </c>
      <c r="K155" s="216">
        <v>0</v>
      </c>
      <c r="L155" s="216">
        <v>0</v>
      </c>
      <c r="M155" s="208">
        <f t="shared" si="30"/>
        <v>0</v>
      </c>
      <c r="N155" s="208">
        <f t="shared" si="30"/>
        <v>3295797.4</v>
      </c>
      <c r="O155" s="208">
        <f t="shared" si="34"/>
        <v>3295797.4</v>
      </c>
      <c r="P155" s="216">
        <v>0</v>
      </c>
      <c r="Q155" s="208">
        <f t="shared" si="35"/>
        <v>3295797.4</v>
      </c>
      <c r="R155" s="216">
        <f t="shared" si="31"/>
        <v>0</v>
      </c>
      <c r="S155" s="216">
        <v>0</v>
      </c>
      <c r="T155" s="216">
        <f t="shared" si="32"/>
        <v>243453.22132985527</v>
      </c>
      <c r="U155" s="216">
        <f t="shared" si="33"/>
        <v>243453.22132985527</v>
      </c>
      <c r="V155" s="216">
        <v>0</v>
      </c>
      <c r="W155" s="216">
        <v>0</v>
      </c>
      <c r="X155" s="216">
        <f t="shared" si="36"/>
        <v>0</v>
      </c>
      <c r="Y155" s="216">
        <f t="shared" si="39"/>
        <v>243453.22132985527</v>
      </c>
      <c r="Z155" s="216">
        <f t="shared" si="40"/>
        <v>0</v>
      </c>
      <c r="AA155" s="216">
        <v>0</v>
      </c>
      <c r="AB155" s="221">
        <v>0</v>
      </c>
      <c r="AC155" s="216">
        <f t="shared" si="37"/>
        <v>0</v>
      </c>
    </row>
    <row r="156" spans="1:29" s="213" customFormat="1" ht="15.95" customHeight="1">
      <c r="A156" s="214" t="s">
        <v>398</v>
      </c>
      <c r="B156" s="215">
        <v>7258502.5056284433</v>
      </c>
      <c r="C156" s="207">
        <v>140429.1897756104</v>
      </c>
      <c r="D156" s="216">
        <f t="shared" si="28"/>
        <v>7398931.6954040537</v>
      </c>
      <c r="E156" s="217">
        <v>0</v>
      </c>
      <c r="F156" s="218">
        <v>0</v>
      </c>
      <c r="G156" s="216">
        <f t="shared" si="29"/>
        <v>0</v>
      </c>
      <c r="H156" s="216">
        <f t="shared" si="38"/>
        <v>7398931.6954040537</v>
      </c>
      <c r="I156" s="217">
        <v>0</v>
      </c>
      <c r="J156" s="216">
        <v>2738668</v>
      </c>
      <c r="K156" s="216">
        <v>0</v>
      </c>
      <c r="L156" s="216">
        <v>0</v>
      </c>
      <c r="M156" s="208">
        <f t="shared" si="30"/>
        <v>0</v>
      </c>
      <c r="N156" s="208">
        <f t="shared" si="30"/>
        <v>2738668</v>
      </c>
      <c r="O156" s="208">
        <f t="shared" si="34"/>
        <v>2738668</v>
      </c>
      <c r="P156" s="216">
        <v>5075811.6399999596</v>
      </c>
      <c r="Q156" s="208">
        <f t="shared" si="35"/>
        <v>7814479.6399999596</v>
      </c>
      <c r="R156" s="216">
        <f t="shared" si="31"/>
        <v>-415547.94459590595</v>
      </c>
      <c r="S156" s="216">
        <v>-525855.16779986303</v>
      </c>
      <c r="T156" s="216">
        <f t="shared" si="32"/>
        <v>0</v>
      </c>
      <c r="U156" s="216">
        <f t="shared" si="33"/>
        <v>-415547.94459590595</v>
      </c>
      <c r="V156" s="216">
        <v>0</v>
      </c>
      <c r="W156" s="216">
        <v>0</v>
      </c>
      <c r="X156" s="216">
        <f t="shared" si="36"/>
        <v>0</v>
      </c>
      <c r="Y156" s="216">
        <f t="shared" si="39"/>
        <v>0</v>
      </c>
      <c r="Z156" s="216">
        <f t="shared" si="40"/>
        <v>-415547.94459590595</v>
      </c>
      <c r="AA156" s="216">
        <v>0</v>
      </c>
      <c r="AB156" s="219">
        <v>0</v>
      </c>
      <c r="AC156" s="222">
        <f t="shared" si="37"/>
        <v>-2.9591279794457512</v>
      </c>
    </row>
    <row r="157" spans="1:29" s="213" customFormat="1" ht="15.95" customHeight="1">
      <c r="A157" s="214" t="s">
        <v>721</v>
      </c>
      <c r="B157" s="215">
        <v>1536681.9261029849</v>
      </c>
      <c r="C157" s="207">
        <v>18473.602151083811</v>
      </c>
      <c r="D157" s="216">
        <f t="shared" si="28"/>
        <v>1555155.5282540687</v>
      </c>
      <c r="E157" s="217">
        <v>0</v>
      </c>
      <c r="F157" s="218">
        <v>0</v>
      </c>
      <c r="G157" s="216">
        <f t="shared" si="29"/>
        <v>0</v>
      </c>
      <c r="H157" s="216">
        <f t="shared" si="38"/>
        <v>1555155.5282540687</v>
      </c>
      <c r="I157" s="217">
        <v>0</v>
      </c>
      <c r="J157" s="216">
        <v>1385441.7200000002</v>
      </c>
      <c r="K157" s="216">
        <v>0</v>
      </c>
      <c r="L157" s="216">
        <v>0</v>
      </c>
      <c r="M157" s="208">
        <f t="shared" si="30"/>
        <v>0</v>
      </c>
      <c r="N157" s="208">
        <f t="shared" si="30"/>
        <v>1385441.7200000002</v>
      </c>
      <c r="O157" s="208">
        <f t="shared" si="34"/>
        <v>1385441.7200000002</v>
      </c>
      <c r="P157" s="216">
        <v>0</v>
      </c>
      <c r="Q157" s="208">
        <f t="shared" si="35"/>
        <v>1385441.7200000002</v>
      </c>
      <c r="R157" s="216">
        <f t="shared" si="31"/>
        <v>0</v>
      </c>
      <c r="S157" s="216">
        <v>0</v>
      </c>
      <c r="T157" s="216">
        <f t="shared" si="32"/>
        <v>169713.80825406848</v>
      </c>
      <c r="U157" s="216">
        <f t="shared" si="33"/>
        <v>169713.80825406848</v>
      </c>
      <c r="V157" s="216">
        <v>0</v>
      </c>
      <c r="W157" s="216">
        <v>0</v>
      </c>
      <c r="X157" s="216">
        <f t="shared" si="36"/>
        <v>0</v>
      </c>
      <c r="Y157" s="216">
        <f t="shared" si="39"/>
        <v>169713.80825406848</v>
      </c>
      <c r="Z157" s="216">
        <f t="shared" si="40"/>
        <v>0</v>
      </c>
      <c r="AA157" s="216">
        <v>0</v>
      </c>
      <c r="AB157" s="219">
        <v>0</v>
      </c>
      <c r="AC157" s="216">
        <f t="shared" si="37"/>
        <v>0</v>
      </c>
    </row>
    <row r="158" spans="1:29" s="213" customFormat="1" ht="15.95" customHeight="1">
      <c r="A158" s="214" t="s">
        <v>405</v>
      </c>
      <c r="B158" s="215">
        <v>2366815.5211172397</v>
      </c>
      <c r="C158" s="207">
        <v>44124.312304681967</v>
      </c>
      <c r="D158" s="216">
        <f t="shared" si="28"/>
        <v>2410939.8334219218</v>
      </c>
      <c r="E158" s="217">
        <v>0</v>
      </c>
      <c r="F158" s="218">
        <v>0</v>
      </c>
      <c r="G158" s="216">
        <f t="shared" si="29"/>
        <v>0</v>
      </c>
      <c r="H158" s="216">
        <f t="shared" si="38"/>
        <v>2410939.8334219218</v>
      </c>
      <c r="I158" s="217">
        <v>0</v>
      </c>
      <c r="J158" s="216">
        <v>1655228.38</v>
      </c>
      <c r="K158" s="216">
        <v>0</v>
      </c>
      <c r="L158" s="216">
        <v>0</v>
      </c>
      <c r="M158" s="208">
        <f t="shared" si="30"/>
        <v>0</v>
      </c>
      <c r="N158" s="208">
        <f t="shared" si="30"/>
        <v>1655228.38</v>
      </c>
      <c r="O158" s="208">
        <f t="shared" si="34"/>
        <v>1655228.38</v>
      </c>
      <c r="P158" s="216">
        <v>193883.88</v>
      </c>
      <c r="Q158" s="208">
        <f t="shared" si="35"/>
        <v>1849112.2599999998</v>
      </c>
      <c r="R158" s="216">
        <f t="shared" si="31"/>
        <v>0</v>
      </c>
      <c r="S158" s="216">
        <v>0</v>
      </c>
      <c r="T158" s="216">
        <f t="shared" si="32"/>
        <v>561827.57342192205</v>
      </c>
      <c r="U158" s="216">
        <f t="shared" si="33"/>
        <v>561827.57342192205</v>
      </c>
      <c r="V158" s="216"/>
      <c r="W158" s="216">
        <v>726116.12</v>
      </c>
      <c r="X158" s="216">
        <f t="shared" si="36"/>
        <v>726116.12</v>
      </c>
      <c r="Y158" s="216">
        <f t="shared" si="39"/>
        <v>0</v>
      </c>
      <c r="Z158" s="216">
        <f t="shared" si="40"/>
        <v>-164288.54657807795</v>
      </c>
      <c r="AA158" s="216">
        <v>0</v>
      </c>
      <c r="AB158" s="219">
        <v>0</v>
      </c>
      <c r="AC158" s="216">
        <f t="shared" si="37"/>
        <v>-3.7233112086518689</v>
      </c>
    </row>
    <row r="159" spans="1:29" s="213" customFormat="1" ht="15.95" customHeight="1">
      <c r="A159" s="214" t="s">
        <v>604</v>
      </c>
      <c r="B159" s="215">
        <v>28538536.404919036</v>
      </c>
      <c r="C159" s="207">
        <v>504316.01343734062</v>
      </c>
      <c r="D159" s="216">
        <f t="shared" si="28"/>
        <v>29042852.418356378</v>
      </c>
      <c r="E159" s="217">
        <v>0</v>
      </c>
      <c r="F159" s="218">
        <v>0</v>
      </c>
      <c r="G159" s="216">
        <f t="shared" si="29"/>
        <v>0</v>
      </c>
      <c r="H159" s="216">
        <f t="shared" si="38"/>
        <v>29042852.418356378</v>
      </c>
      <c r="I159" s="217">
        <v>0</v>
      </c>
      <c r="J159" s="216">
        <v>27482633.59</v>
      </c>
      <c r="K159" s="216">
        <v>0</v>
      </c>
      <c r="L159" s="216">
        <v>0</v>
      </c>
      <c r="M159" s="208">
        <f t="shared" si="30"/>
        <v>0</v>
      </c>
      <c r="N159" s="208">
        <f t="shared" si="30"/>
        <v>27482633.59</v>
      </c>
      <c r="O159" s="208">
        <f t="shared" si="34"/>
        <v>27482633.59</v>
      </c>
      <c r="P159" s="216">
        <v>0</v>
      </c>
      <c r="Q159" s="208">
        <f t="shared" si="35"/>
        <v>27482633.59</v>
      </c>
      <c r="R159" s="216">
        <f t="shared" si="31"/>
        <v>0</v>
      </c>
      <c r="S159" s="216">
        <v>-249310.10338127613</v>
      </c>
      <c r="T159" s="216">
        <f t="shared" si="32"/>
        <v>1560218.8283563778</v>
      </c>
      <c r="U159" s="216">
        <f t="shared" si="33"/>
        <v>1560218.8283563778</v>
      </c>
      <c r="V159" s="216">
        <v>0</v>
      </c>
      <c r="W159" s="216">
        <v>0</v>
      </c>
      <c r="X159" s="216">
        <f t="shared" si="36"/>
        <v>0</v>
      </c>
      <c r="Y159" s="216">
        <f t="shared" si="39"/>
        <v>1560218.8283563778</v>
      </c>
      <c r="Z159" s="216">
        <f t="shared" si="40"/>
        <v>0</v>
      </c>
      <c r="AA159" s="216">
        <v>14498000</v>
      </c>
      <c r="AB159" s="219">
        <v>3421074</v>
      </c>
      <c r="AC159" s="216">
        <f t="shared" si="37"/>
        <v>0</v>
      </c>
    </row>
    <row r="160" spans="1:29" s="213" customFormat="1" ht="15.95" customHeight="1">
      <c r="A160" s="214" t="s">
        <v>885</v>
      </c>
      <c r="B160" s="215">
        <v>16278174.781495871</v>
      </c>
      <c r="C160" s="207">
        <v>310118.09644667752</v>
      </c>
      <c r="D160" s="216">
        <f t="shared" si="28"/>
        <v>16588292.877942549</v>
      </c>
      <c r="E160" s="217">
        <v>0</v>
      </c>
      <c r="F160" s="218">
        <v>0</v>
      </c>
      <c r="G160" s="216">
        <f t="shared" si="29"/>
        <v>0</v>
      </c>
      <c r="H160" s="216">
        <f t="shared" si="38"/>
        <v>16588292.877942549</v>
      </c>
      <c r="I160" s="217">
        <v>0</v>
      </c>
      <c r="J160" s="240">
        <v>15308949.210000001</v>
      </c>
      <c r="K160" s="216">
        <v>0</v>
      </c>
      <c r="L160" s="216">
        <v>0</v>
      </c>
      <c r="M160" s="208">
        <f t="shared" si="30"/>
        <v>0</v>
      </c>
      <c r="N160" s="208">
        <f t="shared" si="30"/>
        <v>15308949.210000001</v>
      </c>
      <c r="O160" s="208">
        <f t="shared" si="34"/>
        <v>15308949.210000001</v>
      </c>
      <c r="P160" s="216">
        <v>0</v>
      </c>
      <c r="Q160" s="208">
        <f t="shared" si="35"/>
        <v>15308949.210000001</v>
      </c>
      <c r="R160" s="216">
        <f t="shared" si="31"/>
        <v>0</v>
      </c>
      <c r="S160" s="216">
        <v>0</v>
      </c>
      <c r="T160" s="216">
        <f t="shared" si="32"/>
        <v>1279343.6679425482</v>
      </c>
      <c r="U160" s="216">
        <f t="shared" si="33"/>
        <v>1279343.6679425482</v>
      </c>
      <c r="V160" s="216">
        <v>0</v>
      </c>
      <c r="W160" s="216">
        <v>0</v>
      </c>
      <c r="X160" s="216">
        <f t="shared" si="36"/>
        <v>0</v>
      </c>
      <c r="Y160" s="216">
        <f t="shared" si="39"/>
        <v>1279343.6679425482</v>
      </c>
      <c r="Z160" s="216">
        <f t="shared" si="40"/>
        <v>0</v>
      </c>
      <c r="AA160" s="216">
        <v>0</v>
      </c>
      <c r="AB160" s="221">
        <v>0</v>
      </c>
      <c r="AC160" s="216">
        <f t="shared" si="37"/>
        <v>0</v>
      </c>
    </row>
    <row r="161" spans="1:31" s="213" customFormat="1" ht="15.95" customHeight="1">
      <c r="A161" s="214" t="s">
        <v>409</v>
      </c>
      <c r="B161" s="215">
        <v>7856091.4731977675</v>
      </c>
      <c r="C161" s="207">
        <v>141689.70824614968</v>
      </c>
      <c r="D161" s="216">
        <f t="shared" si="28"/>
        <v>7997781.1814439176</v>
      </c>
      <c r="E161" s="217">
        <v>0</v>
      </c>
      <c r="F161" s="218">
        <v>0</v>
      </c>
      <c r="G161" s="216">
        <f t="shared" si="29"/>
        <v>0</v>
      </c>
      <c r="H161" s="216">
        <f t="shared" si="38"/>
        <v>7997781.1814439176</v>
      </c>
      <c r="I161" s="217">
        <v>0</v>
      </c>
      <c r="J161" s="216">
        <v>8188215.870000001</v>
      </c>
      <c r="K161" s="216">
        <v>0</v>
      </c>
      <c r="L161" s="216">
        <v>0</v>
      </c>
      <c r="M161" s="208">
        <f t="shared" si="30"/>
        <v>0</v>
      </c>
      <c r="N161" s="208">
        <f t="shared" si="30"/>
        <v>8188215.870000001</v>
      </c>
      <c r="O161" s="208">
        <f t="shared" si="34"/>
        <v>8188215.870000001</v>
      </c>
      <c r="P161" s="216">
        <v>0</v>
      </c>
      <c r="Q161" s="208">
        <f t="shared" si="35"/>
        <v>8188215.870000001</v>
      </c>
      <c r="R161" s="216">
        <f t="shared" si="31"/>
        <v>-190434.68855608348</v>
      </c>
      <c r="S161" s="216">
        <v>-775262.70663893595</v>
      </c>
      <c r="T161" s="216">
        <f t="shared" si="32"/>
        <v>0</v>
      </c>
      <c r="U161" s="216">
        <f t="shared" si="33"/>
        <v>-190434.68855608348</v>
      </c>
      <c r="V161" s="216">
        <v>0</v>
      </c>
      <c r="W161" s="216">
        <v>0</v>
      </c>
      <c r="X161" s="216">
        <f t="shared" si="36"/>
        <v>0</v>
      </c>
      <c r="Y161" s="216">
        <f t="shared" si="39"/>
        <v>0</v>
      </c>
      <c r="Z161" s="216">
        <f t="shared" si="40"/>
        <v>-190434.68855608348</v>
      </c>
      <c r="AA161" s="216">
        <v>0</v>
      </c>
      <c r="AB161" s="219">
        <v>2469437.4500000002</v>
      </c>
      <c r="AC161" s="216">
        <f t="shared" si="37"/>
        <v>-1.3440262593049586</v>
      </c>
    </row>
    <row r="162" spans="1:31" s="213" customFormat="1" ht="15.95" customHeight="1">
      <c r="A162" s="214" t="s">
        <v>410</v>
      </c>
      <c r="B162" s="215">
        <v>3321640.2919148966</v>
      </c>
      <c r="C162" s="207">
        <v>57836.012818212504</v>
      </c>
      <c r="D162" s="216">
        <f t="shared" si="28"/>
        <v>3379476.3047331092</v>
      </c>
      <c r="E162" s="217">
        <v>69500</v>
      </c>
      <c r="F162" s="218">
        <v>0</v>
      </c>
      <c r="G162" s="216">
        <f t="shared" si="29"/>
        <v>69500</v>
      </c>
      <c r="H162" s="216">
        <f t="shared" si="38"/>
        <v>3448976.3047331092</v>
      </c>
      <c r="I162" s="217">
        <v>0</v>
      </c>
      <c r="J162" s="216">
        <v>2262399.41</v>
      </c>
      <c r="K162" s="216">
        <v>0</v>
      </c>
      <c r="L162" s="216">
        <v>0</v>
      </c>
      <c r="M162" s="208">
        <f t="shared" si="30"/>
        <v>0</v>
      </c>
      <c r="N162" s="208">
        <f t="shared" si="30"/>
        <v>2262399.41</v>
      </c>
      <c r="O162" s="208">
        <f t="shared" si="34"/>
        <v>2262399.41</v>
      </c>
      <c r="P162" s="216">
        <v>0</v>
      </c>
      <c r="Q162" s="208">
        <f t="shared" si="35"/>
        <v>2262399.41</v>
      </c>
      <c r="R162" s="216">
        <f t="shared" si="31"/>
        <v>0</v>
      </c>
      <c r="S162" s="216">
        <v>0</v>
      </c>
      <c r="T162" s="216">
        <f t="shared" si="32"/>
        <v>1186576.894733109</v>
      </c>
      <c r="U162" s="216">
        <f t="shared" si="33"/>
        <v>1186576.894733109</v>
      </c>
      <c r="V162" s="216">
        <v>0</v>
      </c>
      <c r="W162" s="216">
        <v>0</v>
      </c>
      <c r="X162" s="216">
        <f t="shared" si="36"/>
        <v>0</v>
      </c>
      <c r="Y162" s="216">
        <f t="shared" si="39"/>
        <v>1186576.894733109</v>
      </c>
      <c r="Z162" s="216">
        <f t="shared" si="40"/>
        <v>0</v>
      </c>
      <c r="AA162" s="216">
        <v>0</v>
      </c>
      <c r="AB162" s="221">
        <v>0</v>
      </c>
      <c r="AC162" s="216">
        <f t="shared" si="37"/>
        <v>0</v>
      </c>
    </row>
    <row r="163" spans="1:31" s="213" customFormat="1" ht="15.95" customHeight="1">
      <c r="A163" s="214" t="s">
        <v>411</v>
      </c>
      <c r="B163" s="215">
        <v>24850469.390455719</v>
      </c>
      <c r="C163" s="207">
        <v>480246.60516360117</v>
      </c>
      <c r="D163" s="216">
        <f t="shared" si="28"/>
        <v>25330715.995619319</v>
      </c>
      <c r="E163" s="217">
        <v>0</v>
      </c>
      <c r="F163" s="218">
        <v>0</v>
      </c>
      <c r="G163" s="216">
        <f t="shared" si="29"/>
        <v>0</v>
      </c>
      <c r="H163" s="216">
        <f t="shared" si="38"/>
        <v>25330715.995619319</v>
      </c>
      <c r="I163" s="217">
        <v>0</v>
      </c>
      <c r="J163" s="216">
        <v>24303217.479999997</v>
      </c>
      <c r="K163" s="216">
        <v>0</v>
      </c>
      <c r="L163" s="216">
        <v>0</v>
      </c>
      <c r="M163" s="208">
        <f t="shared" si="30"/>
        <v>0</v>
      </c>
      <c r="N163" s="208">
        <f t="shared" si="30"/>
        <v>24303217.479999997</v>
      </c>
      <c r="O163" s="208">
        <f>K163+N163</f>
        <v>24303217.479999997</v>
      </c>
      <c r="P163" s="216">
        <v>2354960.98</v>
      </c>
      <c r="Q163" s="208">
        <f t="shared" si="35"/>
        <v>26658178.459999997</v>
      </c>
      <c r="R163" s="216">
        <f t="shared" si="31"/>
        <v>-1327462.4643806778</v>
      </c>
      <c r="S163" s="216">
        <v>-667250.2155148685</v>
      </c>
      <c r="T163" s="216">
        <f t="shared" si="32"/>
        <v>0</v>
      </c>
      <c r="U163" s="216">
        <f t="shared" si="33"/>
        <v>-1327462.4643806778</v>
      </c>
      <c r="V163" s="216">
        <v>0</v>
      </c>
      <c r="W163" s="216"/>
      <c r="X163" s="216">
        <f t="shared" si="36"/>
        <v>0</v>
      </c>
      <c r="Y163" s="216">
        <f t="shared" si="39"/>
        <v>0</v>
      </c>
      <c r="Z163" s="216">
        <f t="shared" si="40"/>
        <v>-1327462.4643806778</v>
      </c>
      <c r="AA163" s="216">
        <v>0</v>
      </c>
      <c r="AB163" s="219">
        <v>9490461.8300000001</v>
      </c>
      <c r="AC163" s="216">
        <f t="shared" si="37"/>
        <v>-2.7641267009653578</v>
      </c>
    </row>
    <row r="164" spans="1:31" s="213" customFormat="1" ht="15.95" customHeight="1">
      <c r="A164" s="214" t="s">
        <v>958</v>
      </c>
      <c r="B164" s="215">
        <v>3281853.2919143792</v>
      </c>
      <c r="C164" s="207">
        <v>58530.043938375042</v>
      </c>
      <c r="D164" s="216">
        <f t="shared" si="28"/>
        <v>3340383.3358527543</v>
      </c>
      <c r="E164" s="217">
        <v>25000</v>
      </c>
      <c r="F164" s="218">
        <v>0</v>
      </c>
      <c r="G164" s="216">
        <f t="shared" si="29"/>
        <v>25000</v>
      </c>
      <c r="H164" s="216">
        <f t="shared" si="38"/>
        <v>3365383.3358527543</v>
      </c>
      <c r="I164" s="217">
        <v>0</v>
      </c>
      <c r="J164" s="216">
        <v>2481869.41</v>
      </c>
      <c r="K164" s="216">
        <v>0</v>
      </c>
      <c r="L164" s="216">
        <v>0</v>
      </c>
      <c r="M164" s="208">
        <f t="shared" si="30"/>
        <v>0</v>
      </c>
      <c r="N164" s="208">
        <f t="shared" si="30"/>
        <v>2481869.41</v>
      </c>
      <c r="O164" s="208">
        <f t="shared" si="34"/>
        <v>2481869.41</v>
      </c>
      <c r="P164" s="216">
        <v>0</v>
      </c>
      <c r="Q164" s="208">
        <f t="shared" si="35"/>
        <v>2481869.41</v>
      </c>
      <c r="R164" s="216">
        <f t="shared" si="31"/>
        <v>0</v>
      </c>
      <c r="S164" s="216">
        <v>0</v>
      </c>
      <c r="T164" s="216">
        <f t="shared" si="32"/>
        <v>883513.92585275415</v>
      </c>
      <c r="U164" s="216">
        <f t="shared" si="33"/>
        <v>883513.92585275415</v>
      </c>
      <c r="V164" s="216">
        <v>0</v>
      </c>
      <c r="W164" s="216">
        <v>0</v>
      </c>
      <c r="X164" s="216">
        <f t="shared" si="36"/>
        <v>0</v>
      </c>
      <c r="Y164" s="216">
        <f t="shared" si="39"/>
        <v>883513.92585275415</v>
      </c>
      <c r="Z164" s="216">
        <f t="shared" si="40"/>
        <v>0</v>
      </c>
      <c r="AA164" s="216"/>
      <c r="AB164" s="221">
        <v>0</v>
      </c>
      <c r="AC164" s="216">
        <f t="shared" si="37"/>
        <v>0</v>
      </c>
    </row>
    <row r="165" spans="1:31" s="213" customFormat="1" ht="15.95" customHeight="1">
      <c r="A165" s="214" t="s">
        <v>622</v>
      </c>
      <c r="B165" s="215">
        <v>3909964.7170403483</v>
      </c>
      <c r="C165" s="207">
        <v>69061.923959477266</v>
      </c>
      <c r="D165" s="216">
        <f t="shared" si="28"/>
        <v>3979026.6409998257</v>
      </c>
      <c r="E165" s="217">
        <v>0</v>
      </c>
      <c r="F165" s="218">
        <v>0</v>
      </c>
      <c r="G165" s="216">
        <f t="shared" ref="G165:G196" si="41">SUM(E165:F165)</f>
        <v>0</v>
      </c>
      <c r="H165" s="216">
        <f t="shared" si="38"/>
        <v>3979026.6409998257</v>
      </c>
      <c r="I165" s="217">
        <v>0</v>
      </c>
      <c r="J165" s="216">
        <v>2775181.08</v>
      </c>
      <c r="K165" s="216">
        <v>0</v>
      </c>
      <c r="L165" s="216">
        <v>0</v>
      </c>
      <c r="M165" s="208">
        <f t="shared" si="30"/>
        <v>0</v>
      </c>
      <c r="N165" s="208">
        <f t="shared" si="30"/>
        <v>2775181.08</v>
      </c>
      <c r="O165" s="208">
        <f t="shared" si="34"/>
        <v>2775181.08</v>
      </c>
      <c r="P165" s="216">
        <v>855106.86</v>
      </c>
      <c r="Q165" s="208">
        <f t="shared" si="35"/>
        <v>3630287.94</v>
      </c>
      <c r="R165" s="216">
        <f t="shared" si="31"/>
        <v>0</v>
      </c>
      <c r="S165" s="216">
        <v>0</v>
      </c>
      <c r="T165" s="216">
        <f t="shared" si="32"/>
        <v>348738.70099982573</v>
      </c>
      <c r="U165" s="216">
        <f t="shared" si="33"/>
        <v>348738.70099982573</v>
      </c>
      <c r="V165" s="216">
        <v>0</v>
      </c>
      <c r="X165" s="216">
        <f t="shared" si="36"/>
        <v>0</v>
      </c>
      <c r="Y165" s="216">
        <f t="shared" si="39"/>
        <v>348738.70099982573</v>
      </c>
      <c r="Z165" s="216">
        <f t="shared" si="40"/>
        <v>0</v>
      </c>
      <c r="AA165" s="216">
        <v>1100000</v>
      </c>
      <c r="AB165" s="219">
        <v>0</v>
      </c>
      <c r="AC165" s="216">
        <f t="shared" si="37"/>
        <v>0</v>
      </c>
    </row>
    <row r="166" spans="1:31" s="213" customFormat="1" ht="15.95" customHeight="1">
      <c r="A166" s="214" t="s">
        <v>417</v>
      </c>
      <c r="B166" s="215">
        <v>2596408.2020831993</v>
      </c>
      <c r="C166" s="207">
        <v>49227.408075656116</v>
      </c>
      <c r="D166" s="216">
        <f t="shared" si="28"/>
        <v>2645635.6101588556</v>
      </c>
      <c r="E166" s="217">
        <v>0</v>
      </c>
      <c r="F166" s="218">
        <v>0</v>
      </c>
      <c r="G166" s="216">
        <f t="shared" si="41"/>
        <v>0</v>
      </c>
      <c r="H166" s="216">
        <f t="shared" si="38"/>
        <v>2645635.6101588556</v>
      </c>
      <c r="I166" s="217">
        <v>0</v>
      </c>
      <c r="J166" s="216">
        <v>1503455.23</v>
      </c>
      <c r="K166" s="216">
        <v>0</v>
      </c>
      <c r="L166" s="216">
        <v>0</v>
      </c>
      <c r="M166" s="208">
        <f t="shared" si="30"/>
        <v>0</v>
      </c>
      <c r="N166" s="208">
        <f t="shared" si="30"/>
        <v>1503455.23</v>
      </c>
      <c r="O166" s="208">
        <f t="shared" si="34"/>
        <v>1503455.23</v>
      </c>
      <c r="P166" s="216">
        <v>0</v>
      </c>
      <c r="Q166" s="208">
        <f t="shared" si="35"/>
        <v>1503455.23</v>
      </c>
      <c r="R166" s="216">
        <f t="shared" si="31"/>
        <v>0</v>
      </c>
      <c r="S166" s="216">
        <v>0</v>
      </c>
      <c r="T166" s="216">
        <f t="shared" si="32"/>
        <v>1142180.3801588556</v>
      </c>
      <c r="U166" s="216">
        <f t="shared" si="33"/>
        <v>1142180.3801588556</v>
      </c>
      <c r="V166" s="216">
        <v>0</v>
      </c>
      <c r="W166" s="216">
        <v>0</v>
      </c>
      <c r="X166" s="216">
        <f t="shared" si="36"/>
        <v>0</v>
      </c>
      <c r="Y166" s="216">
        <f t="shared" si="39"/>
        <v>1142180.3801588556</v>
      </c>
      <c r="Z166" s="216">
        <f t="shared" si="40"/>
        <v>0</v>
      </c>
      <c r="AA166" s="216">
        <v>0</v>
      </c>
      <c r="AB166" s="219">
        <v>0</v>
      </c>
      <c r="AC166" s="216">
        <f t="shared" si="37"/>
        <v>0</v>
      </c>
    </row>
    <row r="167" spans="1:31" s="213" customFormat="1" ht="15.95" customHeight="1">
      <c r="A167" s="214" t="s">
        <v>418</v>
      </c>
      <c r="B167" s="215">
        <v>2005203.1313966957</v>
      </c>
      <c r="C167" s="207">
        <v>35039.122853388522</v>
      </c>
      <c r="D167" s="216">
        <f t="shared" ref="D167:D211" si="42">SUM(B167:C167)</f>
        <v>2040242.2542500843</v>
      </c>
      <c r="E167" s="217">
        <v>65000</v>
      </c>
      <c r="F167" s="218">
        <v>0</v>
      </c>
      <c r="G167" s="216">
        <f t="shared" si="41"/>
        <v>65000</v>
      </c>
      <c r="H167" s="216">
        <f t="shared" si="38"/>
        <v>2105242.254250084</v>
      </c>
      <c r="I167" s="217">
        <v>0</v>
      </c>
      <c r="J167" s="216">
        <v>1398123.66</v>
      </c>
      <c r="K167" s="216">
        <v>0</v>
      </c>
      <c r="L167" s="216">
        <v>0</v>
      </c>
      <c r="M167" s="208">
        <f t="shared" si="30"/>
        <v>0</v>
      </c>
      <c r="N167" s="208">
        <f t="shared" si="30"/>
        <v>1398123.66</v>
      </c>
      <c r="O167" s="208">
        <f t="shared" si="34"/>
        <v>1398123.66</v>
      </c>
      <c r="P167" s="216">
        <v>0</v>
      </c>
      <c r="Q167" s="208">
        <f t="shared" si="35"/>
        <v>1398123.66</v>
      </c>
      <c r="R167" s="216">
        <f t="shared" si="31"/>
        <v>0</v>
      </c>
      <c r="S167" s="216">
        <v>0</v>
      </c>
      <c r="T167" s="216">
        <f t="shared" si="32"/>
        <v>707118.59425008413</v>
      </c>
      <c r="U167" s="216">
        <f t="shared" si="33"/>
        <v>707118.59425008413</v>
      </c>
      <c r="V167" s="216">
        <v>0</v>
      </c>
      <c r="W167" s="216">
        <v>0</v>
      </c>
      <c r="X167" s="216">
        <f t="shared" si="36"/>
        <v>0</v>
      </c>
      <c r="Y167" s="216">
        <f t="shared" si="39"/>
        <v>707118.59425008413</v>
      </c>
      <c r="Z167" s="216">
        <f t="shared" si="40"/>
        <v>0</v>
      </c>
      <c r="AA167" s="216">
        <v>0</v>
      </c>
      <c r="AB167" s="219">
        <v>267800</v>
      </c>
      <c r="AC167" s="216">
        <f t="shared" si="37"/>
        <v>0</v>
      </c>
    </row>
    <row r="168" spans="1:31" s="213" customFormat="1" ht="15.95" customHeight="1">
      <c r="A168" s="214" t="s">
        <v>961</v>
      </c>
      <c r="B168" s="215">
        <v>9408538.5312110502</v>
      </c>
      <c r="C168" s="207">
        <v>167552.71832289078</v>
      </c>
      <c r="D168" s="216">
        <f t="shared" si="42"/>
        <v>9576091.2495339401</v>
      </c>
      <c r="E168" s="217">
        <v>140000</v>
      </c>
      <c r="F168" s="218">
        <v>0</v>
      </c>
      <c r="G168" s="216">
        <f t="shared" si="41"/>
        <v>140000</v>
      </c>
      <c r="H168" s="216">
        <f t="shared" si="38"/>
        <v>9716091.2495339401</v>
      </c>
      <c r="I168" s="217">
        <v>0</v>
      </c>
      <c r="J168" s="216">
        <v>9230252.629999999</v>
      </c>
      <c r="K168" s="216">
        <v>0</v>
      </c>
      <c r="L168" s="216">
        <v>0</v>
      </c>
      <c r="M168" s="208">
        <f t="shared" si="30"/>
        <v>0</v>
      </c>
      <c r="N168" s="208">
        <f t="shared" si="30"/>
        <v>9230252.629999999</v>
      </c>
      <c r="O168" s="208">
        <f t="shared" si="34"/>
        <v>9230252.629999999</v>
      </c>
      <c r="P168" s="216">
        <v>0</v>
      </c>
      <c r="Q168" s="208">
        <f t="shared" si="35"/>
        <v>9230252.629999999</v>
      </c>
      <c r="R168" s="216">
        <f t="shared" si="31"/>
        <v>0</v>
      </c>
      <c r="S168" s="216">
        <v>-137750.68723974191</v>
      </c>
      <c r="T168" s="216">
        <f t="shared" si="32"/>
        <v>485838.61953394115</v>
      </c>
      <c r="U168" s="216">
        <f t="shared" si="33"/>
        <v>485838.61953394115</v>
      </c>
      <c r="V168" s="216">
        <v>0</v>
      </c>
      <c r="W168" s="216">
        <v>0</v>
      </c>
      <c r="X168" s="216">
        <f t="shared" si="36"/>
        <v>0</v>
      </c>
      <c r="Y168" s="216">
        <f t="shared" si="39"/>
        <v>485838.61953394115</v>
      </c>
      <c r="Z168" s="216">
        <f t="shared" si="40"/>
        <v>0</v>
      </c>
      <c r="AA168" s="216">
        <v>0</v>
      </c>
      <c r="AB168" s="219">
        <v>2993518.59</v>
      </c>
      <c r="AC168" s="216">
        <f t="shared" si="37"/>
        <v>0</v>
      </c>
    </row>
    <row r="169" spans="1:31" s="213" customFormat="1" ht="15.95" customHeight="1">
      <c r="A169" s="214" t="s">
        <v>419</v>
      </c>
      <c r="B169" s="215">
        <v>3696113.5818686225</v>
      </c>
      <c r="C169" s="207">
        <v>72563.972538333692</v>
      </c>
      <c r="D169" s="216">
        <f t="shared" si="42"/>
        <v>3768677.5544069563</v>
      </c>
      <c r="E169" s="217">
        <v>57000</v>
      </c>
      <c r="F169" s="218">
        <v>0</v>
      </c>
      <c r="G169" s="216">
        <f t="shared" si="41"/>
        <v>57000</v>
      </c>
      <c r="H169" s="216">
        <f t="shared" si="38"/>
        <v>3825677.5544069563</v>
      </c>
      <c r="I169" s="217">
        <v>0</v>
      </c>
      <c r="J169" s="216">
        <v>1634014</v>
      </c>
      <c r="K169" s="216">
        <v>0</v>
      </c>
      <c r="L169" s="216">
        <v>0</v>
      </c>
      <c r="M169" s="208">
        <f t="shared" si="30"/>
        <v>0</v>
      </c>
      <c r="N169" s="208">
        <f t="shared" si="30"/>
        <v>1634014</v>
      </c>
      <c r="O169" s="208">
        <f t="shared" si="34"/>
        <v>1634014</v>
      </c>
      <c r="P169" s="216">
        <v>94357.729999999952</v>
      </c>
      <c r="Q169" s="208">
        <f t="shared" si="35"/>
        <v>1728371.73</v>
      </c>
      <c r="R169" s="216">
        <f t="shared" si="31"/>
        <v>0</v>
      </c>
      <c r="S169" s="216">
        <v>0</v>
      </c>
      <c r="T169" s="216">
        <f t="shared" si="32"/>
        <v>2097305.8244069563</v>
      </c>
      <c r="U169" s="216">
        <f t="shared" si="33"/>
        <v>2097305.8244069563</v>
      </c>
      <c r="V169" s="216">
        <v>2205642.27</v>
      </c>
      <c r="X169" s="216">
        <f t="shared" si="36"/>
        <v>2205642.27</v>
      </c>
      <c r="Y169" s="216">
        <f t="shared" si="39"/>
        <v>0</v>
      </c>
      <c r="Z169" s="216">
        <f t="shared" si="40"/>
        <v>-108336.4455930437</v>
      </c>
      <c r="AA169" s="234">
        <v>2300000</v>
      </c>
      <c r="AB169" s="219">
        <v>0</v>
      </c>
      <c r="AC169" s="216">
        <f t="shared" si="37"/>
        <v>-1.4929784272189939</v>
      </c>
      <c r="AD169" s="241"/>
      <c r="AE169" s="242"/>
    </row>
    <row r="170" spans="1:31" s="213" customFormat="1" ht="15.95" customHeight="1">
      <c r="A170" s="214" t="s">
        <v>423</v>
      </c>
      <c r="B170" s="215">
        <v>13233833.651136303</v>
      </c>
      <c r="C170" s="207">
        <v>246918.8655555771</v>
      </c>
      <c r="D170" s="216">
        <f t="shared" si="42"/>
        <v>13480752.51669188</v>
      </c>
      <c r="E170" s="217">
        <v>0</v>
      </c>
      <c r="F170" s="218">
        <v>0</v>
      </c>
      <c r="G170" s="216">
        <f t="shared" si="41"/>
        <v>0</v>
      </c>
      <c r="H170" s="216">
        <f t="shared" si="38"/>
        <v>13480752.51669188</v>
      </c>
      <c r="I170" s="217">
        <v>0</v>
      </c>
      <c r="J170" s="216">
        <v>9208613.3200000022</v>
      </c>
      <c r="K170" s="216">
        <v>0</v>
      </c>
      <c r="L170" s="216">
        <v>0</v>
      </c>
      <c r="M170" s="208">
        <f t="shared" si="30"/>
        <v>0</v>
      </c>
      <c r="N170" s="208">
        <f t="shared" si="30"/>
        <v>9208613.3200000022</v>
      </c>
      <c r="O170" s="208">
        <f t="shared" si="34"/>
        <v>9208613.3200000022</v>
      </c>
      <c r="P170" s="216">
        <v>0</v>
      </c>
      <c r="Q170" s="208">
        <f t="shared" si="35"/>
        <v>9208613.3200000022</v>
      </c>
      <c r="R170" s="216">
        <f t="shared" si="31"/>
        <v>0</v>
      </c>
      <c r="S170" s="216">
        <v>0</v>
      </c>
      <c r="T170" s="216">
        <f t="shared" si="32"/>
        <v>4272139.1966918781</v>
      </c>
      <c r="U170" s="216">
        <f t="shared" si="33"/>
        <v>4272139.1966918781</v>
      </c>
      <c r="V170" s="216">
        <v>0</v>
      </c>
      <c r="W170" s="228">
        <v>0</v>
      </c>
      <c r="X170" s="216">
        <f t="shared" si="36"/>
        <v>0</v>
      </c>
      <c r="Y170" s="216">
        <f t="shared" si="39"/>
        <v>4272139.1966918781</v>
      </c>
      <c r="Z170" s="216">
        <f t="shared" si="40"/>
        <v>0</v>
      </c>
      <c r="AA170" s="216">
        <v>4900000</v>
      </c>
      <c r="AB170" s="219">
        <v>550155.89</v>
      </c>
      <c r="AC170" s="216">
        <f t="shared" si="37"/>
        <v>0</v>
      </c>
    </row>
    <row r="171" spans="1:31" s="213" customFormat="1" ht="15.95" customHeight="1">
      <c r="A171" s="214" t="s">
        <v>429</v>
      </c>
      <c r="B171" s="215">
        <v>5473334.8227139087</v>
      </c>
      <c r="C171" s="207">
        <v>101818.33085700261</v>
      </c>
      <c r="D171" s="216">
        <f t="shared" si="42"/>
        <v>5575153.1535709109</v>
      </c>
      <c r="E171" s="217">
        <v>250000</v>
      </c>
      <c r="F171" s="218">
        <v>0</v>
      </c>
      <c r="G171" s="216">
        <f t="shared" si="41"/>
        <v>250000</v>
      </c>
      <c r="H171" s="216">
        <f t="shared" si="38"/>
        <v>5825153.1535709109</v>
      </c>
      <c r="I171" s="217">
        <v>0</v>
      </c>
      <c r="J171" s="216">
        <v>3409530.5</v>
      </c>
      <c r="K171" s="216">
        <v>0</v>
      </c>
      <c r="L171" s="216">
        <v>0</v>
      </c>
      <c r="M171" s="208">
        <f t="shared" si="30"/>
        <v>0</v>
      </c>
      <c r="N171" s="208">
        <f t="shared" si="30"/>
        <v>3409530.5</v>
      </c>
      <c r="O171" s="208">
        <f t="shared" si="34"/>
        <v>3409530.5</v>
      </c>
      <c r="P171" s="216">
        <v>898058.2699999999</v>
      </c>
      <c r="Q171" s="208">
        <f t="shared" si="35"/>
        <v>4307588.7699999996</v>
      </c>
      <c r="R171" s="216">
        <f t="shared" si="31"/>
        <v>0</v>
      </c>
      <c r="S171" s="216">
        <v>0</v>
      </c>
      <c r="T171" s="216">
        <f t="shared" si="32"/>
        <v>1517564.3835709114</v>
      </c>
      <c r="U171" s="216">
        <f t="shared" si="33"/>
        <v>1517564.3835709114</v>
      </c>
      <c r="V171" s="216">
        <v>0</v>
      </c>
      <c r="W171" s="216">
        <v>1699294.9100000001</v>
      </c>
      <c r="X171" s="216">
        <f t="shared" si="36"/>
        <v>1699294.9100000001</v>
      </c>
      <c r="Y171" s="216">
        <f t="shared" si="39"/>
        <v>0</v>
      </c>
      <c r="Z171" s="216">
        <f t="shared" si="40"/>
        <v>-181730.52642908879</v>
      </c>
      <c r="AB171" s="219">
        <v>833827.4</v>
      </c>
      <c r="AC171" s="216">
        <f t="shared" si="37"/>
        <v>-1.7848507719530169</v>
      </c>
    </row>
    <row r="172" spans="1:31" s="213" customFormat="1" ht="15.95" customHeight="1">
      <c r="A172" s="214" t="s">
        <v>629</v>
      </c>
      <c r="B172" s="215">
        <v>3438272.6926005553</v>
      </c>
      <c r="C172" s="207">
        <v>60735.145139482767</v>
      </c>
      <c r="D172" s="216">
        <f t="shared" si="42"/>
        <v>3499007.8377400381</v>
      </c>
      <c r="E172" s="217">
        <v>-50000</v>
      </c>
      <c r="F172" s="218">
        <v>0</v>
      </c>
      <c r="G172" s="216">
        <f t="shared" si="41"/>
        <v>-50000</v>
      </c>
      <c r="H172" s="216">
        <f t="shared" si="38"/>
        <v>3449007.8377400381</v>
      </c>
      <c r="I172" s="217">
        <v>0</v>
      </c>
      <c r="J172" s="216">
        <v>1109647</v>
      </c>
      <c r="K172" s="216">
        <v>0</v>
      </c>
      <c r="L172" s="216">
        <v>0</v>
      </c>
      <c r="M172" s="208">
        <f t="shared" si="30"/>
        <v>0</v>
      </c>
      <c r="N172" s="208">
        <f t="shared" si="30"/>
        <v>1109647</v>
      </c>
      <c r="O172" s="208">
        <f t="shared" si="34"/>
        <v>1109647</v>
      </c>
      <c r="P172" s="216">
        <v>355377.05999999994</v>
      </c>
      <c r="Q172" s="208">
        <f t="shared" si="35"/>
        <v>1465024.06</v>
      </c>
      <c r="R172" s="216">
        <f t="shared" si="31"/>
        <v>0</v>
      </c>
      <c r="S172" s="216">
        <v>0</v>
      </c>
      <c r="T172" s="216">
        <f t="shared" si="32"/>
        <v>1983983.777740038</v>
      </c>
      <c r="U172" s="216">
        <f t="shared" si="33"/>
        <v>1983983.777740038</v>
      </c>
      <c r="V172" s="216">
        <v>2044622.94</v>
      </c>
      <c r="W172" s="216"/>
      <c r="X172" s="216">
        <f t="shared" si="36"/>
        <v>2044622.94</v>
      </c>
      <c r="Y172" s="216">
        <f t="shared" si="39"/>
        <v>0</v>
      </c>
      <c r="Z172" s="216">
        <f t="shared" si="40"/>
        <v>-60639.162259961944</v>
      </c>
      <c r="AA172" s="216">
        <v>0</v>
      </c>
      <c r="AB172" s="219">
        <v>0</v>
      </c>
      <c r="AC172" s="216">
        <f t="shared" si="37"/>
        <v>-0.99841964847041376</v>
      </c>
    </row>
    <row r="173" spans="1:31" s="213" customFormat="1" ht="15.95" customHeight="1">
      <c r="A173" s="214" t="s">
        <v>134</v>
      </c>
      <c r="B173" s="215">
        <v>869395.95468764391</v>
      </c>
      <c r="C173" s="207">
        <v>13045.582848901007</v>
      </c>
      <c r="D173" s="216">
        <f t="shared" si="42"/>
        <v>882441.53753654496</v>
      </c>
      <c r="E173" s="217">
        <v>933970</v>
      </c>
      <c r="F173" s="218">
        <v>0</v>
      </c>
      <c r="G173" s="216">
        <f t="shared" si="41"/>
        <v>933970</v>
      </c>
      <c r="H173" s="216">
        <f t="shared" si="38"/>
        <v>1816411.537536545</v>
      </c>
      <c r="I173" s="217">
        <v>0</v>
      </c>
      <c r="J173" s="216">
        <v>1009802.42</v>
      </c>
      <c r="K173" s="216">
        <v>0</v>
      </c>
      <c r="L173" s="216">
        <v>0</v>
      </c>
      <c r="M173" s="208">
        <f t="shared" si="30"/>
        <v>0</v>
      </c>
      <c r="N173" s="208">
        <f t="shared" si="30"/>
        <v>1009802.42</v>
      </c>
      <c r="O173" s="208">
        <f t="shared" si="34"/>
        <v>1009802.42</v>
      </c>
      <c r="P173" s="216">
        <v>0</v>
      </c>
      <c r="Q173" s="208">
        <f t="shared" si="35"/>
        <v>1009802.42</v>
      </c>
      <c r="R173" s="216">
        <f t="shared" si="31"/>
        <v>0</v>
      </c>
      <c r="S173" s="216">
        <v>0</v>
      </c>
      <c r="T173" s="216">
        <f t="shared" si="32"/>
        <v>806609.11753654492</v>
      </c>
      <c r="U173" s="216">
        <f t="shared" si="33"/>
        <v>806609.11753654492</v>
      </c>
      <c r="V173" s="216">
        <v>0</v>
      </c>
      <c r="W173" s="216">
        <v>0</v>
      </c>
      <c r="X173" s="216">
        <f t="shared" si="36"/>
        <v>0</v>
      </c>
      <c r="Y173" s="216">
        <f t="shared" si="39"/>
        <v>806609.11753654492</v>
      </c>
      <c r="Z173" s="216">
        <f t="shared" si="40"/>
        <v>0</v>
      </c>
      <c r="AA173" s="216">
        <v>750000</v>
      </c>
      <c r="AB173" s="221">
        <v>0</v>
      </c>
      <c r="AC173" s="216">
        <f t="shared" si="37"/>
        <v>0</v>
      </c>
    </row>
    <row r="174" spans="1:31" s="213" customFormat="1" ht="15.95" customHeight="1">
      <c r="A174" s="214" t="s">
        <v>724</v>
      </c>
      <c r="B174" s="215">
        <v>1882668.8132620184</v>
      </c>
      <c r="C174" s="207">
        <v>17560.380952942447</v>
      </c>
      <c r="D174" s="216">
        <f t="shared" si="42"/>
        <v>1900229.1942149608</v>
      </c>
      <c r="E174" s="217">
        <v>0</v>
      </c>
      <c r="F174" s="218">
        <v>0</v>
      </c>
      <c r="G174" s="216">
        <f t="shared" si="41"/>
        <v>0</v>
      </c>
      <c r="H174" s="216">
        <f t="shared" si="38"/>
        <v>1900229.1942149608</v>
      </c>
      <c r="I174" s="217">
        <v>0</v>
      </c>
      <c r="J174" s="216">
        <v>1572177.81</v>
      </c>
      <c r="K174" s="216">
        <v>0</v>
      </c>
      <c r="L174" s="216">
        <v>0</v>
      </c>
      <c r="M174" s="208">
        <f t="shared" si="30"/>
        <v>0</v>
      </c>
      <c r="N174" s="208">
        <f t="shared" si="30"/>
        <v>1572177.81</v>
      </c>
      <c r="O174" s="208">
        <f t="shared" si="34"/>
        <v>1572177.81</v>
      </c>
      <c r="P174" s="216">
        <v>0</v>
      </c>
      <c r="Q174" s="208">
        <f t="shared" si="35"/>
        <v>1572177.81</v>
      </c>
      <c r="R174" s="216">
        <f t="shared" si="31"/>
        <v>0</v>
      </c>
      <c r="S174" s="216">
        <v>0</v>
      </c>
      <c r="T174" s="216">
        <f t="shared" si="32"/>
        <v>328051.38421496074</v>
      </c>
      <c r="U174" s="216">
        <f t="shared" si="33"/>
        <v>328051.38421496074</v>
      </c>
      <c r="V174" s="216">
        <v>0</v>
      </c>
      <c r="W174" s="216">
        <v>0</v>
      </c>
      <c r="X174" s="216">
        <f t="shared" si="36"/>
        <v>0</v>
      </c>
      <c r="Y174" s="216">
        <f t="shared" si="39"/>
        <v>328051.38421496074</v>
      </c>
      <c r="Z174" s="216">
        <f t="shared" si="40"/>
        <v>0</v>
      </c>
      <c r="AA174" s="216">
        <v>0</v>
      </c>
      <c r="AB174" s="219">
        <v>0</v>
      </c>
      <c r="AC174" s="216">
        <f t="shared" si="37"/>
        <v>0</v>
      </c>
    </row>
    <row r="175" spans="1:31" s="213" customFormat="1" ht="15.95" customHeight="1">
      <c r="A175" s="214" t="s">
        <v>433</v>
      </c>
      <c r="B175" s="215">
        <v>6345756.4926793594</v>
      </c>
      <c r="C175" s="207">
        <v>121837.40706890951</v>
      </c>
      <c r="D175" s="216">
        <f t="shared" si="42"/>
        <v>6467593.8997482685</v>
      </c>
      <c r="E175" s="217">
        <v>0</v>
      </c>
      <c r="F175" s="218">
        <v>0</v>
      </c>
      <c r="G175" s="216">
        <f t="shared" si="41"/>
        <v>0</v>
      </c>
      <c r="H175" s="216">
        <f t="shared" si="38"/>
        <v>6467593.8997482685</v>
      </c>
      <c r="I175" s="217">
        <v>0</v>
      </c>
      <c r="J175" s="216">
        <v>7241714.589999998</v>
      </c>
      <c r="K175" s="216">
        <v>0</v>
      </c>
      <c r="L175" s="216">
        <v>0</v>
      </c>
      <c r="M175" s="208">
        <f t="shared" si="30"/>
        <v>0</v>
      </c>
      <c r="N175" s="208">
        <f t="shared" si="30"/>
        <v>7241714.589999998</v>
      </c>
      <c r="O175" s="208">
        <f t="shared" si="34"/>
        <v>7241714.589999998</v>
      </c>
      <c r="P175" s="216">
        <v>0</v>
      </c>
      <c r="Q175" s="208">
        <f t="shared" si="35"/>
        <v>7241714.589999998</v>
      </c>
      <c r="R175" s="216">
        <f t="shared" si="31"/>
        <v>-774120.69025172945</v>
      </c>
      <c r="S175" s="216">
        <v>-1197786.1505149761</v>
      </c>
      <c r="T175" s="216">
        <f t="shared" si="32"/>
        <v>0</v>
      </c>
      <c r="U175" s="216">
        <f t="shared" si="33"/>
        <v>-774120.69025172945</v>
      </c>
      <c r="V175" s="216">
        <v>0</v>
      </c>
      <c r="W175" s="216">
        <v>0</v>
      </c>
      <c r="X175" s="216">
        <f t="shared" si="36"/>
        <v>0</v>
      </c>
      <c r="Y175" s="216">
        <f t="shared" si="39"/>
        <v>0</v>
      </c>
      <c r="Z175" s="216">
        <f t="shared" si="40"/>
        <v>-774120.69025172945</v>
      </c>
      <c r="AA175" s="216">
        <v>0</v>
      </c>
      <c r="AB175" s="219">
        <v>2257764.73</v>
      </c>
      <c r="AC175" s="222">
        <f t="shared" si="37"/>
        <v>-6.3537193451096492</v>
      </c>
    </row>
    <row r="176" spans="1:31" s="213" customFormat="1" ht="15.95" customHeight="1">
      <c r="A176" s="214" t="s">
        <v>968</v>
      </c>
      <c r="B176" s="215">
        <v>8939270.0736072399</v>
      </c>
      <c r="C176" s="207">
        <v>163007.58884798747</v>
      </c>
      <c r="D176" s="216">
        <f t="shared" si="42"/>
        <v>9102277.6624552272</v>
      </c>
      <c r="E176" s="217">
        <v>0</v>
      </c>
      <c r="F176" s="218">
        <v>0</v>
      </c>
      <c r="G176" s="216">
        <f t="shared" si="41"/>
        <v>0</v>
      </c>
      <c r="H176" s="216">
        <f t="shared" si="38"/>
        <v>9102277.6624552272</v>
      </c>
      <c r="I176" s="217">
        <v>0</v>
      </c>
      <c r="J176" s="216">
        <v>7671781.3199999994</v>
      </c>
      <c r="K176" s="216">
        <v>0</v>
      </c>
      <c r="L176" s="216">
        <v>0</v>
      </c>
      <c r="M176" s="208">
        <f t="shared" si="30"/>
        <v>0</v>
      </c>
      <c r="N176" s="208">
        <f t="shared" si="30"/>
        <v>7671781.3199999994</v>
      </c>
      <c r="O176" s="208">
        <f t="shared" si="34"/>
        <v>7671781.3199999994</v>
      </c>
      <c r="P176" s="216">
        <v>0</v>
      </c>
      <c r="Q176" s="208">
        <f t="shared" si="35"/>
        <v>7671781.3199999994</v>
      </c>
      <c r="R176" s="216">
        <f t="shared" si="31"/>
        <v>0</v>
      </c>
      <c r="S176" s="216">
        <v>0</v>
      </c>
      <c r="T176" s="216">
        <f t="shared" si="32"/>
        <v>1430496.3424552279</v>
      </c>
      <c r="U176" s="216">
        <f t="shared" si="33"/>
        <v>1430496.3424552279</v>
      </c>
      <c r="V176" s="216">
        <v>0</v>
      </c>
      <c r="W176" s="216">
        <v>0</v>
      </c>
      <c r="X176" s="216">
        <f t="shared" si="36"/>
        <v>0</v>
      </c>
      <c r="Y176" s="216">
        <f t="shared" si="39"/>
        <v>1430496.3424552279</v>
      </c>
      <c r="Z176" s="216">
        <f t="shared" si="40"/>
        <v>0</v>
      </c>
      <c r="AA176" s="216">
        <v>0</v>
      </c>
      <c r="AB176" s="219">
        <v>2065010.99</v>
      </c>
      <c r="AC176" s="216">
        <f t="shared" si="37"/>
        <v>0</v>
      </c>
    </row>
    <row r="177" spans="1:29" s="213" customFormat="1" ht="15.95" customHeight="1">
      <c r="A177" s="214" t="s">
        <v>438</v>
      </c>
      <c r="B177" s="215">
        <v>25784133.696107231</v>
      </c>
      <c r="C177" s="207">
        <v>477521.91036432714</v>
      </c>
      <c r="D177" s="216">
        <f t="shared" si="42"/>
        <v>26261655.606471557</v>
      </c>
      <c r="E177" s="217">
        <v>250000</v>
      </c>
      <c r="F177" s="218">
        <v>0</v>
      </c>
      <c r="G177" s="216">
        <f t="shared" si="41"/>
        <v>250000</v>
      </c>
      <c r="H177" s="216">
        <f t="shared" si="38"/>
        <v>26511655.606471557</v>
      </c>
      <c r="I177" s="217">
        <v>0</v>
      </c>
      <c r="J177" s="216">
        <v>21475939.129999999</v>
      </c>
      <c r="K177" s="216">
        <v>0</v>
      </c>
      <c r="L177" s="216">
        <v>0</v>
      </c>
      <c r="M177" s="208">
        <f t="shared" si="30"/>
        <v>0</v>
      </c>
      <c r="N177" s="208">
        <f t="shared" si="30"/>
        <v>21475939.129999999</v>
      </c>
      <c r="O177" s="208">
        <f t="shared" si="34"/>
        <v>21475939.129999999</v>
      </c>
      <c r="P177" s="216">
        <v>560150.12000000011</v>
      </c>
      <c r="Q177" s="208">
        <f t="shared" si="35"/>
        <v>22036089.25</v>
      </c>
      <c r="R177" s="216">
        <f t="shared" si="31"/>
        <v>0</v>
      </c>
      <c r="S177" s="216">
        <v>0</v>
      </c>
      <c r="T177" s="216">
        <f t="shared" si="32"/>
        <v>4475566.3564715572</v>
      </c>
      <c r="U177" s="216">
        <f t="shared" si="33"/>
        <v>4475566.3564715572</v>
      </c>
      <c r="V177" s="216">
        <v>4139849.88</v>
      </c>
      <c r="W177" s="213">
        <v>0</v>
      </c>
      <c r="X177" s="216">
        <f t="shared" si="36"/>
        <v>4139849.88</v>
      </c>
      <c r="Y177" s="216">
        <f t="shared" si="39"/>
        <v>335716.47647155728</v>
      </c>
      <c r="Z177" s="216">
        <f t="shared" si="40"/>
        <v>0</v>
      </c>
      <c r="AA177" s="216">
        <v>0</v>
      </c>
      <c r="AB177" s="219">
        <v>7429239.7800000003</v>
      </c>
      <c r="AC177" s="216">
        <f t="shared" si="37"/>
        <v>0</v>
      </c>
    </row>
    <row r="178" spans="1:29" s="213" customFormat="1" ht="15.95" customHeight="1">
      <c r="A178" s="214" t="s">
        <v>911</v>
      </c>
      <c r="B178" s="215">
        <v>4201914.6951903049</v>
      </c>
      <c r="C178" s="207">
        <v>63471.475755701162</v>
      </c>
      <c r="D178" s="216">
        <f t="shared" si="42"/>
        <v>4265386.1709460057</v>
      </c>
      <c r="E178" s="217">
        <v>3500926</v>
      </c>
      <c r="F178" s="218">
        <v>0</v>
      </c>
      <c r="G178" s="216">
        <f t="shared" si="41"/>
        <v>3500926</v>
      </c>
      <c r="H178" s="216">
        <f t="shared" si="38"/>
        <v>7766312.1709460057</v>
      </c>
      <c r="I178" s="217">
        <v>0</v>
      </c>
      <c r="J178" s="216">
        <v>7395322.71</v>
      </c>
      <c r="K178" s="216">
        <v>0</v>
      </c>
      <c r="L178" s="216">
        <v>0</v>
      </c>
      <c r="M178" s="208">
        <f t="shared" si="30"/>
        <v>0</v>
      </c>
      <c r="N178" s="208">
        <f t="shared" si="30"/>
        <v>7395322.71</v>
      </c>
      <c r="O178" s="208">
        <f t="shared" si="34"/>
        <v>7395322.71</v>
      </c>
      <c r="P178" s="216">
        <v>0</v>
      </c>
      <c r="Q178" s="208">
        <f t="shared" si="35"/>
        <v>7395322.71</v>
      </c>
      <c r="R178" s="216">
        <f t="shared" si="31"/>
        <v>0</v>
      </c>
      <c r="S178" s="216">
        <v>0</v>
      </c>
      <c r="T178" s="216">
        <f t="shared" si="32"/>
        <v>370989.46094600577</v>
      </c>
      <c r="U178" s="216">
        <f t="shared" si="33"/>
        <v>370989.46094600577</v>
      </c>
      <c r="V178" s="216">
        <v>0</v>
      </c>
      <c r="W178" s="216">
        <v>0</v>
      </c>
      <c r="X178" s="216">
        <f t="shared" si="36"/>
        <v>0</v>
      </c>
      <c r="Y178" s="216">
        <f t="shared" si="39"/>
        <v>370989.46094600577</v>
      </c>
      <c r="Z178" s="216">
        <f t="shared" si="40"/>
        <v>0</v>
      </c>
      <c r="AA178" s="216">
        <v>0</v>
      </c>
      <c r="AB178" s="219">
        <v>0</v>
      </c>
      <c r="AC178" s="216">
        <f t="shared" si="37"/>
        <v>0</v>
      </c>
    </row>
    <row r="179" spans="1:29" s="213" customFormat="1" ht="15.95" customHeight="1">
      <c r="A179" s="214" t="s">
        <v>633</v>
      </c>
      <c r="B179" s="215">
        <v>5962626.039968661</v>
      </c>
      <c r="C179" s="207">
        <v>101390.22176302057</v>
      </c>
      <c r="D179" s="216">
        <f t="shared" si="42"/>
        <v>6064016.2617316814</v>
      </c>
      <c r="E179" s="217">
        <v>0</v>
      </c>
      <c r="F179" s="218">
        <v>0</v>
      </c>
      <c r="G179" s="216">
        <f t="shared" si="41"/>
        <v>0</v>
      </c>
      <c r="H179" s="216">
        <f t="shared" si="38"/>
        <v>6064016.2617316814</v>
      </c>
      <c r="I179" s="217">
        <v>0</v>
      </c>
      <c r="J179" s="216">
        <v>4952175.8499999996</v>
      </c>
      <c r="K179" s="216">
        <v>0</v>
      </c>
      <c r="L179" s="216">
        <v>0</v>
      </c>
      <c r="M179" s="208">
        <f t="shared" si="30"/>
        <v>0</v>
      </c>
      <c r="N179" s="208">
        <f t="shared" si="30"/>
        <v>4952175.8499999996</v>
      </c>
      <c r="O179" s="208">
        <f t="shared" si="34"/>
        <v>4952175.8499999996</v>
      </c>
      <c r="P179" s="216">
        <v>0</v>
      </c>
      <c r="Q179" s="208">
        <f t="shared" si="35"/>
        <v>4952175.8499999996</v>
      </c>
      <c r="R179" s="216">
        <f t="shared" si="31"/>
        <v>0</v>
      </c>
      <c r="S179" s="216">
        <v>0</v>
      </c>
      <c r="T179" s="216">
        <f t="shared" si="32"/>
        <v>1111840.4117316818</v>
      </c>
      <c r="U179" s="216">
        <f t="shared" si="33"/>
        <v>1111840.4117316818</v>
      </c>
      <c r="V179" s="216">
        <v>0</v>
      </c>
      <c r="W179" s="216">
        <v>0</v>
      </c>
      <c r="X179" s="216">
        <f t="shared" si="36"/>
        <v>0</v>
      </c>
      <c r="Y179" s="216">
        <f t="shared" si="39"/>
        <v>1111840.4117316818</v>
      </c>
      <c r="Z179" s="216">
        <f t="shared" si="40"/>
        <v>0</v>
      </c>
      <c r="AA179" s="216">
        <v>0</v>
      </c>
      <c r="AB179" s="219">
        <v>1553147.17</v>
      </c>
      <c r="AC179" s="216">
        <f t="shared" si="37"/>
        <v>0</v>
      </c>
    </row>
    <row r="180" spans="1:29" s="213" customFormat="1" ht="15.95" customHeight="1">
      <c r="A180" s="214" t="s">
        <v>853</v>
      </c>
      <c r="B180" s="215">
        <v>2415823.1511799628</v>
      </c>
      <c r="C180" s="207">
        <v>52529.912962864568</v>
      </c>
      <c r="D180" s="216">
        <f t="shared" si="42"/>
        <v>2468353.0641428274</v>
      </c>
      <c r="E180" s="217">
        <v>0</v>
      </c>
      <c r="F180" s="218">
        <v>0</v>
      </c>
      <c r="G180" s="216">
        <f t="shared" si="41"/>
        <v>0</v>
      </c>
      <c r="H180" s="216">
        <f t="shared" si="38"/>
        <v>2468353.0641428274</v>
      </c>
      <c r="I180" s="217">
        <v>0</v>
      </c>
      <c r="J180" s="216">
        <v>1208298.8400000001</v>
      </c>
      <c r="K180" s="216">
        <v>0</v>
      </c>
      <c r="L180" s="216">
        <v>0</v>
      </c>
      <c r="M180" s="208">
        <f t="shared" si="30"/>
        <v>0</v>
      </c>
      <c r="N180" s="208">
        <f t="shared" si="30"/>
        <v>1208298.8400000001</v>
      </c>
      <c r="O180" s="208">
        <f t="shared" si="34"/>
        <v>1208298.8400000001</v>
      </c>
      <c r="P180" s="216">
        <v>50736.590000000004</v>
      </c>
      <c r="Q180" s="208">
        <f t="shared" si="35"/>
        <v>1259035.4300000002</v>
      </c>
      <c r="R180" s="216">
        <f t="shared" si="31"/>
        <v>0</v>
      </c>
      <c r="S180" s="216">
        <v>0</v>
      </c>
      <c r="T180" s="216">
        <f t="shared" si="32"/>
        <v>1209317.6341428272</v>
      </c>
      <c r="U180" s="216">
        <f t="shared" si="33"/>
        <v>1209317.6341428272</v>
      </c>
      <c r="V180" s="216">
        <v>0</v>
      </c>
      <c r="W180" s="216">
        <v>1349263.41</v>
      </c>
      <c r="X180" s="216">
        <f t="shared" si="36"/>
        <v>1349263.41</v>
      </c>
      <c r="Y180" s="216">
        <f t="shared" si="39"/>
        <v>0</v>
      </c>
      <c r="Z180" s="216">
        <f t="shared" si="40"/>
        <v>-139945.77585717267</v>
      </c>
      <c r="AA180" s="216">
        <v>1700000</v>
      </c>
      <c r="AB180" s="221">
        <v>0</v>
      </c>
      <c r="AC180" s="216">
        <f t="shared" si="37"/>
        <v>-2.6641158906184703</v>
      </c>
    </row>
    <row r="181" spans="1:29" s="213" customFormat="1" ht="15.95" customHeight="1">
      <c r="A181" s="214" t="s">
        <v>102</v>
      </c>
      <c r="B181" s="215">
        <v>1069529.9675354776</v>
      </c>
      <c r="C181" s="207">
        <v>19249.574171460714</v>
      </c>
      <c r="D181" s="216">
        <f t="shared" si="42"/>
        <v>1088779.5417069383</v>
      </c>
      <c r="E181" s="217">
        <v>-53632</v>
      </c>
      <c r="F181" s="218">
        <v>0</v>
      </c>
      <c r="G181" s="216">
        <f t="shared" si="41"/>
        <v>-53632</v>
      </c>
      <c r="H181" s="216">
        <f t="shared" si="38"/>
        <v>1035147.5417069383</v>
      </c>
      <c r="I181" s="217">
        <v>0</v>
      </c>
      <c r="J181" s="216">
        <v>278609</v>
      </c>
      <c r="K181" s="216">
        <v>0</v>
      </c>
      <c r="L181" s="216">
        <v>0</v>
      </c>
      <c r="M181" s="208">
        <f t="shared" si="30"/>
        <v>0</v>
      </c>
      <c r="N181" s="208">
        <f t="shared" si="30"/>
        <v>278609</v>
      </c>
      <c r="O181" s="208">
        <f t="shared" si="34"/>
        <v>278609</v>
      </c>
      <c r="P181" s="216">
        <v>0</v>
      </c>
      <c r="Q181" s="208">
        <f t="shared" si="35"/>
        <v>278609</v>
      </c>
      <c r="R181" s="216">
        <f t="shared" si="31"/>
        <v>0</v>
      </c>
      <c r="S181" s="216">
        <v>0</v>
      </c>
      <c r="T181" s="216">
        <f t="shared" si="32"/>
        <v>756538.5417069383</v>
      </c>
      <c r="U181" s="216">
        <f t="shared" si="33"/>
        <v>756538.5417069383</v>
      </c>
      <c r="V181" s="216">
        <v>0</v>
      </c>
      <c r="W181" s="216">
        <v>0</v>
      </c>
      <c r="X181" s="216">
        <f t="shared" si="36"/>
        <v>0</v>
      </c>
      <c r="Y181" s="216">
        <f t="shared" si="39"/>
        <v>756538.5417069383</v>
      </c>
      <c r="Z181" s="216">
        <f t="shared" si="40"/>
        <v>0</v>
      </c>
      <c r="AA181" s="216">
        <v>800000</v>
      </c>
      <c r="AB181" s="219">
        <v>61786</v>
      </c>
      <c r="AC181" s="216">
        <f t="shared" si="37"/>
        <v>0</v>
      </c>
    </row>
    <row r="182" spans="1:29" s="213" customFormat="1" ht="15.95" customHeight="1">
      <c r="A182" s="214" t="s">
        <v>107</v>
      </c>
      <c r="B182" s="215">
        <v>194867.06911240958</v>
      </c>
      <c r="C182" s="207">
        <v>3722.97927975329</v>
      </c>
      <c r="D182" s="216">
        <f t="shared" si="42"/>
        <v>198590.04839216286</v>
      </c>
      <c r="E182" s="217">
        <v>-19843</v>
      </c>
      <c r="F182" s="218">
        <v>0</v>
      </c>
      <c r="G182" s="216">
        <f t="shared" si="41"/>
        <v>-19843</v>
      </c>
      <c r="H182" s="216">
        <f t="shared" si="38"/>
        <v>178747.04839216286</v>
      </c>
      <c r="I182" s="217">
        <v>0</v>
      </c>
      <c r="J182" s="216">
        <v>0</v>
      </c>
      <c r="K182" s="216">
        <v>0</v>
      </c>
      <c r="L182" s="216">
        <v>0</v>
      </c>
      <c r="M182" s="208">
        <f t="shared" si="30"/>
        <v>0</v>
      </c>
      <c r="N182" s="208">
        <f t="shared" si="30"/>
        <v>0</v>
      </c>
      <c r="O182" s="208">
        <f t="shared" si="34"/>
        <v>0</v>
      </c>
      <c r="P182" s="216">
        <v>0</v>
      </c>
      <c r="Q182" s="208">
        <f t="shared" si="35"/>
        <v>0</v>
      </c>
      <c r="R182" s="216">
        <f t="shared" si="31"/>
        <v>0</v>
      </c>
      <c r="S182" s="216">
        <v>0</v>
      </c>
      <c r="T182" s="216">
        <f t="shared" si="32"/>
        <v>178747.04839216286</v>
      </c>
      <c r="U182" s="216">
        <f t="shared" si="33"/>
        <v>178747.04839216286</v>
      </c>
      <c r="V182" s="216">
        <v>0</v>
      </c>
      <c r="W182" s="216">
        <v>0</v>
      </c>
      <c r="X182" s="216">
        <f t="shared" si="36"/>
        <v>0</v>
      </c>
      <c r="Y182" s="216">
        <f t="shared" si="39"/>
        <v>178747.04839216286</v>
      </c>
      <c r="Z182" s="216">
        <f t="shared" si="40"/>
        <v>0</v>
      </c>
      <c r="AA182" s="216">
        <v>0</v>
      </c>
      <c r="AB182" s="219">
        <v>0</v>
      </c>
      <c r="AC182" s="216">
        <f t="shared" si="37"/>
        <v>0</v>
      </c>
    </row>
    <row r="183" spans="1:29" s="213" customFormat="1" ht="15.95" customHeight="1">
      <c r="A183" s="214" t="s">
        <v>111</v>
      </c>
      <c r="B183" s="215">
        <v>1605403.9855513114</v>
      </c>
      <c r="C183" s="207">
        <v>28398.660605358575</v>
      </c>
      <c r="D183" s="216">
        <f t="shared" si="42"/>
        <v>1633802.6461566701</v>
      </c>
      <c r="E183" s="217">
        <v>0</v>
      </c>
      <c r="F183" s="218">
        <v>0</v>
      </c>
      <c r="G183" s="216">
        <f t="shared" si="41"/>
        <v>0</v>
      </c>
      <c r="H183" s="216">
        <f t="shared" si="38"/>
        <v>1633802.6461566701</v>
      </c>
      <c r="I183" s="217">
        <v>0</v>
      </c>
      <c r="J183" s="216">
        <v>1025102.43</v>
      </c>
      <c r="K183" s="216">
        <v>0</v>
      </c>
      <c r="L183" s="216">
        <v>0</v>
      </c>
      <c r="M183" s="208">
        <f t="shared" si="30"/>
        <v>0</v>
      </c>
      <c r="N183" s="208">
        <f t="shared" si="30"/>
        <v>1025102.43</v>
      </c>
      <c r="O183" s="208">
        <f t="shared" si="34"/>
        <v>1025102.43</v>
      </c>
      <c r="P183" s="216">
        <v>0</v>
      </c>
      <c r="Q183" s="208">
        <f t="shared" si="35"/>
        <v>1025102.43</v>
      </c>
      <c r="R183" s="216">
        <f t="shared" si="31"/>
        <v>0</v>
      </c>
      <c r="S183" s="216">
        <v>0</v>
      </c>
      <c r="T183" s="216">
        <f t="shared" si="32"/>
        <v>608700.21615667001</v>
      </c>
      <c r="U183" s="216">
        <f t="shared" si="33"/>
        <v>608700.21615667001</v>
      </c>
      <c r="V183" s="216">
        <v>0</v>
      </c>
      <c r="W183" s="216">
        <v>0</v>
      </c>
      <c r="X183" s="216">
        <f t="shared" si="36"/>
        <v>0</v>
      </c>
      <c r="Y183" s="216">
        <f t="shared" si="39"/>
        <v>608700.21615667001</v>
      </c>
      <c r="Z183" s="216">
        <f t="shared" si="40"/>
        <v>0</v>
      </c>
      <c r="AA183" s="216">
        <v>0</v>
      </c>
      <c r="AB183" s="221">
        <v>0</v>
      </c>
      <c r="AC183" s="216">
        <f t="shared" si="37"/>
        <v>0</v>
      </c>
    </row>
    <row r="184" spans="1:29" s="213" customFormat="1" ht="15.95" customHeight="1">
      <c r="A184" s="214" t="s">
        <v>135</v>
      </c>
      <c r="B184" s="215">
        <v>15522257.321692729</v>
      </c>
      <c r="C184" s="207">
        <v>294399.73751357116</v>
      </c>
      <c r="D184" s="216">
        <f t="shared" si="42"/>
        <v>15816657.059206301</v>
      </c>
      <c r="E184" s="217">
        <v>-8071132</v>
      </c>
      <c r="F184" s="218">
        <v>0</v>
      </c>
      <c r="G184" s="216">
        <f t="shared" si="41"/>
        <v>-8071132</v>
      </c>
      <c r="H184" s="216">
        <f t="shared" si="38"/>
        <v>7745525.0592063013</v>
      </c>
      <c r="I184" s="217">
        <v>0</v>
      </c>
      <c r="J184" s="216">
        <v>2366264.5699999998</v>
      </c>
      <c r="K184" s="216">
        <v>0</v>
      </c>
      <c r="L184" s="216">
        <v>0</v>
      </c>
      <c r="M184" s="208">
        <f t="shared" si="30"/>
        <v>0</v>
      </c>
      <c r="N184" s="208">
        <f t="shared" si="30"/>
        <v>2366264.5699999998</v>
      </c>
      <c r="O184" s="208">
        <f t="shared" si="34"/>
        <v>2366264.5699999998</v>
      </c>
      <c r="P184" s="216">
        <v>0</v>
      </c>
      <c r="Q184" s="208">
        <f t="shared" si="35"/>
        <v>2366264.5699999998</v>
      </c>
      <c r="R184" s="216">
        <f t="shared" si="31"/>
        <v>0</v>
      </c>
      <c r="S184" s="216">
        <v>0</v>
      </c>
      <c r="T184" s="216">
        <f t="shared" si="32"/>
        <v>5379260.489206301</v>
      </c>
      <c r="U184" s="216">
        <f t="shared" si="33"/>
        <v>5379260.489206301</v>
      </c>
      <c r="V184" s="216">
        <v>0</v>
      </c>
      <c r="W184" s="216">
        <v>0</v>
      </c>
      <c r="X184" s="216">
        <f t="shared" si="36"/>
        <v>0</v>
      </c>
      <c r="Y184" s="216">
        <f t="shared" si="39"/>
        <v>5379260.489206301</v>
      </c>
      <c r="Z184" s="216">
        <f t="shared" si="40"/>
        <v>0</v>
      </c>
      <c r="AA184" s="216">
        <v>6800000</v>
      </c>
      <c r="AB184" s="219">
        <v>0</v>
      </c>
      <c r="AC184" s="216">
        <f t="shared" si="37"/>
        <v>0</v>
      </c>
    </row>
    <row r="185" spans="1:29" s="213" customFormat="1" ht="15.95" customHeight="1">
      <c r="A185" s="214" t="s">
        <v>142</v>
      </c>
      <c r="B185" s="215">
        <v>2670010.0760034211</v>
      </c>
      <c r="C185" s="207">
        <v>49410.010744425424</v>
      </c>
      <c r="D185" s="216">
        <f t="shared" si="42"/>
        <v>2719420.0867478466</v>
      </c>
      <c r="E185" s="217">
        <v>-2016519</v>
      </c>
      <c r="F185" s="218">
        <v>0</v>
      </c>
      <c r="G185" s="216">
        <f t="shared" si="41"/>
        <v>-2016519</v>
      </c>
      <c r="H185" s="216">
        <f t="shared" si="38"/>
        <v>702901.08674784657</v>
      </c>
      <c r="I185" s="217">
        <v>0</v>
      </c>
      <c r="J185" s="216">
        <v>169819</v>
      </c>
      <c r="K185" s="216">
        <v>0</v>
      </c>
      <c r="L185" s="216">
        <v>0</v>
      </c>
      <c r="M185" s="208">
        <f t="shared" si="30"/>
        <v>0</v>
      </c>
      <c r="N185" s="208">
        <f t="shared" si="30"/>
        <v>169819</v>
      </c>
      <c r="O185" s="208">
        <f t="shared" si="34"/>
        <v>169819</v>
      </c>
      <c r="P185" s="216">
        <v>0</v>
      </c>
      <c r="Q185" s="208">
        <f t="shared" si="35"/>
        <v>169819</v>
      </c>
      <c r="R185" s="216">
        <f t="shared" si="31"/>
        <v>0</v>
      </c>
      <c r="S185" s="216">
        <v>0</v>
      </c>
      <c r="T185" s="216">
        <f t="shared" si="32"/>
        <v>533082.08674784657</v>
      </c>
      <c r="U185" s="216">
        <f t="shared" si="33"/>
        <v>533082.08674784657</v>
      </c>
      <c r="V185" s="216">
        <v>0</v>
      </c>
      <c r="W185" s="216">
        <v>0</v>
      </c>
      <c r="X185" s="216">
        <f t="shared" si="36"/>
        <v>0</v>
      </c>
      <c r="Y185" s="216">
        <f t="shared" si="39"/>
        <v>533082.08674784657</v>
      </c>
      <c r="Z185" s="216">
        <f t="shared" si="40"/>
        <v>0</v>
      </c>
      <c r="AA185" s="216">
        <v>0</v>
      </c>
      <c r="AB185" s="219">
        <v>0</v>
      </c>
      <c r="AC185" s="216">
        <f t="shared" si="37"/>
        <v>0</v>
      </c>
    </row>
    <row r="186" spans="1:29" s="224" customFormat="1" ht="15.95" customHeight="1">
      <c r="A186" s="214" t="s">
        <v>469</v>
      </c>
      <c r="B186" s="215">
        <v>135271209.25554118</v>
      </c>
      <c r="C186" s="207">
        <v>2331628.3778865417</v>
      </c>
      <c r="D186" s="216">
        <f t="shared" si="42"/>
        <v>137602837.63342771</v>
      </c>
      <c r="E186" s="217">
        <v>-22037746</v>
      </c>
      <c r="F186" s="218">
        <v>0</v>
      </c>
      <c r="G186" s="216">
        <f t="shared" si="41"/>
        <v>-22037746</v>
      </c>
      <c r="H186" s="216">
        <f t="shared" si="38"/>
        <v>115565091.63342771</v>
      </c>
      <c r="I186" s="217">
        <v>0</v>
      </c>
      <c r="J186" s="216">
        <v>74373863</v>
      </c>
      <c r="K186" s="216">
        <v>0</v>
      </c>
      <c r="L186" s="216">
        <v>0</v>
      </c>
      <c r="M186" s="208">
        <f t="shared" si="30"/>
        <v>0</v>
      </c>
      <c r="N186" s="208">
        <f t="shared" si="30"/>
        <v>74373863</v>
      </c>
      <c r="O186" s="208">
        <f t="shared" si="34"/>
        <v>74373863</v>
      </c>
      <c r="P186" s="216">
        <v>7115567.8700000001</v>
      </c>
      <c r="Q186" s="208">
        <f t="shared" si="35"/>
        <v>81489430.870000005</v>
      </c>
      <c r="R186" s="216">
        <f t="shared" si="31"/>
        <v>0</v>
      </c>
      <c r="S186" s="216">
        <v>0</v>
      </c>
      <c r="T186" s="216">
        <f t="shared" si="32"/>
        <v>34075660.763427705</v>
      </c>
      <c r="U186" s="216">
        <f t="shared" si="33"/>
        <v>34075660.763427705</v>
      </c>
      <c r="V186" s="228">
        <v>957446.31999999983</v>
      </c>
      <c r="W186" s="216">
        <v>3149003.1</v>
      </c>
      <c r="X186" s="216">
        <f t="shared" si="36"/>
        <v>4106449.42</v>
      </c>
      <c r="Y186" s="216">
        <f t="shared" si="39"/>
        <v>29969211.343427703</v>
      </c>
      <c r="Z186" s="216">
        <f t="shared" si="40"/>
        <v>0</v>
      </c>
      <c r="AA186" s="216">
        <v>9700000</v>
      </c>
      <c r="AB186" s="223">
        <v>6770410.3099999996</v>
      </c>
      <c r="AC186" s="216">
        <f t="shared" si="37"/>
        <v>0</v>
      </c>
    </row>
    <row r="187" spans="1:29" s="213" customFormat="1" ht="15.95" customHeight="1">
      <c r="A187" s="214" t="s">
        <v>503</v>
      </c>
      <c r="B187" s="215">
        <v>7418.732486617535</v>
      </c>
      <c r="C187" s="207">
        <v>105.38472495232477</v>
      </c>
      <c r="D187" s="216">
        <f t="shared" si="42"/>
        <v>7524.11721156986</v>
      </c>
      <c r="E187" s="217">
        <v>-557</v>
      </c>
      <c r="F187" s="218">
        <v>0</v>
      </c>
      <c r="G187" s="216">
        <f t="shared" si="41"/>
        <v>-557</v>
      </c>
      <c r="H187" s="216">
        <f t="shared" si="38"/>
        <v>6967.11721156986</v>
      </c>
      <c r="I187" s="217">
        <v>0</v>
      </c>
      <c r="J187" s="216">
        <v>0</v>
      </c>
      <c r="K187" s="216">
        <v>0</v>
      </c>
      <c r="L187" s="216">
        <v>0</v>
      </c>
      <c r="M187" s="208">
        <f t="shared" si="30"/>
        <v>0</v>
      </c>
      <c r="N187" s="208">
        <f t="shared" si="30"/>
        <v>0</v>
      </c>
      <c r="O187" s="208">
        <f t="shared" si="34"/>
        <v>0</v>
      </c>
      <c r="P187" s="216">
        <v>0</v>
      </c>
      <c r="Q187" s="208">
        <f t="shared" si="35"/>
        <v>0</v>
      </c>
      <c r="R187" s="216">
        <f t="shared" si="31"/>
        <v>0</v>
      </c>
      <c r="S187" s="216">
        <v>0</v>
      </c>
      <c r="T187" s="216">
        <f t="shared" si="32"/>
        <v>6967.11721156986</v>
      </c>
      <c r="U187" s="216">
        <f t="shared" si="33"/>
        <v>6967.11721156986</v>
      </c>
      <c r="V187" s="216">
        <v>0</v>
      </c>
      <c r="W187" s="216">
        <v>0</v>
      </c>
      <c r="X187" s="216">
        <f t="shared" si="36"/>
        <v>0</v>
      </c>
      <c r="Y187" s="216">
        <f t="shared" si="39"/>
        <v>6967.11721156986</v>
      </c>
      <c r="Z187" s="216">
        <f t="shared" si="40"/>
        <v>0</v>
      </c>
      <c r="AA187" s="216">
        <v>0</v>
      </c>
      <c r="AB187" s="219">
        <v>0</v>
      </c>
      <c r="AC187" s="216">
        <f t="shared" si="37"/>
        <v>0</v>
      </c>
    </row>
    <row r="188" spans="1:29" s="213" customFormat="1" ht="15.95" customHeight="1">
      <c r="A188" s="214" t="s">
        <v>510</v>
      </c>
      <c r="B188" s="215">
        <v>1496221.0899486342</v>
      </c>
      <c r="C188" s="207">
        <v>24932.946085770025</v>
      </c>
      <c r="D188" s="216">
        <f t="shared" si="42"/>
        <v>1521154.0360344041</v>
      </c>
      <c r="E188" s="217">
        <v>-300276</v>
      </c>
      <c r="F188" s="218">
        <v>0</v>
      </c>
      <c r="G188" s="216">
        <f t="shared" si="41"/>
        <v>-300276</v>
      </c>
      <c r="H188" s="216">
        <f t="shared" si="38"/>
        <v>1220878.0360344041</v>
      </c>
      <c r="I188" s="217">
        <v>0</v>
      </c>
      <c r="J188" s="216">
        <v>1023208.55</v>
      </c>
      <c r="K188" s="216">
        <v>0</v>
      </c>
      <c r="L188" s="216">
        <v>0</v>
      </c>
      <c r="M188" s="208">
        <f t="shared" si="30"/>
        <v>0</v>
      </c>
      <c r="N188" s="208">
        <f t="shared" si="30"/>
        <v>1023208.55</v>
      </c>
      <c r="O188" s="208">
        <f t="shared" si="34"/>
        <v>1023208.55</v>
      </c>
      <c r="P188" s="216">
        <v>0</v>
      </c>
      <c r="Q188" s="208">
        <f t="shared" si="35"/>
        <v>1023208.55</v>
      </c>
      <c r="R188" s="216">
        <f t="shared" si="31"/>
        <v>0</v>
      </c>
      <c r="S188" s="216">
        <v>0</v>
      </c>
      <c r="T188" s="216">
        <f t="shared" si="32"/>
        <v>197669.48603440402</v>
      </c>
      <c r="U188" s="216">
        <f t="shared" si="33"/>
        <v>197669.48603440402</v>
      </c>
      <c r="V188" s="216">
        <v>0</v>
      </c>
      <c r="W188" s="216">
        <v>0</v>
      </c>
      <c r="X188" s="216">
        <f t="shared" si="36"/>
        <v>0</v>
      </c>
      <c r="Y188" s="216">
        <f t="shared" si="39"/>
        <v>197669.48603440402</v>
      </c>
      <c r="Z188" s="216">
        <f t="shared" si="40"/>
        <v>0</v>
      </c>
      <c r="AA188" s="216">
        <v>0</v>
      </c>
      <c r="AB188" s="221">
        <v>0</v>
      </c>
      <c r="AC188" s="216">
        <f t="shared" si="37"/>
        <v>0</v>
      </c>
    </row>
    <row r="189" spans="1:29" s="213" customFormat="1" ht="15.95" customHeight="1">
      <c r="A189" s="214" t="s">
        <v>647</v>
      </c>
      <c r="B189" s="215">
        <v>17454071.699924998</v>
      </c>
      <c r="C189" s="207">
        <v>275767.558081005</v>
      </c>
      <c r="D189" s="216">
        <f t="shared" si="42"/>
        <v>17729839.258006003</v>
      </c>
      <c r="E189" s="217">
        <v>-262694</v>
      </c>
      <c r="F189" s="218">
        <v>0</v>
      </c>
      <c r="G189" s="216">
        <f t="shared" si="41"/>
        <v>-262694</v>
      </c>
      <c r="H189" s="216">
        <f t="shared" si="38"/>
        <v>17467145.258006003</v>
      </c>
      <c r="I189" s="217">
        <v>0</v>
      </c>
      <c r="J189" s="216">
        <v>10395092.709999999</v>
      </c>
      <c r="K189" s="216">
        <v>0</v>
      </c>
      <c r="L189" s="216">
        <v>0</v>
      </c>
      <c r="M189" s="208">
        <f t="shared" si="30"/>
        <v>0</v>
      </c>
      <c r="N189" s="208">
        <f t="shared" si="30"/>
        <v>10395092.709999999</v>
      </c>
      <c r="O189" s="208">
        <f t="shared" si="34"/>
        <v>10395092.709999999</v>
      </c>
      <c r="P189" s="216">
        <v>638680.62</v>
      </c>
      <c r="Q189" s="208">
        <f t="shared" si="35"/>
        <v>11033773.329999998</v>
      </c>
      <c r="R189" s="216">
        <f t="shared" si="31"/>
        <v>0</v>
      </c>
      <c r="S189" s="216">
        <v>0</v>
      </c>
      <c r="T189" s="216">
        <f t="shared" si="32"/>
        <v>6433371.9280060045</v>
      </c>
      <c r="U189" s="216">
        <f t="shared" si="33"/>
        <v>6433371.9280060045</v>
      </c>
      <c r="V189" s="216">
        <v>0</v>
      </c>
      <c r="W189" s="216">
        <v>6073319.3799999999</v>
      </c>
      <c r="X189" s="216">
        <f t="shared" si="36"/>
        <v>6073319.3799999999</v>
      </c>
      <c r="Y189" s="216">
        <f t="shared" si="39"/>
        <v>360052.54800600465</v>
      </c>
      <c r="Z189" s="216">
        <f t="shared" si="40"/>
        <v>0</v>
      </c>
      <c r="AA189" s="216">
        <v>0</v>
      </c>
      <c r="AB189" s="219">
        <v>906450.5</v>
      </c>
      <c r="AC189" s="216">
        <f t="shared" si="37"/>
        <v>0</v>
      </c>
    </row>
    <row r="190" spans="1:29" s="213" customFormat="1" ht="15.95" customHeight="1">
      <c r="A190" s="214" t="s">
        <v>729</v>
      </c>
      <c r="B190" s="215">
        <v>37589849.092412844</v>
      </c>
      <c r="C190" s="207">
        <v>513382.35847907292</v>
      </c>
      <c r="D190" s="216">
        <f t="shared" si="42"/>
        <v>38103231.450891919</v>
      </c>
      <c r="E190" s="217">
        <v>0</v>
      </c>
      <c r="F190" s="218">
        <v>0</v>
      </c>
      <c r="G190" s="216">
        <f t="shared" si="41"/>
        <v>0</v>
      </c>
      <c r="H190" s="216">
        <f t="shared" si="38"/>
        <v>38103231.450891919</v>
      </c>
      <c r="I190" s="217">
        <v>0</v>
      </c>
      <c r="J190" s="216">
        <v>26958517.210000001</v>
      </c>
      <c r="K190" s="216">
        <v>0</v>
      </c>
      <c r="L190" s="216">
        <v>0</v>
      </c>
      <c r="M190" s="208">
        <f t="shared" si="30"/>
        <v>0</v>
      </c>
      <c r="N190" s="208">
        <f t="shared" si="30"/>
        <v>26958517.210000001</v>
      </c>
      <c r="O190" s="208">
        <f t="shared" si="34"/>
        <v>26958517.210000001</v>
      </c>
      <c r="P190" s="216">
        <v>1412795.4201000007</v>
      </c>
      <c r="Q190" s="208">
        <f t="shared" si="35"/>
        <v>28371312.630100001</v>
      </c>
      <c r="R190" s="216">
        <f t="shared" si="31"/>
        <v>0</v>
      </c>
      <c r="S190" s="216">
        <v>0</v>
      </c>
      <c r="T190" s="216">
        <f t="shared" si="32"/>
        <v>9731918.8207919188</v>
      </c>
      <c r="U190" s="216">
        <f t="shared" si="33"/>
        <v>9731918.8207919188</v>
      </c>
      <c r="V190" s="216">
        <v>0</v>
      </c>
      <c r="W190" s="216">
        <v>0</v>
      </c>
      <c r="X190" s="216">
        <f t="shared" si="36"/>
        <v>0</v>
      </c>
      <c r="Y190" s="216">
        <f t="shared" si="39"/>
        <v>9731918.8207919188</v>
      </c>
      <c r="Z190" s="216">
        <f t="shared" si="40"/>
        <v>0</v>
      </c>
      <c r="AA190" s="216">
        <v>14400000</v>
      </c>
      <c r="AB190" s="219">
        <v>0</v>
      </c>
      <c r="AC190" s="216">
        <f t="shared" si="37"/>
        <v>0</v>
      </c>
    </row>
    <row r="191" spans="1:29" s="213" customFormat="1" ht="15.95" customHeight="1">
      <c r="A191" s="214" t="s">
        <v>871</v>
      </c>
      <c r="B191" s="215">
        <v>56864016.89869348</v>
      </c>
      <c r="C191" s="207">
        <v>1024782.8886518881</v>
      </c>
      <c r="D191" s="216">
        <f t="shared" si="42"/>
        <v>57888799.787345365</v>
      </c>
      <c r="E191" s="217">
        <v>-7511250</v>
      </c>
      <c r="F191" s="218">
        <v>0</v>
      </c>
      <c r="G191" s="216">
        <f t="shared" si="41"/>
        <v>-7511250</v>
      </c>
      <c r="H191" s="216">
        <f t="shared" si="38"/>
        <v>50377549.787345365</v>
      </c>
      <c r="I191" s="217">
        <v>0</v>
      </c>
      <c r="J191" s="216">
        <v>37960852.410000004</v>
      </c>
      <c r="K191" s="216">
        <v>0</v>
      </c>
      <c r="L191" s="216">
        <v>0</v>
      </c>
      <c r="M191" s="208">
        <f t="shared" si="30"/>
        <v>0</v>
      </c>
      <c r="N191" s="208">
        <f t="shared" si="30"/>
        <v>37960852.410000004</v>
      </c>
      <c r="O191" s="208">
        <f t="shared" si="34"/>
        <v>37960852.410000004</v>
      </c>
      <c r="P191" s="216">
        <v>909344.92000000016</v>
      </c>
      <c r="Q191" s="208">
        <f t="shared" si="35"/>
        <v>38870197.330000006</v>
      </c>
      <c r="R191" s="216">
        <f t="shared" si="31"/>
        <v>0</v>
      </c>
      <c r="S191" s="216">
        <v>0</v>
      </c>
      <c r="T191" s="216">
        <f t="shared" si="32"/>
        <v>11507352.457345359</v>
      </c>
      <c r="U191" s="216">
        <f t="shared" si="33"/>
        <v>11507352.457345359</v>
      </c>
      <c r="V191" s="216">
        <v>6990655.0800000001</v>
      </c>
      <c r="W191" s="216">
        <v>0</v>
      </c>
      <c r="X191" s="216">
        <f t="shared" si="36"/>
        <v>6990655.0800000001</v>
      </c>
      <c r="Y191" s="216">
        <f t="shared" si="39"/>
        <v>4516697.377345359</v>
      </c>
      <c r="Z191" s="216">
        <f t="shared" si="40"/>
        <v>0</v>
      </c>
      <c r="AA191" s="216">
        <v>0</v>
      </c>
      <c r="AB191" s="219">
        <v>6830832.5999999996</v>
      </c>
      <c r="AC191" s="216">
        <f t="shared" si="37"/>
        <v>0</v>
      </c>
    </row>
    <row r="192" spans="1:29" s="213" customFormat="1" ht="15.95" customHeight="1">
      <c r="A192" s="214" t="s">
        <v>881</v>
      </c>
      <c r="B192" s="215">
        <v>1331.8955184148515</v>
      </c>
      <c r="C192" s="207">
        <v>95.981142683608851</v>
      </c>
      <c r="D192" s="216">
        <f t="shared" si="42"/>
        <v>1427.8766610984603</v>
      </c>
      <c r="E192" s="217">
        <v>0</v>
      </c>
      <c r="F192" s="218">
        <v>0</v>
      </c>
      <c r="G192" s="216">
        <f t="shared" si="41"/>
        <v>0</v>
      </c>
      <c r="H192" s="216">
        <f t="shared" si="38"/>
        <v>1427.8766610984603</v>
      </c>
      <c r="I192" s="217">
        <v>0</v>
      </c>
      <c r="J192" s="216">
        <v>0</v>
      </c>
      <c r="K192" s="216">
        <v>0</v>
      </c>
      <c r="L192" s="216">
        <v>0</v>
      </c>
      <c r="M192" s="208">
        <f t="shared" si="30"/>
        <v>0</v>
      </c>
      <c r="N192" s="208">
        <f t="shared" si="30"/>
        <v>0</v>
      </c>
      <c r="O192" s="208">
        <f t="shared" si="34"/>
        <v>0</v>
      </c>
      <c r="P192" s="216">
        <v>0</v>
      </c>
      <c r="Q192" s="208">
        <f t="shared" si="35"/>
        <v>0</v>
      </c>
      <c r="R192" s="216">
        <f t="shared" si="31"/>
        <v>0</v>
      </c>
      <c r="S192" s="216">
        <v>0</v>
      </c>
      <c r="T192" s="216">
        <f t="shared" si="32"/>
        <v>1427.8766610984603</v>
      </c>
      <c r="U192" s="216">
        <f t="shared" si="33"/>
        <v>1427.8766610984603</v>
      </c>
      <c r="V192" s="216">
        <v>0</v>
      </c>
      <c r="W192" s="216">
        <v>0</v>
      </c>
      <c r="X192" s="216">
        <f t="shared" si="36"/>
        <v>0</v>
      </c>
      <c r="Y192" s="216">
        <f t="shared" si="39"/>
        <v>1427.8766610984603</v>
      </c>
      <c r="Z192" s="216">
        <f t="shared" si="40"/>
        <v>0</v>
      </c>
      <c r="AA192" s="216">
        <v>0</v>
      </c>
      <c r="AB192" s="219">
        <v>0</v>
      </c>
      <c r="AC192" s="216">
        <f t="shared" si="37"/>
        <v>0</v>
      </c>
    </row>
    <row r="193" spans="1:30" s="224" customFormat="1" ht="15.95" customHeight="1">
      <c r="A193" s="214" t="s">
        <v>889</v>
      </c>
      <c r="B193" s="215">
        <v>10993462.459372429</v>
      </c>
      <c r="C193" s="207">
        <v>161316.09541028022</v>
      </c>
      <c r="D193" s="216">
        <f t="shared" si="42"/>
        <v>11154778.554782709</v>
      </c>
      <c r="E193" s="217">
        <v>0</v>
      </c>
      <c r="F193" s="218">
        <v>0</v>
      </c>
      <c r="G193" s="216">
        <f t="shared" si="41"/>
        <v>0</v>
      </c>
      <c r="H193" s="216">
        <f t="shared" si="38"/>
        <v>11154778.554782709</v>
      </c>
      <c r="I193" s="217">
        <v>0</v>
      </c>
      <c r="J193" s="216">
        <v>10085824.359999999</v>
      </c>
      <c r="K193" s="216">
        <v>0</v>
      </c>
      <c r="L193" s="216">
        <v>0</v>
      </c>
      <c r="M193" s="208">
        <f t="shared" si="30"/>
        <v>0</v>
      </c>
      <c r="N193" s="208">
        <f t="shared" si="30"/>
        <v>10085824.359999999</v>
      </c>
      <c r="O193" s="208">
        <f t="shared" si="34"/>
        <v>10085824.359999999</v>
      </c>
      <c r="P193" s="216">
        <v>420018.35</v>
      </c>
      <c r="Q193" s="208">
        <f t="shared" si="35"/>
        <v>10505842.709999999</v>
      </c>
      <c r="R193" s="216">
        <f t="shared" si="31"/>
        <v>0</v>
      </c>
      <c r="S193" s="216">
        <v>0</v>
      </c>
      <c r="T193" s="216">
        <f t="shared" si="32"/>
        <v>648935.84478271008</v>
      </c>
      <c r="U193" s="216">
        <f t="shared" si="33"/>
        <v>648935.84478271008</v>
      </c>
      <c r="V193" s="216">
        <v>0</v>
      </c>
      <c r="W193" s="216">
        <v>1179981.6499999999</v>
      </c>
      <c r="X193" s="216">
        <f t="shared" si="36"/>
        <v>1179981.6499999999</v>
      </c>
      <c r="Y193" s="216">
        <f t="shared" si="39"/>
        <v>0</v>
      </c>
      <c r="Z193" s="216">
        <f t="shared" si="40"/>
        <v>-531045.80521728983</v>
      </c>
      <c r="AA193" s="216">
        <v>0</v>
      </c>
      <c r="AB193" s="227">
        <v>0</v>
      </c>
      <c r="AC193" s="216">
        <f t="shared" si="37"/>
        <v>-3.2919579653020028</v>
      </c>
    </row>
    <row r="194" spans="1:30" s="213" customFormat="1" ht="15.95" customHeight="1">
      <c r="A194" s="214" t="s">
        <v>921</v>
      </c>
      <c r="B194" s="215">
        <v>28103566.173653062</v>
      </c>
      <c r="C194" s="207">
        <v>537434.70120732067</v>
      </c>
      <c r="D194" s="216">
        <f t="shared" si="42"/>
        <v>28641000.874860384</v>
      </c>
      <c r="E194" s="217">
        <v>-11014656</v>
      </c>
      <c r="F194" s="218">
        <v>0</v>
      </c>
      <c r="G194" s="216">
        <f t="shared" si="41"/>
        <v>-11014656</v>
      </c>
      <c r="H194" s="216">
        <f t="shared" si="38"/>
        <v>17626344.874860384</v>
      </c>
      <c r="I194" s="217">
        <v>0</v>
      </c>
      <c r="J194" s="216">
        <v>4398396.53</v>
      </c>
      <c r="K194" s="216">
        <v>0</v>
      </c>
      <c r="L194" s="216">
        <v>0</v>
      </c>
      <c r="M194" s="208">
        <f t="shared" si="30"/>
        <v>0</v>
      </c>
      <c r="N194" s="208">
        <f t="shared" si="30"/>
        <v>4398396.53</v>
      </c>
      <c r="O194" s="208">
        <f t="shared" si="34"/>
        <v>4398396.53</v>
      </c>
      <c r="P194" s="216">
        <v>0</v>
      </c>
      <c r="Q194" s="208">
        <f t="shared" si="35"/>
        <v>4398396.53</v>
      </c>
      <c r="R194" s="216">
        <f t="shared" si="31"/>
        <v>0</v>
      </c>
      <c r="S194" s="216">
        <v>0</v>
      </c>
      <c r="T194" s="216">
        <f t="shared" si="32"/>
        <v>13227948.344860382</v>
      </c>
      <c r="U194" s="216">
        <f t="shared" si="33"/>
        <v>13227948.344860382</v>
      </c>
      <c r="V194" s="216">
        <v>0</v>
      </c>
      <c r="W194" s="216">
        <v>0</v>
      </c>
      <c r="X194" s="216">
        <f t="shared" si="36"/>
        <v>0</v>
      </c>
      <c r="Y194" s="216">
        <f t="shared" si="39"/>
        <v>13227948.344860382</v>
      </c>
      <c r="Z194" s="216">
        <f t="shared" si="40"/>
        <v>0</v>
      </c>
      <c r="AA194" s="216">
        <v>16500000</v>
      </c>
      <c r="AB194" s="219">
        <v>0</v>
      </c>
      <c r="AC194" s="216">
        <f t="shared" si="37"/>
        <v>0</v>
      </c>
    </row>
    <row r="195" spans="1:30" s="213" customFormat="1" ht="15.95" customHeight="1">
      <c r="A195" s="214" t="s">
        <v>927</v>
      </c>
      <c r="B195" s="215">
        <v>1689.9689912799065</v>
      </c>
      <c r="C195" s="207">
        <v>9.1580401555380888</v>
      </c>
      <c r="D195" s="216">
        <f t="shared" si="42"/>
        <v>1699.1270314354447</v>
      </c>
      <c r="E195" s="217">
        <v>-125</v>
      </c>
      <c r="F195" s="218">
        <v>0</v>
      </c>
      <c r="G195" s="216">
        <f t="shared" si="41"/>
        <v>-125</v>
      </c>
      <c r="H195" s="216">
        <f t="shared" si="38"/>
        <v>1574.1270314354447</v>
      </c>
      <c r="I195" s="217">
        <v>0</v>
      </c>
      <c r="J195" s="216">
        <v>0</v>
      </c>
      <c r="K195" s="216">
        <v>0</v>
      </c>
      <c r="L195" s="216">
        <v>0</v>
      </c>
      <c r="M195" s="208">
        <f t="shared" si="30"/>
        <v>0</v>
      </c>
      <c r="N195" s="208">
        <f t="shared" si="30"/>
        <v>0</v>
      </c>
      <c r="O195" s="208">
        <f t="shared" si="34"/>
        <v>0</v>
      </c>
      <c r="P195" s="216">
        <v>0</v>
      </c>
      <c r="Q195" s="208">
        <f t="shared" si="35"/>
        <v>0</v>
      </c>
      <c r="R195" s="216">
        <f t="shared" si="31"/>
        <v>0</v>
      </c>
      <c r="S195" s="216">
        <v>0</v>
      </c>
      <c r="T195" s="216">
        <f t="shared" si="32"/>
        <v>1574.1270314354447</v>
      </c>
      <c r="U195" s="216">
        <f t="shared" si="33"/>
        <v>1574.1270314354447</v>
      </c>
      <c r="V195" s="216">
        <v>0</v>
      </c>
      <c r="W195" s="216">
        <v>0</v>
      </c>
      <c r="X195" s="216">
        <f t="shared" si="36"/>
        <v>0</v>
      </c>
      <c r="Y195" s="216">
        <f t="shared" si="39"/>
        <v>1574.1270314354447</v>
      </c>
      <c r="Z195" s="216">
        <f t="shared" si="40"/>
        <v>0</v>
      </c>
      <c r="AA195" s="216">
        <v>0</v>
      </c>
      <c r="AB195" s="219">
        <v>0</v>
      </c>
      <c r="AC195" s="216">
        <f t="shared" si="37"/>
        <v>0</v>
      </c>
    </row>
    <row r="196" spans="1:30" s="213" customFormat="1" ht="15.95" customHeight="1">
      <c r="A196" s="214" t="s">
        <v>973</v>
      </c>
      <c r="B196" s="215">
        <v>14816859.134269284</v>
      </c>
      <c r="C196" s="207">
        <v>260964.8571788494</v>
      </c>
      <c r="D196" s="216">
        <f t="shared" si="42"/>
        <v>15077823.991448134</v>
      </c>
      <c r="E196" s="217">
        <v>-1190564</v>
      </c>
      <c r="F196" s="218">
        <v>0</v>
      </c>
      <c r="G196" s="216">
        <f t="shared" si="41"/>
        <v>-1190564</v>
      </c>
      <c r="H196" s="216">
        <f t="shared" si="38"/>
        <v>13887259.991448134</v>
      </c>
      <c r="I196" s="217">
        <v>0</v>
      </c>
      <c r="J196" s="216">
        <v>11669814.720000001</v>
      </c>
      <c r="K196" s="216">
        <v>0</v>
      </c>
      <c r="L196" s="216">
        <v>0</v>
      </c>
      <c r="M196" s="208">
        <f t="shared" si="30"/>
        <v>0</v>
      </c>
      <c r="N196" s="208">
        <f>J196+L196</f>
        <v>11669814.720000001</v>
      </c>
      <c r="O196" s="208">
        <f>K196+N196</f>
        <v>11669814.720000001</v>
      </c>
      <c r="P196" s="216">
        <v>0</v>
      </c>
      <c r="Q196" s="208">
        <f>SUM(O196+P196)</f>
        <v>11669814.720000001</v>
      </c>
      <c r="R196" s="216">
        <f t="shared" si="31"/>
        <v>0</v>
      </c>
      <c r="S196" s="216">
        <v>0</v>
      </c>
      <c r="T196" s="216">
        <f t="shared" si="32"/>
        <v>2217445.2714481335</v>
      </c>
      <c r="U196" s="216">
        <f t="shared" si="33"/>
        <v>2217445.2714481335</v>
      </c>
      <c r="V196" s="216">
        <v>0</v>
      </c>
      <c r="W196" s="216">
        <v>0</v>
      </c>
      <c r="X196" s="216">
        <f t="shared" si="36"/>
        <v>0</v>
      </c>
      <c r="Y196" s="216">
        <f t="shared" si="39"/>
        <v>2217445.2714481335</v>
      </c>
      <c r="Z196" s="216">
        <f t="shared" si="40"/>
        <v>0</v>
      </c>
      <c r="AA196" s="216">
        <v>0</v>
      </c>
      <c r="AB196" s="219">
        <v>156484</v>
      </c>
      <c r="AC196" s="216">
        <f t="shared" si="37"/>
        <v>0</v>
      </c>
    </row>
    <row r="197" spans="1:30" s="213" customFormat="1" ht="15.95" customHeight="1">
      <c r="A197" s="214" t="s">
        <v>861</v>
      </c>
      <c r="B197" s="215">
        <v>7664047.3007347006</v>
      </c>
      <c r="C197" s="207">
        <v>134421.28251117017</v>
      </c>
      <c r="D197" s="216">
        <f t="shared" si="42"/>
        <v>7798468.5832458707</v>
      </c>
      <c r="E197" s="217">
        <v>0</v>
      </c>
      <c r="F197" s="218">
        <v>0</v>
      </c>
      <c r="G197" s="216">
        <f t="shared" ref="G197:G212" si="43">SUM(E197:F197)</f>
        <v>0</v>
      </c>
      <c r="H197" s="216">
        <f t="shared" si="38"/>
        <v>7798468.5832458707</v>
      </c>
      <c r="I197" s="217">
        <v>0</v>
      </c>
      <c r="J197" s="216">
        <v>5046701.72</v>
      </c>
      <c r="K197" s="216">
        <v>0</v>
      </c>
      <c r="L197" s="216">
        <v>0</v>
      </c>
      <c r="M197" s="208">
        <f t="shared" ref="M197:N212" si="44">I197+K197</f>
        <v>0</v>
      </c>
      <c r="N197" s="208">
        <f t="shared" si="44"/>
        <v>5046701.72</v>
      </c>
      <c r="O197" s="208">
        <f t="shared" si="34"/>
        <v>5046701.72</v>
      </c>
      <c r="P197" s="216">
        <v>0</v>
      </c>
      <c r="Q197" s="208">
        <f t="shared" si="35"/>
        <v>5046701.72</v>
      </c>
      <c r="R197" s="216">
        <f t="shared" ref="R197:R212" si="45">IF(SUM(H197-Q197)&lt;0, H197-Q197)+IF(SUM(H197-Q197)&gt;0, 0)</f>
        <v>0</v>
      </c>
      <c r="S197" s="216">
        <v>0</v>
      </c>
      <c r="T197" s="216">
        <f t="shared" ref="T197:T212" si="46">IF(SUM(H197-Q197)&gt;0, H197-Q197)+IF(SUM(H197-Q197)&lt;0, 0)</f>
        <v>2751766.8632458709</v>
      </c>
      <c r="U197" s="216">
        <f t="shared" ref="U197:U212" si="47">SUM(R197+T197)</f>
        <v>2751766.8632458709</v>
      </c>
      <c r="V197" s="216">
        <v>0</v>
      </c>
      <c r="W197" s="216">
        <v>0</v>
      </c>
      <c r="X197" s="216">
        <f t="shared" si="36"/>
        <v>0</v>
      </c>
      <c r="Y197" s="216">
        <f t="shared" si="39"/>
        <v>2751766.8632458709</v>
      </c>
      <c r="Z197" s="216">
        <f t="shared" si="40"/>
        <v>0</v>
      </c>
      <c r="AA197" s="216">
        <v>0</v>
      </c>
      <c r="AB197" s="219">
        <v>0</v>
      </c>
      <c r="AC197" s="216">
        <f t="shared" si="37"/>
        <v>0</v>
      </c>
    </row>
    <row r="198" spans="1:30" s="213" customFormat="1" ht="15.95" customHeight="1">
      <c r="A198" s="214" t="s">
        <v>1563</v>
      </c>
      <c r="B198" s="215">
        <v>12429357.031638755</v>
      </c>
      <c r="C198" s="207">
        <v>211849.52114087867</v>
      </c>
      <c r="D198" s="216">
        <f t="shared" si="42"/>
        <v>12641206.552779634</v>
      </c>
      <c r="E198" s="217">
        <v>0</v>
      </c>
      <c r="F198" s="218">
        <v>0</v>
      </c>
      <c r="G198" s="216">
        <f t="shared" si="43"/>
        <v>0</v>
      </c>
      <c r="H198" s="216">
        <f t="shared" si="38"/>
        <v>12641206.552779634</v>
      </c>
      <c r="I198" s="217">
        <v>0</v>
      </c>
      <c r="J198" s="216">
        <v>12259431.25</v>
      </c>
      <c r="K198" s="216">
        <v>0</v>
      </c>
      <c r="L198" s="216">
        <v>0</v>
      </c>
      <c r="M198" s="208">
        <f t="shared" si="44"/>
        <v>0</v>
      </c>
      <c r="N198" s="208">
        <f t="shared" si="44"/>
        <v>12259431.25</v>
      </c>
      <c r="O198" s="208">
        <f t="shared" ref="O198:O212" si="48">K198+N198</f>
        <v>12259431.25</v>
      </c>
      <c r="P198" s="216">
        <v>0</v>
      </c>
      <c r="Q198" s="208">
        <f t="shared" ref="Q198:Q211" si="49">SUM(O198+P198)</f>
        <v>12259431.25</v>
      </c>
      <c r="R198" s="216">
        <f t="shared" si="45"/>
        <v>0</v>
      </c>
      <c r="S198" s="216">
        <v>-404290.21158142388</v>
      </c>
      <c r="T198" s="216">
        <f t="shared" si="46"/>
        <v>381775.30277963355</v>
      </c>
      <c r="U198" s="216">
        <f t="shared" si="47"/>
        <v>381775.30277963355</v>
      </c>
      <c r="V198" s="216">
        <v>0</v>
      </c>
      <c r="W198" s="216">
        <v>0</v>
      </c>
      <c r="X198" s="216">
        <f t="shared" ref="X198:X212" si="50">SUM(V198:W198)</f>
        <v>0</v>
      </c>
      <c r="Y198" s="216">
        <f t="shared" si="39"/>
        <v>381775.30277963355</v>
      </c>
      <c r="Z198" s="216">
        <f t="shared" si="40"/>
        <v>0</v>
      </c>
      <c r="AA198" s="216">
        <v>0</v>
      </c>
      <c r="AB198" s="219">
        <v>156484</v>
      </c>
      <c r="AC198" s="216">
        <f t="shared" ref="AC198:AC212" si="51">Z198/C198</f>
        <v>0</v>
      </c>
    </row>
    <row r="199" spans="1:30" s="213" customFormat="1" ht="15.95" customHeight="1">
      <c r="A199" s="214" t="s">
        <v>862</v>
      </c>
      <c r="B199" s="215">
        <v>4079239.6066022539</v>
      </c>
      <c r="C199" s="207">
        <v>49253.182922462627</v>
      </c>
      <c r="D199" s="216">
        <f t="shared" si="42"/>
        <v>4128492.7895247163</v>
      </c>
      <c r="E199" s="217">
        <v>0</v>
      </c>
      <c r="F199" s="218">
        <v>0</v>
      </c>
      <c r="G199" s="216">
        <f t="shared" si="43"/>
        <v>0</v>
      </c>
      <c r="H199" s="216">
        <f t="shared" ref="H199:H212" si="52">SUM(D199,G199)</f>
        <v>4128492.7895247163</v>
      </c>
      <c r="I199" s="217">
        <v>0</v>
      </c>
      <c r="J199" s="216">
        <v>3659362.95</v>
      </c>
      <c r="K199" s="216">
        <v>0</v>
      </c>
      <c r="L199" s="216">
        <v>0</v>
      </c>
      <c r="M199" s="208">
        <f t="shared" si="44"/>
        <v>0</v>
      </c>
      <c r="N199" s="208">
        <f t="shared" si="44"/>
        <v>3659362.95</v>
      </c>
      <c r="O199" s="208">
        <f t="shared" si="48"/>
        <v>3659362.95</v>
      </c>
      <c r="P199" s="216">
        <v>0</v>
      </c>
      <c r="Q199" s="208">
        <f t="shared" si="49"/>
        <v>3659362.95</v>
      </c>
      <c r="R199" s="216">
        <f t="shared" si="45"/>
        <v>0</v>
      </c>
      <c r="S199" s="216">
        <v>0</v>
      </c>
      <c r="T199" s="216">
        <f t="shared" si="46"/>
        <v>469129.83952471614</v>
      </c>
      <c r="U199" s="216">
        <f t="shared" si="47"/>
        <v>469129.83952471614</v>
      </c>
      <c r="V199" s="217">
        <v>0</v>
      </c>
      <c r="W199" s="217">
        <v>0</v>
      </c>
      <c r="X199" s="216">
        <f t="shared" si="50"/>
        <v>0</v>
      </c>
      <c r="Y199" s="216">
        <f t="shared" si="39"/>
        <v>469129.83952471614</v>
      </c>
      <c r="Z199" s="216">
        <f t="shared" si="40"/>
        <v>0</v>
      </c>
      <c r="AA199" s="216">
        <v>0</v>
      </c>
      <c r="AB199" s="221">
        <v>0</v>
      </c>
      <c r="AC199" s="216">
        <f t="shared" si="51"/>
        <v>0</v>
      </c>
    </row>
    <row r="200" spans="1:30" s="213" customFormat="1" ht="15.95" customHeight="1">
      <c r="A200" s="236" t="s">
        <v>634</v>
      </c>
      <c r="B200" s="215">
        <v>492039.5044014926</v>
      </c>
      <c r="C200" s="207">
        <v>9189.7130158472173</v>
      </c>
      <c r="D200" s="216">
        <f t="shared" si="42"/>
        <v>501229.21741733979</v>
      </c>
      <c r="E200" s="217">
        <v>130000</v>
      </c>
      <c r="F200" s="218">
        <f>-F172-F96</f>
        <v>0</v>
      </c>
      <c r="G200" s="216">
        <f t="shared" si="43"/>
        <v>130000</v>
      </c>
      <c r="H200" s="216">
        <f t="shared" si="52"/>
        <v>631229.21741733979</v>
      </c>
      <c r="I200" s="217">
        <v>0</v>
      </c>
      <c r="J200" s="216">
        <v>585457.1</v>
      </c>
      <c r="K200" s="216">
        <v>0</v>
      </c>
      <c r="L200" s="216">
        <v>0</v>
      </c>
      <c r="M200" s="208">
        <f t="shared" si="44"/>
        <v>0</v>
      </c>
      <c r="N200" s="208">
        <f t="shared" si="44"/>
        <v>585457.1</v>
      </c>
      <c r="O200" s="208">
        <f t="shared" si="48"/>
        <v>585457.1</v>
      </c>
      <c r="P200" s="216">
        <v>0</v>
      </c>
      <c r="Q200" s="208">
        <f t="shared" si="49"/>
        <v>585457.1</v>
      </c>
      <c r="R200" s="216">
        <f t="shared" si="45"/>
        <v>0</v>
      </c>
      <c r="S200" s="216">
        <v>0</v>
      </c>
      <c r="T200" s="216">
        <f t="shared" si="46"/>
        <v>45772.117417339818</v>
      </c>
      <c r="U200" s="216">
        <f t="shared" si="47"/>
        <v>45772.117417339818</v>
      </c>
      <c r="V200" s="216">
        <v>0</v>
      </c>
      <c r="W200" s="216">
        <v>0</v>
      </c>
      <c r="X200" s="216">
        <f t="shared" si="50"/>
        <v>0</v>
      </c>
      <c r="Y200" s="240">
        <f t="shared" si="39"/>
        <v>45772.117417339818</v>
      </c>
      <c r="Z200" s="216">
        <f t="shared" si="40"/>
        <v>0</v>
      </c>
      <c r="AA200" s="216">
        <v>0</v>
      </c>
      <c r="AB200" s="219">
        <v>0</v>
      </c>
      <c r="AC200" s="216">
        <f t="shared" si="51"/>
        <v>0</v>
      </c>
      <c r="AD200" s="237" t="str">
        <f>IF(Z200&gt;0,A222,"120K to be deducted from Allocation when available to Laguna Woods")</f>
        <v>120K to be deducted from Allocation when available to Laguna Woods</v>
      </c>
    </row>
    <row r="201" spans="1:30" s="213" customFormat="1" ht="15.95" customHeight="1">
      <c r="A201" s="214" t="s">
        <v>912</v>
      </c>
      <c r="B201" s="215">
        <v>9089710.11954467</v>
      </c>
      <c r="C201" s="207">
        <v>145670.51530834081</v>
      </c>
      <c r="D201" s="216">
        <f t="shared" si="42"/>
        <v>9235380.634853011</v>
      </c>
      <c r="E201" s="217">
        <v>3850699</v>
      </c>
      <c r="F201" s="218">
        <v>0</v>
      </c>
      <c r="G201" s="216">
        <f t="shared" si="43"/>
        <v>3850699</v>
      </c>
      <c r="H201" s="216">
        <f t="shared" si="52"/>
        <v>13086079.634853011</v>
      </c>
      <c r="I201" s="217">
        <v>0</v>
      </c>
      <c r="J201" s="216">
        <v>9605685.2100000009</v>
      </c>
      <c r="K201" s="216">
        <v>0</v>
      </c>
      <c r="L201" s="216">
        <v>0</v>
      </c>
      <c r="M201" s="208">
        <f t="shared" si="44"/>
        <v>0</v>
      </c>
      <c r="N201" s="208">
        <f t="shared" si="44"/>
        <v>9605685.2100000009</v>
      </c>
      <c r="O201" s="208">
        <f t="shared" si="48"/>
        <v>9605685.2100000009</v>
      </c>
      <c r="P201" s="216">
        <v>1586816.72</v>
      </c>
      <c r="Q201" s="208">
        <f t="shared" si="49"/>
        <v>11192501.930000002</v>
      </c>
      <c r="R201" s="216">
        <f t="shared" si="45"/>
        <v>0</v>
      </c>
      <c r="S201" s="216">
        <v>0</v>
      </c>
      <c r="T201" s="216">
        <f t="shared" si="46"/>
        <v>1893577.7048530094</v>
      </c>
      <c r="U201" s="216">
        <f t="shared" si="47"/>
        <v>1893577.7048530094</v>
      </c>
      <c r="V201" s="216">
        <v>1013183.28</v>
      </c>
      <c r="W201" s="228">
        <v>750000</v>
      </c>
      <c r="X201" s="216">
        <f t="shared" si="50"/>
        <v>1763183.28</v>
      </c>
      <c r="Y201" s="216">
        <f t="shared" ref="Y201:Y212" si="53">IF(SUM($U201-$X201)&gt;0,($U201-$X201),0)</f>
        <v>130394.4248530094</v>
      </c>
      <c r="Z201" s="216">
        <f t="shared" ref="Z201:Z212" si="54">IF(SUM($U201-$X201)&lt;0,($U201-$X201),0)</f>
        <v>0</v>
      </c>
      <c r="AA201" s="216">
        <v>0</v>
      </c>
      <c r="AB201" s="219">
        <v>0</v>
      </c>
      <c r="AC201" s="216">
        <f t="shared" si="51"/>
        <v>0</v>
      </c>
    </row>
    <row r="202" spans="1:30" s="213" customFormat="1" ht="15.95" customHeight="1">
      <c r="A202" s="214" t="s">
        <v>444</v>
      </c>
      <c r="B202" s="215">
        <v>1815837.7365557726</v>
      </c>
      <c r="C202" s="207">
        <v>36081.766198666402</v>
      </c>
      <c r="D202" s="216">
        <f t="shared" si="42"/>
        <v>1851919.5027544389</v>
      </c>
      <c r="E202" s="217">
        <v>421000</v>
      </c>
      <c r="F202" s="218">
        <v>0</v>
      </c>
      <c r="G202" s="216">
        <f t="shared" si="43"/>
        <v>421000</v>
      </c>
      <c r="H202" s="216">
        <f>SUM(D202,G202)</f>
        <v>2272919.5027544387</v>
      </c>
      <c r="I202" s="217">
        <v>0</v>
      </c>
      <c r="J202" s="216">
        <v>1541466.82</v>
      </c>
      <c r="K202" s="216">
        <v>0</v>
      </c>
      <c r="L202" s="216">
        <v>0</v>
      </c>
      <c r="M202" s="208">
        <f t="shared" si="44"/>
        <v>0</v>
      </c>
      <c r="N202" s="208">
        <f t="shared" si="44"/>
        <v>1541466.82</v>
      </c>
      <c r="O202" s="208">
        <f t="shared" si="48"/>
        <v>1541466.82</v>
      </c>
      <c r="P202" s="216">
        <v>0</v>
      </c>
      <c r="Q202" s="208">
        <f t="shared" si="49"/>
        <v>1541466.82</v>
      </c>
      <c r="R202" s="216">
        <f t="shared" si="45"/>
        <v>0</v>
      </c>
      <c r="S202" s="216">
        <v>0</v>
      </c>
      <c r="T202" s="216">
        <f t="shared" si="46"/>
        <v>731452.6827544386</v>
      </c>
      <c r="U202" s="216">
        <f t="shared" si="47"/>
        <v>731452.6827544386</v>
      </c>
      <c r="V202" s="217">
        <v>0</v>
      </c>
      <c r="W202" s="216">
        <v>0</v>
      </c>
      <c r="X202" s="216">
        <f t="shared" si="50"/>
        <v>0</v>
      </c>
      <c r="Y202" s="216">
        <f t="shared" si="53"/>
        <v>731452.6827544386</v>
      </c>
      <c r="Z202" s="216">
        <f t="shared" si="54"/>
        <v>0</v>
      </c>
      <c r="AA202" s="216">
        <v>0</v>
      </c>
      <c r="AB202" s="221">
        <v>0</v>
      </c>
      <c r="AC202" s="216">
        <f t="shared" si="51"/>
        <v>0</v>
      </c>
    </row>
    <row r="203" spans="1:30" s="213" customFormat="1" ht="15.95" customHeight="1">
      <c r="A203" s="214" t="s">
        <v>448</v>
      </c>
      <c r="B203" s="215">
        <v>11335884.695895178</v>
      </c>
      <c r="C203" s="207">
        <v>193671.59635661155</v>
      </c>
      <c r="D203" s="216">
        <f t="shared" si="42"/>
        <v>11529556.29225179</v>
      </c>
      <c r="E203" s="217">
        <v>0</v>
      </c>
      <c r="F203" s="218">
        <v>0</v>
      </c>
      <c r="G203" s="216">
        <f t="shared" si="43"/>
        <v>0</v>
      </c>
      <c r="H203" s="216">
        <f t="shared" si="52"/>
        <v>11529556.29225179</v>
      </c>
      <c r="I203" s="217">
        <v>0</v>
      </c>
      <c r="J203" s="216">
        <v>10903494.050000001</v>
      </c>
      <c r="K203" s="216">
        <v>0</v>
      </c>
      <c r="L203" s="216">
        <v>0</v>
      </c>
      <c r="M203" s="208">
        <f t="shared" si="44"/>
        <v>0</v>
      </c>
      <c r="N203" s="208">
        <f t="shared" si="44"/>
        <v>10903494.050000001</v>
      </c>
      <c r="O203" s="208">
        <f t="shared" si="48"/>
        <v>10903494.050000001</v>
      </c>
      <c r="P203" s="216">
        <v>0</v>
      </c>
      <c r="Q203" s="208">
        <f t="shared" si="49"/>
        <v>10903494.050000001</v>
      </c>
      <c r="R203" s="216">
        <f t="shared" si="45"/>
        <v>0</v>
      </c>
      <c r="S203" s="216">
        <v>-82245.017942961305</v>
      </c>
      <c r="T203" s="216">
        <f t="shared" si="46"/>
        <v>626062.2422517892</v>
      </c>
      <c r="U203" s="216">
        <f t="shared" si="47"/>
        <v>626062.2422517892</v>
      </c>
      <c r="V203" s="216">
        <v>0</v>
      </c>
      <c r="W203" s="216">
        <v>0</v>
      </c>
      <c r="X203" s="216">
        <f t="shared" si="50"/>
        <v>0</v>
      </c>
      <c r="Y203" s="216">
        <f t="shared" si="53"/>
        <v>626062.2422517892</v>
      </c>
      <c r="Z203" s="216">
        <f t="shared" si="54"/>
        <v>0</v>
      </c>
      <c r="AA203" s="216">
        <v>0</v>
      </c>
      <c r="AB203" s="221">
        <v>3598873.9</v>
      </c>
      <c r="AC203" s="216">
        <f t="shared" si="51"/>
        <v>0</v>
      </c>
    </row>
    <row r="204" spans="1:30" s="213" customFormat="1" ht="15.95" customHeight="1">
      <c r="A204" s="214" t="s">
        <v>449</v>
      </c>
      <c r="B204" s="215">
        <v>10482191.397124108</v>
      </c>
      <c r="C204" s="207">
        <v>235210.7330458978</v>
      </c>
      <c r="D204" s="216">
        <f t="shared" si="42"/>
        <v>10717402.130170006</v>
      </c>
      <c r="E204" s="217">
        <v>0</v>
      </c>
      <c r="F204" s="218">
        <v>0</v>
      </c>
      <c r="G204" s="216">
        <f t="shared" si="43"/>
        <v>0</v>
      </c>
      <c r="H204" s="216">
        <f t="shared" si="52"/>
        <v>10717402.130170006</v>
      </c>
      <c r="I204" s="217">
        <v>0</v>
      </c>
      <c r="J204" s="216">
        <v>8452267.4900000002</v>
      </c>
      <c r="K204" s="216">
        <v>0</v>
      </c>
      <c r="L204" s="216">
        <v>0</v>
      </c>
      <c r="M204" s="208">
        <f t="shared" si="44"/>
        <v>0</v>
      </c>
      <c r="N204" s="208">
        <f t="shared" si="44"/>
        <v>8452267.4900000002</v>
      </c>
      <c r="O204" s="208">
        <f t="shared" si="48"/>
        <v>8452267.4900000002</v>
      </c>
      <c r="P204" s="216">
        <v>2194132</v>
      </c>
      <c r="Q204" s="208">
        <f t="shared" si="49"/>
        <v>10646399.49</v>
      </c>
      <c r="R204" s="216">
        <f t="shared" si="45"/>
        <v>0</v>
      </c>
      <c r="S204" s="216">
        <v>0</v>
      </c>
      <c r="T204" s="216">
        <f t="shared" si="46"/>
        <v>71002.640170006081</v>
      </c>
      <c r="U204" s="216">
        <f t="shared" si="47"/>
        <v>71002.640170006081</v>
      </c>
      <c r="V204" s="216">
        <v>0</v>
      </c>
      <c r="W204" s="216">
        <v>0</v>
      </c>
      <c r="X204" s="216">
        <f t="shared" si="50"/>
        <v>0</v>
      </c>
      <c r="Y204" s="216">
        <f t="shared" si="53"/>
        <v>71002.640170006081</v>
      </c>
      <c r="Z204" s="216">
        <f t="shared" si="54"/>
        <v>0</v>
      </c>
      <c r="AA204" s="216">
        <v>1600000</v>
      </c>
      <c r="AB204" s="219">
        <v>3666985.92</v>
      </c>
      <c r="AC204" s="216">
        <f t="shared" si="51"/>
        <v>0</v>
      </c>
    </row>
    <row r="205" spans="1:30" s="213" customFormat="1" ht="15.95" customHeight="1">
      <c r="A205" s="214" t="s">
        <v>456</v>
      </c>
      <c r="B205" s="215">
        <v>492756.89700038836</v>
      </c>
      <c r="C205" s="207">
        <v>11421.088190933144</v>
      </c>
      <c r="D205" s="216">
        <f t="shared" si="42"/>
        <v>504177.98519132152</v>
      </c>
      <c r="E205" s="217">
        <v>0</v>
      </c>
      <c r="F205" s="218">
        <v>0</v>
      </c>
      <c r="G205" s="216">
        <f t="shared" si="43"/>
        <v>0</v>
      </c>
      <c r="H205" s="216">
        <f t="shared" si="52"/>
        <v>504177.98519132152</v>
      </c>
      <c r="I205" s="217">
        <v>0</v>
      </c>
      <c r="J205" s="216">
        <v>327708.92</v>
      </c>
      <c r="K205" s="216">
        <v>0</v>
      </c>
      <c r="L205" s="216">
        <v>0</v>
      </c>
      <c r="M205" s="208">
        <f t="shared" si="44"/>
        <v>0</v>
      </c>
      <c r="N205" s="208">
        <f t="shared" si="44"/>
        <v>327708.92</v>
      </c>
      <c r="O205" s="208">
        <f t="shared" si="48"/>
        <v>327708.92</v>
      </c>
      <c r="P205" s="216">
        <v>0</v>
      </c>
      <c r="Q205" s="208">
        <f t="shared" si="49"/>
        <v>327708.92</v>
      </c>
      <c r="R205" s="216">
        <f t="shared" si="45"/>
        <v>0</v>
      </c>
      <c r="S205" s="216">
        <v>0</v>
      </c>
      <c r="T205" s="216">
        <f t="shared" si="46"/>
        <v>176469.06519132154</v>
      </c>
      <c r="U205" s="216">
        <f t="shared" si="47"/>
        <v>176469.06519132154</v>
      </c>
      <c r="V205" s="216">
        <v>0</v>
      </c>
      <c r="W205" s="216">
        <v>0</v>
      </c>
      <c r="X205" s="216">
        <f t="shared" si="50"/>
        <v>0</v>
      </c>
      <c r="Y205" s="216">
        <f t="shared" si="53"/>
        <v>176469.06519132154</v>
      </c>
      <c r="Z205" s="216">
        <f t="shared" si="54"/>
        <v>0</v>
      </c>
      <c r="AA205" s="216">
        <v>0</v>
      </c>
      <c r="AB205" s="219">
        <v>327708.92000000004</v>
      </c>
      <c r="AC205" s="216">
        <f t="shared" si="51"/>
        <v>0</v>
      </c>
    </row>
    <row r="206" spans="1:30" s="213" customFormat="1" ht="15.95" customHeight="1">
      <c r="A206" s="214" t="s">
        <v>638</v>
      </c>
      <c r="B206" s="215">
        <v>8982727.1750405319</v>
      </c>
      <c r="C206" s="207">
        <v>154998.69045842299</v>
      </c>
      <c r="D206" s="216">
        <f t="shared" si="42"/>
        <v>9137725.8654989544</v>
      </c>
      <c r="E206" s="217">
        <v>500000</v>
      </c>
      <c r="F206" s="218">
        <v>0</v>
      </c>
      <c r="G206" s="216">
        <f t="shared" si="43"/>
        <v>500000</v>
      </c>
      <c r="H206" s="216">
        <f t="shared" si="52"/>
        <v>9637725.8654989544</v>
      </c>
      <c r="I206" s="217">
        <v>0</v>
      </c>
      <c r="J206" s="216">
        <v>7342602.2299000006</v>
      </c>
      <c r="K206" s="216">
        <v>0</v>
      </c>
      <c r="L206" s="216">
        <v>0</v>
      </c>
      <c r="M206" s="208">
        <f t="shared" si="44"/>
        <v>0</v>
      </c>
      <c r="N206" s="208">
        <f t="shared" si="44"/>
        <v>7342602.2299000006</v>
      </c>
      <c r="O206" s="208">
        <f t="shared" si="48"/>
        <v>7342602.2299000006</v>
      </c>
      <c r="P206" s="216">
        <v>0</v>
      </c>
      <c r="Q206" s="208">
        <f t="shared" si="49"/>
        <v>7342602.2299000006</v>
      </c>
      <c r="R206" s="216">
        <f t="shared" si="45"/>
        <v>0</v>
      </c>
      <c r="S206" s="216">
        <v>0</v>
      </c>
      <c r="T206" s="216">
        <f t="shared" si="46"/>
        <v>2295123.6355989538</v>
      </c>
      <c r="U206" s="216">
        <f t="shared" si="47"/>
        <v>2295123.6355989538</v>
      </c>
      <c r="V206" s="216">
        <v>0</v>
      </c>
      <c r="W206" s="216">
        <v>0</v>
      </c>
      <c r="X206" s="216">
        <f t="shared" si="50"/>
        <v>0</v>
      </c>
      <c r="Y206" s="216">
        <f t="shared" si="53"/>
        <v>2295123.6355989538</v>
      </c>
      <c r="Z206" s="216">
        <f t="shared" si="54"/>
        <v>0</v>
      </c>
      <c r="AA206" s="216">
        <v>0</v>
      </c>
      <c r="AB206" s="219">
        <v>266800</v>
      </c>
      <c r="AC206" s="216">
        <f t="shared" si="51"/>
        <v>0</v>
      </c>
    </row>
    <row r="207" spans="1:30" s="213" customFormat="1" ht="15.95" customHeight="1">
      <c r="A207" s="214" t="s">
        <v>457</v>
      </c>
      <c r="B207" s="215">
        <v>14879672.667332321</v>
      </c>
      <c r="C207" s="207">
        <v>275893.84303883929</v>
      </c>
      <c r="D207" s="216">
        <f t="shared" si="42"/>
        <v>15155566.51037116</v>
      </c>
      <c r="E207" s="217">
        <v>0</v>
      </c>
      <c r="F207" s="218">
        <v>0</v>
      </c>
      <c r="G207" s="216">
        <f t="shared" si="43"/>
        <v>0</v>
      </c>
      <c r="H207" s="216">
        <f>SUM(D207,G207)</f>
        <v>15155566.51037116</v>
      </c>
      <c r="I207" s="217">
        <v>0</v>
      </c>
      <c r="J207" s="216">
        <v>7644397.9699999997</v>
      </c>
      <c r="K207" s="216">
        <v>0</v>
      </c>
      <c r="L207" s="216">
        <v>0</v>
      </c>
      <c r="M207" s="208">
        <f t="shared" si="44"/>
        <v>0</v>
      </c>
      <c r="N207" s="208">
        <f t="shared" si="44"/>
        <v>7644397.9699999997</v>
      </c>
      <c r="O207" s="208">
        <f t="shared" si="48"/>
        <v>7644397.9699999997</v>
      </c>
      <c r="P207" s="234">
        <v>412848.67999999988</v>
      </c>
      <c r="Q207" s="208">
        <f t="shared" si="49"/>
        <v>8057246.6499999994</v>
      </c>
      <c r="R207" s="216">
        <f t="shared" si="45"/>
        <v>0</v>
      </c>
      <c r="S207" s="216">
        <v>0</v>
      </c>
      <c r="T207" s="216">
        <f t="shared" si="46"/>
        <v>7098319.8603711603</v>
      </c>
      <c r="U207" s="216">
        <f t="shared" si="47"/>
        <v>7098319.8603711603</v>
      </c>
      <c r="V207" s="216">
        <v>0</v>
      </c>
      <c r="W207" s="216">
        <v>8187151.3199999994</v>
      </c>
      <c r="X207" s="216">
        <f t="shared" si="50"/>
        <v>8187151.3199999994</v>
      </c>
      <c r="Y207" s="216">
        <f t="shared" si="53"/>
        <v>0</v>
      </c>
      <c r="Z207" s="216">
        <f t="shared" si="54"/>
        <v>-1088831.459628839</v>
      </c>
      <c r="AA207" s="216">
        <v>0</v>
      </c>
      <c r="AB207" s="221"/>
      <c r="AC207" s="216">
        <f t="shared" si="51"/>
        <v>-3.9465594724256223</v>
      </c>
    </row>
    <row r="208" spans="1:30" s="213" customFormat="1" ht="15.95" customHeight="1">
      <c r="A208" s="214" t="s">
        <v>728</v>
      </c>
      <c r="B208" s="215">
        <v>265288.32004245935</v>
      </c>
      <c r="C208" s="207">
        <v>21675.976234120371</v>
      </c>
      <c r="D208" s="216">
        <f t="shared" si="42"/>
        <v>286964.29627657973</v>
      </c>
      <c r="E208" s="216">
        <v>0</v>
      </c>
      <c r="F208" s="218">
        <v>0</v>
      </c>
      <c r="G208" s="216">
        <f>SUM(E208:F208)</f>
        <v>0</v>
      </c>
      <c r="H208" s="216">
        <f t="shared" si="52"/>
        <v>286964.29627657973</v>
      </c>
      <c r="I208" s="217">
        <v>0</v>
      </c>
      <c r="J208" s="216">
        <v>0</v>
      </c>
      <c r="K208" s="216">
        <v>0</v>
      </c>
      <c r="L208" s="216">
        <v>0</v>
      </c>
      <c r="M208" s="208">
        <f t="shared" si="44"/>
        <v>0</v>
      </c>
      <c r="N208" s="208">
        <f t="shared" si="44"/>
        <v>0</v>
      </c>
      <c r="O208" s="208">
        <f t="shared" si="48"/>
        <v>0</v>
      </c>
      <c r="P208" s="216">
        <v>0</v>
      </c>
      <c r="Q208" s="208">
        <f t="shared" si="49"/>
        <v>0</v>
      </c>
      <c r="R208" s="216">
        <f t="shared" si="45"/>
        <v>0</v>
      </c>
      <c r="S208" s="216">
        <v>0</v>
      </c>
      <c r="T208" s="216">
        <f t="shared" si="46"/>
        <v>286964.29627657973</v>
      </c>
      <c r="U208" s="216">
        <f t="shared" si="47"/>
        <v>286964.29627657973</v>
      </c>
      <c r="V208" s="216">
        <v>0</v>
      </c>
      <c r="W208" s="216">
        <v>0</v>
      </c>
      <c r="X208" s="216">
        <f t="shared" si="50"/>
        <v>0</v>
      </c>
      <c r="Y208" s="216">
        <f t="shared" si="53"/>
        <v>286964.29627657973</v>
      </c>
      <c r="Z208" s="216">
        <f t="shared" si="54"/>
        <v>0</v>
      </c>
      <c r="AA208" s="216">
        <v>0</v>
      </c>
      <c r="AB208" s="221">
        <v>0</v>
      </c>
      <c r="AC208" s="216">
        <f t="shared" si="51"/>
        <v>0</v>
      </c>
    </row>
    <row r="209" spans="1:29" s="213" customFormat="1" ht="15.95" customHeight="1">
      <c r="A209" s="214" t="s">
        <v>920</v>
      </c>
      <c r="B209" s="215">
        <v>728409.97651117959</v>
      </c>
      <c r="C209" s="207">
        <v>12528.655959335198</v>
      </c>
      <c r="D209" s="216">
        <f t="shared" si="42"/>
        <v>740938.63247051474</v>
      </c>
      <c r="E209" s="217">
        <v>-548791</v>
      </c>
      <c r="F209" s="218">
        <v>0</v>
      </c>
      <c r="G209" s="216">
        <f t="shared" si="43"/>
        <v>-548791</v>
      </c>
      <c r="H209" s="216">
        <f t="shared" si="52"/>
        <v>192147.63247051474</v>
      </c>
      <c r="I209" s="217">
        <v>0</v>
      </c>
      <c r="J209" s="216">
        <v>76166</v>
      </c>
      <c r="K209" s="216">
        <v>0</v>
      </c>
      <c r="L209" s="216">
        <v>0</v>
      </c>
      <c r="M209" s="208">
        <f t="shared" si="44"/>
        <v>0</v>
      </c>
      <c r="N209" s="208">
        <f>J209+L209</f>
        <v>76166</v>
      </c>
      <c r="O209" s="208">
        <f t="shared" si="48"/>
        <v>76166</v>
      </c>
      <c r="P209" s="216">
        <v>0</v>
      </c>
      <c r="Q209" s="208">
        <f t="shared" si="49"/>
        <v>76166</v>
      </c>
      <c r="R209" s="216">
        <f t="shared" si="45"/>
        <v>0</v>
      </c>
      <c r="S209" s="216">
        <v>0</v>
      </c>
      <c r="T209" s="216">
        <f t="shared" si="46"/>
        <v>115981.63247051474</v>
      </c>
      <c r="U209" s="216">
        <f t="shared" si="47"/>
        <v>115981.63247051474</v>
      </c>
      <c r="V209" s="216">
        <v>0</v>
      </c>
      <c r="W209" s="216">
        <v>0</v>
      </c>
      <c r="X209" s="216">
        <f t="shared" si="50"/>
        <v>0</v>
      </c>
      <c r="Y209" s="216">
        <f t="shared" si="53"/>
        <v>115981.63247051474</v>
      </c>
      <c r="Z209" s="216">
        <f t="shared" si="54"/>
        <v>0</v>
      </c>
      <c r="AA209" s="216">
        <v>0</v>
      </c>
      <c r="AB209" s="219">
        <v>0</v>
      </c>
      <c r="AC209" s="216">
        <f t="shared" si="51"/>
        <v>0</v>
      </c>
    </row>
    <row r="210" spans="1:29" s="213" customFormat="1" ht="15.95" customHeight="1">
      <c r="A210" s="214" t="s">
        <v>643</v>
      </c>
      <c r="B210" s="215">
        <v>3738261.914631858</v>
      </c>
      <c r="C210" s="207">
        <v>68885.4080185333</v>
      </c>
      <c r="D210" s="216">
        <f t="shared" si="42"/>
        <v>3807147.3226503911</v>
      </c>
      <c r="E210" s="217">
        <v>8600</v>
      </c>
      <c r="F210" s="218">
        <v>0</v>
      </c>
      <c r="G210" s="216">
        <f t="shared" si="43"/>
        <v>8600</v>
      </c>
      <c r="H210" s="216">
        <f t="shared" si="52"/>
        <v>3815747.3226503911</v>
      </c>
      <c r="I210" s="217">
        <v>0</v>
      </c>
      <c r="J210" s="216">
        <v>2980904.26</v>
      </c>
      <c r="K210" s="216">
        <v>0</v>
      </c>
      <c r="L210" s="216">
        <v>0</v>
      </c>
      <c r="M210" s="208">
        <f t="shared" si="44"/>
        <v>0</v>
      </c>
      <c r="N210" s="208">
        <f t="shared" si="44"/>
        <v>2980904.26</v>
      </c>
      <c r="O210" s="208">
        <f t="shared" si="48"/>
        <v>2980904.26</v>
      </c>
      <c r="P210" s="216">
        <v>0</v>
      </c>
      <c r="Q210" s="208">
        <f t="shared" si="49"/>
        <v>2980904.26</v>
      </c>
      <c r="R210" s="216">
        <f t="shared" si="45"/>
        <v>0</v>
      </c>
      <c r="S210" s="216">
        <v>0</v>
      </c>
      <c r="T210" s="216">
        <f t="shared" si="46"/>
        <v>834843.06265039137</v>
      </c>
      <c r="U210" s="216">
        <f t="shared" si="47"/>
        <v>834843.06265039137</v>
      </c>
      <c r="V210" s="216">
        <v>0</v>
      </c>
      <c r="W210" s="216">
        <v>900000</v>
      </c>
      <c r="X210" s="216">
        <f t="shared" si="50"/>
        <v>900000</v>
      </c>
      <c r="Y210" s="216">
        <f t="shared" si="53"/>
        <v>0</v>
      </c>
      <c r="Z210" s="216">
        <f t="shared" si="54"/>
        <v>-65156.937349608634</v>
      </c>
      <c r="AA210" s="216"/>
      <c r="AB210" s="219">
        <v>1196020.3899999999</v>
      </c>
      <c r="AC210" s="216">
        <f t="shared" si="51"/>
        <v>-0.94587430377241088</v>
      </c>
    </row>
    <row r="211" spans="1:29" s="213" customFormat="1" ht="15.95" customHeight="1">
      <c r="A211" s="214" t="s">
        <v>869</v>
      </c>
      <c r="B211" s="215">
        <v>3422504.5865698992</v>
      </c>
      <c r="C211" s="207">
        <v>73723.05947939679</v>
      </c>
      <c r="D211" s="216">
        <f t="shared" si="42"/>
        <v>3496227.646049296</v>
      </c>
      <c r="E211" s="217">
        <v>4000000</v>
      </c>
      <c r="F211" s="218">
        <v>0</v>
      </c>
      <c r="G211" s="216">
        <f t="shared" si="43"/>
        <v>4000000</v>
      </c>
      <c r="H211" s="216">
        <f t="shared" si="52"/>
        <v>7496227.6460492965</v>
      </c>
      <c r="I211" s="217">
        <v>0</v>
      </c>
      <c r="J211" s="216">
        <v>7816036.5899999999</v>
      </c>
      <c r="K211" s="216">
        <v>0</v>
      </c>
      <c r="L211" s="216">
        <v>0</v>
      </c>
      <c r="M211" s="208">
        <f t="shared" si="44"/>
        <v>0</v>
      </c>
      <c r="N211" s="208">
        <f t="shared" si="44"/>
        <v>7816036.5899999999</v>
      </c>
      <c r="O211" s="208">
        <f t="shared" si="48"/>
        <v>7816036.5899999999</v>
      </c>
      <c r="P211" s="216">
        <v>0</v>
      </c>
      <c r="Q211" s="208">
        <f t="shared" si="49"/>
        <v>7816036.5899999999</v>
      </c>
      <c r="R211" s="216">
        <f t="shared" si="45"/>
        <v>-319808.94395070337</v>
      </c>
      <c r="S211" s="216">
        <v>-599645.21194245294</v>
      </c>
      <c r="T211" s="216">
        <f t="shared" si="46"/>
        <v>0</v>
      </c>
      <c r="U211" s="216">
        <f t="shared" si="47"/>
        <v>-319808.94395070337</v>
      </c>
      <c r="V211" s="216">
        <v>0</v>
      </c>
      <c r="W211" s="216">
        <v>0</v>
      </c>
      <c r="X211" s="216">
        <f t="shared" si="50"/>
        <v>0</v>
      </c>
      <c r="Y211" s="216">
        <f t="shared" si="53"/>
        <v>0</v>
      </c>
      <c r="Z211" s="216">
        <f t="shared" si="54"/>
        <v>-319808.94395070337</v>
      </c>
      <c r="AA211" s="216">
        <v>0</v>
      </c>
      <c r="AB211" s="219">
        <v>2952615.48</v>
      </c>
      <c r="AC211" s="216">
        <f t="shared" si="51"/>
        <v>-4.3379771025384484</v>
      </c>
    </row>
    <row r="212" spans="1:29" s="213" customFormat="1" ht="15.95" customHeight="1">
      <c r="A212" s="214" t="s">
        <v>870</v>
      </c>
      <c r="B212" s="215">
        <v>1827825.8924300165</v>
      </c>
      <c r="C212" s="207">
        <v>9376.0991514480556</v>
      </c>
      <c r="D212" s="216">
        <f>SUM(B212:C212)</f>
        <v>1837201.9915814647</v>
      </c>
      <c r="E212" s="217">
        <v>0</v>
      </c>
      <c r="F212" s="218">
        <v>0</v>
      </c>
      <c r="G212" s="216">
        <f t="shared" si="43"/>
        <v>0</v>
      </c>
      <c r="H212" s="216">
        <f t="shared" si="52"/>
        <v>1837201.9915814647</v>
      </c>
      <c r="I212" s="217">
        <v>0</v>
      </c>
      <c r="J212" s="216">
        <v>0</v>
      </c>
      <c r="K212" s="216">
        <v>0</v>
      </c>
      <c r="L212" s="216">
        <v>0</v>
      </c>
      <c r="M212" s="208">
        <f t="shared" si="44"/>
        <v>0</v>
      </c>
      <c r="N212" s="208">
        <f t="shared" si="44"/>
        <v>0</v>
      </c>
      <c r="O212" s="208">
        <f t="shared" si="48"/>
        <v>0</v>
      </c>
      <c r="P212" s="216">
        <v>0</v>
      </c>
      <c r="Q212" s="208"/>
      <c r="R212" s="216">
        <f t="shared" si="45"/>
        <v>0</v>
      </c>
      <c r="S212" s="216">
        <v>0</v>
      </c>
      <c r="T212" s="216">
        <f t="shared" si="46"/>
        <v>1837201.9915814647</v>
      </c>
      <c r="U212" s="216">
        <f t="shared" si="47"/>
        <v>1837201.9915814647</v>
      </c>
      <c r="V212" s="216">
        <v>0</v>
      </c>
      <c r="W212" s="216">
        <v>0</v>
      </c>
      <c r="X212" s="216">
        <f t="shared" si="50"/>
        <v>0</v>
      </c>
      <c r="Y212" s="216">
        <f t="shared" si="53"/>
        <v>1837201.9915814647</v>
      </c>
      <c r="Z212" s="216">
        <f t="shared" si="54"/>
        <v>0</v>
      </c>
      <c r="AA212" s="216">
        <v>0</v>
      </c>
      <c r="AB212" s="221">
        <v>0</v>
      </c>
      <c r="AC212" s="216">
        <f t="shared" si="51"/>
        <v>0</v>
      </c>
    </row>
    <row r="213" spans="1:29" s="213" customFormat="1" ht="8.1" customHeight="1">
      <c r="A213" s="243"/>
      <c r="B213" s="216"/>
      <c r="C213" s="215"/>
      <c r="D213" s="215"/>
      <c r="E213" s="215"/>
      <c r="F213" s="244"/>
      <c r="G213" s="215"/>
      <c r="H213" s="215"/>
      <c r="I213" s="215"/>
      <c r="J213" s="215"/>
      <c r="K213" s="215"/>
      <c r="L213" s="215"/>
      <c r="M213" s="215"/>
      <c r="N213" s="215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6"/>
      <c r="Z213" s="216"/>
      <c r="AA213" s="215"/>
      <c r="AB213" s="221"/>
      <c r="AC213" s="216"/>
    </row>
    <row r="214" spans="1:29" s="213" customFormat="1" ht="15.95" customHeight="1" thickBot="1">
      <c r="A214" s="245" t="s">
        <v>1564</v>
      </c>
      <c r="B214" s="246">
        <f>SUM(B5:B213)</f>
        <v>1453987782.7336791</v>
      </c>
      <c r="C214" s="246">
        <f>SUM(C5:C213)</f>
        <v>26140927.037009396</v>
      </c>
      <c r="D214" s="246">
        <f>SUM(D5:D213)</f>
        <v>1480128709.7706892</v>
      </c>
      <c r="E214" s="247">
        <v>0</v>
      </c>
      <c r="F214" s="246">
        <f>SUM(F5:F213)</f>
        <v>0</v>
      </c>
      <c r="G214" s="246">
        <f t="shared" ref="G214:AB214" si="55">SUM(G5:G213)</f>
        <v>0</v>
      </c>
      <c r="H214" s="246">
        <f t="shared" si="55"/>
        <v>1480128709.7706895</v>
      </c>
      <c r="I214" s="246">
        <f t="shared" si="55"/>
        <v>238568</v>
      </c>
      <c r="J214" s="246">
        <f t="shared" si="55"/>
        <v>1128809190.5895002</v>
      </c>
      <c r="K214" s="246">
        <f t="shared" si="55"/>
        <v>0</v>
      </c>
      <c r="L214" s="246">
        <f>SUM(L5:L213)</f>
        <v>-113999.14</v>
      </c>
      <c r="M214" s="246"/>
      <c r="N214" s="246">
        <f>SUM(N5:N213)</f>
        <v>1128695191.4495003</v>
      </c>
      <c r="O214" s="246">
        <f>SUM(O5:O213)</f>
        <v>1128695191.4495003</v>
      </c>
      <c r="P214" s="246">
        <f>SUM(P5:P213)</f>
        <v>65995404.349899955</v>
      </c>
      <c r="Q214" s="246">
        <f>SUM(Q5:Q213)</f>
        <v>1194690595.7994001</v>
      </c>
      <c r="R214" s="246">
        <f t="shared" si="55"/>
        <v>-23142005.826662675</v>
      </c>
      <c r="S214" s="246">
        <v>-28034289.357578091</v>
      </c>
      <c r="T214" s="246">
        <f t="shared" si="55"/>
        <v>308580119.79795128</v>
      </c>
      <c r="U214" s="246">
        <f t="shared" si="55"/>
        <v>285438113.97128856</v>
      </c>
      <c r="V214" s="246">
        <f>SUM(V5:V213)</f>
        <v>26110376.030100003</v>
      </c>
      <c r="W214" s="246">
        <f>SUM(W5:W213)</f>
        <v>61739402.349999994</v>
      </c>
      <c r="X214" s="246">
        <f t="shared" si="55"/>
        <v>87849778.380099997</v>
      </c>
      <c r="Y214" s="246">
        <f>SUM(Y5:Y213)</f>
        <v>231564868.41340536</v>
      </c>
      <c r="Z214" s="246">
        <f t="shared" si="55"/>
        <v>-33976532.822216757</v>
      </c>
      <c r="AA214" s="246">
        <f>SUM(AA5:AA213)</f>
        <v>185164635</v>
      </c>
      <c r="AB214" s="248">
        <f t="shared" si="55"/>
        <v>132980689.07000001</v>
      </c>
      <c r="AC214" s="246"/>
    </row>
    <row r="215" spans="1:29" ht="12.2" customHeight="1" thickBot="1">
      <c r="B215" s="249"/>
      <c r="C215" s="250"/>
      <c r="D215" s="251"/>
      <c r="E215" s="251"/>
      <c r="G215" s="251"/>
      <c r="H215" s="253"/>
      <c r="I215" s="251"/>
      <c r="J215" s="251"/>
      <c r="K215" s="251"/>
      <c r="L215" s="251"/>
      <c r="M215" s="251"/>
      <c r="N215" s="254"/>
      <c r="O215" s="254"/>
      <c r="P215" s="255"/>
      <c r="Q215" s="256"/>
      <c r="R215" s="257"/>
      <c r="S215" s="257"/>
      <c r="T215" s="258"/>
      <c r="U215" s="258"/>
      <c r="V215" s="258"/>
      <c r="W215" s="259"/>
      <c r="X215" s="256"/>
      <c r="Y215" s="260"/>
      <c r="Z215" s="260"/>
      <c r="AA215" s="257"/>
      <c r="AB215" s="257"/>
      <c r="AC215" s="260"/>
    </row>
    <row r="216" spans="1:29" s="261" customFormat="1" ht="12.2" customHeight="1" thickBot="1">
      <c r="B216" s="262"/>
      <c r="C216" s="262"/>
      <c r="D216" s="263"/>
      <c r="E216" s="263"/>
      <c r="F216" s="264"/>
      <c r="G216" s="263"/>
      <c r="H216" s="265"/>
      <c r="I216" s="266" t="s">
        <v>1565</v>
      </c>
      <c r="J216" s="267">
        <f>I214+J214</f>
        <v>1129047758.5895002</v>
      </c>
      <c r="K216" s="263"/>
      <c r="L216" s="265">
        <v>-113999.14</v>
      </c>
      <c r="M216" s="265"/>
      <c r="N216" s="268"/>
      <c r="O216" s="268"/>
      <c r="P216" s="268">
        <v>65995404.349899963</v>
      </c>
      <c r="Q216" s="269"/>
      <c r="R216" s="270"/>
      <c r="S216" s="270"/>
      <c r="T216" s="271"/>
      <c r="U216" s="272">
        <f>SUM(H214-Q214)</f>
        <v>285438113.9712894</v>
      </c>
      <c r="V216" s="270">
        <v>26110376.030100003</v>
      </c>
      <c r="W216" s="270">
        <v>61739402.349999994</v>
      </c>
      <c r="X216" s="273">
        <f>SUM(V216:W216)</f>
        <v>87849778.380099997</v>
      </c>
      <c r="Y216" s="274"/>
      <c r="Z216" s="275"/>
      <c r="AA216" s="265">
        <v>185164635</v>
      </c>
      <c r="AB216" s="265">
        <v>132980689.07000001</v>
      </c>
      <c r="AC216" s="275" t="s">
        <v>1566</v>
      </c>
    </row>
    <row r="217" spans="1:29" s="261" customFormat="1" ht="12.2" customHeight="1">
      <c r="B217" s="262"/>
      <c r="C217" s="262"/>
      <c r="D217" s="263"/>
      <c r="E217" s="263"/>
      <c r="F217" s="264"/>
      <c r="G217" s="263"/>
      <c r="H217" s="265"/>
      <c r="I217" s="263"/>
      <c r="J217" s="276"/>
      <c r="K217" s="263"/>
      <c r="L217" s="265"/>
      <c r="M217" s="265"/>
      <c r="N217" s="268"/>
      <c r="O217" s="268"/>
      <c r="P217" s="268"/>
      <c r="Q217" s="269"/>
      <c r="R217" s="270"/>
      <c r="S217" s="270"/>
      <c r="T217" s="271"/>
      <c r="U217" s="277" t="s">
        <v>1567</v>
      </c>
      <c r="V217" s="270"/>
      <c r="W217" s="270"/>
      <c r="X217" s="273"/>
      <c r="Y217" s="274"/>
      <c r="Z217" s="275"/>
      <c r="AA217" s="265"/>
      <c r="AB217" s="265"/>
      <c r="AC217" s="275"/>
    </row>
    <row r="218" spans="1:29" s="278" customFormat="1" ht="12.2" customHeight="1">
      <c r="B218" s="279"/>
      <c r="C218" s="279"/>
      <c r="D218" s="263"/>
      <c r="E218" s="263"/>
      <c r="F218" s="264"/>
      <c r="G218" s="263"/>
      <c r="H218" s="280"/>
      <c r="I218" s="263"/>
      <c r="J218" s="279"/>
      <c r="K218" s="263"/>
      <c r="L218" s="279">
        <f>L216-L214</f>
        <v>0</v>
      </c>
      <c r="M218" s="279"/>
      <c r="N218" s="281"/>
      <c r="O218" s="281"/>
      <c r="P218" s="279">
        <f>P214-P216</f>
        <v>0</v>
      </c>
      <c r="Q218" s="282"/>
      <c r="R218" s="283"/>
      <c r="S218" s="283"/>
      <c r="T218" s="279"/>
      <c r="U218" s="277" t="s">
        <v>1568</v>
      </c>
      <c r="V218" s="283">
        <f>V216-V214</f>
        <v>0</v>
      </c>
      <c r="W218" s="283">
        <f>W216-W214</f>
        <v>0</v>
      </c>
      <c r="X218" s="279">
        <f>X216-X214</f>
        <v>0</v>
      </c>
      <c r="Y218" s="284"/>
      <c r="Z218" s="274"/>
      <c r="AA218" s="279">
        <f>AA216-AA214</f>
        <v>0</v>
      </c>
      <c r="AB218" s="279">
        <f>AB216-AB214</f>
        <v>0</v>
      </c>
      <c r="AC218" s="274"/>
    </row>
    <row r="219" spans="1:29" s="287" customFormat="1" ht="12.2" customHeight="1">
      <c r="A219" s="285" t="s">
        <v>1569</v>
      </c>
      <c r="B219" s="286"/>
      <c r="D219" s="169"/>
      <c r="E219" s="171"/>
      <c r="F219" s="252"/>
      <c r="G219" s="171"/>
      <c r="H219" s="288"/>
      <c r="I219" s="171"/>
      <c r="J219" s="169"/>
      <c r="K219" s="171"/>
      <c r="L219" s="289"/>
      <c r="M219" s="289"/>
      <c r="N219" s="255"/>
      <c r="O219" s="255"/>
      <c r="P219" s="255"/>
      <c r="Q219" s="178"/>
      <c r="R219" s="290"/>
      <c r="S219" s="290"/>
      <c r="T219" s="291"/>
      <c r="U219" s="292" t="s">
        <v>1570</v>
      </c>
      <c r="V219" s="293"/>
      <c r="W219" s="293"/>
      <c r="X219" s="294"/>
      <c r="Y219" s="295"/>
      <c r="Z219" s="296"/>
      <c r="AA219" s="297"/>
      <c r="AB219" s="298"/>
      <c r="AC219" s="296"/>
    </row>
    <row r="220" spans="1:29" s="314" customFormat="1" ht="8.4499999999999993" customHeight="1">
      <c r="A220" s="299" t="s">
        <v>1571</v>
      </c>
      <c r="B220" s="300"/>
      <c r="C220" s="301"/>
      <c r="D220" s="302"/>
      <c r="E220" s="303"/>
      <c r="F220" s="304"/>
      <c r="G220" s="305"/>
      <c r="H220" s="305"/>
      <c r="I220" s="305"/>
      <c r="J220" s="306"/>
      <c r="K220" s="305"/>
      <c r="L220" s="307"/>
      <c r="M220" s="307"/>
      <c r="N220" s="308"/>
      <c r="O220" s="308"/>
      <c r="P220" s="308"/>
      <c r="Q220" s="309"/>
      <c r="R220" s="305"/>
      <c r="S220" s="305"/>
      <c r="T220" s="310"/>
      <c r="U220" s="310"/>
      <c r="V220" s="311"/>
      <c r="W220" s="311"/>
      <c r="X220" s="309"/>
      <c r="Y220" s="312"/>
      <c r="Z220" s="312"/>
      <c r="AA220" s="313"/>
      <c r="AC220" s="312"/>
    </row>
    <row r="221" spans="1:29" s="314" customFormat="1" ht="11.45">
      <c r="A221" s="299"/>
      <c r="B221" s="300"/>
      <c r="C221" s="301"/>
      <c r="D221" s="302"/>
      <c r="E221" s="303"/>
      <c r="F221" s="304"/>
      <c r="G221" s="305"/>
      <c r="H221" s="305"/>
      <c r="I221" s="305"/>
      <c r="J221" s="306"/>
      <c r="K221" s="305"/>
      <c r="L221" s="307"/>
      <c r="M221" s="307"/>
      <c r="N221" s="308"/>
      <c r="O221" s="308"/>
      <c r="P221" s="308"/>
      <c r="Q221" s="309"/>
      <c r="R221" s="305"/>
      <c r="S221" s="305"/>
      <c r="T221" s="310"/>
      <c r="U221" s="310"/>
      <c r="V221" s="311"/>
      <c r="W221" s="311"/>
      <c r="X221" s="309"/>
      <c r="Y221" s="312"/>
      <c r="Z221" s="312"/>
      <c r="AA221" s="313"/>
      <c r="AC221" s="312"/>
    </row>
    <row r="222" spans="1:29" s="318" customFormat="1" ht="11.45">
      <c r="A222" s="299" t="s">
        <v>1572</v>
      </c>
      <c r="B222" s="307"/>
      <c r="C222" s="315"/>
      <c r="D222" s="306"/>
      <c r="E222" s="305"/>
      <c r="F222" s="304"/>
      <c r="G222" s="305"/>
      <c r="H222" s="305"/>
      <c r="I222" s="305"/>
      <c r="J222" s="306"/>
      <c r="K222" s="305"/>
      <c r="L222" s="306"/>
      <c r="M222" s="306"/>
      <c r="N222" s="308"/>
      <c r="O222" s="308"/>
      <c r="P222" s="308"/>
      <c r="Q222" s="309"/>
      <c r="R222" s="305"/>
      <c r="S222" s="305"/>
      <c r="T222" s="310"/>
      <c r="U222" s="310"/>
      <c r="V222" s="316"/>
      <c r="W222" s="316"/>
      <c r="X222" s="317"/>
      <c r="Y222" s="312"/>
      <c r="Z222" s="312"/>
      <c r="AA222" s="305"/>
      <c r="AB222" s="309"/>
      <c r="AC222" s="312"/>
    </row>
    <row r="223" spans="1:29" s="287" customFormat="1" ht="11.45">
      <c r="A223" s="319"/>
      <c r="B223" s="320"/>
      <c r="C223" s="321"/>
      <c r="D223" s="322"/>
      <c r="E223" s="323"/>
      <c r="F223" s="252"/>
      <c r="G223" s="171"/>
      <c r="H223" s="171"/>
      <c r="I223" s="171"/>
      <c r="J223" s="169"/>
      <c r="K223" s="171"/>
      <c r="L223" s="169"/>
      <c r="M223" s="169"/>
      <c r="N223" s="255"/>
      <c r="O223" s="255"/>
      <c r="P223" s="174"/>
      <c r="Q223" s="324"/>
      <c r="R223" s="171"/>
      <c r="S223" s="171"/>
      <c r="T223" s="176"/>
      <c r="U223" s="176"/>
      <c r="V223" s="325"/>
      <c r="W223" s="326"/>
      <c r="X223" s="324"/>
      <c r="Y223" s="327"/>
      <c r="Z223" s="177"/>
      <c r="AA223" s="171"/>
      <c r="AC223" s="177"/>
    </row>
    <row r="224" spans="1:29" s="314" customFormat="1" ht="11.45">
      <c r="A224" s="328" t="s">
        <v>1573</v>
      </c>
      <c r="B224" s="328"/>
      <c r="C224" s="329"/>
      <c r="D224" s="302"/>
      <c r="E224" s="303"/>
      <c r="F224" s="304"/>
      <c r="G224" s="305"/>
      <c r="H224" s="330"/>
      <c r="I224" s="305"/>
      <c r="J224" s="306"/>
      <c r="K224" s="305"/>
      <c r="L224" s="306"/>
      <c r="M224" s="306"/>
      <c r="N224" s="308"/>
      <c r="O224" s="308"/>
      <c r="P224" s="308"/>
      <c r="Q224" s="309"/>
      <c r="R224" s="305"/>
      <c r="S224" s="305"/>
      <c r="T224" s="331"/>
      <c r="U224" s="310"/>
      <c r="V224" s="316"/>
      <c r="W224" s="311"/>
      <c r="X224" s="309"/>
      <c r="Y224" s="332"/>
      <c r="Z224" s="332"/>
      <c r="AA224" s="303"/>
      <c r="AB224" s="309"/>
      <c r="AC224" s="332"/>
    </row>
    <row r="225" spans="1:29" s="287" customFormat="1">
      <c r="A225" s="333"/>
      <c r="B225" s="334"/>
      <c r="C225" s="321"/>
      <c r="D225" s="322"/>
      <c r="E225" s="323"/>
      <c r="F225" s="252"/>
      <c r="G225" s="171"/>
      <c r="H225" s="171"/>
      <c r="I225" s="171"/>
      <c r="J225" s="169"/>
      <c r="K225" s="171"/>
      <c r="L225" s="169"/>
      <c r="M225" s="169"/>
      <c r="N225" s="255"/>
      <c r="O225" s="255"/>
      <c r="P225" s="174"/>
      <c r="Q225" s="324"/>
      <c r="R225" s="171"/>
      <c r="S225" s="171"/>
      <c r="T225" s="176"/>
      <c r="U225" s="335"/>
      <c r="V225" s="326"/>
      <c r="W225" s="326"/>
      <c r="X225" s="324"/>
      <c r="Y225" s="336"/>
      <c r="Z225" s="336"/>
      <c r="AA225" s="337"/>
      <c r="AB225" s="178"/>
      <c r="AC225" s="336"/>
    </row>
    <row r="226" spans="1:29" s="287" customFormat="1" ht="11.45">
      <c r="A226" s="328" t="s">
        <v>1574</v>
      </c>
      <c r="B226" s="334"/>
      <c r="C226" s="321"/>
      <c r="D226" s="322"/>
      <c r="E226" s="323"/>
      <c r="F226" s="252"/>
      <c r="G226" s="171"/>
      <c r="H226" s="171"/>
      <c r="I226" s="171"/>
      <c r="J226" s="169"/>
      <c r="K226" s="171"/>
      <c r="L226" s="169"/>
      <c r="M226" s="169"/>
      <c r="N226" s="255"/>
      <c r="O226" s="255"/>
      <c r="P226" s="174"/>
      <c r="Q226" s="324"/>
      <c r="R226" s="171"/>
      <c r="S226" s="171"/>
      <c r="T226" s="176"/>
      <c r="U226" s="335"/>
      <c r="V226" s="326"/>
      <c r="W226" s="326"/>
      <c r="X226" s="324"/>
      <c r="Y226" s="336"/>
      <c r="Z226" s="336"/>
      <c r="AA226" s="337"/>
      <c r="AB226" s="178"/>
      <c r="AC226" s="336"/>
    </row>
    <row r="227" spans="1:29" s="287" customFormat="1" ht="11.45">
      <c r="A227" s="328"/>
      <c r="B227" s="334"/>
      <c r="C227" s="321"/>
      <c r="D227" s="322"/>
      <c r="E227" s="323"/>
      <c r="F227" s="252"/>
      <c r="G227" s="171"/>
      <c r="H227" s="171"/>
      <c r="I227" s="171"/>
      <c r="J227" s="169"/>
      <c r="K227" s="171"/>
      <c r="L227" s="169"/>
      <c r="M227" s="169"/>
      <c r="N227" s="255"/>
      <c r="O227" s="255"/>
      <c r="P227" s="174"/>
      <c r="Q227" s="324"/>
      <c r="R227" s="171"/>
      <c r="S227" s="171"/>
      <c r="T227" s="176"/>
      <c r="U227" s="335"/>
      <c r="V227" s="326"/>
      <c r="W227" s="326"/>
      <c r="X227" s="324"/>
      <c r="Y227" s="336"/>
      <c r="Z227" s="338"/>
      <c r="AA227" s="336"/>
      <c r="AB227" s="178"/>
      <c r="AC227" s="338"/>
    </row>
    <row r="228" spans="1:29" s="287" customFormat="1" ht="11.45">
      <c r="A228" s="328" t="s">
        <v>1575</v>
      </c>
      <c r="B228" s="334"/>
      <c r="C228" s="321"/>
      <c r="D228" s="322"/>
      <c r="E228" s="323"/>
      <c r="F228" s="252"/>
      <c r="G228" s="171"/>
      <c r="H228" s="171"/>
      <c r="I228" s="171"/>
      <c r="J228" s="169"/>
      <c r="K228" s="171"/>
      <c r="L228" s="169"/>
      <c r="M228" s="169"/>
      <c r="N228" s="255"/>
      <c r="O228" s="255"/>
      <c r="P228" s="174"/>
      <c r="Q228" s="288"/>
      <c r="R228" s="171"/>
      <c r="S228" s="171"/>
      <c r="T228" s="176"/>
      <c r="U228" s="335"/>
      <c r="V228" s="326"/>
      <c r="W228" s="326"/>
      <c r="X228" s="324"/>
      <c r="Y228" s="336"/>
      <c r="Z228" s="336"/>
      <c r="AA228" s="337"/>
      <c r="AB228" s="178"/>
      <c r="AC228" s="336"/>
    </row>
    <row r="229" spans="1:29" s="287" customFormat="1">
      <c r="A229" s="339"/>
      <c r="B229" s="334"/>
      <c r="C229" s="321"/>
      <c r="D229" s="322"/>
      <c r="E229" s="323"/>
      <c r="F229" s="252"/>
      <c r="G229" s="171"/>
      <c r="H229" s="171"/>
      <c r="I229" s="171"/>
      <c r="J229" s="169"/>
      <c r="K229" s="171"/>
      <c r="L229" s="169"/>
      <c r="M229" s="169"/>
      <c r="N229" s="255"/>
      <c r="O229" s="255"/>
      <c r="P229" s="174"/>
      <c r="Q229" s="324"/>
      <c r="R229" s="171"/>
      <c r="S229" s="171"/>
      <c r="T229" s="176"/>
      <c r="U229" s="335"/>
      <c r="V229" s="326"/>
      <c r="W229" s="326"/>
      <c r="X229" s="324"/>
      <c r="Y229" s="336"/>
      <c r="Z229" s="336"/>
      <c r="AA229" s="323"/>
      <c r="AB229" s="178"/>
      <c r="AC229" s="336"/>
    </row>
    <row r="230" spans="1:29" s="287" customFormat="1">
      <c r="A230" s="339"/>
      <c r="B230" s="334"/>
      <c r="C230" s="321"/>
      <c r="D230" s="322"/>
      <c r="E230" s="323"/>
      <c r="F230" s="252"/>
      <c r="G230" s="171"/>
      <c r="H230" s="171"/>
      <c r="I230" s="171"/>
      <c r="J230" s="169"/>
      <c r="K230" s="171"/>
      <c r="L230" s="169"/>
      <c r="M230" s="169"/>
      <c r="N230" s="255"/>
      <c r="O230" s="255"/>
      <c r="P230" s="174"/>
      <c r="Q230" s="324"/>
      <c r="R230" s="171"/>
      <c r="S230" s="171"/>
      <c r="T230" s="176"/>
      <c r="U230" s="335"/>
      <c r="V230" s="326"/>
      <c r="W230" s="326"/>
      <c r="X230" s="324"/>
      <c r="Y230" s="336"/>
      <c r="Z230" s="336"/>
      <c r="AA230" s="323"/>
      <c r="AB230" s="178"/>
      <c r="AC230" s="336"/>
    </row>
    <row r="231" spans="1:29" s="287" customFormat="1">
      <c r="A231" s="333"/>
      <c r="B231" s="340"/>
      <c r="C231" s="341"/>
      <c r="D231" s="322"/>
      <c r="E231" s="323"/>
      <c r="F231" s="252"/>
      <c r="G231" s="171"/>
      <c r="H231" s="171"/>
      <c r="I231" s="171"/>
      <c r="J231" s="169"/>
      <c r="K231" s="171"/>
      <c r="L231" s="169"/>
      <c r="M231" s="169"/>
      <c r="N231" s="255"/>
      <c r="O231" s="255"/>
      <c r="P231" s="174"/>
      <c r="Q231" s="324"/>
      <c r="R231" s="171"/>
      <c r="S231" s="171"/>
      <c r="T231" s="342"/>
      <c r="U231" s="176"/>
      <c r="V231" s="326"/>
      <c r="W231" s="326"/>
      <c r="X231" s="324"/>
      <c r="Y231" s="336"/>
      <c r="Z231" s="336"/>
      <c r="AA231" s="323"/>
      <c r="AB231" s="178"/>
      <c r="AC231" s="336"/>
    </row>
    <row r="232" spans="1:29" s="287" customFormat="1">
      <c r="A232" s="333"/>
      <c r="B232" s="340"/>
      <c r="C232" s="341"/>
      <c r="D232" s="322"/>
      <c r="E232" s="323"/>
      <c r="F232" s="252"/>
      <c r="G232" s="171"/>
      <c r="H232" s="171"/>
      <c r="I232" s="171"/>
      <c r="J232" s="169"/>
      <c r="K232" s="171"/>
      <c r="L232" s="169"/>
      <c r="M232" s="169"/>
      <c r="N232" s="255"/>
      <c r="O232" s="255"/>
      <c r="P232" s="174"/>
      <c r="Q232" s="288"/>
      <c r="R232" s="171"/>
      <c r="S232" s="171"/>
      <c r="T232" s="342"/>
      <c r="U232" s="176"/>
      <c r="V232" s="326"/>
      <c r="W232" s="326"/>
      <c r="X232" s="324"/>
      <c r="Y232" s="336"/>
      <c r="Z232" s="336"/>
      <c r="AA232" s="323"/>
      <c r="AB232" s="178"/>
      <c r="AC232" s="336"/>
    </row>
    <row r="233" spans="1:29" s="287" customFormat="1">
      <c r="A233" s="338"/>
      <c r="B233" s="338"/>
      <c r="C233" s="343"/>
      <c r="D233" s="344"/>
      <c r="E233" s="344"/>
      <c r="F233" s="345"/>
      <c r="G233" s="297"/>
      <c r="H233" s="297"/>
      <c r="I233" s="297"/>
      <c r="J233" s="297"/>
      <c r="K233" s="297"/>
      <c r="L233" s="297"/>
      <c r="M233" s="297"/>
      <c r="N233" s="346"/>
      <c r="O233" s="346"/>
      <c r="P233" s="346"/>
      <c r="Q233" s="347"/>
      <c r="R233" s="297"/>
      <c r="S233" s="297"/>
      <c r="T233" s="335"/>
      <c r="U233" s="348"/>
      <c r="V233" s="348"/>
      <c r="W233" s="348"/>
      <c r="X233" s="347"/>
      <c r="Y233" s="336"/>
      <c r="Z233" s="349"/>
      <c r="AA233" s="344"/>
      <c r="AB233" s="178"/>
      <c r="AC233" s="349"/>
    </row>
    <row r="234" spans="1:29" s="287" customFormat="1">
      <c r="A234" s="350"/>
      <c r="B234" s="351"/>
      <c r="C234" s="343"/>
      <c r="D234" s="344"/>
      <c r="E234" s="344"/>
      <c r="F234" s="345"/>
      <c r="G234" s="297"/>
      <c r="H234" s="297"/>
      <c r="I234" s="297"/>
      <c r="J234" s="297"/>
      <c r="K234" s="297"/>
      <c r="L234" s="297"/>
      <c r="M234" s="297"/>
      <c r="N234" s="346"/>
      <c r="O234" s="346"/>
      <c r="P234" s="346"/>
      <c r="Q234" s="347"/>
      <c r="R234" s="297"/>
      <c r="S234" s="297"/>
      <c r="T234" s="335"/>
      <c r="U234" s="348"/>
      <c r="V234" s="348"/>
      <c r="W234" s="348"/>
      <c r="X234" s="347"/>
      <c r="Y234" s="336"/>
      <c r="Z234" s="349"/>
      <c r="AA234" s="344"/>
      <c r="AB234" s="178"/>
      <c r="AC234" s="349"/>
    </row>
    <row r="235" spans="1:29" s="287" customFormat="1">
      <c r="A235" s="350"/>
      <c r="B235" s="351"/>
      <c r="C235" s="352"/>
      <c r="D235" s="344"/>
      <c r="E235" s="344"/>
      <c r="F235" s="345"/>
      <c r="G235" s="297"/>
      <c r="H235" s="297"/>
      <c r="I235" s="297"/>
      <c r="J235" s="297"/>
      <c r="K235" s="297"/>
      <c r="L235" s="297"/>
      <c r="M235" s="297"/>
      <c r="N235" s="346"/>
      <c r="O235" s="346"/>
      <c r="P235" s="346"/>
      <c r="Q235" s="347"/>
      <c r="R235" s="297"/>
      <c r="S235" s="297"/>
      <c r="T235" s="335"/>
      <c r="U235" s="348"/>
      <c r="V235" s="348"/>
      <c r="W235" s="348"/>
      <c r="X235" s="347"/>
      <c r="Y235" s="336"/>
      <c r="Z235" s="353"/>
      <c r="AA235" s="323"/>
      <c r="AB235" s="178"/>
      <c r="AC235" s="353"/>
    </row>
    <row r="236" spans="1:29" s="287" customFormat="1">
      <c r="A236" s="333"/>
      <c r="B236" s="351"/>
      <c r="C236" s="354"/>
      <c r="D236" s="322"/>
      <c r="E236" s="323"/>
      <c r="F236" s="252"/>
      <c r="G236" s="171"/>
      <c r="H236" s="171"/>
      <c r="I236" s="171"/>
      <c r="J236" s="169"/>
      <c r="K236" s="171"/>
      <c r="L236" s="169"/>
      <c r="M236" s="169"/>
      <c r="N236" s="255"/>
      <c r="O236" s="255"/>
      <c r="P236" s="174"/>
    </row>
    <row r="237" spans="1:29" s="287" customFormat="1">
      <c r="A237" s="333"/>
      <c r="B237" s="351"/>
      <c r="C237" s="354"/>
      <c r="D237" s="322"/>
      <c r="E237" s="323"/>
      <c r="F237" s="252"/>
      <c r="G237" s="171"/>
      <c r="H237" s="171"/>
      <c r="I237" s="171"/>
      <c r="J237" s="169"/>
      <c r="K237" s="171"/>
      <c r="L237" s="169"/>
      <c r="M237" s="169"/>
      <c r="N237" s="255"/>
      <c r="O237" s="255"/>
      <c r="P237" s="174"/>
    </row>
    <row r="238" spans="1:29">
      <c r="A238" s="350"/>
      <c r="B238" s="351"/>
      <c r="C238" s="354"/>
      <c r="D238" s="322"/>
      <c r="E238" s="323"/>
    </row>
    <row r="239" spans="1:29">
      <c r="A239" s="350"/>
      <c r="B239" s="351"/>
      <c r="C239" s="354"/>
      <c r="D239" s="322"/>
      <c r="E239" s="323"/>
    </row>
    <row r="240" spans="1:29">
      <c r="A240" s="350"/>
      <c r="B240" s="351"/>
      <c r="C240" s="354"/>
      <c r="D240" s="322"/>
      <c r="E240" s="323"/>
    </row>
    <row r="241" spans="1:5">
      <c r="A241" s="350"/>
      <c r="B241" s="351"/>
      <c r="C241" s="354"/>
      <c r="D241" s="322"/>
      <c r="E241" s="323"/>
    </row>
    <row r="242" spans="1:5">
      <c r="A242" s="350"/>
      <c r="B242" s="351"/>
      <c r="C242" s="354"/>
      <c r="D242" s="322"/>
      <c r="E242" s="323"/>
    </row>
    <row r="243" spans="1:5">
      <c r="A243" s="350"/>
      <c r="B243" s="351"/>
      <c r="C243" s="354"/>
      <c r="D243" s="322"/>
      <c r="E243" s="323"/>
    </row>
    <row r="244" spans="1:5">
      <c r="A244" s="350"/>
      <c r="B244" s="351"/>
      <c r="C244" s="354"/>
      <c r="D244" s="322"/>
      <c r="E244" s="323"/>
    </row>
    <row r="245" spans="1:5">
      <c r="A245" s="350"/>
      <c r="B245" s="351"/>
      <c r="C245" s="354"/>
      <c r="D245" s="322"/>
      <c r="E245" s="323"/>
    </row>
    <row r="246" spans="1:5">
      <c r="A246" s="350"/>
      <c r="B246" s="351"/>
      <c r="C246" s="354"/>
      <c r="D246" s="322"/>
      <c r="E246" s="323"/>
    </row>
    <row r="247" spans="1:5" ht="12">
      <c r="A247" s="350"/>
      <c r="B247" s="355"/>
      <c r="C247" s="354"/>
      <c r="D247" s="322"/>
      <c r="E247" s="323"/>
    </row>
    <row r="248" spans="1:5" ht="12">
      <c r="A248" s="350"/>
      <c r="B248" s="355"/>
      <c r="C248" s="356"/>
      <c r="D248" s="322"/>
      <c r="E248" s="323"/>
    </row>
    <row r="249" spans="1:5">
      <c r="A249" s="350"/>
      <c r="B249" s="351"/>
      <c r="C249" s="341"/>
      <c r="D249" s="322"/>
      <c r="E249" s="357"/>
    </row>
    <row r="250" spans="1:5">
      <c r="A250" s="350"/>
      <c r="B250" s="334"/>
      <c r="C250" s="341"/>
      <c r="D250" s="322"/>
      <c r="E250" s="323"/>
    </row>
    <row r="251" spans="1:5">
      <c r="A251" s="350"/>
      <c r="B251" s="334"/>
      <c r="C251" s="341"/>
      <c r="D251" s="322"/>
      <c r="E251" s="323"/>
    </row>
    <row r="252" spans="1:5">
      <c r="A252" s="350"/>
      <c r="B252" s="334"/>
      <c r="C252" s="341"/>
      <c r="D252" s="322"/>
      <c r="E252" s="323"/>
    </row>
    <row r="253" spans="1:5">
      <c r="A253" s="358"/>
      <c r="B253" s="334"/>
      <c r="C253" s="341"/>
      <c r="D253" s="322"/>
      <c r="E253" s="323"/>
    </row>
    <row r="254" spans="1:5">
      <c r="A254" s="358"/>
      <c r="B254" s="334"/>
      <c r="C254" s="341"/>
      <c r="D254" s="322"/>
      <c r="E254" s="323"/>
    </row>
    <row r="255" spans="1:5">
      <c r="A255" s="358"/>
      <c r="B255" s="334"/>
      <c r="C255" s="341"/>
      <c r="D255" s="322"/>
      <c r="E255" s="323"/>
    </row>
    <row r="256" spans="1:5">
      <c r="A256" s="358"/>
      <c r="B256" s="334"/>
      <c r="C256" s="341"/>
      <c r="D256" s="322"/>
      <c r="E256" s="323"/>
    </row>
  </sheetData>
  <autoFilter ref="A4:AE212" xr:uid="{00000000-0009-0000-0000-00000A000000}"/>
  <conditionalFormatting sqref="AC5:AC212">
    <cfRule type="cellIs" dxfId="1" priority="2" operator="lessThanOrEqual">
      <formula>-5</formula>
    </cfRule>
  </conditionalFormatting>
  <conditionalFormatting sqref="AC5:AC213">
    <cfRule type="cellIs" dxfId="0" priority="1" operator="between">
      <formula>-3.5</formula>
      <formula>-5</formula>
    </cfRule>
  </conditionalFormatting>
  <printOptions horizontalCentered="1"/>
  <pageMargins left="0.3" right="0.1" top="1" bottom="0.75" header="0.35" footer="0.25"/>
  <pageSetup paperSize="3" scale="58" fitToHeight="0" pageOrder="overThenDown" orientation="landscape" r:id="rId1"/>
  <headerFooter alignWithMargins="0">
    <oddHeader>&amp;L&amp;"Arial,Bold"RULE 20A
2014
ALLOCATION BALANCE SHEET&amp;R&amp;"Arial,Bold"INTERNAL USE ONLY</oddHeader>
    <oddFooter>&amp;L&amp;8&amp;F, &amp;A
Last Update:  MAY2014&amp;R&amp;8&amp;P of &amp;N</oddFooter>
  </headerFooter>
  <colBreaks count="6" manualBreakCount="6">
    <brk id="16" max="1048575" man="1"/>
    <brk id="29" max="1048575" man="1"/>
    <brk id="31" max="1048575" man="1"/>
    <brk id="32" max="1048575" man="1"/>
    <brk id="35" max="1048575" man="1"/>
    <brk id="36" max="1048575" man="1"/>
  </col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F8E0C48F2D4244B303AC556DC5783C" ma:contentTypeVersion="2" ma:contentTypeDescription="Create a new document." ma:contentTypeScope="" ma:versionID="5336cb9617c5f3facb2ada31a1642632">
  <xsd:schema xmlns:xsd="http://www.w3.org/2001/XMLSchema" xmlns:xs="http://www.w3.org/2001/XMLSchema" xmlns:p="http://schemas.microsoft.com/office/2006/metadata/properties" xmlns:ns2="d5acfb97-b211-45c7-8243-1d2d0849a543" targetNamespace="http://schemas.microsoft.com/office/2006/metadata/properties" ma:root="true" ma:fieldsID="2629682d6c4c0406f4a026d9539b0838" ns2:_="">
    <xsd:import namespace="d5acfb97-b211-45c7-8243-1d2d0849a5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acfb97-b211-45c7-8243-1d2d0849a5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B42B7B-40C6-45E1-A4DC-B4332FF88041}"/>
</file>

<file path=customXml/itemProps2.xml><?xml version="1.0" encoding="utf-8"?>
<ds:datastoreItem xmlns:ds="http://schemas.openxmlformats.org/officeDocument/2006/customXml" ds:itemID="{F0F1517D-A82E-4E8A-9EA4-B26582FA17C8}"/>
</file>

<file path=customXml/itemProps3.xml><?xml version="1.0" encoding="utf-8"?>
<ds:datastoreItem xmlns:ds="http://schemas.openxmlformats.org/officeDocument/2006/customXml" ds:itemID="{E166C3D0-74D8-4830-A220-1848C6EEF8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Frost, Jonathan</dc:creator>
  <cp:keywords/>
  <dc:description/>
  <cp:lastModifiedBy/>
  <cp:revision/>
  <dcterms:created xsi:type="dcterms:W3CDTF">2017-09-28T17:45:13Z</dcterms:created>
  <dcterms:modified xsi:type="dcterms:W3CDTF">2020-06-09T17:41:57Z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0x01010062F8E0C48F2D4244B303AC556DC5783C</vt:lpwstr>
  </property>
  <property fmtid="{D5CDD505-2E9C-101B-9397-08002B2CF9AE}" pid="3" name="_dlc_DocIdItemGuid">
    <vt:lpwstr>e78d8999-b30f-4cc8-8106-6f6a2ca20c20</vt:lpwstr>
  </property>
  <property fmtid="{D5CDD505-2E9C-101B-9397-08002B2CF9AE}" pid="4" name="Retention Code">
    <vt:lpwstr/>
  </property>
  <property fmtid="{D5CDD505-2E9C-101B-9397-08002B2CF9AE}" pid="5" name="Legal Group1">
    <vt:lpwstr>Customer and Tariff</vt:lpwstr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</Properties>
</file>